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 firstSheet="7" activeTab="28"/>
  </bookViews>
  <sheets>
    <sheet name="1" sheetId="4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new_sample (3)" sheetId="5" r:id="rId31"/>
    <sheet name="Sheet1" sheetId="1" r:id="rId32"/>
    <sheet name="Sheet2" sheetId="2" r:id="rId33"/>
    <sheet name="Sheet3" sheetId="3" r:id="rId34"/>
  </sheets>
  <externalReferences>
    <externalReference r:id="rId35"/>
    <externalReference r:id="rId36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0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A95" i="34" l="1"/>
  <c r="AA37" i="34"/>
  <c r="Z52" i="34" l="1"/>
  <c r="Z38" i="34"/>
  <c r="Z95" i="34"/>
  <c r="Z93" i="34" s="1"/>
  <c r="Z80" i="34"/>
  <c r="Z79" i="34"/>
  <c r="Z78" i="34"/>
  <c r="Z77" i="34"/>
  <c r="Z72" i="34"/>
  <c r="Z68" i="34"/>
  <c r="Z56" i="34"/>
  <c r="Z37" i="34"/>
  <c r="Y95" i="34"/>
  <c r="Y37" i="34"/>
  <c r="X95" i="34"/>
  <c r="X37" i="34"/>
  <c r="W95" i="34"/>
  <c r="W37" i="34"/>
  <c r="V95" i="34"/>
  <c r="V37" i="34"/>
  <c r="U37" i="34"/>
  <c r="T95" i="34"/>
  <c r="T37" i="34"/>
  <c r="S95" i="34"/>
  <c r="S37" i="34"/>
  <c r="R37" i="34"/>
  <c r="Z82" i="34" l="1"/>
  <c r="Z83" i="34"/>
  <c r="Z73" i="34"/>
  <c r="Z75" i="34" s="1"/>
  <c r="Q37" i="34" l="1"/>
  <c r="P37" i="34" l="1"/>
  <c r="O37" i="34"/>
  <c r="N37" i="34"/>
  <c r="M37" i="34"/>
  <c r="L37" i="34"/>
  <c r="I37" i="34"/>
  <c r="G37" i="34"/>
  <c r="F37" i="34" l="1"/>
  <c r="E37" i="34"/>
  <c r="AC95" i="33"/>
  <c r="AC37" i="33"/>
  <c r="AH100" i="34"/>
  <c r="AI100" i="34" s="1"/>
  <c r="AH99" i="34"/>
  <c r="AI99" i="34" s="1"/>
  <c r="D95" i="34"/>
  <c r="D37" i="34"/>
  <c r="C95" i="34"/>
  <c r="B95" i="34"/>
  <c r="B93" i="34"/>
  <c r="B83" i="34"/>
  <c r="B68" i="34"/>
  <c r="B52" i="34"/>
  <c r="B38" i="34"/>
  <c r="AF239" i="34"/>
  <c r="AE239" i="34"/>
  <c r="AD239" i="34"/>
  <c r="AC239" i="34"/>
  <c r="AB239" i="34"/>
  <c r="AA239" i="34"/>
  <c r="Z239" i="34"/>
  <c r="Y239" i="34"/>
  <c r="X239" i="34"/>
  <c r="W239" i="34"/>
  <c r="V239" i="34"/>
  <c r="U239" i="34"/>
  <c r="T239" i="34"/>
  <c r="S239" i="34"/>
  <c r="R239" i="34"/>
  <c r="Q239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D239" i="34"/>
  <c r="C239" i="34"/>
  <c r="B239" i="34"/>
  <c r="A239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C235" i="34"/>
  <c r="B235" i="34"/>
  <c r="S210" i="34"/>
  <c r="AG200" i="34"/>
  <c r="C200" i="34"/>
  <c r="D199" i="34"/>
  <c r="E199" i="34" s="1"/>
  <c r="F198" i="34"/>
  <c r="G198" i="34" s="1"/>
  <c r="H198" i="34" s="1"/>
  <c r="I198" i="34" s="1"/>
  <c r="J198" i="34" s="1"/>
  <c r="K198" i="34" s="1"/>
  <c r="L198" i="34" s="1"/>
  <c r="M198" i="34" s="1"/>
  <c r="N198" i="34" s="1"/>
  <c r="O198" i="34" s="1"/>
  <c r="P198" i="34" s="1"/>
  <c r="Q198" i="34" s="1"/>
  <c r="R198" i="34" s="1"/>
  <c r="S198" i="34" s="1"/>
  <c r="T198" i="34" s="1"/>
  <c r="U198" i="34" s="1"/>
  <c r="V198" i="34" s="1"/>
  <c r="W198" i="34" s="1"/>
  <c r="X198" i="34" s="1"/>
  <c r="Y198" i="34" s="1"/>
  <c r="Z198" i="34" s="1"/>
  <c r="AA198" i="34" s="1"/>
  <c r="AB198" i="34" s="1"/>
  <c r="AC198" i="34" s="1"/>
  <c r="AD198" i="34" s="1"/>
  <c r="AE198" i="34" s="1"/>
  <c r="AF198" i="34" s="1"/>
  <c r="B198" i="34" s="1"/>
  <c r="D198" i="34"/>
  <c r="E198" i="34" s="1"/>
  <c r="O197" i="34"/>
  <c r="P197" i="34" s="1"/>
  <c r="Q197" i="34" s="1"/>
  <c r="R197" i="34" s="1"/>
  <c r="S197" i="34" s="1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G197" i="34"/>
  <c r="H197" i="34" s="1"/>
  <c r="I197" i="34" s="1"/>
  <c r="J197" i="34" s="1"/>
  <c r="K197" i="34" s="1"/>
  <c r="L197" i="34" s="1"/>
  <c r="M197" i="34" s="1"/>
  <c r="N197" i="34" s="1"/>
  <c r="D197" i="34"/>
  <c r="E197" i="34" s="1"/>
  <c r="F197" i="34" s="1"/>
  <c r="H196" i="34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G196" i="34"/>
  <c r="F196" i="34"/>
  <c r="E196" i="34"/>
  <c r="D196" i="34"/>
  <c r="D195" i="34"/>
  <c r="E195" i="34" s="1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D194" i="34"/>
  <c r="D200" i="34" s="1"/>
  <c r="AG192" i="34"/>
  <c r="C192" i="34"/>
  <c r="D191" i="34"/>
  <c r="E191" i="34" s="1"/>
  <c r="F191" i="34" s="1"/>
  <c r="G191" i="34" s="1"/>
  <c r="H191" i="34" s="1"/>
  <c r="I191" i="34" s="1"/>
  <c r="J191" i="34" s="1"/>
  <c r="K191" i="34" s="1"/>
  <c r="L191" i="34" s="1"/>
  <c r="M191" i="34" s="1"/>
  <c r="N191" i="34" s="1"/>
  <c r="O191" i="34" s="1"/>
  <c r="P191" i="34" s="1"/>
  <c r="Q191" i="34" s="1"/>
  <c r="R191" i="34" s="1"/>
  <c r="S191" i="34" s="1"/>
  <c r="T191" i="34" s="1"/>
  <c r="U191" i="34" s="1"/>
  <c r="V191" i="34" s="1"/>
  <c r="W191" i="34" s="1"/>
  <c r="X191" i="34" s="1"/>
  <c r="Y191" i="34" s="1"/>
  <c r="Z191" i="34" s="1"/>
  <c r="AA191" i="34" s="1"/>
  <c r="AB191" i="34" s="1"/>
  <c r="AC191" i="34" s="1"/>
  <c r="AD191" i="34" s="1"/>
  <c r="AE191" i="34" s="1"/>
  <c r="AF191" i="34" s="1"/>
  <c r="B191" i="34" s="1"/>
  <c r="G190" i="34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B190" i="34" s="1"/>
  <c r="F190" i="34"/>
  <c r="E190" i="34"/>
  <c r="D190" i="34"/>
  <c r="F189" i="34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D189" i="34"/>
  <c r="E189" i="34" s="1"/>
  <c r="D188" i="34"/>
  <c r="E188" i="34" s="1"/>
  <c r="F188" i="34" s="1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B188" i="34" s="1"/>
  <c r="I187" i="34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E187" i="34"/>
  <c r="F187" i="34" s="1"/>
  <c r="G187" i="34" s="1"/>
  <c r="H187" i="34" s="1"/>
  <c r="D187" i="34"/>
  <c r="E186" i="34"/>
  <c r="F186" i="34" s="1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D186" i="34"/>
  <c r="I185" i="34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E185" i="34"/>
  <c r="F185" i="34" s="1"/>
  <c r="G185" i="34" s="1"/>
  <c r="H185" i="34" s="1"/>
  <c r="D185" i="34"/>
  <c r="D184" i="34"/>
  <c r="E184" i="34" s="1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B184" i="34" s="1"/>
  <c r="G183" i="34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E183" i="34"/>
  <c r="F183" i="34" s="1"/>
  <c r="D183" i="34"/>
  <c r="E182" i="34"/>
  <c r="F182" i="34" s="1"/>
  <c r="G182" i="34" s="1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D182" i="34"/>
  <c r="Y181" i="34"/>
  <c r="Z181" i="34" s="1"/>
  <c r="AA181" i="34" s="1"/>
  <c r="AB181" i="34" s="1"/>
  <c r="AC181" i="34" s="1"/>
  <c r="AD181" i="34" s="1"/>
  <c r="AE181" i="34" s="1"/>
  <c r="AF181" i="34" s="1"/>
  <c r="B181" i="34" s="1"/>
  <c r="E181" i="34"/>
  <c r="F181" i="34" s="1"/>
  <c r="G181" i="34" s="1"/>
  <c r="H181" i="34" s="1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D181" i="34"/>
  <c r="J180" i="34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D180" i="34"/>
  <c r="E180" i="34" s="1"/>
  <c r="F180" i="34" s="1"/>
  <c r="G180" i="34" s="1"/>
  <c r="H180" i="34" s="1"/>
  <c r="I180" i="34" s="1"/>
  <c r="AC179" i="34"/>
  <c r="AD179" i="34" s="1"/>
  <c r="AE179" i="34" s="1"/>
  <c r="AF179" i="34" s="1"/>
  <c r="B179" i="34" s="1"/>
  <c r="D179" i="34"/>
  <c r="E179" i="34" s="1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F177" i="34"/>
  <c r="B177" i="34" s="1"/>
  <c r="H177" i="34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D177" i="34"/>
  <c r="E177" i="34" s="1"/>
  <c r="F177" i="34" s="1"/>
  <c r="G177" i="34" s="1"/>
  <c r="K176" i="34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B176" i="34" s="1"/>
  <c r="E176" i="34"/>
  <c r="F176" i="34" s="1"/>
  <c r="G176" i="34" s="1"/>
  <c r="H176" i="34" s="1"/>
  <c r="I176" i="34" s="1"/>
  <c r="J176" i="34" s="1"/>
  <c r="D176" i="34"/>
  <c r="G175" i="34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B175" i="34" s="1"/>
  <c r="E175" i="34"/>
  <c r="F175" i="34" s="1"/>
  <c r="D175" i="34"/>
  <c r="E174" i="34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D174" i="34"/>
  <c r="I173" i="34"/>
  <c r="J173" i="34" s="1"/>
  <c r="K173" i="34" s="1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D173" i="34"/>
  <c r="E173" i="34" s="1"/>
  <c r="F173" i="34" s="1"/>
  <c r="G173" i="34" s="1"/>
  <c r="H173" i="34" s="1"/>
  <c r="D172" i="34"/>
  <c r="E172" i="34" s="1"/>
  <c r="F172" i="34" s="1"/>
  <c r="G172" i="34" s="1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B172" i="34" s="1"/>
  <c r="AC171" i="34"/>
  <c r="AD171" i="34" s="1"/>
  <c r="AE171" i="34" s="1"/>
  <c r="AF171" i="34" s="1"/>
  <c r="B171" i="34" s="1"/>
  <c r="E171" i="34"/>
  <c r="F171" i="34" s="1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D171" i="34"/>
  <c r="E170" i="34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D170" i="34"/>
  <c r="D168" i="34"/>
  <c r="E168" i="34" s="1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B168" i="34" s="1"/>
  <c r="I167" i="34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D167" i="34"/>
  <c r="E167" i="34" s="1"/>
  <c r="F167" i="34" s="1"/>
  <c r="G167" i="34" s="1"/>
  <c r="H167" i="34" s="1"/>
  <c r="E166" i="34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D166" i="34"/>
  <c r="AE165" i="34"/>
  <c r="AF165" i="34" s="1"/>
  <c r="B165" i="34" s="1"/>
  <c r="D165" i="34"/>
  <c r="E165" i="34" s="1"/>
  <c r="F165" i="34" s="1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I164" i="34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E164" i="34"/>
  <c r="F164" i="34" s="1"/>
  <c r="G164" i="34" s="1"/>
  <c r="H164" i="34" s="1"/>
  <c r="D164" i="34"/>
  <c r="K163" i="34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F163" i="34"/>
  <c r="G163" i="34" s="1"/>
  <c r="H163" i="34" s="1"/>
  <c r="I163" i="34" s="1"/>
  <c r="J163" i="34" s="1"/>
  <c r="D163" i="34"/>
  <c r="E163" i="34" s="1"/>
  <c r="L162" i="34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I162" i="34"/>
  <c r="J162" i="34" s="1"/>
  <c r="K162" i="34" s="1"/>
  <c r="D162" i="34"/>
  <c r="E162" i="34" s="1"/>
  <c r="F162" i="34" s="1"/>
  <c r="G162" i="34" s="1"/>
  <c r="H162" i="34" s="1"/>
  <c r="J161" i="34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B161" i="34" s="1"/>
  <c r="G161" i="34"/>
  <c r="H161" i="34" s="1"/>
  <c r="I161" i="34" s="1"/>
  <c r="E161" i="34"/>
  <c r="F161" i="34" s="1"/>
  <c r="D161" i="34"/>
  <c r="E160" i="34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60" i="34"/>
  <c r="F159" i="34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B159" i="34" s="1"/>
  <c r="D159" i="34"/>
  <c r="E159" i="34" s="1"/>
  <c r="I158" i="34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B158" i="34" s="1"/>
  <c r="D158" i="34"/>
  <c r="E158" i="34" s="1"/>
  <c r="F158" i="34" s="1"/>
  <c r="G158" i="34" s="1"/>
  <c r="H158" i="34" s="1"/>
  <c r="J157" i="34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B157" i="34" s="1"/>
  <c r="H157" i="34"/>
  <c r="I157" i="34" s="1"/>
  <c r="G157" i="34"/>
  <c r="F157" i="34"/>
  <c r="E157" i="34"/>
  <c r="D157" i="34"/>
  <c r="F156" i="34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E156" i="34"/>
  <c r="D156" i="34"/>
  <c r="V154" i="34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B154" i="34" s="1"/>
  <c r="T154" i="34"/>
  <c r="U154" i="34" s="1"/>
  <c r="F154" i="34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R154" i="34" s="1"/>
  <c r="S154" i="34" s="1"/>
  <c r="D154" i="34"/>
  <c r="E154" i="34" s="1"/>
  <c r="D153" i="34"/>
  <c r="E153" i="34" s="1"/>
  <c r="F153" i="34" s="1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R152" i="34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P152" i="34"/>
  <c r="Q152" i="34" s="1"/>
  <c r="H152" i="34"/>
  <c r="I152" i="34" s="1"/>
  <c r="J152" i="34" s="1"/>
  <c r="K152" i="34" s="1"/>
  <c r="L152" i="34" s="1"/>
  <c r="M152" i="34" s="1"/>
  <c r="N152" i="34" s="1"/>
  <c r="O152" i="34" s="1"/>
  <c r="G152" i="34"/>
  <c r="F152" i="34"/>
  <c r="E152" i="34"/>
  <c r="D152" i="34"/>
  <c r="P151" i="34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D151" i="34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F149" i="34"/>
  <c r="G149" i="34" s="1"/>
  <c r="H149" i="34" s="1"/>
  <c r="I149" i="34" s="1"/>
  <c r="J149" i="34" s="1"/>
  <c r="K149" i="34" s="1"/>
  <c r="L149" i="34" s="1"/>
  <c r="M149" i="34" s="1"/>
  <c r="N149" i="34" s="1"/>
  <c r="O149" i="34" s="1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B149" i="34" s="1"/>
  <c r="E149" i="34"/>
  <c r="D149" i="34"/>
  <c r="Q148" i="34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P148" i="34"/>
  <c r="F148" i="34"/>
  <c r="G148" i="34" s="1"/>
  <c r="H148" i="34" s="1"/>
  <c r="I148" i="34" s="1"/>
  <c r="J148" i="34" s="1"/>
  <c r="K148" i="34" s="1"/>
  <c r="L148" i="34" s="1"/>
  <c r="M148" i="34" s="1"/>
  <c r="N148" i="34" s="1"/>
  <c r="O148" i="34" s="1"/>
  <c r="D148" i="34"/>
  <c r="E148" i="34" s="1"/>
  <c r="F146" i="34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B146" i="34" s="1"/>
  <c r="E146" i="34"/>
  <c r="D146" i="34"/>
  <c r="F145" i="34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B145" i="34" s="1"/>
  <c r="E145" i="34"/>
  <c r="D145" i="34"/>
  <c r="I144" i="34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B144" i="34" s="1"/>
  <c r="E144" i="34"/>
  <c r="F144" i="34" s="1"/>
  <c r="G144" i="34" s="1"/>
  <c r="H144" i="34" s="1"/>
  <c r="D144" i="34"/>
  <c r="D143" i="34"/>
  <c r="E143" i="34" s="1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W142" i="34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E142" i="34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D142" i="34"/>
  <c r="J141" i="34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D141" i="34"/>
  <c r="E141" i="34" s="1"/>
  <c r="F141" i="34" s="1"/>
  <c r="G141" i="34" s="1"/>
  <c r="H141" i="34" s="1"/>
  <c r="I141" i="34" s="1"/>
  <c r="F140" i="34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B140" i="34" s="1"/>
  <c r="E140" i="34"/>
  <c r="D140" i="34"/>
  <c r="D138" i="34"/>
  <c r="E138" i="34" s="1"/>
  <c r="F138" i="34" s="1"/>
  <c r="G138" i="34" s="1"/>
  <c r="H138" i="34" s="1"/>
  <c r="I138" i="34" s="1"/>
  <c r="J138" i="34" s="1"/>
  <c r="K138" i="34" s="1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B138" i="34" s="1"/>
  <c r="D137" i="34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AC136" i="34"/>
  <c r="AD136" i="34" s="1"/>
  <c r="AE136" i="34" s="1"/>
  <c r="AF136" i="34" s="1"/>
  <c r="B136" i="34" s="1"/>
  <c r="J136" i="34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H136" i="34"/>
  <c r="I136" i="34" s="1"/>
  <c r="E136" i="34"/>
  <c r="F136" i="34" s="1"/>
  <c r="G136" i="34" s="1"/>
  <c r="D136" i="34"/>
  <c r="D135" i="34"/>
  <c r="E135" i="34" s="1"/>
  <c r="F135" i="34" s="1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F134" i="34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D134" i="34"/>
  <c r="E134" i="34" s="1"/>
  <c r="N133" i="34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K133" i="34"/>
  <c r="L133" i="34" s="1"/>
  <c r="M133" i="34" s="1"/>
  <c r="J133" i="34"/>
  <c r="D133" i="34"/>
  <c r="E133" i="34" s="1"/>
  <c r="F133" i="34" s="1"/>
  <c r="G133" i="34" s="1"/>
  <c r="H133" i="34" s="1"/>
  <c r="I133" i="34" s="1"/>
  <c r="H132" i="34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E132" i="34"/>
  <c r="F132" i="34" s="1"/>
  <c r="G132" i="34" s="1"/>
  <c r="D132" i="34"/>
  <c r="X131" i="34"/>
  <c r="Y131" i="34" s="1"/>
  <c r="Z131" i="34" s="1"/>
  <c r="AA131" i="34" s="1"/>
  <c r="AB131" i="34" s="1"/>
  <c r="AC131" i="34" s="1"/>
  <c r="AD131" i="34" s="1"/>
  <c r="AE131" i="34" s="1"/>
  <c r="AF131" i="34" s="1"/>
  <c r="B131" i="34" s="1"/>
  <c r="F131" i="34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D131" i="34"/>
  <c r="E131" i="34" s="1"/>
  <c r="L129" i="34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B129" i="34" s="1"/>
  <c r="E129" i="34"/>
  <c r="F129" i="34" s="1"/>
  <c r="G129" i="34" s="1"/>
  <c r="H129" i="34" s="1"/>
  <c r="I129" i="34" s="1"/>
  <c r="J129" i="34" s="1"/>
  <c r="K129" i="34" s="1"/>
  <c r="D129" i="34"/>
  <c r="O128" i="34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D128" i="34"/>
  <c r="E128" i="34" s="1"/>
  <c r="F128" i="34" s="1"/>
  <c r="G128" i="34" s="1"/>
  <c r="H128" i="34" s="1"/>
  <c r="I128" i="34" s="1"/>
  <c r="J128" i="34" s="1"/>
  <c r="K128" i="34" s="1"/>
  <c r="L128" i="34" s="1"/>
  <c r="M128" i="34" s="1"/>
  <c r="N128" i="34" s="1"/>
  <c r="I127" i="34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H127" i="34"/>
  <c r="E127" i="34"/>
  <c r="F127" i="34" s="1"/>
  <c r="G127" i="34" s="1"/>
  <c r="D127" i="34"/>
  <c r="I126" i="34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H126" i="34"/>
  <c r="F126" i="34"/>
  <c r="G126" i="34" s="1"/>
  <c r="D126" i="34"/>
  <c r="E126" i="34" s="1"/>
  <c r="D125" i="34"/>
  <c r="E125" i="34" s="1"/>
  <c r="F125" i="34" s="1"/>
  <c r="G125" i="34" s="1"/>
  <c r="H125" i="34" s="1"/>
  <c r="I125" i="34" s="1"/>
  <c r="J125" i="34" s="1"/>
  <c r="K125" i="34" s="1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B125" i="34" s="1"/>
  <c r="D124" i="34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E123" i="34"/>
  <c r="F123" i="34" s="1"/>
  <c r="G123" i="34" s="1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E122" i="34"/>
  <c r="F122" i="34" s="1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D122" i="34"/>
  <c r="E121" i="34"/>
  <c r="F121" i="34" s="1"/>
  <c r="G121" i="34" s="1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D121" i="34"/>
  <c r="H120" i="34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G120" i="34"/>
  <c r="D120" i="34"/>
  <c r="E120" i="34" s="1"/>
  <c r="F120" i="34" s="1"/>
  <c r="E119" i="34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D119" i="34"/>
  <c r="E118" i="34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D118" i="34"/>
  <c r="E117" i="34"/>
  <c r="F117" i="34" s="1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D117" i="34"/>
  <c r="E116" i="34"/>
  <c r="F116" i="34" s="1"/>
  <c r="G116" i="34" s="1"/>
  <c r="H116" i="34" s="1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D116" i="34"/>
  <c r="I115" i="34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F115" i="34"/>
  <c r="G115" i="34" s="1"/>
  <c r="H115" i="34" s="1"/>
  <c r="E115" i="34"/>
  <c r="D115" i="34"/>
  <c r="L114" i="34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K114" i="34"/>
  <c r="D114" i="34"/>
  <c r="E114" i="34" s="1"/>
  <c r="F114" i="34" s="1"/>
  <c r="G114" i="34" s="1"/>
  <c r="H114" i="34" s="1"/>
  <c r="I114" i="34" s="1"/>
  <c r="D113" i="34"/>
  <c r="E113" i="34" s="1"/>
  <c r="F113" i="34" s="1"/>
  <c r="G113" i="34" s="1"/>
  <c r="H113" i="34" s="1"/>
  <c r="I113" i="34" s="1"/>
  <c r="J113" i="34" s="1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D112" i="34"/>
  <c r="E112" i="34" s="1"/>
  <c r="F112" i="34" s="1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E110" i="34"/>
  <c r="F110" i="34" s="1"/>
  <c r="G110" i="34" s="1"/>
  <c r="H110" i="34" s="1"/>
  <c r="I110" i="34" s="1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B110" i="34" s="1"/>
  <c r="D110" i="34"/>
  <c r="D109" i="34"/>
  <c r="E109" i="34" s="1"/>
  <c r="F109" i="34" s="1"/>
  <c r="G109" i="34" s="1"/>
  <c r="E107" i="34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B107" i="34" s="1"/>
  <c r="D107" i="34"/>
  <c r="D106" i="34"/>
  <c r="E106" i="34" s="1"/>
  <c r="F106" i="34" s="1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D105" i="34"/>
  <c r="E105" i="34" s="1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F104" i="34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D104" i="34"/>
  <c r="E104" i="34" s="1"/>
  <c r="D103" i="34"/>
  <c r="E103" i="34" s="1"/>
  <c r="F103" i="34" s="1"/>
  <c r="G103" i="34" s="1"/>
  <c r="H103" i="34" s="1"/>
  <c r="E102" i="34"/>
  <c r="D102" i="34"/>
  <c r="AH98" i="34"/>
  <c r="AI98" i="34" s="1"/>
  <c r="AH97" i="34"/>
  <c r="AI97" i="34" s="1"/>
  <c r="AH96" i="34"/>
  <c r="AI96" i="34" s="1"/>
  <c r="AH95" i="34"/>
  <c r="AI95" i="34" s="1"/>
  <c r="AH94" i="34"/>
  <c r="AI94" i="34" s="1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G82" i="34"/>
  <c r="AI81" i="34"/>
  <c r="AH81" i="34"/>
  <c r="AF80" i="34"/>
  <c r="AE80" i="34"/>
  <c r="AD80" i="34"/>
  <c r="AC80" i="34"/>
  <c r="AB80" i="34"/>
  <c r="AA80" i="34"/>
  <c r="Y80" i="34"/>
  <c r="X80" i="34"/>
  <c r="W80" i="34"/>
  <c r="V80" i="34"/>
  <c r="U80" i="34"/>
  <c r="T80" i="34"/>
  <c r="S80" i="34"/>
  <c r="R80" i="34"/>
  <c r="Q80" i="34"/>
  <c r="P80" i="34"/>
  <c r="O80" i="34"/>
  <c r="N80" i="34"/>
  <c r="M80" i="34"/>
  <c r="L80" i="34"/>
  <c r="K80" i="34"/>
  <c r="J80" i="34"/>
  <c r="I80" i="34"/>
  <c r="H80" i="34"/>
  <c r="G80" i="34"/>
  <c r="F80" i="34"/>
  <c r="E80" i="34"/>
  <c r="D80" i="34"/>
  <c r="C80" i="34"/>
  <c r="AF79" i="34"/>
  <c r="AE79" i="34"/>
  <c r="AD79" i="34"/>
  <c r="AC79" i="34"/>
  <c r="AB79" i="34"/>
  <c r="AA79" i="34"/>
  <c r="Y79" i="34"/>
  <c r="X79" i="34"/>
  <c r="W79" i="34"/>
  <c r="V79" i="34"/>
  <c r="U79" i="34"/>
  <c r="T79" i="34"/>
  <c r="S79" i="34"/>
  <c r="R79" i="34"/>
  <c r="Q79" i="34"/>
  <c r="P79" i="34"/>
  <c r="O79" i="34"/>
  <c r="N79" i="34"/>
  <c r="M79" i="34"/>
  <c r="L79" i="34"/>
  <c r="K79" i="34"/>
  <c r="J79" i="34"/>
  <c r="I79" i="34"/>
  <c r="H79" i="34"/>
  <c r="G79" i="34"/>
  <c r="F79" i="34"/>
  <c r="E79" i="34"/>
  <c r="D79" i="34"/>
  <c r="C79" i="34"/>
  <c r="AF78" i="34"/>
  <c r="AE78" i="34"/>
  <c r="AD78" i="34"/>
  <c r="AC78" i="34"/>
  <c r="AB78" i="34"/>
  <c r="AA78" i="34"/>
  <c r="Y78" i="34"/>
  <c r="X78" i="34"/>
  <c r="W78" i="34"/>
  <c r="V78" i="34"/>
  <c r="U78" i="34"/>
  <c r="T78" i="34"/>
  <c r="S78" i="34"/>
  <c r="R78" i="34"/>
  <c r="Q78" i="34"/>
  <c r="P78" i="34"/>
  <c r="O78" i="34"/>
  <c r="N78" i="34"/>
  <c r="M78" i="34"/>
  <c r="L78" i="34"/>
  <c r="K78" i="34"/>
  <c r="J78" i="34"/>
  <c r="I78" i="34"/>
  <c r="H78" i="34"/>
  <c r="G78" i="34"/>
  <c r="F78" i="34"/>
  <c r="E78" i="34"/>
  <c r="D78" i="34"/>
  <c r="C78" i="34"/>
  <c r="AF77" i="34"/>
  <c r="AE77" i="34"/>
  <c r="AD77" i="34"/>
  <c r="AC77" i="34"/>
  <c r="AB77" i="34"/>
  <c r="AA77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AF76" i="34"/>
  <c r="AE76" i="34"/>
  <c r="AD76" i="34"/>
  <c r="AC76" i="34"/>
  <c r="AB76" i="34"/>
  <c r="AA76" i="34"/>
  <c r="Y76" i="34"/>
  <c r="X76" i="34"/>
  <c r="X82" i="34" s="1"/>
  <c r="W76" i="34"/>
  <c r="V76" i="34"/>
  <c r="U76" i="34"/>
  <c r="T76" i="34"/>
  <c r="S76" i="34"/>
  <c r="S82" i="34" s="1"/>
  <c r="R76" i="34"/>
  <c r="Q76" i="34"/>
  <c r="P76" i="34"/>
  <c r="O76" i="34"/>
  <c r="N76" i="34"/>
  <c r="M76" i="34"/>
  <c r="L76" i="34"/>
  <c r="K76" i="34"/>
  <c r="J76" i="34"/>
  <c r="J82" i="34" s="1"/>
  <c r="I76" i="34"/>
  <c r="H76" i="34"/>
  <c r="G76" i="34"/>
  <c r="F76" i="34"/>
  <c r="E76" i="34"/>
  <c r="D76" i="34"/>
  <c r="C76" i="34"/>
  <c r="AI74" i="34"/>
  <c r="AH74" i="34"/>
  <c r="AG72" i="34"/>
  <c r="AF72" i="34"/>
  <c r="AE72" i="34"/>
  <c r="AD72" i="34"/>
  <c r="AC72" i="34"/>
  <c r="AB72" i="34"/>
  <c r="AA72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AH72" i="34"/>
  <c r="AI71" i="34"/>
  <c r="AH71" i="34"/>
  <c r="AI70" i="34"/>
  <c r="AH70" i="34"/>
  <c r="AI69" i="34"/>
  <c r="AH69" i="34"/>
  <c r="AG68" i="34"/>
  <c r="AG73" i="34" s="1"/>
  <c r="AF68" i="34"/>
  <c r="AE68" i="34"/>
  <c r="AD68" i="34"/>
  <c r="AC68" i="34"/>
  <c r="AB5" i="34" s="1"/>
  <c r="AB68" i="34"/>
  <c r="AA68" i="34"/>
  <c r="Z5" i="34" s="1"/>
  <c r="Y68" i="34"/>
  <c r="X68" i="34"/>
  <c r="W68" i="34"/>
  <c r="V5" i="34" s="1"/>
  <c r="V68" i="34"/>
  <c r="U68" i="34"/>
  <c r="T5" i="34" s="1"/>
  <c r="T68" i="34"/>
  <c r="S68" i="34"/>
  <c r="R68" i="34"/>
  <c r="Q5" i="34" s="1"/>
  <c r="Q68" i="34"/>
  <c r="P68" i="34"/>
  <c r="O5" i="34" s="1"/>
  <c r="O68" i="34"/>
  <c r="N5" i="34" s="1"/>
  <c r="N68" i="34"/>
  <c r="M5" i="34" s="1"/>
  <c r="M68" i="34"/>
  <c r="L5" i="34" s="1"/>
  <c r="L68" i="34"/>
  <c r="K5" i="34" s="1"/>
  <c r="K68" i="34"/>
  <c r="J5" i="34" s="1"/>
  <c r="J68" i="34"/>
  <c r="I5" i="34" s="1"/>
  <c r="I68" i="34"/>
  <c r="H68" i="34"/>
  <c r="G68" i="34"/>
  <c r="F68" i="34"/>
  <c r="E5" i="34" s="1"/>
  <c r="E68" i="34"/>
  <c r="D5" i="34" s="1"/>
  <c r="D68" i="34"/>
  <c r="C5" i="34" s="1"/>
  <c r="C68" i="34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F56" i="34"/>
  <c r="AE56" i="34"/>
  <c r="AD56" i="34"/>
  <c r="AC56" i="34"/>
  <c r="AB56" i="34"/>
  <c r="AA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AI55" i="34"/>
  <c r="AH55" i="34"/>
  <c r="AI54" i="34"/>
  <c r="AH54" i="34"/>
  <c r="AI53" i="34"/>
  <c r="AH53" i="34"/>
  <c r="AG52" i="34"/>
  <c r="AG3" i="34" s="1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G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F38" i="34"/>
  <c r="AE38" i="34"/>
  <c r="AD38" i="34"/>
  <c r="AC38" i="34"/>
  <c r="AB38" i="34"/>
  <c r="AA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AE5" i="34"/>
  <c r="AD5" i="34"/>
  <c r="AC5" i="34"/>
  <c r="AA5" i="34"/>
  <c r="Y5" i="34"/>
  <c r="W5" i="34"/>
  <c r="U5" i="34"/>
  <c r="S5" i="34"/>
  <c r="R5" i="34"/>
  <c r="G5" i="34"/>
  <c r="F5" i="34"/>
  <c r="AG4" i="34"/>
  <c r="K4" i="34"/>
  <c r="B4" i="34"/>
  <c r="AG2" i="34"/>
  <c r="AF95" i="33"/>
  <c r="AF37" i="33"/>
  <c r="AE95" i="33"/>
  <c r="AE37" i="33"/>
  <c r="AD37" i="33"/>
  <c r="AD95" i="33"/>
  <c r="AB95" i="33"/>
  <c r="AB37" i="33"/>
  <c r="AA95" i="33"/>
  <c r="AA37" i="33"/>
  <c r="Z95" i="33"/>
  <c r="Z93" i="33"/>
  <c r="Z80" i="33"/>
  <c r="Z79" i="33"/>
  <c r="Z78" i="33"/>
  <c r="Z77" i="33"/>
  <c r="Z82" i="33" s="1"/>
  <c r="Z72" i="33"/>
  <c r="Z68" i="33"/>
  <c r="Z56" i="33"/>
  <c r="Z52" i="33"/>
  <c r="Z38" i="33"/>
  <c r="Z37" i="33"/>
  <c r="Y95" i="33"/>
  <c r="Y58" i="33"/>
  <c r="Y37" i="33"/>
  <c r="X95" i="33"/>
  <c r="X58" i="33"/>
  <c r="X37" i="33"/>
  <c r="W37" i="33"/>
  <c r="V37" i="33"/>
  <c r="U37" i="33"/>
  <c r="T37" i="33"/>
  <c r="S37" i="33"/>
  <c r="D95" i="33"/>
  <c r="D37" i="33"/>
  <c r="AK58" i="33"/>
  <c r="AF58" i="32"/>
  <c r="B58" i="33"/>
  <c r="C58" i="33"/>
  <c r="AH100" i="33"/>
  <c r="AI100" i="33" s="1"/>
  <c r="AH99" i="33"/>
  <c r="AI99" i="33" s="1"/>
  <c r="C95" i="33"/>
  <c r="C37" i="33"/>
  <c r="B95" i="33"/>
  <c r="B68" i="33"/>
  <c r="B37" i="33"/>
  <c r="B93" i="33"/>
  <c r="B80" i="33"/>
  <c r="B79" i="33"/>
  <c r="B78" i="33"/>
  <c r="B77" i="33"/>
  <c r="B76" i="33"/>
  <c r="B72" i="33"/>
  <c r="B56" i="33"/>
  <c r="B51" i="33"/>
  <c r="B52" i="33" s="1"/>
  <c r="B38" i="33"/>
  <c r="AF239" i="33"/>
  <c r="AE239" i="33"/>
  <c r="AD239" i="33"/>
  <c r="AC239" i="33"/>
  <c r="AB239" i="33"/>
  <c r="AA239" i="33"/>
  <c r="Z239" i="33"/>
  <c r="Y239" i="33"/>
  <c r="X239" i="33"/>
  <c r="W239" i="33"/>
  <c r="V239" i="33"/>
  <c r="U239" i="33"/>
  <c r="T239" i="33"/>
  <c r="S239" i="33"/>
  <c r="R239" i="33"/>
  <c r="Q239" i="33"/>
  <c r="P239" i="33"/>
  <c r="O239" i="33"/>
  <c r="N239" i="33"/>
  <c r="M239" i="33"/>
  <c r="L239" i="33"/>
  <c r="K239" i="33"/>
  <c r="J239" i="33"/>
  <c r="I239" i="33"/>
  <c r="H239" i="33"/>
  <c r="G239" i="33"/>
  <c r="F239" i="33"/>
  <c r="E239" i="33"/>
  <c r="D239" i="33"/>
  <c r="C239" i="33"/>
  <c r="B239" i="33"/>
  <c r="A239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B235" i="33"/>
  <c r="S210" i="33"/>
  <c r="AG200" i="33"/>
  <c r="C200" i="33"/>
  <c r="D199" i="33"/>
  <c r="R198" i="33"/>
  <c r="S198" i="33" s="1"/>
  <c r="T198" i="33" s="1"/>
  <c r="U198" i="33" s="1"/>
  <c r="V198" i="33" s="1"/>
  <c r="W198" i="33" s="1"/>
  <c r="X198" i="33" s="1"/>
  <c r="Y198" i="33" s="1"/>
  <c r="Z198" i="33" s="1"/>
  <c r="AA198" i="33" s="1"/>
  <c r="AB198" i="33" s="1"/>
  <c r="AC198" i="33" s="1"/>
  <c r="AD198" i="33" s="1"/>
  <c r="AE198" i="33" s="1"/>
  <c r="AF198" i="33" s="1"/>
  <c r="B198" i="33" s="1"/>
  <c r="E198" i="33"/>
  <c r="F198" i="33" s="1"/>
  <c r="G198" i="33" s="1"/>
  <c r="H198" i="33" s="1"/>
  <c r="I198" i="33" s="1"/>
  <c r="J198" i="33" s="1"/>
  <c r="K198" i="33" s="1"/>
  <c r="L198" i="33" s="1"/>
  <c r="M198" i="33" s="1"/>
  <c r="N198" i="33" s="1"/>
  <c r="O198" i="33" s="1"/>
  <c r="P198" i="33" s="1"/>
  <c r="Q198" i="33" s="1"/>
  <c r="D198" i="33"/>
  <c r="D197" i="33"/>
  <c r="E197" i="33" s="1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D196" i="33"/>
  <c r="E196" i="33" s="1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L195" i="33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195" i="33"/>
  <c r="E195" i="33" s="1"/>
  <c r="F195" i="33" s="1"/>
  <c r="G195" i="33" s="1"/>
  <c r="H195" i="33" s="1"/>
  <c r="I195" i="33" s="1"/>
  <c r="J195" i="33" s="1"/>
  <c r="K195" i="33" s="1"/>
  <c r="E194" i="33"/>
  <c r="F194" i="33" s="1"/>
  <c r="D194" i="33"/>
  <c r="D200" i="33" s="1"/>
  <c r="AG192" i="33"/>
  <c r="C192" i="33"/>
  <c r="H191" i="33"/>
  <c r="I191" i="33" s="1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B191" i="33" s="1"/>
  <c r="F191" i="33"/>
  <c r="G191" i="33" s="1"/>
  <c r="D191" i="33"/>
  <c r="E191" i="33" s="1"/>
  <c r="D190" i="33"/>
  <c r="E190" i="33" s="1"/>
  <c r="F190" i="33" s="1"/>
  <c r="G190" i="33" s="1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F189" i="33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D189" i="33"/>
  <c r="E189" i="33" s="1"/>
  <c r="F188" i="33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D188" i="33"/>
  <c r="D187" i="33"/>
  <c r="E187" i="33" s="1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D186" i="33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J185" i="33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E185" i="33"/>
  <c r="F185" i="33" s="1"/>
  <c r="G185" i="33" s="1"/>
  <c r="H185" i="33" s="1"/>
  <c r="I185" i="33" s="1"/>
  <c r="D185" i="33"/>
  <c r="L184" i="33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E184" i="33"/>
  <c r="F184" i="33" s="1"/>
  <c r="G184" i="33" s="1"/>
  <c r="H184" i="33" s="1"/>
  <c r="I184" i="33" s="1"/>
  <c r="J184" i="33" s="1"/>
  <c r="K184" i="33" s="1"/>
  <c r="D184" i="33"/>
  <c r="H183" i="33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F183" i="33"/>
  <c r="G183" i="33" s="1"/>
  <c r="D183" i="33"/>
  <c r="E183" i="33" s="1"/>
  <c r="H182" i="33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D182" i="33"/>
  <c r="E182" i="33" s="1"/>
  <c r="F182" i="33" s="1"/>
  <c r="G182" i="33" s="1"/>
  <c r="D181" i="33"/>
  <c r="E181" i="33" s="1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E179" i="33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D179" i="33"/>
  <c r="D177" i="33"/>
  <c r="E177" i="33" s="1"/>
  <c r="F177" i="33" s="1"/>
  <c r="G177" i="33" s="1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B177" i="33" s="1"/>
  <c r="E176" i="33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D176" i="33"/>
  <c r="O175" i="33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E175" i="33"/>
  <c r="F175" i="33" s="1"/>
  <c r="G175" i="33" s="1"/>
  <c r="H175" i="33" s="1"/>
  <c r="I175" i="33" s="1"/>
  <c r="J175" i="33" s="1"/>
  <c r="K175" i="33" s="1"/>
  <c r="L175" i="33" s="1"/>
  <c r="M175" i="33" s="1"/>
  <c r="N175" i="33" s="1"/>
  <c r="D175" i="33"/>
  <c r="E174" i="33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D174" i="33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 s="1"/>
  <c r="AC172" i="33"/>
  <c r="AD172" i="33" s="1"/>
  <c r="AE172" i="33" s="1"/>
  <c r="AF172" i="33" s="1"/>
  <c r="B172" i="33" s="1"/>
  <c r="G172" i="33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E172" i="33"/>
  <c r="F172" i="33" s="1"/>
  <c r="D172" i="33"/>
  <c r="E171" i="33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D171" i="33"/>
  <c r="AC170" i="33"/>
  <c r="AD170" i="33" s="1"/>
  <c r="AE170" i="33" s="1"/>
  <c r="AF170" i="33" s="1"/>
  <c r="B170" i="33" s="1"/>
  <c r="I170" i="33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D170" i="33"/>
  <c r="E170" i="33" s="1"/>
  <c r="F170" i="33" s="1"/>
  <c r="G170" i="33" s="1"/>
  <c r="H170" i="33" s="1"/>
  <c r="G168" i="33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B168" i="33" s="1"/>
  <c r="D168" i="33"/>
  <c r="E168" i="33" s="1"/>
  <c r="F168" i="33" s="1"/>
  <c r="W167" i="33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H167" i="33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G167" i="33"/>
  <c r="F167" i="33"/>
  <c r="E167" i="33"/>
  <c r="D167" i="33"/>
  <c r="F166" i="33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B166" i="33" s="1"/>
  <c r="E166" i="33"/>
  <c r="D166" i="33"/>
  <c r="D165" i="33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F163" i="33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D163" i="33"/>
  <c r="E163" i="33" s="1"/>
  <c r="D162" i="33"/>
  <c r="E162" i="33" s="1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H161" i="33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D161" i="33"/>
  <c r="E161" i="33" s="1"/>
  <c r="F161" i="33" s="1"/>
  <c r="G161" i="33" s="1"/>
  <c r="P160" i="33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D160" i="33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F159" i="33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D159" i="33"/>
  <c r="E159" i="33" s="1"/>
  <c r="R158" i="33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J158" i="33"/>
  <c r="K158" i="33" s="1"/>
  <c r="L158" i="33" s="1"/>
  <c r="M158" i="33" s="1"/>
  <c r="N158" i="33" s="1"/>
  <c r="O158" i="33" s="1"/>
  <c r="P158" i="33" s="1"/>
  <c r="Q158" i="33" s="1"/>
  <c r="D158" i="33"/>
  <c r="E158" i="33" s="1"/>
  <c r="F158" i="33" s="1"/>
  <c r="G158" i="33" s="1"/>
  <c r="H158" i="33" s="1"/>
  <c r="I158" i="33" s="1"/>
  <c r="Y157" i="33"/>
  <c r="Z157" i="33" s="1"/>
  <c r="AA157" i="33" s="1"/>
  <c r="AB157" i="33" s="1"/>
  <c r="AC157" i="33" s="1"/>
  <c r="AD157" i="33" s="1"/>
  <c r="AE157" i="33" s="1"/>
  <c r="AF157" i="33" s="1"/>
  <c r="B157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E156" i="33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D156" i="33"/>
  <c r="AD154" i="33"/>
  <c r="AE154" i="33" s="1"/>
  <c r="AF154" i="33" s="1"/>
  <c r="B154" i="33" s="1"/>
  <c r="R154" i="33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D154" i="33"/>
  <c r="E154" i="33" s="1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T153" i="33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I153" i="33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D153" i="33"/>
  <c r="E153" i="33" s="1"/>
  <c r="F153" i="33" s="1"/>
  <c r="G153" i="33" s="1"/>
  <c r="H153" i="33" s="1"/>
  <c r="D152" i="33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F151" i="33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D151" i="33"/>
  <c r="E151" i="33" s="1"/>
  <c r="K149" i="33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B149" i="33" s="1"/>
  <c r="E149" i="33"/>
  <c r="F149" i="33" s="1"/>
  <c r="G149" i="33" s="1"/>
  <c r="H149" i="33" s="1"/>
  <c r="I149" i="33" s="1"/>
  <c r="J149" i="33" s="1"/>
  <c r="D149" i="33"/>
  <c r="D148" i="33"/>
  <c r="E148" i="33" s="1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D146" i="33"/>
  <c r="E146" i="33" s="1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B146" i="33" s="1"/>
  <c r="L145" i="33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D145" i="33"/>
  <c r="E145" i="33" s="1"/>
  <c r="F145" i="33" s="1"/>
  <c r="G145" i="33" s="1"/>
  <c r="H145" i="33" s="1"/>
  <c r="I145" i="33" s="1"/>
  <c r="J145" i="33" s="1"/>
  <c r="K145" i="33" s="1"/>
  <c r="D144" i="33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P143" i="33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H143" i="33"/>
  <c r="I143" i="33" s="1"/>
  <c r="J143" i="33" s="1"/>
  <c r="K143" i="33" s="1"/>
  <c r="L143" i="33" s="1"/>
  <c r="M143" i="33" s="1"/>
  <c r="N143" i="33" s="1"/>
  <c r="O143" i="33" s="1"/>
  <c r="E143" i="33"/>
  <c r="F143" i="33" s="1"/>
  <c r="G143" i="33" s="1"/>
  <c r="D143" i="33"/>
  <c r="D142" i="33"/>
  <c r="E142" i="33" s="1"/>
  <c r="F142" i="33" s="1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L141" i="33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D141" i="33"/>
  <c r="E141" i="33" s="1"/>
  <c r="F141" i="33" s="1"/>
  <c r="G141" i="33" s="1"/>
  <c r="H141" i="33" s="1"/>
  <c r="I141" i="33" s="1"/>
  <c r="J141" i="33" s="1"/>
  <c r="K141" i="33" s="1"/>
  <c r="D140" i="33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E138" i="33"/>
  <c r="F138" i="33" s="1"/>
  <c r="G138" i="33" s="1"/>
  <c r="H138" i="33" s="1"/>
  <c r="I138" i="33" s="1"/>
  <c r="J138" i="33" s="1"/>
  <c r="K138" i="33" s="1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B138" i="33" s="1"/>
  <c r="D138" i="33"/>
  <c r="D137" i="33"/>
  <c r="E137" i="33" s="1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K135" i="33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J135" i="33"/>
  <c r="D135" i="33"/>
  <c r="E135" i="33" s="1"/>
  <c r="F135" i="33" s="1"/>
  <c r="G135" i="33" s="1"/>
  <c r="H135" i="33" s="1"/>
  <c r="I135" i="33" s="1"/>
  <c r="J134" i="33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E134" i="33"/>
  <c r="F134" i="33" s="1"/>
  <c r="G134" i="33" s="1"/>
  <c r="H134" i="33" s="1"/>
  <c r="I134" i="33" s="1"/>
  <c r="D134" i="33"/>
  <c r="F133" i="33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D133" i="33"/>
  <c r="E133" i="33" s="1"/>
  <c r="D132" i="33"/>
  <c r="E132" i="33" s="1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Z131" i="33"/>
  <c r="AA131" i="33" s="1"/>
  <c r="AB131" i="33" s="1"/>
  <c r="AC131" i="33" s="1"/>
  <c r="AD131" i="33" s="1"/>
  <c r="AE131" i="33" s="1"/>
  <c r="AF131" i="33" s="1"/>
  <c r="B131" i="33" s="1"/>
  <c r="D131" i="33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E129" i="33"/>
  <c r="F129" i="33" s="1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B129" i="33" s="1"/>
  <c r="D129" i="33"/>
  <c r="I128" i="33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F128" i="33"/>
  <c r="G128" i="33" s="1"/>
  <c r="H128" i="33" s="1"/>
  <c r="E128" i="33"/>
  <c r="D128" i="33"/>
  <c r="E127" i="33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D127" i="33"/>
  <c r="E126" i="33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D126" i="33"/>
  <c r="E125" i="33"/>
  <c r="F125" i="33" s="1"/>
  <c r="G125" i="33" s="1"/>
  <c r="H125" i="33" s="1"/>
  <c r="I125" i="33" s="1"/>
  <c r="J125" i="33" s="1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D125" i="33"/>
  <c r="E124" i="33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D124" i="33"/>
  <c r="E123" i="33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D123" i="33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G121" i="33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F121" i="33"/>
  <c r="E121" i="33"/>
  <c r="D121" i="33"/>
  <c r="E120" i="33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D120" i="33"/>
  <c r="D119" i="33"/>
  <c r="E119" i="33" s="1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G118" i="33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E118" i="33"/>
  <c r="F118" i="33" s="1"/>
  <c r="D118" i="33"/>
  <c r="I117" i="33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F117" i="33"/>
  <c r="G117" i="33" s="1"/>
  <c r="H117" i="33" s="1"/>
  <c r="E117" i="33"/>
  <c r="D117" i="33"/>
  <c r="D116" i="33"/>
  <c r="E116" i="33" s="1"/>
  <c r="F116" i="33" s="1"/>
  <c r="G116" i="33" s="1"/>
  <c r="H116" i="33" s="1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I115" i="33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D115" i="33"/>
  <c r="E115" i="33" s="1"/>
  <c r="F115" i="33" s="1"/>
  <c r="G115" i="33" s="1"/>
  <c r="H115" i="33" s="1"/>
  <c r="O114" i="33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L114" i="33"/>
  <c r="M114" i="33" s="1"/>
  <c r="N114" i="33" s="1"/>
  <c r="K114" i="33"/>
  <c r="F114" i="33"/>
  <c r="G114" i="33" s="1"/>
  <c r="H114" i="33" s="1"/>
  <c r="I114" i="33" s="1"/>
  <c r="E114" i="33"/>
  <c r="D114" i="33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E112" i="33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D112" i="33"/>
  <c r="S110" i="33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B110" i="33" s="1"/>
  <c r="H110" i="33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E110" i="33"/>
  <c r="F110" i="33" s="1"/>
  <c r="G110" i="33" s="1"/>
  <c r="D110" i="33"/>
  <c r="G109" i="33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F109" i="33"/>
  <c r="E109" i="33"/>
  <c r="D109" i="33"/>
  <c r="N107" i="33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B107" i="33" s="1"/>
  <c r="E107" i="33"/>
  <c r="F107" i="33" s="1"/>
  <c r="G107" i="33" s="1"/>
  <c r="H107" i="33" s="1"/>
  <c r="I107" i="33" s="1"/>
  <c r="J107" i="33" s="1"/>
  <c r="K107" i="33" s="1"/>
  <c r="L107" i="33" s="1"/>
  <c r="M107" i="33" s="1"/>
  <c r="D107" i="33"/>
  <c r="AE106" i="33"/>
  <c r="AF106" i="33" s="1"/>
  <c r="B106" i="33" s="1"/>
  <c r="S106" i="33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E106" i="33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D106" i="33"/>
  <c r="L105" i="33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D105" i="33"/>
  <c r="E105" i="33" s="1"/>
  <c r="F105" i="33" s="1"/>
  <c r="G105" i="33" s="1"/>
  <c r="H105" i="33" s="1"/>
  <c r="I105" i="33" s="1"/>
  <c r="J105" i="33" s="1"/>
  <c r="K105" i="33" s="1"/>
  <c r="V104" i="33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J104" i="33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F104" i="33"/>
  <c r="G104" i="33" s="1"/>
  <c r="H104" i="33" s="1"/>
  <c r="I104" i="33" s="1"/>
  <c r="E104" i="33"/>
  <c r="D104" i="33"/>
  <c r="D103" i="33"/>
  <c r="E103" i="33" s="1"/>
  <c r="D102" i="33"/>
  <c r="AH98" i="33"/>
  <c r="AI98" i="33" s="1"/>
  <c r="AH97" i="33"/>
  <c r="AI97" i="33" s="1"/>
  <c r="AH96" i="33"/>
  <c r="AI96" i="33" s="1"/>
  <c r="AH95" i="33"/>
  <c r="AI95" i="33" s="1"/>
  <c r="AH94" i="33"/>
  <c r="AI94" i="33" s="1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G82" i="33"/>
  <c r="AI81" i="33"/>
  <c r="AH81" i="33"/>
  <c r="AF80" i="33"/>
  <c r="AE80" i="33"/>
  <c r="AD80" i="33"/>
  <c r="AC80" i="33"/>
  <c r="AB80" i="33"/>
  <c r="AA80" i="33"/>
  <c r="Y80" i="33"/>
  <c r="X80" i="33"/>
  <c r="W80" i="33"/>
  <c r="V80" i="33"/>
  <c r="U80" i="33"/>
  <c r="T80" i="33"/>
  <c r="S80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E80" i="33"/>
  <c r="D80" i="33"/>
  <c r="C80" i="33"/>
  <c r="AF79" i="33"/>
  <c r="AE79" i="33"/>
  <c r="AD79" i="33"/>
  <c r="AC79" i="33"/>
  <c r="AB79" i="33"/>
  <c r="AA79" i="33"/>
  <c r="Y79" i="33"/>
  <c r="X79" i="33"/>
  <c r="W79" i="33"/>
  <c r="V79" i="33"/>
  <c r="U79" i="33"/>
  <c r="T79" i="33"/>
  <c r="S79" i="33"/>
  <c r="R79" i="33"/>
  <c r="Q79" i="33"/>
  <c r="P79" i="33"/>
  <c r="O79" i="33"/>
  <c r="N79" i="33"/>
  <c r="M79" i="33"/>
  <c r="L79" i="33"/>
  <c r="K79" i="33"/>
  <c r="J79" i="33"/>
  <c r="I79" i="33"/>
  <c r="H79" i="33"/>
  <c r="G79" i="33"/>
  <c r="F79" i="33"/>
  <c r="E79" i="33"/>
  <c r="D79" i="33"/>
  <c r="C79" i="33"/>
  <c r="AF78" i="33"/>
  <c r="AE78" i="33"/>
  <c r="AD78" i="33"/>
  <c r="AC78" i="33"/>
  <c r="AB78" i="33"/>
  <c r="AA78" i="33"/>
  <c r="Y78" i="33"/>
  <c r="X78" i="33"/>
  <c r="W78" i="33"/>
  <c r="V78" i="33"/>
  <c r="U78" i="33"/>
  <c r="T78" i="33"/>
  <c r="S78" i="33"/>
  <c r="R78" i="33"/>
  <c r="Q78" i="33"/>
  <c r="P78" i="33"/>
  <c r="O78" i="33"/>
  <c r="N78" i="33"/>
  <c r="M78" i="33"/>
  <c r="L78" i="33"/>
  <c r="K78" i="33"/>
  <c r="J78" i="33"/>
  <c r="I78" i="33"/>
  <c r="H78" i="33"/>
  <c r="G78" i="33"/>
  <c r="G82" i="33" s="1"/>
  <c r="F78" i="33"/>
  <c r="E78" i="33"/>
  <c r="D78" i="33"/>
  <c r="C78" i="33"/>
  <c r="AF77" i="33"/>
  <c r="AE77" i="33"/>
  <c r="AD77" i="33"/>
  <c r="AC77" i="33"/>
  <c r="AC82" i="33" s="1"/>
  <c r="AB77" i="33"/>
  <c r="AA77" i="33"/>
  <c r="Y77" i="33"/>
  <c r="X77" i="33"/>
  <c r="W77" i="33"/>
  <c r="W82" i="33" s="1"/>
  <c r="V77" i="33"/>
  <c r="U77" i="33"/>
  <c r="U82" i="33" s="1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AF76" i="33"/>
  <c r="AE76" i="33"/>
  <c r="AE82" i="33" s="1"/>
  <c r="AD76" i="33"/>
  <c r="AC76" i="33"/>
  <c r="AB76" i="33"/>
  <c r="AA76" i="33"/>
  <c r="Y76" i="33"/>
  <c r="X76" i="33"/>
  <c r="W76" i="33"/>
  <c r="V76" i="33"/>
  <c r="V82" i="33" s="1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AI74" i="33"/>
  <c r="AH74" i="33"/>
  <c r="AG72" i="33"/>
  <c r="AF72" i="33"/>
  <c r="AE72" i="33"/>
  <c r="AD72" i="33"/>
  <c r="AC72" i="33"/>
  <c r="AB72" i="33"/>
  <c r="AA72" i="33"/>
  <c r="Y72" i="33"/>
  <c r="X72" i="33"/>
  <c r="W72" i="33"/>
  <c r="V72" i="33"/>
  <c r="U72" i="33"/>
  <c r="T72" i="33"/>
  <c r="S72" i="33"/>
  <c r="R72" i="33"/>
  <c r="Q72" i="33"/>
  <c r="P72" i="33"/>
  <c r="O72" i="33"/>
  <c r="N72" i="33"/>
  <c r="M72" i="33"/>
  <c r="L72" i="33"/>
  <c r="K72" i="33"/>
  <c r="J72" i="33"/>
  <c r="I72" i="33"/>
  <c r="H72" i="33"/>
  <c r="G72" i="33"/>
  <c r="F72" i="33"/>
  <c r="E72" i="33"/>
  <c r="D72" i="33"/>
  <c r="C72" i="33"/>
  <c r="AI71" i="33"/>
  <c r="AH71" i="33"/>
  <c r="AI70" i="33"/>
  <c r="AH70" i="33"/>
  <c r="AI69" i="33"/>
  <c r="AH69" i="33"/>
  <c r="AG68" i="33"/>
  <c r="AG73" i="33" s="1"/>
  <c r="AF68" i="33"/>
  <c r="AE68" i="33"/>
  <c r="AD5" i="33" s="1"/>
  <c r="AD68" i="33"/>
  <c r="AC68" i="33"/>
  <c r="AB5" i="33" s="1"/>
  <c r="AB68" i="33"/>
  <c r="AA5" i="33" s="1"/>
  <c r="AA68" i="33"/>
  <c r="Z5" i="33" s="1"/>
  <c r="Y68" i="33"/>
  <c r="X68" i="33"/>
  <c r="W68" i="33"/>
  <c r="V5" i="33" s="1"/>
  <c r="V68" i="33"/>
  <c r="U68" i="33"/>
  <c r="T5" i="33" s="1"/>
  <c r="T68" i="33"/>
  <c r="S5" i="33" s="1"/>
  <c r="S68" i="33"/>
  <c r="R5" i="33" s="1"/>
  <c r="R68" i="33"/>
  <c r="Q68" i="33"/>
  <c r="P68" i="33"/>
  <c r="O68" i="33"/>
  <c r="N5" i="33" s="1"/>
  <c r="N68" i="33"/>
  <c r="M68" i="33"/>
  <c r="L5" i="33" s="1"/>
  <c r="L68" i="33"/>
  <c r="K5" i="33" s="1"/>
  <c r="K68" i="33"/>
  <c r="J5" i="33" s="1"/>
  <c r="J68" i="33"/>
  <c r="I68" i="33"/>
  <c r="H5" i="33" s="1"/>
  <c r="H68" i="33"/>
  <c r="G68" i="33"/>
  <c r="F5" i="33" s="1"/>
  <c r="F68" i="33"/>
  <c r="E68" i="33"/>
  <c r="D68" i="33"/>
  <c r="C5" i="33" s="1"/>
  <c r="C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AI55" i="33"/>
  <c r="AH55" i="33"/>
  <c r="AI54" i="33"/>
  <c r="AH54" i="33"/>
  <c r="AI53" i="33"/>
  <c r="AH53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G51" i="33"/>
  <c r="AG52" i="33" s="1"/>
  <c r="AG3" i="33" s="1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G2" i="33" s="1"/>
  <c r="AF38" i="33"/>
  <c r="AE38" i="33"/>
  <c r="AD38" i="33"/>
  <c r="AC38" i="33"/>
  <c r="AB38" i="33"/>
  <c r="AA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Y5" i="33"/>
  <c r="X5" i="33"/>
  <c r="Q5" i="33"/>
  <c r="I5" i="33"/>
  <c r="D5" i="33"/>
  <c r="B5" i="33"/>
  <c r="AG4" i="33"/>
  <c r="K4" i="33"/>
  <c r="B4" i="33"/>
  <c r="AF95" i="32"/>
  <c r="AF37" i="32"/>
  <c r="AE95" i="32"/>
  <c r="AE58" i="32"/>
  <c r="AE37" i="32"/>
  <c r="AC68" i="32"/>
  <c r="Z83" i="32"/>
  <c r="Z75" i="32"/>
  <c r="Z73" i="32"/>
  <c r="Z68" i="32"/>
  <c r="AA68" i="32"/>
  <c r="AA73" i="32" s="1"/>
  <c r="Z56" i="32"/>
  <c r="AA56" i="32"/>
  <c r="Z52" i="32"/>
  <c r="AA52" i="32"/>
  <c r="AB52" i="32"/>
  <c r="AC52" i="32"/>
  <c r="AD52" i="32"/>
  <c r="AE52" i="32"/>
  <c r="Z38" i="32"/>
  <c r="AA38" i="32"/>
  <c r="AB38" i="32"/>
  <c r="AC38" i="32"/>
  <c r="AD38" i="32"/>
  <c r="AE38" i="32"/>
  <c r="AF38" i="32"/>
  <c r="P37" i="32"/>
  <c r="O95" i="32"/>
  <c r="O37" i="32"/>
  <c r="N95" i="32"/>
  <c r="N37" i="32"/>
  <c r="M37" i="32"/>
  <c r="L37" i="32"/>
  <c r="K37" i="32"/>
  <c r="J37" i="32"/>
  <c r="H37" i="32"/>
  <c r="G37" i="32"/>
  <c r="F37" i="32"/>
  <c r="E37" i="32"/>
  <c r="D95" i="32"/>
  <c r="D37" i="32"/>
  <c r="AH100" i="32"/>
  <c r="AI100" i="32" s="1"/>
  <c r="AH99" i="32"/>
  <c r="AI99" i="32" s="1"/>
  <c r="C95" i="32"/>
  <c r="C37" i="32"/>
  <c r="E4" i="34"/>
  <c r="E4" i="33"/>
  <c r="AF82" i="34" l="1"/>
  <c r="AE82" i="34"/>
  <c r="AD82" i="34"/>
  <c r="AC82" i="34"/>
  <c r="AB82" i="34"/>
  <c r="AA82" i="34"/>
  <c r="Y82" i="34"/>
  <c r="V82" i="34"/>
  <c r="W82" i="34"/>
  <c r="U82" i="34"/>
  <c r="T73" i="34"/>
  <c r="T82" i="34"/>
  <c r="T75" i="34"/>
  <c r="AL214" i="34" s="1"/>
  <c r="S73" i="34"/>
  <c r="S75" i="34"/>
  <c r="R82" i="34"/>
  <c r="R73" i="34"/>
  <c r="R75" i="34"/>
  <c r="AJ214" i="34" s="1"/>
  <c r="Q82" i="34"/>
  <c r="Q73" i="34"/>
  <c r="P82" i="34"/>
  <c r="P75" i="34"/>
  <c r="AH214" i="34" s="1"/>
  <c r="P73" i="34"/>
  <c r="AI77" i="34"/>
  <c r="O82" i="34"/>
  <c r="O73" i="34"/>
  <c r="O75" i="34"/>
  <c r="N82" i="34"/>
  <c r="AI80" i="34"/>
  <c r="N75" i="34"/>
  <c r="N73" i="34"/>
  <c r="M82" i="34"/>
  <c r="M75" i="34"/>
  <c r="AE214" i="34" s="1"/>
  <c r="L82" i="34"/>
  <c r="AH80" i="34"/>
  <c r="L75" i="34"/>
  <c r="AD214" i="34" s="1"/>
  <c r="L73" i="34"/>
  <c r="K82" i="34"/>
  <c r="K75" i="34"/>
  <c r="AC214" i="34" s="1"/>
  <c r="I82" i="34"/>
  <c r="AI76" i="34"/>
  <c r="H82" i="34"/>
  <c r="H75" i="34"/>
  <c r="Z214" i="34" s="1"/>
  <c r="G82" i="34"/>
  <c r="G75" i="34"/>
  <c r="G7" i="34" s="1"/>
  <c r="F82" i="34"/>
  <c r="I75" i="34"/>
  <c r="I7" i="34" s="1"/>
  <c r="H73" i="34"/>
  <c r="J75" i="34"/>
  <c r="G73" i="34"/>
  <c r="I73" i="34"/>
  <c r="K73" i="34"/>
  <c r="J73" i="34"/>
  <c r="F75" i="34"/>
  <c r="X214" i="34" s="1"/>
  <c r="F73" i="34"/>
  <c r="E82" i="34"/>
  <c r="E75" i="34"/>
  <c r="W214" i="34" s="1"/>
  <c r="AH78" i="34"/>
  <c r="D82" i="34"/>
  <c r="AH79" i="34"/>
  <c r="AI68" i="34"/>
  <c r="D73" i="34"/>
  <c r="AI56" i="34"/>
  <c r="D75" i="34"/>
  <c r="C73" i="34"/>
  <c r="C75" i="34" s="1"/>
  <c r="C7" i="34" s="1"/>
  <c r="B5" i="34"/>
  <c r="AI78" i="34"/>
  <c r="C82" i="34"/>
  <c r="AH56" i="34"/>
  <c r="AI38" i="34"/>
  <c r="H4" i="34"/>
  <c r="H109" i="34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AA214" i="34"/>
  <c r="AG83" i="34"/>
  <c r="I103" i="34"/>
  <c r="U214" i="34"/>
  <c r="AG6" i="34"/>
  <c r="D211" i="34"/>
  <c r="S211" i="34"/>
  <c r="AI79" i="34"/>
  <c r="E192" i="34"/>
  <c r="D93" i="34"/>
  <c r="F102" i="34"/>
  <c r="E73" i="34"/>
  <c r="M73" i="34"/>
  <c r="Q75" i="34"/>
  <c r="AG75" i="34"/>
  <c r="H5" i="34"/>
  <c r="P5" i="34"/>
  <c r="X5" i="34"/>
  <c r="AH38" i="34"/>
  <c r="AH76" i="34"/>
  <c r="AH68" i="34"/>
  <c r="AH77" i="34"/>
  <c r="S83" i="34"/>
  <c r="AI72" i="34"/>
  <c r="D192" i="34"/>
  <c r="D235" i="34"/>
  <c r="F199" i="34"/>
  <c r="E194" i="34"/>
  <c r="AF82" i="33"/>
  <c r="AD82" i="33"/>
  <c r="AB82" i="33"/>
  <c r="AA82" i="33"/>
  <c r="Z73" i="33"/>
  <c r="Z75" i="33" s="1"/>
  <c r="AR214" i="33" s="1"/>
  <c r="Z83" i="33"/>
  <c r="Y82" i="33"/>
  <c r="X82" i="33"/>
  <c r="T82" i="33"/>
  <c r="S82" i="33"/>
  <c r="R75" i="33"/>
  <c r="AJ214" i="33" s="1"/>
  <c r="S73" i="33"/>
  <c r="S75" i="33"/>
  <c r="Q73" i="33"/>
  <c r="R73" i="33"/>
  <c r="Q82" i="33"/>
  <c r="P5" i="33"/>
  <c r="P82" i="33"/>
  <c r="P73" i="33"/>
  <c r="O82" i="33"/>
  <c r="O73" i="33"/>
  <c r="N82" i="33"/>
  <c r="R7" i="33"/>
  <c r="P75" i="33"/>
  <c r="AH214" i="33" s="1"/>
  <c r="M82" i="33"/>
  <c r="M73" i="33"/>
  <c r="M75" i="33"/>
  <c r="M7" i="33" s="1"/>
  <c r="L82" i="33"/>
  <c r="K82" i="33"/>
  <c r="K75" i="33"/>
  <c r="K73" i="33"/>
  <c r="J75" i="33"/>
  <c r="AB214" i="33" s="1"/>
  <c r="J73" i="33"/>
  <c r="J7" i="33"/>
  <c r="I82" i="33"/>
  <c r="I73" i="33"/>
  <c r="H82" i="33"/>
  <c r="AI80" i="33"/>
  <c r="H75" i="33"/>
  <c r="H7" i="33" s="1"/>
  <c r="H73" i="33"/>
  <c r="AH78" i="33"/>
  <c r="AH79" i="33"/>
  <c r="G73" i="33"/>
  <c r="F82" i="33"/>
  <c r="AI56" i="33"/>
  <c r="F75" i="33"/>
  <c r="X214" i="33" s="1"/>
  <c r="E82" i="33"/>
  <c r="E75" i="33"/>
  <c r="E73" i="33"/>
  <c r="E83" i="33" s="1"/>
  <c r="D82" i="33"/>
  <c r="AH80" i="33"/>
  <c r="AI38" i="33"/>
  <c r="D73" i="33"/>
  <c r="C82" i="33"/>
  <c r="AI77" i="33"/>
  <c r="C73" i="33"/>
  <c r="AI68" i="33"/>
  <c r="AF5" i="33"/>
  <c r="B82" i="33"/>
  <c r="B75" i="33"/>
  <c r="B73" i="33"/>
  <c r="H4" i="33"/>
  <c r="AK214" i="33"/>
  <c r="S7" i="33"/>
  <c r="AG6" i="33"/>
  <c r="D75" i="33"/>
  <c r="L75" i="33"/>
  <c r="T75" i="33"/>
  <c r="C75" i="33"/>
  <c r="C83" i="33" s="1"/>
  <c r="K83" i="33"/>
  <c r="S83" i="33"/>
  <c r="W214" i="33"/>
  <c r="E7" i="33"/>
  <c r="L73" i="33"/>
  <c r="AI79" i="33"/>
  <c r="AC214" i="33"/>
  <c r="K7" i="33"/>
  <c r="F103" i="33"/>
  <c r="E93" i="33"/>
  <c r="Z214" i="33"/>
  <c r="G75" i="33"/>
  <c r="G83" i="33" s="1"/>
  <c r="O75" i="33"/>
  <c r="T73" i="33"/>
  <c r="F73" i="33"/>
  <c r="F83" i="33" s="1"/>
  <c r="E5" i="33"/>
  <c r="N73" i="33"/>
  <c r="M5" i="33"/>
  <c r="U5" i="33"/>
  <c r="AC5" i="33"/>
  <c r="H83" i="33"/>
  <c r="N75" i="33"/>
  <c r="AI76" i="33"/>
  <c r="J82" i="33"/>
  <c r="R82" i="33"/>
  <c r="R83" i="33" s="1"/>
  <c r="AH77" i="33"/>
  <c r="AI78" i="33"/>
  <c r="S211" i="33"/>
  <c r="D211" i="33"/>
  <c r="G5" i="33"/>
  <c r="O5" i="33"/>
  <c r="W5" i="33"/>
  <c r="AE5" i="33"/>
  <c r="I75" i="33"/>
  <c r="Q75" i="33"/>
  <c r="AG75" i="33"/>
  <c r="AG83" i="33" s="1"/>
  <c r="D93" i="33"/>
  <c r="AH38" i="33"/>
  <c r="AH76" i="33"/>
  <c r="AH56" i="33"/>
  <c r="AH68" i="33"/>
  <c r="AH72" i="33"/>
  <c r="D192" i="33"/>
  <c r="AI72" i="33"/>
  <c r="E102" i="33"/>
  <c r="G194" i="33"/>
  <c r="C235" i="33"/>
  <c r="E199" i="33"/>
  <c r="AA75" i="32"/>
  <c r="T83" i="34" l="1"/>
  <c r="T7" i="34"/>
  <c r="AK214" i="34"/>
  <c r="S7" i="34"/>
  <c r="R83" i="34"/>
  <c r="R7" i="34"/>
  <c r="Q83" i="34"/>
  <c r="P7" i="34"/>
  <c r="P83" i="34"/>
  <c r="AG214" i="34"/>
  <c r="O7" i="34"/>
  <c r="O83" i="34"/>
  <c r="N83" i="34"/>
  <c r="N7" i="34"/>
  <c r="AF214" i="34"/>
  <c r="M83" i="34"/>
  <c r="M7" i="34"/>
  <c r="L7" i="34"/>
  <c r="L83" i="34"/>
  <c r="K83" i="34"/>
  <c r="K7" i="34"/>
  <c r="J83" i="34"/>
  <c r="AB214" i="34"/>
  <c r="C83" i="34"/>
  <c r="F83" i="34"/>
  <c r="H83" i="34"/>
  <c r="H7" i="34"/>
  <c r="G83" i="34"/>
  <c r="B209" i="34"/>
  <c r="Y214" i="34"/>
  <c r="I83" i="34"/>
  <c r="C209" i="34"/>
  <c r="J7" i="34"/>
  <c r="F7" i="34"/>
  <c r="E7" i="34"/>
  <c r="E83" i="34"/>
  <c r="D83" i="34"/>
  <c r="D7" i="34"/>
  <c r="V214" i="34"/>
  <c r="F194" i="34"/>
  <c r="E200" i="34"/>
  <c r="E93" i="34"/>
  <c r="E235" i="34"/>
  <c r="G199" i="34"/>
  <c r="AR214" i="34"/>
  <c r="Z7" i="34"/>
  <c r="F192" i="34"/>
  <c r="G102" i="34"/>
  <c r="J103" i="34"/>
  <c r="AI82" i="34"/>
  <c r="AH82" i="34"/>
  <c r="AI214" i="34"/>
  <c r="Q7" i="34"/>
  <c r="Z7" i="33"/>
  <c r="T83" i="33"/>
  <c r="P83" i="33"/>
  <c r="P7" i="33"/>
  <c r="O83" i="33"/>
  <c r="N83" i="33"/>
  <c r="AE214" i="33"/>
  <c r="M83" i="33"/>
  <c r="L83" i="33"/>
  <c r="J83" i="33"/>
  <c r="F7" i="33"/>
  <c r="D83" i="33"/>
  <c r="B83" i="33"/>
  <c r="E192" i="33"/>
  <c r="F102" i="33"/>
  <c r="G103" i="33"/>
  <c r="F93" i="33"/>
  <c r="U214" i="33"/>
  <c r="C7" i="33"/>
  <c r="V214" i="33"/>
  <c r="D7" i="33"/>
  <c r="AF214" i="33"/>
  <c r="N7" i="33"/>
  <c r="D235" i="33"/>
  <c r="F199" i="33"/>
  <c r="AI214" i="33"/>
  <c r="Q7" i="33"/>
  <c r="AL214" i="33"/>
  <c r="T7" i="33"/>
  <c r="E200" i="33"/>
  <c r="AA214" i="33"/>
  <c r="I7" i="33"/>
  <c r="AG214" i="33"/>
  <c r="O7" i="33"/>
  <c r="AI82" i="33"/>
  <c r="AH82" i="33"/>
  <c r="Y214" i="33"/>
  <c r="C209" i="33"/>
  <c r="B209" i="33"/>
  <c r="G7" i="33"/>
  <c r="AD214" i="33"/>
  <c r="L7" i="33"/>
  <c r="Q83" i="33"/>
  <c r="H194" i="33"/>
  <c r="I83" i="33"/>
  <c r="K6" i="34" l="1"/>
  <c r="F235" i="34"/>
  <c r="H199" i="34"/>
  <c r="K103" i="34"/>
  <c r="G192" i="34"/>
  <c r="H102" i="34"/>
  <c r="G194" i="34"/>
  <c r="F200" i="34"/>
  <c r="F93" i="34"/>
  <c r="H103" i="33"/>
  <c r="E235" i="33"/>
  <c r="G199" i="33"/>
  <c r="F200" i="33"/>
  <c r="K6" i="33"/>
  <c r="F192" i="33"/>
  <c r="G102" i="33"/>
  <c r="I194" i="33"/>
  <c r="H192" i="34" l="1"/>
  <c r="I102" i="34"/>
  <c r="L103" i="34"/>
  <c r="G235" i="34"/>
  <c r="I199" i="34"/>
  <c r="H194" i="34"/>
  <c r="G200" i="34"/>
  <c r="G93" i="34"/>
  <c r="F235" i="33"/>
  <c r="H199" i="33"/>
  <c r="G200" i="33"/>
  <c r="J194" i="33"/>
  <c r="H93" i="33"/>
  <c r="I103" i="33"/>
  <c r="G192" i="33"/>
  <c r="H102" i="33"/>
  <c r="G93" i="33"/>
  <c r="H235" i="34" l="1"/>
  <c r="J199" i="34"/>
  <c r="M103" i="34"/>
  <c r="H200" i="34"/>
  <c r="I194" i="34"/>
  <c r="H93" i="34"/>
  <c r="I192" i="34"/>
  <c r="J102" i="34"/>
  <c r="J103" i="33"/>
  <c r="K194" i="33"/>
  <c r="G235" i="33"/>
  <c r="I199" i="33"/>
  <c r="H200" i="33"/>
  <c r="H192" i="33"/>
  <c r="I102" i="33"/>
  <c r="I200" i="34" l="1"/>
  <c r="J194" i="34"/>
  <c r="I93" i="34"/>
  <c r="N103" i="34"/>
  <c r="I235" i="34"/>
  <c r="K199" i="34"/>
  <c r="J192" i="34"/>
  <c r="K102" i="34"/>
  <c r="H235" i="33"/>
  <c r="J199" i="33"/>
  <c r="I200" i="33"/>
  <c r="I93" i="33"/>
  <c r="L194" i="33"/>
  <c r="I192" i="33"/>
  <c r="J102" i="33"/>
  <c r="K103" i="33"/>
  <c r="J93" i="33"/>
  <c r="O103" i="34" l="1"/>
  <c r="K192" i="34"/>
  <c r="L102" i="34"/>
  <c r="J200" i="34"/>
  <c r="K194" i="34"/>
  <c r="J93" i="34"/>
  <c r="L199" i="34"/>
  <c r="J235" i="34"/>
  <c r="M194" i="33"/>
  <c r="J192" i="33"/>
  <c r="K102" i="33"/>
  <c r="K199" i="33"/>
  <c r="I235" i="33"/>
  <c r="J200" i="33"/>
  <c r="K93" i="33"/>
  <c r="L103" i="33"/>
  <c r="K200" i="34" l="1"/>
  <c r="L194" i="34"/>
  <c r="K93" i="34"/>
  <c r="L192" i="34"/>
  <c r="M102" i="34"/>
  <c r="P103" i="34"/>
  <c r="M199" i="34"/>
  <c r="K235" i="34"/>
  <c r="J235" i="33"/>
  <c r="L199" i="33"/>
  <c r="K200" i="33"/>
  <c r="K192" i="33"/>
  <c r="L102" i="33"/>
  <c r="N194" i="33"/>
  <c r="M103" i="33"/>
  <c r="L93" i="33"/>
  <c r="N199" i="34" l="1"/>
  <c r="L235" i="34"/>
  <c r="Q103" i="34"/>
  <c r="M192" i="34"/>
  <c r="N102" i="34"/>
  <c r="L200" i="34"/>
  <c r="M194" i="34"/>
  <c r="L93" i="34"/>
  <c r="O194" i="33"/>
  <c r="L192" i="33"/>
  <c r="M102" i="33"/>
  <c r="K235" i="33"/>
  <c r="M199" i="33"/>
  <c r="L200" i="33"/>
  <c r="N103" i="33"/>
  <c r="M93" i="33"/>
  <c r="N194" i="34" l="1"/>
  <c r="M200" i="34"/>
  <c r="M93" i="34"/>
  <c r="N192" i="34"/>
  <c r="O102" i="34"/>
  <c r="R103" i="34"/>
  <c r="O199" i="34"/>
  <c r="M235" i="34"/>
  <c r="O103" i="33"/>
  <c r="N93" i="33"/>
  <c r="L235" i="33"/>
  <c r="N199" i="33"/>
  <c r="M200" i="33"/>
  <c r="M192" i="33"/>
  <c r="N102" i="33"/>
  <c r="P194" i="33"/>
  <c r="N235" i="34" l="1"/>
  <c r="P199" i="34"/>
  <c r="S103" i="34"/>
  <c r="O192" i="34"/>
  <c r="P102" i="34"/>
  <c r="N200" i="34"/>
  <c r="O194" i="34"/>
  <c r="N93" i="34"/>
  <c r="N192" i="33"/>
  <c r="O102" i="33"/>
  <c r="M235" i="33"/>
  <c r="O199" i="33"/>
  <c r="N200" i="33"/>
  <c r="Q194" i="33"/>
  <c r="P103" i="33"/>
  <c r="O93" i="33"/>
  <c r="P192" i="34" l="1"/>
  <c r="Q102" i="34"/>
  <c r="T103" i="34"/>
  <c r="P194" i="34"/>
  <c r="O200" i="34"/>
  <c r="O93" i="34"/>
  <c r="O235" i="34"/>
  <c r="Q199" i="34"/>
  <c r="Q103" i="33"/>
  <c r="R194" i="33"/>
  <c r="N235" i="33"/>
  <c r="P199" i="33"/>
  <c r="O200" i="33"/>
  <c r="O192" i="33"/>
  <c r="P102" i="33"/>
  <c r="Q192" i="34" l="1"/>
  <c r="R102" i="34"/>
  <c r="P200" i="34"/>
  <c r="Q194" i="34"/>
  <c r="P93" i="34"/>
  <c r="U103" i="34"/>
  <c r="P235" i="34"/>
  <c r="R199" i="34"/>
  <c r="S194" i="33"/>
  <c r="O235" i="33"/>
  <c r="Q199" i="33"/>
  <c r="P200" i="33"/>
  <c r="P93" i="33"/>
  <c r="P192" i="33"/>
  <c r="Q102" i="33"/>
  <c r="R103" i="33"/>
  <c r="Q93" i="33"/>
  <c r="V103" i="34" l="1"/>
  <c r="Q200" i="34"/>
  <c r="R194" i="34"/>
  <c r="Q93" i="34"/>
  <c r="R192" i="34"/>
  <c r="S102" i="34"/>
  <c r="Q235" i="34"/>
  <c r="S199" i="34"/>
  <c r="Q192" i="33"/>
  <c r="R102" i="33"/>
  <c r="T194" i="33"/>
  <c r="P235" i="33"/>
  <c r="R199" i="33"/>
  <c r="Q200" i="33"/>
  <c r="S103" i="33"/>
  <c r="R93" i="33"/>
  <c r="S192" i="34" l="1"/>
  <c r="T102" i="34"/>
  <c r="R200" i="34"/>
  <c r="S194" i="34"/>
  <c r="R93" i="34"/>
  <c r="W103" i="34"/>
  <c r="R235" i="34"/>
  <c r="T199" i="34"/>
  <c r="S199" i="33"/>
  <c r="Q235" i="33"/>
  <c r="R200" i="33"/>
  <c r="U194" i="33"/>
  <c r="S93" i="33"/>
  <c r="T103" i="33"/>
  <c r="R192" i="33"/>
  <c r="S102" i="33"/>
  <c r="X103" i="34" l="1"/>
  <c r="S200" i="34"/>
  <c r="T194" i="34"/>
  <c r="S93" i="34"/>
  <c r="T192" i="34"/>
  <c r="U102" i="34"/>
  <c r="U199" i="34"/>
  <c r="S235" i="34"/>
  <c r="U103" i="33"/>
  <c r="T93" i="33"/>
  <c r="V194" i="33"/>
  <c r="S192" i="33"/>
  <c r="T102" i="33"/>
  <c r="R235" i="33"/>
  <c r="T199" i="33"/>
  <c r="S200" i="33"/>
  <c r="U192" i="34" l="1"/>
  <c r="V102" i="34"/>
  <c r="T235" i="34"/>
  <c r="V199" i="34"/>
  <c r="T200" i="34"/>
  <c r="U194" i="34"/>
  <c r="T93" i="34"/>
  <c r="Y103" i="34"/>
  <c r="S235" i="33"/>
  <c r="U199" i="33"/>
  <c r="T200" i="33"/>
  <c r="T192" i="33"/>
  <c r="U102" i="33"/>
  <c r="W194" i="33"/>
  <c r="U93" i="33"/>
  <c r="V103" i="33"/>
  <c r="W199" i="34" l="1"/>
  <c r="U235" i="34"/>
  <c r="Z103" i="34"/>
  <c r="V192" i="34"/>
  <c r="W102" i="34"/>
  <c r="U200" i="34"/>
  <c r="U51" i="34" s="1"/>
  <c r="U52" i="34" s="1"/>
  <c r="V194" i="34"/>
  <c r="U93" i="34"/>
  <c r="X194" i="33"/>
  <c r="U192" i="33"/>
  <c r="V102" i="33"/>
  <c r="T235" i="33"/>
  <c r="V199" i="33"/>
  <c r="U200" i="33"/>
  <c r="U51" i="33" s="1"/>
  <c r="U52" i="33" s="1"/>
  <c r="W103" i="33"/>
  <c r="V200" i="34" l="1"/>
  <c r="V51" i="34" s="1"/>
  <c r="V52" i="34" s="1"/>
  <c r="W194" i="34"/>
  <c r="V93" i="34"/>
  <c r="AA103" i="34"/>
  <c r="U75" i="34"/>
  <c r="U73" i="34"/>
  <c r="W192" i="34"/>
  <c r="X102" i="34"/>
  <c r="X199" i="34"/>
  <c r="V235" i="34"/>
  <c r="U75" i="33"/>
  <c r="U73" i="33"/>
  <c r="U235" i="33"/>
  <c r="W199" i="33"/>
  <c r="V200" i="33"/>
  <c r="V51" i="33" s="1"/>
  <c r="V52" i="33" s="1"/>
  <c r="V192" i="33"/>
  <c r="W102" i="33"/>
  <c r="X103" i="33"/>
  <c r="Y194" i="33"/>
  <c r="V93" i="33"/>
  <c r="U83" i="34" l="1"/>
  <c r="AB103" i="34"/>
  <c r="W235" i="34"/>
  <c r="Y199" i="34"/>
  <c r="X194" i="34"/>
  <c r="W200" i="34"/>
  <c r="W51" i="34" s="1"/>
  <c r="W52" i="34" s="1"/>
  <c r="W93" i="34"/>
  <c r="AM214" i="34"/>
  <c r="U7" i="34"/>
  <c r="X192" i="34"/>
  <c r="Y102" i="34"/>
  <c r="V73" i="34"/>
  <c r="V75" i="34"/>
  <c r="V7" i="34" s="1"/>
  <c r="U83" i="33"/>
  <c r="W192" i="33"/>
  <c r="X102" i="33"/>
  <c r="V235" i="33"/>
  <c r="X199" i="33"/>
  <c r="W200" i="33"/>
  <c r="W51" i="33" s="1"/>
  <c r="W52" i="33" s="1"/>
  <c r="Z194" i="33"/>
  <c r="Y103" i="33"/>
  <c r="X93" i="33"/>
  <c r="V75" i="33"/>
  <c r="V73" i="33"/>
  <c r="V83" i="33" s="1"/>
  <c r="W93" i="33"/>
  <c r="AM214" i="33"/>
  <c r="U7" i="33"/>
  <c r="X200" i="34" l="1"/>
  <c r="X51" i="34" s="1"/>
  <c r="X52" i="34" s="1"/>
  <c r="Y194" i="34"/>
  <c r="X93" i="34"/>
  <c r="W73" i="34"/>
  <c r="W75" i="34"/>
  <c r="V83" i="34"/>
  <c r="X235" i="34"/>
  <c r="Z199" i="34"/>
  <c r="AN214" i="34"/>
  <c r="Y192" i="34"/>
  <c r="Z102" i="34"/>
  <c r="AC103" i="34"/>
  <c r="AA194" i="33"/>
  <c r="Z103" i="33"/>
  <c r="Y93" i="33"/>
  <c r="W75" i="33"/>
  <c r="W73" i="33"/>
  <c r="W235" i="33"/>
  <c r="Y199" i="33"/>
  <c r="X200" i="33"/>
  <c r="X51" i="33" s="1"/>
  <c r="X52" i="33" s="1"/>
  <c r="AN214" i="33"/>
  <c r="V7" i="33"/>
  <c r="X192" i="33"/>
  <c r="Y102" i="33"/>
  <c r="W83" i="34" l="1"/>
  <c r="Y200" i="34"/>
  <c r="Y51" i="34" s="1"/>
  <c r="Y52" i="34" s="1"/>
  <c r="Z194" i="34"/>
  <c r="Y93" i="34"/>
  <c r="Y235" i="34"/>
  <c r="AA199" i="34"/>
  <c r="AD103" i="34"/>
  <c r="AO214" i="34"/>
  <c r="W7" i="34"/>
  <c r="Z192" i="34"/>
  <c r="AA102" i="34"/>
  <c r="X75" i="34"/>
  <c r="X73" i="34"/>
  <c r="W83" i="33"/>
  <c r="X235" i="33"/>
  <c r="Z199" i="33"/>
  <c r="Y200" i="33"/>
  <c r="Y51" i="33" s="1"/>
  <c r="Y52" i="33" s="1"/>
  <c r="Y192" i="33"/>
  <c r="Z102" i="33"/>
  <c r="AO214" i="33"/>
  <c r="W7" i="33"/>
  <c r="AB194" i="33"/>
  <c r="AA103" i="33"/>
  <c r="X75" i="33"/>
  <c r="X73" i="33"/>
  <c r="X83" i="33" s="1"/>
  <c r="X83" i="34" l="1"/>
  <c r="AE103" i="34"/>
  <c r="AA192" i="34"/>
  <c r="AB102" i="34"/>
  <c r="Z200" i="34"/>
  <c r="AA194" i="34"/>
  <c r="Z235" i="34"/>
  <c r="AB199" i="34"/>
  <c r="Y75" i="34"/>
  <c r="Y73" i="34"/>
  <c r="Y83" i="34" s="1"/>
  <c r="AP214" i="34"/>
  <c r="X7" i="34"/>
  <c r="Z192" i="33"/>
  <c r="AA102" i="33"/>
  <c r="AB103" i="33"/>
  <c r="AA199" i="33"/>
  <c r="Y235" i="33"/>
  <c r="Z200" i="33"/>
  <c r="AP214" i="33"/>
  <c r="X7" i="33"/>
  <c r="Y73" i="33"/>
  <c r="Y75" i="33"/>
  <c r="AC194" i="33"/>
  <c r="AA200" i="34" l="1"/>
  <c r="AA51" i="34" s="1"/>
  <c r="AA52" i="34" s="1"/>
  <c r="AB194" i="34"/>
  <c r="AA93" i="34"/>
  <c r="AB192" i="34"/>
  <c r="AC102" i="34"/>
  <c r="AQ214" i="34"/>
  <c r="Y7" i="34"/>
  <c r="AA235" i="34"/>
  <c r="AC199" i="34"/>
  <c r="AF103" i="34"/>
  <c r="Z235" i="33"/>
  <c r="AB199" i="33"/>
  <c r="AA200" i="33"/>
  <c r="AA51" i="33" s="1"/>
  <c r="AA52" i="33" s="1"/>
  <c r="AC103" i="33"/>
  <c r="AB93" i="33"/>
  <c r="AQ214" i="33"/>
  <c r="Y7" i="33"/>
  <c r="AA93" i="33"/>
  <c r="AD194" i="33"/>
  <c r="Y83" i="33"/>
  <c r="AA192" i="33"/>
  <c r="AB102" i="33"/>
  <c r="AC192" i="34" l="1"/>
  <c r="AD102" i="34"/>
  <c r="B103" i="34"/>
  <c r="AB200" i="34"/>
  <c r="AB51" i="34" s="1"/>
  <c r="AB52" i="34" s="1"/>
  <c r="AC194" i="34"/>
  <c r="AB93" i="34"/>
  <c r="AB235" i="34"/>
  <c r="AD199" i="34"/>
  <c r="AA75" i="34"/>
  <c r="AA73" i="34"/>
  <c r="AD103" i="33"/>
  <c r="AA75" i="33"/>
  <c r="AA73" i="33"/>
  <c r="AA235" i="33"/>
  <c r="AC199" i="33"/>
  <c r="AB200" i="33"/>
  <c r="AB51" i="33" s="1"/>
  <c r="AB52" i="33" s="1"/>
  <c r="AB192" i="33"/>
  <c r="AC102" i="33"/>
  <c r="AE194" i="33"/>
  <c r="AA83" i="34" l="1"/>
  <c r="AC200" i="34"/>
  <c r="AC51" i="34" s="1"/>
  <c r="AC52" i="34" s="1"/>
  <c r="AD194" i="34"/>
  <c r="AC93" i="34"/>
  <c r="AB75" i="34"/>
  <c r="AB73" i="34"/>
  <c r="AB83" i="34" s="1"/>
  <c r="AS214" i="34"/>
  <c r="AA7" i="34"/>
  <c r="AD192" i="34"/>
  <c r="AE102" i="34"/>
  <c r="AC235" i="34"/>
  <c r="AE199" i="34"/>
  <c r="AA83" i="33"/>
  <c r="AS214" i="33"/>
  <c r="AA7" i="33"/>
  <c r="AB73" i="33"/>
  <c r="AB75" i="33"/>
  <c r="AB235" i="33"/>
  <c r="AD199" i="33"/>
  <c r="AC200" i="33"/>
  <c r="AC51" i="33" s="1"/>
  <c r="AC52" i="33" s="1"/>
  <c r="AF194" i="33"/>
  <c r="AE103" i="33"/>
  <c r="AC192" i="33"/>
  <c r="AD102" i="33"/>
  <c r="AC93" i="33"/>
  <c r="AT214" i="34" l="1"/>
  <c r="AB7" i="34"/>
  <c r="AD235" i="34"/>
  <c r="AF199" i="34"/>
  <c r="AE192" i="34"/>
  <c r="AF102" i="34"/>
  <c r="AD200" i="34"/>
  <c r="AD51" i="34" s="1"/>
  <c r="AD52" i="34" s="1"/>
  <c r="AE194" i="34"/>
  <c r="AD93" i="34"/>
  <c r="AC73" i="34"/>
  <c r="AC75" i="34"/>
  <c r="AC73" i="33"/>
  <c r="AC75" i="33"/>
  <c r="AC235" i="33"/>
  <c r="AE199" i="33"/>
  <c r="AD200" i="33"/>
  <c r="AD51" i="33" s="1"/>
  <c r="AD52" i="33" s="1"/>
  <c r="AD192" i="33"/>
  <c r="AE102" i="33"/>
  <c r="AT214" i="33"/>
  <c r="AB7" i="33"/>
  <c r="AB83" i="33"/>
  <c r="AE93" i="33"/>
  <c r="AF103" i="33"/>
  <c r="AD93" i="33"/>
  <c r="B194" i="33"/>
  <c r="AE235" i="34" l="1"/>
  <c r="B199" i="34"/>
  <c r="AF235" i="34" s="1"/>
  <c r="AU214" i="34"/>
  <c r="AC7" i="34"/>
  <c r="AD73" i="34"/>
  <c r="AD75" i="34"/>
  <c r="AF192" i="34"/>
  <c r="B102" i="34"/>
  <c r="B192" i="34" s="1"/>
  <c r="AC83" i="34"/>
  <c r="AF194" i="34"/>
  <c r="AE200" i="34"/>
  <c r="AE51" i="34" s="1"/>
  <c r="AE52" i="34" s="1"/>
  <c r="AE93" i="34"/>
  <c r="AD235" i="33"/>
  <c r="AF199" i="33"/>
  <c r="AE200" i="33"/>
  <c r="AE51" i="33" s="1"/>
  <c r="AE52" i="33" s="1"/>
  <c r="AE192" i="33"/>
  <c r="AF102" i="33"/>
  <c r="AU214" i="33"/>
  <c r="AC7" i="33"/>
  <c r="AD75" i="33"/>
  <c r="AD73" i="33"/>
  <c r="B103" i="33"/>
  <c r="AF93" i="33"/>
  <c r="AC83" i="33"/>
  <c r="AV214" i="34" l="1"/>
  <c r="AD7" i="34"/>
  <c r="AE73" i="34"/>
  <c r="AE75" i="34"/>
  <c r="AD83" i="34"/>
  <c r="AF200" i="34"/>
  <c r="AF51" i="34" s="1"/>
  <c r="AF52" i="34" s="1"/>
  <c r="B194" i="34"/>
  <c r="AF93" i="34"/>
  <c r="AD83" i="33"/>
  <c r="AI93" i="33"/>
  <c r="AH93" i="33"/>
  <c r="AF192" i="33"/>
  <c r="B102" i="33"/>
  <c r="B192" i="33" s="1"/>
  <c r="B199" i="33"/>
  <c r="AE235" i="33"/>
  <c r="AF200" i="33"/>
  <c r="AF51" i="33" s="1"/>
  <c r="AF52" i="33" s="1"/>
  <c r="AE75" i="33"/>
  <c r="AE73" i="33"/>
  <c r="AE83" i="33" s="1"/>
  <c r="AV214" i="33"/>
  <c r="AD7" i="33"/>
  <c r="AF75" i="34" l="1"/>
  <c r="AF73" i="34"/>
  <c r="AF83" i="34" s="1"/>
  <c r="AW214" i="34"/>
  <c r="AE7" i="34"/>
  <c r="AI93" i="34"/>
  <c r="AH93" i="34"/>
  <c r="B200" i="34"/>
  <c r="AE83" i="34"/>
  <c r="AF235" i="33"/>
  <c r="B200" i="33"/>
  <c r="AF75" i="33"/>
  <c r="AF73" i="33"/>
  <c r="AF83" i="33" s="1"/>
  <c r="AW214" i="33"/>
  <c r="AE7" i="33"/>
  <c r="AI51" i="34" l="1"/>
  <c r="AH51" i="34"/>
  <c r="AX214" i="34"/>
  <c r="AF7" i="34"/>
  <c r="AX214" i="33"/>
  <c r="AF7" i="33"/>
  <c r="AI51" i="33"/>
  <c r="AH51" i="33"/>
  <c r="B95" i="32"/>
  <c r="B37" i="32"/>
  <c r="B93" i="32"/>
  <c r="B80" i="32"/>
  <c r="B79" i="32"/>
  <c r="B78" i="32"/>
  <c r="B77" i="32"/>
  <c r="B76" i="32"/>
  <c r="B82" i="32" s="1"/>
  <c r="B72" i="32"/>
  <c r="B68" i="32"/>
  <c r="B56" i="32"/>
  <c r="B51" i="32"/>
  <c r="B52" i="32" s="1"/>
  <c r="B38" i="32"/>
  <c r="AF239" i="32"/>
  <c r="AE239" i="32"/>
  <c r="AD239" i="32"/>
  <c r="AC239" i="32"/>
  <c r="AB239" i="32"/>
  <c r="AA239" i="32"/>
  <c r="Z239" i="32"/>
  <c r="Y239" i="32"/>
  <c r="X239" i="32"/>
  <c r="W239" i="32"/>
  <c r="V239" i="32"/>
  <c r="U239" i="32"/>
  <c r="T239" i="32"/>
  <c r="S239" i="32"/>
  <c r="R239" i="32"/>
  <c r="Q239" i="32"/>
  <c r="P239" i="32"/>
  <c r="O239" i="32"/>
  <c r="N239" i="32"/>
  <c r="M239" i="32"/>
  <c r="L239" i="32"/>
  <c r="K239" i="32"/>
  <c r="J239" i="32"/>
  <c r="I239" i="32"/>
  <c r="H239" i="32"/>
  <c r="G239" i="32"/>
  <c r="F239" i="32"/>
  <c r="E239" i="32"/>
  <c r="D239" i="32"/>
  <c r="C239" i="32"/>
  <c r="B239" i="32"/>
  <c r="A239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B235" i="32"/>
  <c r="S210" i="32"/>
  <c r="AG200" i="32"/>
  <c r="C200" i="32"/>
  <c r="E199" i="32"/>
  <c r="D235" i="32" s="1"/>
  <c r="D199" i="32"/>
  <c r="C235" i="32" s="1"/>
  <c r="E198" i="32"/>
  <c r="F198" i="32" s="1"/>
  <c r="G198" i="32" s="1"/>
  <c r="H198" i="32" s="1"/>
  <c r="I198" i="32" s="1"/>
  <c r="J198" i="32" s="1"/>
  <c r="K198" i="32" s="1"/>
  <c r="L198" i="32" s="1"/>
  <c r="M198" i="32" s="1"/>
  <c r="N198" i="32" s="1"/>
  <c r="O198" i="32" s="1"/>
  <c r="P198" i="32" s="1"/>
  <c r="Q198" i="32" s="1"/>
  <c r="R198" i="32" s="1"/>
  <c r="S198" i="32" s="1"/>
  <c r="T198" i="32" s="1"/>
  <c r="U198" i="32" s="1"/>
  <c r="V198" i="32" s="1"/>
  <c r="W198" i="32" s="1"/>
  <c r="X198" i="32" s="1"/>
  <c r="Y198" i="32" s="1"/>
  <c r="Z198" i="32" s="1"/>
  <c r="AA198" i="32" s="1"/>
  <c r="AB198" i="32" s="1"/>
  <c r="AC198" i="32" s="1"/>
  <c r="AD198" i="32" s="1"/>
  <c r="AE198" i="32" s="1"/>
  <c r="AF198" i="32" s="1"/>
  <c r="B198" i="32" s="1"/>
  <c r="D198" i="32"/>
  <c r="G197" i="32"/>
  <c r="H197" i="32" s="1"/>
  <c r="I197" i="32" s="1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D197" i="32"/>
  <c r="E197" i="32" s="1"/>
  <c r="F197" i="32" s="1"/>
  <c r="E196" i="32"/>
  <c r="F196" i="32" s="1"/>
  <c r="G196" i="32" s="1"/>
  <c r="H196" i="32" s="1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6" i="32"/>
  <c r="D195" i="32"/>
  <c r="E195" i="32" s="1"/>
  <c r="F195" i="32" s="1"/>
  <c r="G195" i="32" s="1"/>
  <c r="H195" i="32" s="1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D194" i="32"/>
  <c r="D200" i="32" s="1"/>
  <c r="AG192" i="32"/>
  <c r="C192" i="32"/>
  <c r="R191" i="32"/>
  <c r="S191" i="32" s="1"/>
  <c r="T191" i="32" s="1"/>
  <c r="U191" i="32" s="1"/>
  <c r="V191" i="32" s="1"/>
  <c r="W191" i="32" s="1"/>
  <c r="X191" i="32" s="1"/>
  <c r="Y191" i="32" s="1"/>
  <c r="Z191" i="32" s="1"/>
  <c r="AA191" i="32" s="1"/>
  <c r="AB191" i="32" s="1"/>
  <c r="AC191" i="32" s="1"/>
  <c r="AD191" i="32" s="1"/>
  <c r="AE191" i="32" s="1"/>
  <c r="AF191" i="32" s="1"/>
  <c r="B191" i="32" s="1"/>
  <c r="D191" i="32"/>
  <c r="E191" i="32" s="1"/>
  <c r="F191" i="32" s="1"/>
  <c r="G191" i="32" s="1"/>
  <c r="H191" i="32" s="1"/>
  <c r="I191" i="32" s="1"/>
  <c r="J191" i="32" s="1"/>
  <c r="K191" i="32" s="1"/>
  <c r="L191" i="32" s="1"/>
  <c r="M191" i="32" s="1"/>
  <c r="N191" i="32" s="1"/>
  <c r="O191" i="32" s="1"/>
  <c r="P191" i="32" s="1"/>
  <c r="Q191" i="32" s="1"/>
  <c r="AB190" i="32"/>
  <c r="AC190" i="32" s="1"/>
  <c r="AD190" i="32" s="1"/>
  <c r="AE190" i="32" s="1"/>
  <c r="AF190" i="32" s="1"/>
  <c r="B190" i="32" s="1"/>
  <c r="D190" i="32"/>
  <c r="E190" i="32" s="1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O189" i="32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F189" i="32"/>
  <c r="G189" i="32" s="1"/>
  <c r="H189" i="32" s="1"/>
  <c r="I189" i="32" s="1"/>
  <c r="J189" i="32" s="1"/>
  <c r="K189" i="32" s="1"/>
  <c r="L189" i="32" s="1"/>
  <c r="M189" i="32" s="1"/>
  <c r="N189" i="32" s="1"/>
  <c r="E189" i="32"/>
  <c r="D189" i="32"/>
  <c r="E188" i="32"/>
  <c r="F188" i="32" s="1"/>
  <c r="G188" i="32" s="1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D188" i="32"/>
  <c r="F187" i="32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D187" i="32"/>
  <c r="E187" i="32" s="1"/>
  <c r="F186" i="32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E186" i="32"/>
  <c r="D186" i="32"/>
  <c r="W185" i="32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G185" i="32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F185" i="32"/>
  <c r="E185" i="32"/>
  <c r="D185" i="32"/>
  <c r="I184" i="32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B184" i="32" s="1"/>
  <c r="H184" i="32"/>
  <c r="F184" i="32"/>
  <c r="G184" i="32" s="1"/>
  <c r="D184" i="32"/>
  <c r="E184" i="32" s="1"/>
  <c r="K183" i="32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J183" i="32"/>
  <c r="I183" i="32"/>
  <c r="D183" i="32"/>
  <c r="E183" i="32" s="1"/>
  <c r="F183" i="32" s="1"/>
  <c r="G183" i="32" s="1"/>
  <c r="H183" i="32" s="1"/>
  <c r="M182" i="32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D182" i="32"/>
  <c r="E182" i="32" s="1"/>
  <c r="F182" i="32" s="1"/>
  <c r="G182" i="32" s="1"/>
  <c r="H182" i="32" s="1"/>
  <c r="I182" i="32" s="1"/>
  <c r="J182" i="32" s="1"/>
  <c r="K182" i="32" s="1"/>
  <c r="L182" i="32" s="1"/>
  <c r="E181" i="32"/>
  <c r="F181" i="32" s="1"/>
  <c r="G181" i="32" s="1"/>
  <c r="H181" i="32" s="1"/>
  <c r="I181" i="32" s="1"/>
  <c r="J181" i="32" s="1"/>
  <c r="K181" i="32" s="1"/>
  <c r="L181" i="32" s="1"/>
  <c r="M181" i="32" s="1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D181" i="32"/>
  <c r="E180" i="32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D180" i="32"/>
  <c r="G179" i="32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B179" i="32" s="1"/>
  <c r="F179" i="32"/>
  <c r="E179" i="32"/>
  <c r="D179" i="32"/>
  <c r="Z177" i="32"/>
  <c r="AA177" i="32" s="1"/>
  <c r="AB177" i="32" s="1"/>
  <c r="AC177" i="32" s="1"/>
  <c r="AD177" i="32" s="1"/>
  <c r="AE177" i="32" s="1"/>
  <c r="AF177" i="32" s="1"/>
  <c r="B177" i="32" s="1"/>
  <c r="L177" i="32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D177" i="32"/>
  <c r="E177" i="32" s="1"/>
  <c r="F177" i="32" s="1"/>
  <c r="G177" i="32" s="1"/>
  <c r="H177" i="32" s="1"/>
  <c r="I177" i="32" s="1"/>
  <c r="J177" i="32" s="1"/>
  <c r="K177" i="32" s="1"/>
  <c r="Q176" i="32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D176" i="32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J175" i="32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B175" i="32" s="1"/>
  <c r="D175" i="32"/>
  <c r="E175" i="32" s="1"/>
  <c r="F175" i="32" s="1"/>
  <c r="G175" i="32" s="1"/>
  <c r="H175" i="32" s="1"/>
  <c r="I175" i="32" s="1"/>
  <c r="H174" i="32"/>
  <c r="I174" i="32" s="1"/>
  <c r="J174" i="32" s="1"/>
  <c r="K174" i="32" s="1"/>
  <c r="L174" i="32" s="1"/>
  <c r="M174" i="32" s="1"/>
  <c r="N174" i="32" s="1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D174" i="32"/>
  <c r="E174" i="32" s="1"/>
  <c r="F174" i="32" s="1"/>
  <c r="G174" i="32" s="1"/>
  <c r="I173" i="32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D173" i="32"/>
  <c r="E173" i="32" s="1"/>
  <c r="F173" i="32" s="1"/>
  <c r="G173" i="32" s="1"/>
  <c r="H173" i="32" s="1"/>
  <c r="K172" i="32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D172" i="32"/>
  <c r="E172" i="32" s="1"/>
  <c r="F172" i="32" s="1"/>
  <c r="G172" i="32" s="1"/>
  <c r="H172" i="32" s="1"/>
  <c r="I172" i="32" s="1"/>
  <c r="J172" i="32" s="1"/>
  <c r="N171" i="32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E171" i="32"/>
  <c r="F171" i="32" s="1"/>
  <c r="G171" i="32" s="1"/>
  <c r="H171" i="32" s="1"/>
  <c r="I171" i="32" s="1"/>
  <c r="J171" i="32" s="1"/>
  <c r="K171" i="32" s="1"/>
  <c r="L171" i="32" s="1"/>
  <c r="M171" i="32" s="1"/>
  <c r="D171" i="32"/>
  <c r="P170" i="32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G170" i="32"/>
  <c r="H170" i="32" s="1"/>
  <c r="I170" i="32" s="1"/>
  <c r="J170" i="32" s="1"/>
  <c r="K170" i="32" s="1"/>
  <c r="L170" i="32" s="1"/>
  <c r="M170" i="32" s="1"/>
  <c r="N170" i="32" s="1"/>
  <c r="O170" i="32" s="1"/>
  <c r="F170" i="32"/>
  <c r="E170" i="32"/>
  <c r="D170" i="32"/>
  <c r="D168" i="32"/>
  <c r="E168" i="32" s="1"/>
  <c r="F168" i="32" s="1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B168" i="32" s="1"/>
  <c r="G167" i="32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F167" i="32"/>
  <c r="E167" i="32"/>
  <c r="D167" i="32"/>
  <c r="M166" i="32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G166" i="32"/>
  <c r="H166" i="32" s="1"/>
  <c r="I166" i="32" s="1"/>
  <c r="J166" i="32" s="1"/>
  <c r="K166" i="32" s="1"/>
  <c r="L166" i="32" s="1"/>
  <c r="E166" i="32"/>
  <c r="F166" i="32" s="1"/>
  <c r="D166" i="32"/>
  <c r="M165" i="32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K165" i="32"/>
  <c r="L165" i="32" s="1"/>
  <c r="E165" i="32"/>
  <c r="F165" i="32" s="1"/>
  <c r="G165" i="32" s="1"/>
  <c r="H165" i="32" s="1"/>
  <c r="I165" i="32" s="1"/>
  <c r="J165" i="32" s="1"/>
  <c r="D165" i="32"/>
  <c r="X164" i="32"/>
  <c r="Y164" i="32" s="1"/>
  <c r="Z164" i="32" s="1"/>
  <c r="AA164" i="32" s="1"/>
  <c r="AB164" i="32" s="1"/>
  <c r="AC164" i="32" s="1"/>
  <c r="AD164" i="32" s="1"/>
  <c r="AE164" i="32" s="1"/>
  <c r="AF164" i="32" s="1"/>
  <c r="B164" i="32" s="1"/>
  <c r="H164" i="32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D164" i="32"/>
  <c r="E164" i="32" s="1"/>
  <c r="F164" i="32" s="1"/>
  <c r="G164" i="32" s="1"/>
  <c r="G163" i="32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F163" i="32"/>
  <c r="E163" i="32"/>
  <c r="D163" i="32"/>
  <c r="D162" i="32"/>
  <c r="E162" i="32" s="1"/>
  <c r="F162" i="32" s="1"/>
  <c r="G162" i="32" s="1"/>
  <c r="H162" i="32" s="1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K161" i="32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E161" i="32"/>
  <c r="F161" i="32" s="1"/>
  <c r="G161" i="32" s="1"/>
  <c r="H161" i="32" s="1"/>
  <c r="I161" i="32" s="1"/>
  <c r="J161" i="32" s="1"/>
  <c r="D161" i="32"/>
  <c r="D160" i="32"/>
  <c r="E160" i="32" s="1"/>
  <c r="F160" i="32" s="1"/>
  <c r="G160" i="32" s="1"/>
  <c r="H160" i="32" s="1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O159" i="32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H159" i="32"/>
  <c r="I159" i="32" s="1"/>
  <c r="J159" i="32" s="1"/>
  <c r="K159" i="32" s="1"/>
  <c r="L159" i="32" s="1"/>
  <c r="M159" i="32" s="1"/>
  <c r="N159" i="32" s="1"/>
  <c r="F159" i="32"/>
  <c r="G159" i="32" s="1"/>
  <c r="E159" i="32"/>
  <c r="D159" i="32"/>
  <c r="E158" i="32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B158" i="32" s="1"/>
  <c r="D158" i="32"/>
  <c r="E157" i="32"/>
  <c r="F157" i="32" s="1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B157" i="32" s="1"/>
  <c r="D157" i="32"/>
  <c r="Z156" i="32"/>
  <c r="AA156" i="32" s="1"/>
  <c r="AB156" i="32" s="1"/>
  <c r="AC156" i="32" s="1"/>
  <c r="AD156" i="32" s="1"/>
  <c r="AE156" i="32" s="1"/>
  <c r="AF156" i="32" s="1"/>
  <c r="B156" i="32" s="1"/>
  <c r="E156" i="32"/>
  <c r="F156" i="32" s="1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D156" i="32"/>
  <c r="Z154" i="32"/>
  <c r="AA154" i="32" s="1"/>
  <c r="AB154" i="32" s="1"/>
  <c r="AC154" i="32" s="1"/>
  <c r="AD154" i="32" s="1"/>
  <c r="AE154" i="32" s="1"/>
  <c r="AF154" i="32" s="1"/>
  <c r="B154" i="32" s="1"/>
  <c r="E154" i="32"/>
  <c r="F154" i="32" s="1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D154" i="32"/>
  <c r="G153" i="32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E153" i="32"/>
  <c r="F153" i="32" s="1"/>
  <c r="D153" i="32"/>
  <c r="G152" i="32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E152" i="32"/>
  <c r="F152" i="32" s="1"/>
  <c r="D152" i="32"/>
  <c r="D151" i="32"/>
  <c r="E151" i="32" s="1"/>
  <c r="F151" i="32" s="1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L149" i="32"/>
  <c r="M149" i="32" s="1"/>
  <c r="N149" i="32" s="1"/>
  <c r="O149" i="32" s="1"/>
  <c r="P149" i="32" s="1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B149" i="32" s="1"/>
  <c r="D149" i="32"/>
  <c r="E149" i="32" s="1"/>
  <c r="F149" i="32" s="1"/>
  <c r="G149" i="32" s="1"/>
  <c r="H149" i="32" s="1"/>
  <c r="I149" i="32" s="1"/>
  <c r="J149" i="32" s="1"/>
  <c r="K149" i="32" s="1"/>
  <c r="F148" i="32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D148" i="32"/>
  <c r="E148" i="32" s="1"/>
  <c r="D146" i="32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X146" i="32" s="1"/>
  <c r="Y146" i="32" s="1"/>
  <c r="Z146" i="32" s="1"/>
  <c r="AA146" i="32" s="1"/>
  <c r="AB146" i="32" s="1"/>
  <c r="AC146" i="32" s="1"/>
  <c r="AD146" i="32" s="1"/>
  <c r="AE146" i="32" s="1"/>
  <c r="AF146" i="32" s="1"/>
  <c r="B146" i="32" s="1"/>
  <c r="T145" i="32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D145" i="32"/>
  <c r="E145" i="32" s="1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H144" i="32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D144" i="32"/>
  <c r="E144" i="32" s="1"/>
  <c r="F144" i="32" s="1"/>
  <c r="G144" i="32" s="1"/>
  <c r="D143" i="32"/>
  <c r="E143" i="32" s="1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AB142" i="32"/>
  <c r="AC142" i="32" s="1"/>
  <c r="AD142" i="32" s="1"/>
  <c r="AE142" i="32" s="1"/>
  <c r="AF142" i="32" s="1"/>
  <c r="B142" i="32" s="1"/>
  <c r="F142" i="32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D142" i="32"/>
  <c r="E142" i="32" s="1"/>
  <c r="F141" i="32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D141" i="32"/>
  <c r="E141" i="32" s="1"/>
  <c r="H140" i="32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D140" i="32"/>
  <c r="E140" i="32" s="1"/>
  <c r="F140" i="32" s="1"/>
  <c r="G140" i="32" s="1"/>
  <c r="AF138" i="32"/>
  <c r="B138" i="32" s="1"/>
  <c r="P138" i="32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D138" i="32"/>
  <c r="E138" i="32" s="1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D137" i="32"/>
  <c r="E137" i="32" s="1"/>
  <c r="F137" i="32" s="1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S136" i="32"/>
  <c r="T136" i="32" s="1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G136" i="32"/>
  <c r="H136" i="32" s="1"/>
  <c r="I136" i="32" s="1"/>
  <c r="J136" i="32" s="1"/>
  <c r="K136" i="32" s="1"/>
  <c r="L136" i="32" s="1"/>
  <c r="M136" i="32" s="1"/>
  <c r="N136" i="32" s="1"/>
  <c r="O136" i="32" s="1"/>
  <c r="P136" i="32" s="1"/>
  <c r="Q136" i="32" s="1"/>
  <c r="R136" i="32" s="1"/>
  <c r="D136" i="32"/>
  <c r="E136" i="32" s="1"/>
  <c r="F136" i="32" s="1"/>
  <c r="E135" i="32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D135" i="32"/>
  <c r="H134" i="32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G134" i="32"/>
  <c r="D134" i="32"/>
  <c r="E134" i="32" s="1"/>
  <c r="F134" i="32" s="1"/>
  <c r="N133" i="32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G133" i="32"/>
  <c r="H133" i="32" s="1"/>
  <c r="I133" i="32" s="1"/>
  <c r="J133" i="32" s="1"/>
  <c r="K133" i="32" s="1"/>
  <c r="L133" i="32" s="1"/>
  <c r="M133" i="32" s="1"/>
  <c r="F133" i="32"/>
  <c r="D133" i="32"/>
  <c r="E133" i="32" s="1"/>
  <c r="N132" i="32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L132" i="32"/>
  <c r="M132" i="32" s="1"/>
  <c r="E132" i="32"/>
  <c r="F132" i="32" s="1"/>
  <c r="G132" i="32" s="1"/>
  <c r="H132" i="32" s="1"/>
  <c r="I132" i="32" s="1"/>
  <c r="J132" i="32" s="1"/>
  <c r="K132" i="32" s="1"/>
  <c r="D132" i="32"/>
  <c r="O131" i="32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F131" i="32"/>
  <c r="G131" i="32" s="1"/>
  <c r="H131" i="32" s="1"/>
  <c r="I131" i="32" s="1"/>
  <c r="J131" i="32" s="1"/>
  <c r="K131" i="32" s="1"/>
  <c r="L131" i="32" s="1"/>
  <c r="M131" i="32" s="1"/>
  <c r="N131" i="32" s="1"/>
  <c r="D131" i="32"/>
  <c r="E131" i="32" s="1"/>
  <c r="D129" i="32"/>
  <c r="E129" i="32" s="1"/>
  <c r="F129" i="32" s="1"/>
  <c r="G129" i="32" s="1"/>
  <c r="H129" i="32" s="1"/>
  <c r="I129" i="32" s="1"/>
  <c r="J129" i="32" s="1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B129" i="32" s="1"/>
  <c r="K128" i="32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J128" i="32"/>
  <c r="H128" i="32"/>
  <c r="I128" i="32" s="1"/>
  <c r="E128" i="32"/>
  <c r="F128" i="32" s="1"/>
  <c r="G128" i="32" s="1"/>
  <c r="D128" i="32"/>
  <c r="F127" i="32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E127" i="32"/>
  <c r="D127" i="32"/>
  <c r="G126" i="32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F126" i="32"/>
  <c r="D126" i="32"/>
  <c r="E126" i="32" s="1"/>
  <c r="E125" i="32"/>
  <c r="F125" i="32" s="1"/>
  <c r="G125" i="32" s="1"/>
  <c r="H125" i="32" s="1"/>
  <c r="I125" i="32" s="1"/>
  <c r="J125" i="32" s="1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D125" i="32"/>
  <c r="P124" i="32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D124" i="32"/>
  <c r="E124" i="32" s="1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F123" i="32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E123" i="32"/>
  <c r="D123" i="32"/>
  <c r="G122" i="32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F122" i="32"/>
  <c r="D122" i="32"/>
  <c r="E122" i="32" s="1"/>
  <c r="E121" i="32"/>
  <c r="F121" i="32" s="1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D121" i="32"/>
  <c r="D120" i="32"/>
  <c r="E120" i="32" s="1"/>
  <c r="F120" i="32" s="1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Y119" i="32"/>
  <c r="Z119" i="32" s="1"/>
  <c r="AA119" i="32" s="1"/>
  <c r="AB119" i="32" s="1"/>
  <c r="AC119" i="32" s="1"/>
  <c r="AD119" i="32" s="1"/>
  <c r="AE119" i="32" s="1"/>
  <c r="AF119" i="32" s="1"/>
  <c r="B119" i="32" s="1"/>
  <c r="F119" i="32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E119" i="32"/>
  <c r="D119" i="32"/>
  <c r="T118" i="32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G118" i="32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F118" i="32"/>
  <c r="D118" i="32"/>
  <c r="E118" i="32" s="1"/>
  <c r="AB117" i="32"/>
  <c r="AC117" i="32" s="1"/>
  <c r="AD117" i="32" s="1"/>
  <c r="AE117" i="32" s="1"/>
  <c r="AF117" i="32" s="1"/>
  <c r="B117" i="32" s="1"/>
  <c r="L117" i="32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D117" i="32"/>
  <c r="E117" i="32" s="1"/>
  <c r="F117" i="32" s="1"/>
  <c r="G117" i="32" s="1"/>
  <c r="H117" i="32" s="1"/>
  <c r="I117" i="32" s="1"/>
  <c r="J117" i="32" s="1"/>
  <c r="K117" i="32" s="1"/>
  <c r="J116" i="32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H116" i="32"/>
  <c r="I116" i="32" s="1"/>
  <c r="D116" i="32"/>
  <c r="E116" i="32" s="1"/>
  <c r="F116" i="32" s="1"/>
  <c r="G116" i="32" s="1"/>
  <c r="I115" i="32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H115" i="32"/>
  <c r="F115" i="32"/>
  <c r="G115" i="32" s="1"/>
  <c r="E115" i="32"/>
  <c r="D115" i="32"/>
  <c r="P114" i="32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O114" i="32"/>
  <c r="N114" i="32"/>
  <c r="L114" i="32"/>
  <c r="M114" i="32" s="1"/>
  <c r="K114" i="32"/>
  <c r="E114" i="32"/>
  <c r="F114" i="32" s="1"/>
  <c r="G114" i="32" s="1"/>
  <c r="H114" i="32" s="1"/>
  <c r="I114" i="32" s="1"/>
  <c r="D114" i="32"/>
  <c r="D113" i="32"/>
  <c r="E113" i="32" s="1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AA112" i="32"/>
  <c r="AB112" i="32" s="1"/>
  <c r="AC112" i="32" s="1"/>
  <c r="AD112" i="32" s="1"/>
  <c r="AE112" i="32" s="1"/>
  <c r="AF112" i="32" s="1"/>
  <c r="B112" i="32" s="1"/>
  <c r="O112" i="32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I112" i="32"/>
  <c r="J112" i="32" s="1"/>
  <c r="K112" i="32" s="1"/>
  <c r="L112" i="32" s="1"/>
  <c r="M112" i="32" s="1"/>
  <c r="N112" i="32" s="1"/>
  <c r="G112" i="32"/>
  <c r="H112" i="32" s="1"/>
  <c r="D112" i="32"/>
  <c r="E112" i="32" s="1"/>
  <c r="F112" i="32" s="1"/>
  <c r="G110" i="32"/>
  <c r="H110" i="32" s="1"/>
  <c r="I110" i="32" s="1"/>
  <c r="J110" i="32" s="1"/>
  <c r="K110" i="32" s="1"/>
  <c r="L110" i="32" s="1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B110" i="32" s="1"/>
  <c r="E110" i="32"/>
  <c r="F110" i="32" s="1"/>
  <c r="D110" i="32"/>
  <c r="E109" i="32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109" i="32"/>
  <c r="D107" i="32"/>
  <c r="E107" i="32" s="1"/>
  <c r="F107" i="32" s="1"/>
  <c r="G107" i="32" s="1"/>
  <c r="H107" i="32" s="1"/>
  <c r="I107" i="32" s="1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B107" i="32" s="1"/>
  <c r="G106" i="32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F106" i="32"/>
  <c r="D106" i="32"/>
  <c r="E106" i="32" s="1"/>
  <c r="P105" i="32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H105" i="32"/>
  <c r="I105" i="32" s="1"/>
  <c r="J105" i="32" s="1"/>
  <c r="K105" i="32" s="1"/>
  <c r="L105" i="32" s="1"/>
  <c r="M105" i="32" s="1"/>
  <c r="N105" i="32" s="1"/>
  <c r="O105" i="32" s="1"/>
  <c r="D105" i="32"/>
  <c r="E105" i="32" s="1"/>
  <c r="F105" i="32" s="1"/>
  <c r="G105" i="32" s="1"/>
  <c r="F104" i="32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E104" i="32"/>
  <c r="D104" i="32"/>
  <c r="D103" i="32"/>
  <c r="E103" i="32" s="1"/>
  <c r="F102" i="32"/>
  <c r="E102" i="32"/>
  <c r="D102" i="32"/>
  <c r="AH98" i="32"/>
  <c r="AI98" i="32" s="1"/>
  <c r="AH97" i="32"/>
  <c r="AI97" i="32" s="1"/>
  <c r="AH96" i="32"/>
  <c r="AI96" i="32" s="1"/>
  <c r="AH95" i="32"/>
  <c r="AI95" i="32" s="1"/>
  <c r="AH94" i="32"/>
  <c r="AI94" i="32" s="1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G82" i="32"/>
  <c r="D82" i="32"/>
  <c r="AI81" i="32"/>
  <c r="AH81" i="32"/>
  <c r="AF80" i="32"/>
  <c r="AE80" i="32"/>
  <c r="AD80" i="32"/>
  <c r="AC80" i="32"/>
  <c r="AB80" i="32"/>
  <c r="AA80" i="32"/>
  <c r="Y80" i="32"/>
  <c r="X80" i="32"/>
  <c r="W80" i="32"/>
  <c r="V80" i="32"/>
  <c r="U80" i="32"/>
  <c r="T80" i="32"/>
  <c r="S80" i="32"/>
  <c r="R80" i="32"/>
  <c r="Q80" i="32"/>
  <c r="P80" i="32"/>
  <c r="O80" i="32"/>
  <c r="N80" i="32"/>
  <c r="M80" i="32"/>
  <c r="L80" i="32"/>
  <c r="K80" i="32"/>
  <c r="J80" i="32"/>
  <c r="I80" i="32"/>
  <c r="H80" i="32"/>
  <c r="G80" i="32"/>
  <c r="F80" i="32"/>
  <c r="E80" i="32"/>
  <c r="D80" i="32"/>
  <c r="C80" i="32"/>
  <c r="AF79" i="32"/>
  <c r="AE79" i="32"/>
  <c r="AD79" i="32"/>
  <c r="AC79" i="32"/>
  <c r="AB79" i="32"/>
  <c r="AA79" i="32"/>
  <c r="Y79" i="32"/>
  <c r="X79" i="32"/>
  <c r="W79" i="32"/>
  <c r="V79" i="32"/>
  <c r="U79" i="32"/>
  <c r="T79" i="32"/>
  <c r="S79" i="32"/>
  <c r="R79" i="32"/>
  <c r="Q79" i="32"/>
  <c r="P79" i="32"/>
  <c r="O79" i="32"/>
  <c r="N79" i="32"/>
  <c r="M79" i="32"/>
  <c r="L79" i="32"/>
  <c r="K79" i="32"/>
  <c r="J79" i="32"/>
  <c r="I79" i="32"/>
  <c r="H79" i="32"/>
  <c r="G79" i="32"/>
  <c r="F79" i="32"/>
  <c r="E79" i="32"/>
  <c r="D79" i="32"/>
  <c r="C79" i="32"/>
  <c r="AF78" i="32"/>
  <c r="AE78" i="32"/>
  <c r="AD78" i="32"/>
  <c r="AC78" i="32"/>
  <c r="AB78" i="32"/>
  <c r="AA78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AF77" i="32"/>
  <c r="AE77" i="32"/>
  <c r="AD77" i="32"/>
  <c r="AC77" i="32"/>
  <c r="AB77" i="32"/>
  <c r="AA77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AF76" i="32"/>
  <c r="AE76" i="32"/>
  <c r="AD76" i="32"/>
  <c r="AC76" i="32"/>
  <c r="AB76" i="32"/>
  <c r="AA76" i="32"/>
  <c r="AA82" i="32" s="1"/>
  <c r="Y76" i="32"/>
  <c r="Y82" i="32" s="1"/>
  <c r="X76" i="32"/>
  <c r="X82" i="32" s="1"/>
  <c r="W76" i="32"/>
  <c r="V76" i="32"/>
  <c r="U76" i="32"/>
  <c r="T76" i="32"/>
  <c r="S76" i="32"/>
  <c r="R76" i="32"/>
  <c r="R82" i="32" s="1"/>
  <c r="Q76" i="32"/>
  <c r="Q82" i="32" s="1"/>
  <c r="P76" i="32"/>
  <c r="P82" i="32" s="1"/>
  <c r="O76" i="32"/>
  <c r="N76" i="32"/>
  <c r="M76" i="32"/>
  <c r="L76" i="32"/>
  <c r="K76" i="32"/>
  <c r="J76" i="32"/>
  <c r="I76" i="32"/>
  <c r="I82" i="32" s="1"/>
  <c r="H76" i="32"/>
  <c r="G76" i="32"/>
  <c r="F76" i="32"/>
  <c r="E76" i="32"/>
  <c r="D76" i="32"/>
  <c r="C76" i="32"/>
  <c r="AI74" i="32"/>
  <c r="AH74" i="32"/>
  <c r="AG72" i="32"/>
  <c r="AF72" i="32"/>
  <c r="AE72" i="32"/>
  <c r="AD72" i="32"/>
  <c r="AC72" i="32"/>
  <c r="AB72" i="32"/>
  <c r="AA72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AI71" i="32"/>
  <c r="AH71" i="32"/>
  <c r="AI70" i="32"/>
  <c r="AH70" i="32"/>
  <c r="AI69" i="32"/>
  <c r="AH69" i="32"/>
  <c r="AG68" i="32"/>
  <c r="AF68" i="32"/>
  <c r="AE68" i="32"/>
  <c r="AD5" i="32" s="1"/>
  <c r="AD68" i="32"/>
  <c r="AC5" i="32" s="1"/>
  <c r="AB68" i="32"/>
  <c r="Y5" i="32"/>
  <c r="Y68" i="32"/>
  <c r="X68" i="32"/>
  <c r="W68" i="32"/>
  <c r="V5" i="32" s="1"/>
  <c r="V68" i="32"/>
  <c r="U5" i="32" s="1"/>
  <c r="U68" i="32"/>
  <c r="T5" i="32" s="1"/>
  <c r="T68" i="32"/>
  <c r="S68" i="32"/>
  <c r="R68" i="32"/>
  <c r="Q68" i="32"/>
  <c r="P5" i="32" s="1"/>
  <c r="P68" i="32"/>
  <c r="O5" i="32" s="1"/>
  <c r="O68" i="32"/>
  <c r="N68" i="32"/>
  <c r="M68" i="32"/>
  <c r="L68" i="32"/>
  <c r="K5" i="32" s="1"/>
  <c r="K68" i="32"/>
  <c r="J5" i="32" s="1"/>
  <c r="J68" i="32"/>
  <c r="I5" i="32" s="1"/>
  <c r="I68" i="32"/>
  <c r="H5" i="32" s="1"/>
  <c r="H68" i="32"/>
  <c r="G5" i="32" s="1"/>
  <c r="G68" i="32"/>
  <c r="F68" i="32"/>
  <c r="E68" i="32"/>
  <c r="D5" i="32" s="1"/>
  <c r="D68" i="32"/>
  <c r="C5" i="32" s="1"/>
  <c r="C68" i="32"/>
  <c r="B5" i="32" s="1"/>
  <c r="AF5" i="32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F56" i="32"/>
  <c r="AE56" i="32"/>
  <c r="AD56" i="32"/>
  <c r="AC56" i="32"/>
  <c r="AB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I55" i="32"/>
  <c r="AH55" i="32"/>
  <c r="AI54" i="32"/>
  <c r="AH54" i="32"/>
  <c r="AI53" i="32"/>
  <c r="AH53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G52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D73" i="32" s="1"/>
  <c r="C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E5" i="32"/>
  <c r="AA5" i="32"/>
  <c r="Z5" i="32"/>
  <c r="X5" i="32"/>
  <c r="W5" i="32"/>
  <c r="S5" i="32"/>
  <c r="R5" i="32"/>
  <c r="N5" i="32"/>
  <c r="F5" i="32"/>
  <c r="AG4" i="32"/>
  <c r="K4" i="32"/>
  <c r="B4" i="32"/>
  <c r="AG2" i="32"/>
  <c r="AF95" i="31"/>
  <c r="AF37" i="31"/>
  <c r="AE95" i="31"/>
  <c r="AE37" i="31"/>
  <c r="AD37" i="31"/>
  <c r="AC37" i="31"/>
  <c r="AB37" i="31"/>
  <c r="E4" i="32"/>
  <c r="AI52" i="34" l="1"/>
  <c r="AH52" i="34"/>
  <c r="AI52" i="33"/>
  <c r="AH52" i="33"/>
  <c r="AF82" i="32"/>
  <c r="AE82" i="32"/>
  <c r="AB82" i="32"/>
  <c r="AA83" i="32"/>
  <c r="W82" i="32"/>
  <c r="T82" i="32"/>
  <c r="T75" i="32"/>
  <c r="S82" i="32"/>
  <c r="T73" i="32"/>
  <c r="R73" i="32"/>
  <c r="Q75" i="32"/>
  <c r="AI214" i="32" s="1"/>
  <c r="Q73" i="32"/>
  <c r="P73" i="32"/>
  <c r="P75" i="32"/>
  <c r="O82" i="32"/>
  <c r="N75" i="32"/>
  <c r="AF214" i="32" s="1"/>
  <c r="N73" i="32"/>
  <c r="M73" i="32"/>
  <c r="L82" i="32"/>
  <c r="L75" i="32"/>
  <c r="L73" i="32"/>
  <c r="L83" i="32" s="1"/>
  <c r="K82" i="32"/>
  <c r="J82" i="32"/>
  <c r="J75" i="32"/>
  <c r="AB214" i="32" s="1"/>
  <c r="AH56" i="32"/>
  <c r="I75" i="32"/>
  <c r="I7" i="32" s="1"/>
  <c r="I73" i="32"/>
  <c r="I83" i="32" s="1"/>
  <c r="H82" i="32"/>
  <c r="H75" i="32"/>
  <c r="Z214" i="32" s="1"/>
  <c r="H73" i="32"/>
  <c r="AH79" i="32"/>
  <c r="G82" i="32"/>
  <c r="G73" i="32"/>
  <c r="AI78" i="32"/>
  <c r="F75" i="32"/>
  <c r="X214" i="32" s="1"/>
  <c r="F73" i="32"/>
  <c r="E75" i="32"/>
  <c r="W214" i="32" s="1"/>
  <c r="E73" i="32"/>
  <c r="AI38" i="32"/>
  <c r="AH78" i="32"/>
  <c r="AI79" i="32"/>
  <c r="AI77" i="32"/>
  <c r="C82" i="32"/>
  <c r="AH38" i="32"/>
  <c r="B75" i="32"/>
  <c r="AH77" i="32"/>
  <c r="B73" i="32"/>
  <c r="B83" i="32" s="1"/>
  <c r="H4" i="32"/>
  <c r="AD214" i="32"/>
  <c r="L7" i="32"/>
  <c r="AL214" i="32"/>
  <c r="T7" i="32"/>
  <c r="AG75" i="32"/>
  <c r="AG3" i="32"/>
  <c r="AG6" i="32" s="1"/>
  <c r="AA214" i="32"/>
  <c r="AG73" i="32"/>
  <c r="AH68" i="32"/>
  <c r="F103" i="32"/>
  <c r="E93" i="32"/>
  <c r="C73" i="32"/>
  <c r="C75" i="32" s="1"/>
  <c r="AI68" i="32"/>
  <c r="L5" i="32"/>
  <c r="AB5" i="32"/>
  <c r="R75" i="32"/>
  <c r="R83" i="32" s="1"/>
  <c r="E82" i="32"/>
  <c r="M82" i="32"/>
  <c r="U82" i="32"/>
  <c r="AC82" i="32"/>
  <c r="AH72" i="32"/>
  <c r="S73" i="32"/>
  <c r="S75" i="32"/>
  <c r="J73" i="32"/>
  <c r="S211" i="32"/>
  <c r="D211" i="32"/>
  <c r="E5" i="32"/>
  <c r="M5" i="32"/>
  <c r="F82" i="32"/>
  <c r="N82" i="32"/>
  <c r="V82" i="32"/>
  <c r="AD82" i="32"/>
  <c r="D93" i="32"/>
  <c r="AI56" i="32"/>
  <c r="O75" i="32"/>
  <c r="AI72" i="32"/>
  <c r="P83" i="32"/>
  <c r="M75" i="32"/>
  <c r="AI76" i="32"/>
  <c r="K73" i="32"/>
  <c r="K75" i="32"/>
  <c r="O73" i="32"/>
  <c r="G75" i="32"/>
  <c r="Q5" i="32"/>
  <c r="AG83" i="32"/>
  <c r="D75" i="32"/>
  <c r="AH76" i="32"/>
  <c r="AI80" i="32"/>
  <c r="D192" i="32"/>
  <c r="E192" i="32"/>
  <c r="F192" i="32"/>
  <c r="G102" i="32"/>
  <c r="AH80" i="32"/>
  <c r="F199" i="32"/>
  <c r="E194" i="32"/>
  <c r="AH73" i="34" l="1"/>
  <c r="AI73" i="34"/>
  <c r="T214" i="34"/>
  <c r="B7" i="34"/>
  <c r="A7" i="34" s="1"/>
  <c r="AI75" i="34"/>
  <c r="AH75" i="34"/>
  <c r="AI73" i="33"/>
  <c r="AH73" i="33"/>
  <c r="T214" i="33"/>
  <c r="AI75" i="33"/>
  <c r="AH75" i="33"/>
  <c r="B7" i="33"/>
  <c r="A7" i="33" s="1"/>
  <c r="T83" i="32"/>
  <c r="Q83" i="32"/>
  <c r="Q7" i="32"/>
  <c r="AH214" i="32"/>
  <c r="P7" i="32"/>
  <c r="O83" i="32"/>
  <c r="N7" i="32"/>
  <c r="N83" i="32"/>
  <c r="K83" i="32"/>
  <c r="J83" i="32"/>
  <c r="J7" i="32"/>
  <c r="H7" i="32"/>
  <c r="H83" i="32"/>
  <c r="G83" i="32"/>
  <c r="F83" i="32"/>
  <c r="F7" i="32"/>
  <c r="E83" i="32"/>
  <c r="E7" i="32"/>
  <c r="C83" i="32"/>
  <c r="AK214" i="32"/>
  <c r="S7" i="32"/>
  <c r="AR214" i="32"/>
  <c r="Z7" i="32"/>
  <c r="S83" i="32"/>
  <c r="Y214" i="32"/>
  <c r="C209" i="32"/>
  <c r="B209" i="32"/>
  <c r="G7" i="32"/>
  <c r="U214" i="32"/>
  <c r="C7" i="32"/>
  <c r="H102" i="32"/>
  <c r="V214" i="32"/>
  <c r="D7" i="32"/>
  <c r="AE214" i="32"/>
  <c r="M7" i="32"/>
  <c r="F194" i="32"/>
  <c r="E200" i="32"/>
  <c r="G103" i="32"/>
  <c r="F93" i="32"/>
  <c r="AJ214" i="32"/>
  <c r="R7" i="32"/>
  <c r="AG214" i="32"/>
  <c r="O7" i="32"/>
  <c r="E235" i="32"/>
  <c r="G199" i="32"/>
  <c r="AC214" i="32"/>
  <c r="K7" i="32"/>
  <c r="M83" i="32"/>
  <c r="AI82" i="32"/>
  <c r="AH82" i="32"/>
  <c r="D83" i="32"/>
  <c r="AI83" i="34" l="1"/>
  <c r="AH83" i="34"/>
  <c r="AH83" i="33"/>
  <c r="AI83" i="33"/>
  <c r="K6" i="32"/>
  <c r="I102" i="32"/>
  <c r="H103" i="32"/>
  <c r="G93" i="32"/>
  <c r="G192" i="32"/>
  <c r="F235" i="32"/>
  <c r="H199" i="32"/>
  <c r="G194" i="32"/>
  <c r="F200" i="32"/>
  <c r="I103" i="32" l="1"/>
  <c r="H93" i="32"/>
  <c r="H192" i="32"/>
  <c r="H194" i="32"/>
  <c r="G200" i="32"/>
  <c r="I192" i="32"/>
  <c r="J102" i="32"/>
  <c r="G235" i="32"/>
  <c r="I199" i="32"/>
  <c r="H200" i="32" l="1"/>
  <c r="I194" i="32"/>
  <c r="K102" i="32"/>
  <c r="H235" i="32"/>
  <c r="J199" i="32"/>
  <c r="J103" i="32"/>
  <c r="K103" i="32" l="1"/>
  <c r="J93" i="32"/>
  <c r="K199" i="32"/>
  <c r="I235" i="32"/>
  <c r="K192" i="32"/>
  <c r="L102" i="32"/>
  <c r="J192" i="32"/>
  <c r="I200" i="32"/>
  <c r="J194" i="32"/>
  <c r="I93" i="32"/>
  <c r="M102" i="32" l="1"/>
  <c r="L199" i="32"/>
  <c r="J235" i="32"/>
  <c r="J200" i="32"/>
  <c r="K194" i="32"/>
  <c r="K93" i="32"/>
  <c r="L103" i="32"/>
  <c r="L37" i="31"/>
  <c r="K37" i="31"/>
  <c r="J37" i="31"/>
  <c r="I37" i="31"/>
  <c r="H37" i="31"/>
  <c r="G37" i="31"/>
  <c r="F37" i="31"/>
  <c r="E37" i="31"/>
  <c r="AH100" i="31"/>
  <c r="AI100" i="31" s="1"/>
  <c r="AH99" i="31"/>
  <c r="AI99" i="31" s="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239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B235" i="31"/>
  <c r="S210" i="31"/>
  <c r="AG200" i="31"/>
  <c r="C200" i="31"/>
  <c r="E199" i="31"/>
  <c r="D235" i="31" s="1"/>
  <c r="D199" i="31"/>
  <c r="C235" i="31" s="1"/>
  <c r="Q198" i="31"/>
  <c r="R198" i="31" s="1"/>
  <c r="S198" i="31" s="1"/>
  <c r="T198" i="31" s="1"/>
  <c r="U198" i="31" s="1"/>
  <c r="V198" i="31" s="1"/>
  <c r="W198" i="31" s="1"/>
  <c r="X198" i="31" s="1"/>
  <c r="Y198" i="31" s="1"/>
  <c r="Z198" i="31" s="1"/>
  <c r="AA198" i="31" s="1"/>
  <c r="AB198" i="31" s="1"/>
  <c r="AC198" i="31" s="1"/>
  <c r="AD198" i="31" s="1"/>
  <c r="AE198" i="31" s="1"/>
  <c r="AF198" i="31" s="1"/>
  <c r="B198" i="31" s="1"/>
  <c r="N198" i="31"/>
  <c r="O198" i="31" s="1"/>
  <c r="P198" i="31" s="1"/>
  <c r="F198" i="31"/>
  <c r="G198" i="31" s="1"/>
  <c r="H198" i="31" s="1"/>
  <c r="I198" i="31" s="1"/>
  <c r="J198" i="31" s="1"/>
  <c r="K198" i="31" s="1"/>
  <c r="L198" i="31" s="1"/>
  <c r="M198" i="31" s="1"/>
  <c r="E198" i="31"/>
  <c r="D198" i="3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AE196" i="31"/>
  <c r="AF196" i="31" s="1"/>
  <c r="B196" i="31" s="1"/>
  <c r="P196" i="3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E196" i="3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D196" i="31"/>
  <c r="D195" i="31"/>
  <c r="F194" i="31"/>
  <c r="E194" i="31"/>
  <c r="D194" i="31"/>
  <c r="AG192" i="31"/>
  <c r="C192" i="31"/>
  <c r="F191" i="31"/>
  <c r="G191" i="31" s="1"/>
  <c r="H191" i="31" s="1"/>
  <c r="I191" i="31" s="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B191" i="31" s="1"/>
  <c r="D191" i="31"/>
  <c r="E191" i="31" s="1"/>
  <c r="G190" i="3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D190" i="31"/>
  <c r="E190" i="31" s="1"/>
  <c r="F190" i="31" s="1"/>
  <c r="E189" i="3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D189" i="31"/>
  <c r="D188" i="3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AF187" i="31"/>
  <c r="B187" i="31" s="1"/>
  <c r="J187" i="3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F187" i="31"/>
  <c r="G187" i="31" s="1"/>
  <c r="H187" i="31" s="1"/>
  <c r="I187" i="31" s="1"/>
  <c r="D187" i="31"/>
  <c r="E187" i="31" s="1"/>
  <c r="I186" i="3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D186" i="31"/>
  <c r="E186" i="31" s="1"/>
  <c r="F186" i="31" s="1"/>
  <c r="G186" i="31" s="1"/>
  <c r="H186" i="31" s="1"/>
  <c r="AC185" i="31"/>
  <c r="AD185" i="31" s="1"/>
  <c r="AE185" i="31" s="1"/>
  <c r="AF185" i="31" s="1"/>
  <c r="B185" i="31" s="1"/>
  <c r="K185" i="3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G185" i="31"/>
  <c r="H185" i="31" s="1"/>
  <c r="I185" i="31" s="1"/>
  <c r="J185" i="31" s="1"/>
  <c r="F185" i="31"/>
  <c r="E185" i="31"/>
  <c r="D185" i="31"/>
  <c r="AD184" i="31"/>
  <c r="AE184" i="31" s="1"/>
  <c r="AF184" i="31" s="1"/>
  <c r="B184" i="31" s="1"/>
  <c r="AA184" i="31"/>
  <c r="AB184" i="31" s="1"/>
  <c r="AC184" i="31" s="1"/>
  <c r="F184" i="3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E184" i="31"/>
  <c r="D184" i="31"/>
  <c r="H183" i="3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F183" i="31"/>
  <c r="G183" i="31" s="1"/>
  <c r="D183" i="31"/>
  <c r="E183" i="31" s="1"/>
  <c r="AC182" i="31"/>
  <c r="AD182" i="31" s="1"/>
  <c r="AE182" i="31" s="1"/>
  <c r="AF182" i="31" s="1"/>
  <c r="B182" i="31" s="1"/>
  <c r="O182" i="3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E182" i="31"/>
  <c r="F182" i="31" s="1"/>
  <c r="G182" i="31" s="1"/>
  <c r="H182" i="31" s="1"/>
  <c r="I182" i="31" s="1"/>
  <c r="J182" i="31" s="1"/>
  <c r="K182" i="31" s="1"/>
  <c r="L182" i="31" s="1"/>
  <c r="M182" i="31" s="1"/>
  <c r="N182" i="31" s="1"/>
  <c r="D182" i="31"/>
  <c r="F181" i="3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D181" i="31"/>
  <c r="E181" i="31" s="1"/>
  <c r="H180" i="3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E180" i="31"/>
  <c r="F180" i="31" s="1"/>
  <c r="G180" i="31" s="1"/>
  <c r="D180" i="3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P177" i="3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B177" i="31" s="1"/>
  <c r="I177" i="31"/>
  <c r="J177" i="31" s="1"/>
  <c r="K177" i="31" s="1"/>
  <c r="L177" i="31" s="1"/>
  <c r="M177" i="31" s="1"/>
  <c r="N177" i="31" s="1"/>
  <c r="O177" i="31" s="1"/>
  <c r="G177" i="31"/>
  <c r="H177" i="31" s="1"/>
  <c r="E177" i="31"/>
  <c r="F177" i="31" s="1"/>
  <c r="D177" i="31"/>
  <c r="I176" i="3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E176" i="31"/>
  <c r="F176" i="31" s="1"/>
  <c r="G176" i="31" s="1"/>
  <c r="H176" i="31" s="1"/>
  <c r="D176" i="31"/>
  <c r="V175" i="3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F175" i="3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D175" i="31"/>
  <c r="E175" i="31" s="1"/>
  <c r="K174" i="3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F174" i="31"/>
  <c r="G174" i="31" s="1"/>
  <c r="H174" i="31" s="1"/>
  <c r="I174" i="31" s="1"/>
  <c r="J174" i="31" s="1"/>
  <c r="E174" i="31"/>
  <c r="D174" i="31"/>
  <c r="M173" i="3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3" i="31"/>
  <c r="E173" i="31" s="1"/>
  <c r="F173" i="31" s="1"/>
  <c r="G173" i="31" s="1"/>
  <c r="H173" i="31" s="1"/>
  <c r="I173" i="31" s="1"/>
  <c r="J173" i="31" s="1"/>
  <c r="K173" i="31" s="1"/>
  <c r="L173" i="31" s="1"/>
  <c r="K172" i="3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E172" i="31"/>
  <c r="F172" i="31" s="1"/>
  <c r="G172" i="31" s="1"/>
  <c r="H172" i="31" s="1"/>
  <c r="I172" i="31" s="1"/>
  <c r="J172" i="31" s="1"/>
  <c r="D172" i="31"/>
  <c r="K171" i="3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H171" i="31"/>
  <c r="I171" i="31" s="1"/>
  <c r="J171" i="31" s="1"/>
  <c r="E171" i="31"/>
  <c r="F171" i="31" s="1"/>
  <c r="G171" i="31" s="1"/>
  <c r="D171" i="3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T168" i="3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B168" i="31" s="1"/>
  <c r="D168" i="3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G167" i="3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E167" i="31"/>
  <c r="F167" i="31" s="1"/>
  <c r="D167" i="31"/>
  <c r="L166" i="3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H166" i="31"/>
  <c r="I166" i="31" s="1"/>
  <c r="J166" i="31" s="1"/>
  <c r="K166" i="31" s="1"/>
  <c r="F166" i="31"/>
  <c r="G166" i="31" s="1"/>
  <c r="D166" i="31"/>
  <c r="E166" i="31" s="1"/>
  <c r="D165" i="31"/>
  <c r="E165" i="31" s="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T164" i="3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H164" i="3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E164" i="31"/>
  <c r="F164" i="31" s="1"/>
  <c r="G164" i="31" s="1"/>
  <c r="D164" i="31"/>
  <c r="G163" i="3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E163" i="31"/>
  <c r="F163" i="31" s="1"/>
  <c r="D163" i="31"/>
  <c r="E162" i="3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D162" i="31"/>
  <c r="G161" i="3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D161" i="31"/>
  <c r="E161" i="31" s="1"/>
  <c r="F161" i="31" s="1"/>
  <c r="M160" i="3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E160" i="31"/>
  <c r="F160" i="31" s="1"/>
  <c r="G160" i="31" s="1"/>
  <c r="H160" i="31" s="1"/>
  <c r="I160" i="31" s="1"/>
  <c r="J160" i="31" s="1"/>
  <c r="K160" i="31" s="1"/>
  <c r="L160" i="31" s="1"/>
  <c r="D160" i="31"/>
  <c r="K159" i="3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I159" i="31"/>
  <c r="J159" i="31" s="1"/>
  <c r="E159" i="31"/>
  <c r="F159" i="31" s="1"/>
  <c r="G159" i="31" s="1"/>
  <c r="H159" i="31" s="1"/>
  <c r="D159" i="31"/>
  <c r="N158" i="3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E158" i="31"/>
  <c r="F158" i="31" s="1"/>
  <c r="G158" i="31" s="1"/>
  <c r="H158" i="31" s="1"/>
  <c r="I158" i="31" s="1"/>
  <c r="J158" i="31" s="1"/>
  <c r="K158" i="31" s="1"/>
  <c r="L158" i="31" s="1"/>
  <c r="M158" i="31" s="1"/>
  <c r="D158" i="31"/>
  <c r="G157" i="3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D157" i="31"/>
  <c r="E157" i="31" s="1"/>
  <c r="F157" i="31" s="1"/>
  <c r="G156" i="3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D156" i="31"/>
  <c r="E156" i="31" s="1"/>
  <c r="F156" i="31" s="1"/>
  <c r="J154" i="3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B154" i="31" s="1"/>
  <c r="G154" i="31"/>
  <c r="H154" i="31" s="1"/>
  <c r="I154" i="31" s="1"/>
  <c r="E154" i="31"/>
  <c r="F154" i="31" s="1"/>
  <c r="D154" i="31"/>
  <c r="O153" i="3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E153" i="31"/>
  <c r="F153" i="31" s="1"/>
  <c r="G153" i="31" s="1"/>
  <c r="H153" i="31" s="1"/>
  <c r="I153" i="31" s="1"/>
  <c r="J153" i="31" s="1"/>
  <c r="K153" i="31" s="1"/>
  <c r="L153" i="31" s="1"/>
  <c r="M153" i="31" s="1"/>
  <c r="N153" i="31" s="1"/>
  <c r="D153" i="31"/>
  <c r="K152" i="3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F152" i="31"/>
  <c r="G152" i="31" s="1"/>
  <c r="H152" i="31" s="1"/>
  <c r="I152" i="31" s="1"/>
  <c r="J152" i="31" s="1"/>
  <c r="D152" i="31"/>
  <c r="E152" i="31" s="1"/>
  <c r="K151" i="3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I151" i="31"/>
  <c r="J151" i="31" s="1"/>
  <c r="E151" i="31"/>
  <c r="F151" i="31" s="1"/>
  <c r="G151" i="31" s="1"/>
  <c r="H151" i="31" s="1"/>
  <c r="D151" i="31"/>
  <c r="F149" i="3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B149" i="31" s="1"/>
  <c r="E149" i="31"/>
  <c r="D149" i="31"/>
  <c r="O148" i="3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L148" i="31"/>
  <c r="M148" i="31" s="1"/>
  <c r="N148" i="31" s="1"/>
  <c r="I148" i="31"/>
  <c r="J148" i="31" s="1"/>
  <c r="K148" i="31" s="1"/>
  <c r="G148" i="31"/>
  <c r="H148" i="31" s="1"/>
  <c r="E148" i="31"/>
  <c r="F148" i="31" s="1"/>
  <c r="D148" i="31"/>
  <c r="AD146" i="31"/>
  <c r="AE146" i="31" s="1"/>
  <c r="AF146" i="31" s="1"/>
  <c r="B146" i="31" s="1"/>
  <c r="F146" i="3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D146" i="31"/>
  <c r="E146" i="31" s="1"/>
  <c r="F145" i="3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D145" i="31"/>
  <c r="E145" i="31" s="1"/>
  <c r="J144" i="3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E144" i="31"/>
  <c r="F144" i="31" s="1"/>
  <c r="G144" i="31" s="1"/>
  <c r="H144" i="31" s="1"/>
  <c r="I144" i="31" s="1"/>
  <c r="D144" i="31"/>
  <c r="D143" i="3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F142" i="31"/>
  <c r="G142" i="31" s="1"/>
  <c r="H142" i="31" s="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E142" i="31" s="1"/>
  <c r="E141" i="3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1" i="31"/>
  <c r="E140" i="3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D140" i="31"/>
  <c r="I138" i="3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B138" i="31" s="1"/>
  <c r="H138" i="31"/>
  <c r="D138" i="31"/>
  <c r="E138" i="31" s="1"/>
  <c r="F138" i="31" s="1"/>
  <c r="G138" i="31" s="1"/>
  <c r="P137" i="3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G137" i="31"/>
  <c r="H137" i="31" s="1"/>
  <c r="I137" i="31" s="1"/>
  <c r="J137" i="31" s="1"/>
  <c r="K137" i="31" s="1"/>
  <c r="L137" i="31" s="1"/>
  <c r="M137" i="31" s="1"/>
  <c r="N137" i="31" s="1"/>
  <c r="O137" i="31" s="1"/>
  <c r="F137" i="31"/>
  <c r="D137" i="31"/>
  <c r="E137" i="31" s="1"/>
  <c r="G136" i="3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F136" i="31"/>
  <c r="E136" i="31"/>
  <c r="D136" i="31"/>
  <c r="E135" i="3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D135" i="31"/>
  <c r="E134" i="3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D134" i="31"/>
  <c r="I133" i="3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F133" i="31"/>
  <c r="G133" i="31" s="1"/>
  <c r="H133" i="31" s="1"/>
  <c r="D133" i="31"/>
  <c r="E133" i="31" s="1"/>
  <c r="N132" i="3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E132" i="31"/>
  <c r="F132" i="31" s="1"/>
  <c r="G132" i="31" s="1"/>
  <c r="H132" i="31" s="1"/>
  <c r="I132" i="31" s="1"/>
  <c r="J132" i="31" s="1"/>
  <c r="K132" i="31" s="1"/>
  <c r="L132" i="31" s="1"/>
  <c r="M132" i="31" s="1"/>
  <c r="D132" i="31"/>
  <c r="E131" i="3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D131" i="31"/>
  <c r="D129" i="31"/>
  <c r="E129" i="31" s="1"/>
  <c r="F129" i="31" s="1"/>
  <c r="G129" i="31" s="1"/>
  <c r="H129" i="31" s="1"/>
  <c r="I129" i="31" s="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B129" i="31" s="1"/>
  <c r="F128" i="3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8" i="31"/>
  <c r="E128" i="31" s="1"/>
  <c r="D127" i="3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E126" i="3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D126" i="31"/>
  <c r="D125" i="31"/>
  <c r="E125" i="31" s="1"/>
  <c r="F125" i="31" s="1"/>
  <c r="G125" i="31" s="1"/>
  <c r="H125" i="31" s="1"/>
  <c r="I125" i="31" s="1"/>
  <c r="J125" i="31" s="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L123" i="3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3" i="31"/>
  <c r="E123" i="31" s="1"/>
  <c r="F123" i="31" s="1"/>
  <c r="G123" i="31" s="1"/>
  <c r="H123" i="31" s="1"/>
  <c r="I123" i="31" s="1"/>
  <c r="J123" i="31" s="1"/>
  <c r="K123" i="31" s="1"/>
  <c r="F122" i="3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E122" i="31"/>
  <c r="D122" i="31"/>
  <c r="E121" i="3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1" i="31"/>
  <c r="F120" i="3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D120" i="31"/>
  <c r="E120" i="31" s="1"/>
  <c r="F119" i="3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E119" i="31"/>
  <c r="D119" i="31"/>
  <c r="M118" i="3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E118" i="31"/>
  <c r="F118" i="31" s="1"/>
  <c r="G118" i="31" s="1"/>
  <c r="H118" i="31" s="1"/>
  <c r="I118" i="31" s="1"/>
  <c r="J118" i="31" s="1"/>
  <c r="K118" i="31" s="1"/>
  <c r="L118" i="31" s="1"/>
  <c r="D118" i="31"/>
  <c r="F117" i="31"/>
  <c r="G117" i="31" s="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D117" i="31"/>
  <c r="E117" i="31" s="1"/>
  <c r="D116" i="3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L115" i="3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D115" i="31"/>
  <c r="E115" i="31" s="1"/>
  <c r="F115" i="31" s="1"/>
  <c r="G115" i="31" s="1"/>
  <c r="H115" i="31" s="1"/>
  <c r="I115" i="31" s="1"/>
  <c r="J115" i="31" s="1"/>
  <c r="K115" i="31" s="1"/>
  <c r="L114" i="3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K114" i="31"/>
  <c r="D114" i="31"/>
  <c r="E114" i="31" s="1"/>
  <c r="F114" i="31" s="1"/>
  <c r="G114" i="31" s="1"/>
  <c r="H114" i="31" s="1"/>
  <c r="I114" i="31" s="1"/>
  <c r="G113" i="3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D113" i="31"/>
  <c r="E113" i="31" s="1"/>
  <c r="F113" i="31" s="1"/>
  <c r="E112" i="3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D112" i="31"/>
  <c r="E110" i="3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B110" i="31" s="1"/>
  <c r="D110" i="31"/>
  <c r="D109" i="3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B107" i="31" s="1"/>
  <c r="G106" i="3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F106" i="31"/>
  <c r="E106" i="31"/>
  <c r="D106" i="31"/>
  <c r="F105" i="3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D105" i="31"/>
  <c r="E105" i="31" s="1"/>
  <c r="J104" i="3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I104" i="31"/>
  <c r="F104" i="31"/>
  <c r="G104" i="31" s="1"/>
  <c r="H104" i="31" s="1"/>
  <c r="D104" i="31"/>
  <c r="E104" i="31" s="1"/>
  <c r="G103" i="31"/>
  <c r="H103" i="31" s="1"/>
  <c r="E103" i="31"/>
  <c r="F103" i="31" s="1"/>
  <c r="D103" i="31"/>
  <c r="E102" i="31"/>
  <c r="D102" i="3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G82" i="31"/>
  <c r="AI81" i="31"/>
  <c r="AH81" i="31"/>
  <c r="AF80" i="31"/>
  <c r="AE80" i="31"/>
  <c r="AD80" i="31"/>
  <c r="AC80" i="31"/>
  <c r="AB80" i="31"/>
  <c r="AA80" i="31"/>
  <c r="Z80" i="31"/>
  <c r="Y80" i="31"/>
  <c r="X80" i="31"/>
  <c r="W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C80" i="31"/>
  <c r="B80" i="31"/>
  <c r="AF79" i="31"/>
  <c r="AE79" i="31"/>
  <c r="AD79" i="31"/>
  <c r="AC79" i="31"/>
  <c r="AB79" i="31"/>
  <c r="AA79" i="31"/>
  <c r="Z79" i="31"/>
  <c r="Y79" i="31"/>
  <c r="X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E79" i="31"/>
  <c r="D79" i="31"/>
  <c r="C79" i="31"/>
  <c r="B79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J82" i="31" s="1"/>
  <c r="I77" i="31"/>
  <c r="H77" i="31"/>
  <c r="G77" i="31"/>
  <c r="F77" i="31"/>
  <c r="E77" i="31"/>
  <c r="D77" i="31"/>
  <c r="C77" i="31"/>
  <c r="B77" i="31"/>
  <c r="AF76" i="31"/>
  <c r="AE76" i="31"/>
  <c r="AD76" i="31"/>
  <c r="AD82" i="31" s="1"/>
  <c r="AC76" i="31"/>
  <c r="AB76" i="31"/>
  <c r="AA76" i="31"/>
  <c r="Z76" i="31"/>
  <c r="Y76" i="31"/>
  <c r="X76" i="31"/>
  <c r="W76" i="31"/>
  <c r="W82" i="31" s="1"/>
  <c r="V76" i="31"/>
  <c r="U76" i="31"/>
  <c r="U82" i="31" s="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AI74" i="31"/>
  <c r="AH74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AI71" i="31"/>
  <c r="AH71" i="31"/>
  <c r="AI70" i="31"/>
  <c r="AH70" i="31"/>
  <c r="AI69" i="31"/>
  <c r="AH69" i="31"/>
  <c r="AG68" i="31"/>
  <c r="AG73" i="31" s="1"/>
  <c r="AF68" i="31"/>
  <c r="AE5" i="31" s="1"/>
  <c r="AE68" i="31"/>
  <c r="AD5" i="31" s="1"/>
  <c r="AD68" i="31"/>
  <c r="AC5" i="31" s="1"/>
  <c r="AC68" i="31"/>
  <c r="AB68" i="31"/>
  <c r="AA5" i="31" s="1"/>
  <c r="AA68" i="31"/>
  <c r="Z5" i="31" s="1"/>
  <c r="Z68" i="31"/>
  <c r="Y68" i="31"/>
  <c r="X5" i="31" s="1"/>
  <c r="X68" i="31"/>
  <c r="W68" i="31"/>
  <c r="V5" i="31" s="1"/>
  <c r="V68" i="31"/>
  <c r="U5" i="31" s="1"/>
  <c r="U68" i="31"/>
  <c r="T68" i="31"/>
  <c r="S5" i="31" s="1"/>
  <c r="S68" i="31"/>
  <c r="R5" i="31" s="1"/>
  <c r="R68" i="31"/>
  <c r="Q5" i="31" s="1"/>
  <c r="Q68" i="31"/>
  <c r="P5" i="31" s="1"/>
  <c r="P68" i="31"/>
  <c r="O5" i="31" s="1"/>
  <c r="O68" i="31"/>
  <c r="N5" i="31" s="1"/>
  <c r="N68" i="31"/>
  <c r="M68" i="31"/>
  <c r="L68" i="31"/>
  <c r="K5" i="31" s="1"/>
  <c r="K68" i="31"/>
  <c r="J5" i="31" s="1"/>
  <c r="J68" i="31"/>
  <c r="I5" i="31" s="1"/>
  <c r="I68" i="31"/>
  <c r="H5" i="31" s="1"/>
  <c r="H68" i="31"/>
  <c r="G5" i="31" s="1"/>
  <c r="G68" i="31"/>
  <c r="F5" i="31" s="1"/>
  <c r="F68" i="31"/>
  <c r="E5" i="31" s="1"/>
  <c r="E68" i="31"/>
  <c r="D68" i="31"/>
  <c r="C5" i="31" s="1"/>
  <c r="C68" i="31"/>
  <c r="B5" i="31" s="1"/>
  <c r="B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G4" i="31" s="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AI55" i="31"/>
  <c r="AH55" i="31"/>
  <c r="AI54" i="31"/>
  <c r="AH54" i="31"/>
  <c r="AI53" i="31"/>
  <c r="AH53" i="31"/>
  <c r="AG52" i="31"/>
  <c r="AG3" i="31" s="1"/>
  <c r="Z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Y5" i="31"/>
  <c r="W5" i="31"/>
  <c r="K4" i="31"/>
  <c r="B4" i="31"/>
  <c r="AG2" i="31"/>
  <c r="AE37" i="30"/>
  <c r="AD37" i="30"/>
  <c r="AC37" i="30"/>
  <c r="AB37" i="30"/>
  <c r="S37" i="30"/>
  <c r="R37" i="30"/>
  <c r="Q37" i="30"/>
  <c r="P37" i="30"/>
  <c r="O37" i="30"/>
  <c r="N37" i="30"/>
  <c r="E4" i="31"/>
  <c r="M103" i="32" l="1"/>
  <c r="L93" i="32"/>
  <c r="K200" i="32"/>
  <c r="L194" i="32"/>
  <c r="M199" i="32"/>
  <c r="K235" i="32"/>
  <c r="M192" i="32"/>
  <c r="N102" i="32"/>
  <c r="L192" i="32"/>
  <c r="AE82" i="31"/>
  <c r="AC82" i="31"/>
  <c r="AB82" i="31"/>
  <c r="AA82" i="31"/>
  <c r="Z82" i="31"/>
  <c r="Z75" i="31"/>
  <c r="Z73" i="31"/>
  <c r="Y82" i="31"/>
  <c r="X82" i="31"/>
  <c r="V82" i="31"/>
  <c r="T82" i="31"/>
  <c r="T73" i="31"/>
  <c r="S82" i="31"/>
  <c r="S73" i="31"/>
  <c r="R75" i="31"/>
  <c r="R82" i="31"/>
  <c r="R73" i="31"/>
  <c r="Q82" i="31"/>
  <c r="P82" i="31"/>
  <c r="P75" i="31"/>
  <c r="P73" i="31"/>
  <c r="O82" i="31"/>
  <c r="O73" i="31"/>
  <c r="O75" i="31"/>
  <c r="AG214" i="31" s="1"/>
  <c r="N82" i="31"/>
  <c r="M82" i="31"/>
  <c r="M75" i="31"/>
  <c r="AE214" i="31" s="1"/>
  <c r="L82" i="31"/>
  <c r="L73" i="31"/>
  <c r="K82" i="31"/>
  <c r="K75" i="31"/>
  <c r="K7" i="31" s="1"/>
  <c r="J75" i="31"/>
  <c r="J73" i="31"/>
  <c r="I82" i="31"/>
  <c r="H82" i="31"/>
  <c r="H75" i="31"/>
  <c r="AI56" i="31"/>
  <c r="H73" i="31"/>
  <c r="H83" i="31" s="1"/>
  <c r="G82" i="31"/>
  <c r="G75" i="31"/>
  <c r="Y214" i="31" s="1"/>
  <c r="G73" i="31"/>
  <c r="F82" i="31"/>
  <c r="AH80" i="31"/>
  <c r="AI80" i="31"/>
  <c r="AH78" i="31"/>
  <c r="E82" i="31"/>
  <c r="D82" i="31"/>
  <c r="D73" i="31"/>
  <c r="E75" i="31"/>
  <c r="E7" i="31" s="1"/>
  <c r="AI79" i="31"/>
  <c r="C82" i="31"/>
  <c r="AH68" i="31"/>
  <c r="C73" i="31"/>
  <c r="C75" i="31" s="1"/>
  <c r="C7" i="31" s="1"/>
  <c r="B82" i="31"/>
  <c r="AI77" i="31"/>
  <c r="AI68" i="31"/>
  <c r="H4" i="31"/>
  <c r="J83" i="31"/>
  <c r="Z83" i="31"/>
  <c r="AC214" i="31"/>
  <c r="G7" i="31"/>
  <c r="AI38" i="31"/>
  <c r="AB214" i="31"/>
  <c r="J7" i="31"/>
  <c r="AJ214" i="31"/>
  <c r="R7" i="31"/>
  <c r="AR214" i="31"/>
  <c r="Z7" i="31"/>
  <c r="AH38" i="31"/>
  <c r="I75" i="31"/>
  <c r="Q75" i="31"/>
  <c r="AG75" i="31"/>
  <c r="AG83" i="31" s="1"/>
  <c r="Z214" i="31"/>
  <c r="H7" i="31"/>
  <c r="AH72" i="31"/>
  <c r="AI72" i="31"/>
  <c r="Q73" i="31"/>
  <c r="AG6" i="31"/>
  <c r="AH56" i="31"/>
  <c r="D211" i="31"/>
  <c r="S211" i="31"/>
  <c r="AF82" i="31"/>
  <c r="D75" i="31"/>
  <c r="D83" i="31" s="1"/>
  <c r="L75" i="31"/>
  <c r="T75" i="31"/>
  <c r="T83" i="31" s="1"/>
  <c r="E73" i="31"/>
  <c r="E83" i="31" s="1"/>
  <c r="D5" i="31"/>
  <c r="M73" i="31"/>
  <c r="L5" i="31"/>
  <c r="T5" i="31"/>
  <c r="AB5" i="31"/>
  <c r="F75" i="31"/>
  <c r="N75" i="31"/>
  <c r="I73" i="31"/>
  <c r="S75" i="31"/>
  <c r="S83" i="31" s="1"/>
  <c r="AH76" i="31"/>
  <c r="E192" i="31"/>
  <c r="AH214" i="31"/>
  <c r="P7" i="31"/>
  <c r="D93" i="31"/>
  <c r="N73" i="31"/>
  <c r="G83" i="31"/>
  <c r="AI76" i="31"/>
  <c r="AI78" i="31"/>
  <c r="AH79" i="31"/>
  <c r="F102" i="31"/>
  <c r="I103" i="31"/>
  <c r="F73" i="31"/>
  <c r="O83" i="31"/>
  <c r="K73" i="31"/>
  <c r="K83" i="31" s="1"/>
  <c r="AH77" i="31"/>
  <c r="M5" i="31"/>
  <c r="O7" i="31"/>
  <c r="E109" i="31"/>
  <c r="D192" i="31"/>
  <c r="D200" i="31"/>
  <c r="E195" i="31"/>
  <c r="G194" i="31"/>
  <c r="F199" i="31"/>
  <c r="O102" i="32" l="1"/>
  <c r="N199" i="32"/>
  <c r="L235" i="32"/>
  <c r="L200" i="32"/>
  <c r="M194" i="32"/>
  <c r="N103" i="32"/>
  <c r="M93" i="32"/>
  <c r="R83" i="31"/>
  <c r="Q83" i="31"/>
  <c r="P83" i="31"/>
  <c r="N83" i="31"/>
  <c r="AI82" i="31"/>
  <c r="M83" i="31"/>
  <c r="M7" i="31"/>
  <c r="C209" i="31"/>
  <c r="AH82" i="31"/>
  <c r="I83" i="31"/>
  <c r="F83" i="31"/>
  <c r="W214" i="31"/>
  <c r="C83" i="31"/>
  <c r="U214" i="31"/>
  <c r="H194" i="31"/>
  <c r="AD214" i="31"/>
  <c r="L7" i="31"/>
  <c r="E200" i="31"/>
  <c r="F195" i="31"/>
  <c r="J103" i="31"/>
  <c r="V214" i="31"/>
  <c r="D7" i="31"/>
  <c r="G102" i="31"/>
  <c r="AF214" i="31"/>
  <c r="N7" i="31"/>
  <c r="AK214" i="31"/>
  <c r="S7" i="31"/>
  <c r="X214" i="31"/>
  <c r="F7" i="31"/>
  <c r="AI214" i="31"/>
  <c r="Q7" i="31"/>
  <c r="E93" i="31"/>
  <c r="F109" i="31"/>
  <c r="G199" i="31"/>
  <c r="E235" i="31"/>
  <c r="AA214" i="31"/>
  <c r="I7" i="31"/>
  <c r="B209" i="31"/>
  <c r="L83" i="31"/>
  <c r="AL214" i="31"/>
  <c r="T7" i="31"/>
  <c r="O103" i="32" l="1"/>
  <c r="N93" i="32"/>
  <c r="M200" i="32"/>
  <c r="N194" i="32"/>
  <c r="M235" i="32"/>
  <c r="O199" i="32"/>
  <c r="O192" i="32"/>
  <c r="P102" i="32"/>
  <c r="N192" i="32"/>
  <c r="K6" i="31"/>
  <c r="G109" i="31"/>
  <c r="G192" i="31" s="1"/>
  <c r="F93" i="31"/>
  <c r="K103" i="31"/>
  <c r="G195" i="31"/>
  <c r="F200" i="31"/>
  <c r="H102" i="31"/>
  <c r="F192" i="31"/>
  <c r="F235" i="31"/>
  <c r="H199" i="31"/>
  <c r="I194" i="31"/>
  <c r="Q102" i="32" l="1"/>
  <c r="N235" i="32"/>
  <c r="P199" i="32"/>
  <c r="O194" i="32"/>
  <c r="N200" i="32"/>
  <c r="P103" i="32"/>
  <c r="O93" i="32"/>
  <c r="J194" i="31"/>
  <c r="H195" i="31"/>
  <c r="G200" i="31"/>
  <c r="I199" i="31"/>
  <c r="G235" i="31"/>
  <c r="L103" i="31"/>
  <c r="I102" i="31"/>
  <c r="H109" i="31"/>
  <c r="G93" i="31"/>
  <c r="Q103" i="32" l="1"/>
  <c r="P93" i="32"/>
  <c r="P194" i="32"/>
  <c r="O200" i="32"/>
  <c r="Q192" i="32"/>
  <c r="R102" i="32"/>
  <c r="O235" i="32"/>
  <c r="Q199" i="32"/>
  <c r="P192" i="32"/>
  <c r="M103" i="31"/>
  <c r="I109" i="31"/>
  <c r="H93" i="31"/>
  <c r="I195" i="31"/>
  <c r="H200" i="31"/>
  <c r="I192" i="31"/>
  <c r="J102" i="31"/>
  <c r="K194" i="31"/>
  <c r="J199" i="31"/>
  <c r="H235" i="31"/>
  <c r="H192" i="31"/>
  <c r="P235" i="32" l="1"/>
  <c r="R199" i="32"/>
  <c r="S102" i="32"/>
  <c r="Q194" i="32"/>
  <c r="P200" i="32"/>
  <c r="R103" i="32"/>
  <c r="Q93" i="32"/>
  <c r="J195" i="31"/>
  <c r="I200" i="31"/>
  <c r="L194" i="31"/>
  <c r="J109" i="31"/>
  <c r="I93" i="31"/>
  <c r="K199" i="31"/>
  <c r="I235" i="31"/>
  <c r="K102" i="31"/>
  <c r="N103" i="31"/>
  <c r="S103" i="32" l="1"/>
  <c r="S192" i="32"/>
  <c r="T102" i="32"/>
  <c r="R192" i="32"/>
  <c r="R194" i="32"/>
  <c r="R93" i="32" s="1"/>
  <c r="Q200" i="32"/>
  <c r="Q235" i="32"/>
  <c r="S199" i="32"/>
  <c r="K109" i="31"/>
  <c r="J93" i="31"/>
  <c r="O103" i="31"/>
  <c r="M194" i="31"/>
  <c r="K192" i="31"/>
  <c r="L102" i="31"/>
  <c r="J235" i="31"/>
  <c r="L199" i="31"/>
  <c r="J192" i="31"/>
  <c r="K195" i="31"/>
  <c r="J200" i="31"/>
  <c r="U102" i="32" l="1"/>
  <c r="R200" i="32"/>
  <c r="S194" i="32"/>
  <c r="R235" i="32"/>
  <c r="T199" i="32"/>
  <c r="S93" i="32"/>
  <c r="T103" i="32"/>
  <c r="M102" i="31"/>
  <c r="N194" i="31"/>
  <c r="L195" i="31"/>
  <c r="K200" i="31"/>
  <c r="P103" i="31"/>
  <c r="K235" i="31"/>
  <c r="M199" i="31"/>
  <c r="L109" i="31"/>
  <c r="K93" i="31"/>
  <c r="U103" i="32" l="1"/>
  <c r="U199" i="32"/>
  <c r="S235" i="32"/>
  <c r="S200" i="32"/>
  <c r="T194" i="32"/>
  <c r="U192" i="32"/>
  <c r="V102" i="32"/>
  <c r="T192" i="32"/>
  <c r="Q103" i="31"/>
  <c r="M195" i="31"/>
  <c r="L200" i="31"/>
  <c r="L235" i="31"/>
  <c r="N199" i="31"/>
  <c r="M192" i="31"/>
  <c r="N102" i="31"/>
  <c r="M109" i="31"/>
  <c r="L93" i="31"/>
  <c r="O194" i="31"/>
  <c r="L192" i="31"/>
  <c r="W102" i="32" l="1"/>
  <c r="T200" i="32"/>
  <c r="U194" i="32"/>
  <c r="V199" i="32"/>
  <c r="T235" i="32"/>
  <c r="T93" i="32"/>
  <c r="V103" i="32"/>
  <c r="O102" i="31"/>
  <c r="M235" i="31"/>
  <c r="O199" i="31"/>
  <c r="P194" i="31"/>
  <c r="N195" i="31"/>
  <c r="M200" i="31"/>
  <c r="N109" i="31"/>
  <c r="M93" i="31"/>
  <c r="R103" i="31"/>
  <c r="W103" i="32" l="1"/>
  <c r="W199" i="32"/>
  <c r="U235" i="32"/>
  <c r="U200" i="32"/>
  <c r="U51" i="32" s="1"/>
  <c r="U52" i="32" s="1"/>
  <c r="V194" i="32"/>
  <c r="W192" i="32"/>
  <c r="X102" i="32"/>
  <c r="U93" i="32"/>
  <c r="V192" i="32"/>
  <c r="O195" i="31"/>
  <c r="N200" i="31"/>
  <c r="Q194" i="31"/>
  <c r="S103" i="31"/>
  <c r="N235" i="31"/>
  <c r="P199" i="31"/>
  <c r="P102" i="31"/>
  <c r="O109" i="31"/>
  <c r="N93" i="31"/>
  <c r="N192" i="31"/>
  <c r="Y102" i="32" l="1"/>
  <c r="U73" i="32"/>
  <c r="U75" i="32"/>
  <c r="V235" i="32"/>
  <c r="X199" i="32"/>
  <c r="W194" i="32"/>
  <c r="V200" i="32"/>
  <c r="V51" i="32" s="1"/>
  <c r="V52" i="32" s="1"/>
  <c r="V93" i="32"/>
  <c r="X103" i="32"/>
  <c r="W93" i="32"/>
  <c r="Q199" i="31"/>
  <c r="O235" i="31"/>
  <c r="R194" i="31"/>
  <c r="T103" i="31"/>
  <c r="P109" i="31"/>
  <c r="O93" i="31"/>
  <c r="Q102" i="31"/>
  <c r="O192" i="31"/>
  <c r="P195" i="31"/>
  <c r="O200" i="31"/>
  <c r="W235" i="32" l="1"/>
  <c r="Y199" i="32"/>
  <c r="V75" i="32"/>
  <c r="V73" i="32"/>
  <c r="AM214" i="32"/>
  <c r="U7" i="32"/>
  <c r="X194" i="32"/>
  <c r="W200" i="32"/>
  <c r="W51" i="32" s="1"/>
  <c r="W52" i="32" s="1"/>
  <c r="U83" i="32"/>
  <c r="Y103" i="32"/>
  <c r="X93" i="32"/>
  <c r="Y192" i="32"/>
  <c r="Z102" i="32"/>
  <c r="X192" i="32"/>
  <c r="Q109" i="31"/>
  <c r="P93" i="31"/>
  <c r="U103" i="31"/>
  <c r="Q195" i="31"/>
  <c r="P200" i="31"/>
  <c r="S194" i="31"/>
  <c r="Q192" i="31"/>
  <c r="R102" i="31"/>
  <c r="P192" i="31"/>
  <c r="P235" i="31"/>
  <c r="R199" i="31"/>
  <c r="V83" i="32" l="1"/>
  <c r="X200" i="32"/>
  <c r="X51" i="32" s="1"/>
  <c r="X52" i="32" s="1"/>
  <c r="Y194" i="32"/>
  <c r="W73" i="32"/>
  <c r="W75" i="32"/>
  <c r="Z192" i="32"/>
  <c r="AA102" i="32"/>
  <c r="AN214" i="32"/>
  <c r="V7" i="32"/>
  <c r="Z103" i="32"/>
  <c r="Y93" i="32"/>
  <c r="X235" i="32"/>
  <c r="Z199" i="32"/>
  <c r="R195" i="31"/>
  <c r="Q200" i="31"/>
  <c r="S199" i="31"/>
  <c r="Q235" i="31"/>
  <c r="V103" i="31"/>
  <c r="T194" i="31"/>
  <c r="S102" i="31"/>
  <c r="R109" i="31"/>
  <c r="Q93" i="31"/>
  <c r="AB102" i="32" l="1"/>
  <c r="Y235" i="32"/>
  <c r="AA199" i="32"/>
  <c r="AO214" i="32"/>
  <c r="W7" i="32"/>
  <c r="W83" i="32"/>
  <c r="Z194" i="32"/>
  <c r="Y200" i="32"/>
  <c r="Y51" i="32" s="1"/>
  <c r="Y52" i="32" s="1"/>
  <c r="AA103" i="32"/>
  <c r="X75" i="32"/>
  <c r="X73" i="32"/>
  <c r="U194" i="31"/>
  <c r="W103" i="31"/>
  <c r="S109" i="31"/>
  <c r="R93" i="31"/>
  <c r="S192" i="31"/>
  <c r="T102" i="31"/>
  <c r="T199" i="31"/>
  <c r="R235" i="31"/>
  <c r="R192" i="31"/>
  <c r="S195" i="31"/>
  <c r="R200" i="31"/>
  <c r="X83" i="32" l="1"/>
  <c r="AP214" i="32"/>
  <c r="X7" i="32"/>
  <c r="AB103" i="32"/>
  <c r="AB192" i="32"/>
  <c r="AC102" i="32"/>
  <c r="Z200" i="32"/>
  <c r="AA194" i="32"/>
  <c r="Z235" i="32"/>
  <c r="AB199" i="32"/>
  <c r="Y73" i="32"/>
  <c r="Y75" i="32"/>
  <c r="AA192" i="32"/>
  <c r="U102" i="31"/>
  <c r="T195" i="31"/>
  <c r="S200" i="31"/>
  <c r="T109" i="31"/>
  <c r="S93" i="31"/>
  <c r="X103" i="31"/>
  <c r="V194" i="31"/>
  <c r="S235" i="31"/>
  <c r="U199" i="31"/>
  <c r="AA200" i="32" l="1"/>
  <c r="AA51" i="32" s="1"/>
  <c r="AB194" i="32"/>
  <c r="AQ214" i="32"/>
  <c r="Y7" i="32"/>
  <c r="AC103" i="32"/>
  <c r="AC192" i="32"/>
  <c r="AD102" i="32"/>
  <c r="Y83" i="32"/>
  <c r="AA235" i="32"/>
  <c r="AC199" i="32"/>
  <c r="Y103" i="31"/>
  <c r="V102" i="31"/>
  <c r="U109" i="31"/>
  <c r="T93" i="31"/>
  <c r="T235" i="31"/>
  <c r="V199" i="31"/>
  <c r="U195" i="31"/>
  <c r="T200" i="31"/>
  <c r="W194" i="31"/>
  <c r="T192" i="31"/>
  <c r="AE102" i="32" l="1"/>
  <c r="AD103" i="32"/>
  <c r="AB235" i="32"/>
  <c r="AD199" i="32"/>
  <c r="AB200" i="32"/>
  <c r="AB51" i="32" s="1"/>
  <c r="AC194" i="32"/>
  <c r="U235" i="31"/>
  <c r="W199" i="31"/>
  <c r="V109" i="31"/>
  <c r="U93" i="31"/>
  <c r="V192" i="31"/>
  <c r="W102" i="31"/>
  <c r="X194" i="31"/>
  <c r="U192" i="31"/>
  <c r="V195" i="31"/>
  <c r="U200" i="31"/>
  <c r="U51" i="31" s="1"/>
  <c r="U52" i="31" s="1"/>
  <c r="Z103" i="31"/>
  <c r="AC235" i="32" l="1"/>
  <c r="AE199" i="32"/>
  <c r="AE103" i="32"/>
  <c r="AB73" i="32"/>
  <c r="AB75" i="32"/>
  <c r="AS214" i="32"/>
  <c r="AA7" i="32"/>
  <c r="AF102" i="32"/>
  <c r="AC200" i="32"/>
  <c r="AC51" i="32" s="1"/>
  <c r="AD194" i="32"/>
  <c r="AD192" i="32"/>
  <c r="Y194" i="31"/>
  <c r="W192" i="31"/>
  <c r="X102" i="31"/>
  <c r="AA103" i="31"/>
  <c r="U75" i="31"/>
  <c r="U73" i="31"/>
  <c r="W109" i="31"/>
  <c r="V93" i="31"/>
  <c r="W195" i="31"/>
  <c r="V200" i="31"/>
  <c r="V51" i="31" s="1"/>
  <c r="V52" i="31" s="1"/>
  <c r="V235" i="31"/>
  <c r="X199" i="31"/>
  <c r="AB83" i="32" l="1"/>
  <c r="AT214" i="32"/>
  <c r="AB7" i="32"/>
  <c r="AF103" i="32"/>
  <c r="AF192" i="32" s="1"/>
  <c r="AE93" i="32"/>
  <c r="AE194" i="32"/>
  <c r="AD200" i="32"/>
  <c r="AD51" i="32" s="1"/>
  <c r="AC75" i="32"/>
  <c r="AC73" i="32"/>
  <c r="B102" i="32"/>
  <c r="AD235" i="32"/>
  <c r="AF199" i="32"/>
  <c r="AE192" i="32"/>
  <c r="U83" i="31"/>
  <c r="V73" i="31"/>
  <c r="V75" i="31"/>
  <c r="Y102" i="31"/>
  <c r="AM214" i="31"/>
  <c r="U7" i="31"/>
  <c r="Y199" i="31"/>
  <c r="W235" i="31"/>
  <c r="AB103" i="31"/>
  <c r="X195" i="31"/>
  <c r="W200" i="31"/>
  <c r="W51" i="31" s="1"/>
  <c r="W52" i="31" s="1"/>
  <c r="Z194" i="31"/>
  <c r="X109" i="31"/>
  <c r="W93" i="31"/>
  <c r="AD73" i="32" l="1"/>
  <c r="AD75" i="32"/>
  <c r="AU214" i="32"/>
  <c r="AC7" i="32"/>
  <c r="B192" i="32"/>
  <c r="AF194" i="32"/>
  <c r="AE200" i="32"/>
  <c r="AE51" i="32" s="1"/>
  <c r="AE235" i="32"/>
  <c r="B199" i="32"/>
  <c r="AF235" i="32" s="1"/>
  <c r="B103" i="32"/>
  <c r="AF93" i="32"/>
  <c r="AC83" i="32"/>
  <c r="Z199" i="31"/>
  <c r="X235" i="31"/>
  <c r="W75" i="31"/>
  <c r="W73" i="31"/>
  <c r="Z102" i="31"/>
  <c r="Y109" i="31"/>
  <c r="Y192" i="31" s="1"/>
  <c r="X93" i="31"/>
  <c r="X192" i="31"/>
  <c r="Y195" i="31"/>
  <c r="X200" i="31"/>
  <c r="X51" i="31" s="1"/>
  <c r="X52" i="31" s="1"/>
  <c r="AN214" i="31"/>
  <c r="V7" i="31"/>
  <c r="AA194" i="31"/>
  <c r="AC103" i="31"/>
  <c r="V83" i="31"/>
  <c r="AF200" i="32" l="1"/>
  <c r="AF51" i="32" s="1"/>
  <c r="AF52" i="32" s="1"/>
  <c r="B194" i="32"/>
  <c r="B200" i="32" s="1"/>
  <c r="AI93" i="32"/>
  <c r="AH93" i="32"/>
  <c r="AV214" i="32"/>
  <c r="AD7" i="32"/>
  <c r="AE73" i="32"/>
  <c r="AE75" i="32"/>
  <c r="AD83" i="32"/>
  <c r="W83" i="31"/>
  <c r="AB194" i="31"/>
  <c r="AA102" i="31"/>
  <c r="X75" i="31"/>
  <c r="X73" i="31"/>
  <c r="X83" i="31" s="1"/>
  <c r="AO214" i="31"/>
  <c r="W7" i="31"/>
  <c r="Z195" i="31"/>
  <c r="Y200" i="31"/>
  <c r="Y51" i="31" s="1"/>
  <c r="Y52" i="31" s="1"/>
  <c r="Z109" i="31"/>
  <c r="Y93" i="31"/>
  <c r="AD103" i="31"/>
  <c r="Y235" i="31"/>
  <c r="AA199" i="31"/>
  <c r="AE83" i="32" l="1"/>
  <c r="AI51" i="32"/>
  <c r="AH51" i="32"/>
  <c r="AW214" i="32"/>
  <c r="AE7" i="32"/>
  <c r="AF75" i="32"/>
  <c r="AF73" i="32"/>
  <c r="AB199" i="31"/>
  <c r="Z235" i="31"/>
  <c r="AE103" i="31"/>
  <c r="AP214" i="31"/>
  <c r="X7" i="31"/>
  <c r="AA192" i="31"/>
  <c r="AB102" i="31"/>
  <c r="AA109" i="31"/>
  <c r="Z93" i="31"/>
  <c r="Z192" i="31"/>
  <c r="Y73" i="31"/>
  <c r="Y75" i="31"/>
  <c r="AA195" i="31"/>
  <c r="Z200" i="31"/>
  <c r="AC194" i="31"/>
  <c r="AF83" i="32" l="1"/>
  <c r="AI52" i="32"/>
  <c r="AH52" i="32"/>
  <c r="AX214" i="32"/>
  <c r="AF7" i="32"/>
  <c r="AD194" i="31"/>
  <c r="AB195" i="31"/>
  <c r="AA200" i="31"/>
  <c r="AA51" i="31" s="1"/>
  <c r="AA52" i="31" s="1"/>
  <c r="AB192" i="31"/>
  <c r="AC102" i="31"/>
  <c r="Y83" i="31"/>
  <c r="AF103" i="31"/>
  <c r="AQ214" i="31"/>
  <c r="Y7" i="31"/>
  <c r="AB109" i="31"/>
  <c r="AA93" i="31"/>
  <c r="AC199" i="31"/>
  <c r="AA235" i="31"/>
  <c r="T214" i="32" l="1"/>
  <c r="AI75" i="32"/>
  <c r="AH75" i="32"/>
  <c r="B7" i="32"/>
  <c r="A7" i="32" s="1"/>
  <c r="AI73" i="32"/>
  <c r="AH73" i="32"/>
  <c r="AB235" i="31"/>
  <c r="AD199" i="31"/>
  <c r="B103" i="31"/>
  <c r="AC192" i="31"/>
  <c r="AD102" i="31"/>
  <c r="AC195" i="31"/>
  <c r="AB200" i="31"/>
  <c r="AB51" i="31" s="1"/>
  <c r="AB52" i="31" s="1"/>
  <c r="AC109" i="31"/>
  <c r="AB93" i="31"/>
  <c r="AA73" i="31"/>
  <c r="AA75" i="31"/>
  <c r="AE194" i="31"/>
  <c r="AI83" i="32" l="1"/>
  <c r="AH83" i="32"/>
  <c r="AB73" i="31"/>
  <c r="AB75" i="31"/>
  <c r="AD195" i="31"/>
  <c r="AC200" i="31"/>
  <c r="AC51" i="31" s="1"/>
  <c r="AC52" i="31" s="1"/>
  <c r="AE102" i="31"/>
  <c r="AF194" i="31"/>
  <c r="AS214" i="31"/>
  <c r="AA7" i="31"/>
  <c r="AA83" i="31"/>
  <c r="AC235" i="31"/>
  <c r="AE199" i="31"/>
  <c r="AD109" i="31"/>
  <c r="AC93" i="31"/>
  <c r="AE109" i="31" l="1"/>
  <c r="AD93" i="31"/>
  <c r="B194" i="31"/>
  <c r="AD235" i="31"/>
  <c r="AF199" i="31"/>
  <c r="AE192" i="31"/>
  <c r="AF102" i="31"/>
  <c r="AD192" i="31"/>
  <c r="AC75" i="31"/>
  <c r="AC73" i="31"/>
  <c r="AE195" i="31"/>
  <c r="AD200" i="31"/>
  <c r="AD51" i="31" s="1"/>
  <c r="AD52" i="31" s="1"/>
  <c r="AT214" i="31"/>
  <c r="AB7" i="31"/>
  <c r="AB83" i="31"/>
  <c r="AD75" i="31" l="1"/>
  <c r="AD73" i="31"/>
  <c r="AD83" i="31" s="1"/>
  <c r="B102" i="31"/>
  <c r="AE235" i="31"/>
  <c r="B199" i="31"/>
  <c r="AF235" i="31" s="1"/>
  <c r="AF195" i="31"/>
  <c r="AE200" i="31"/>
  <c r="AE51" i="31" s="1"/>
  <c r="AE52" i="31" s="1"/>
  <c r="AC83" i="31"/>
  <c r="AU214" i="31"/>
  <c r="AC7" i="31"/>
  <c r="AF109" i="31"/>
  <c r="AE93" i="31"/>
  <c r="B195" i="31" l="1"/>
  <c r="B200" i="31" s="1"/>
  <c r="AF200" i="31"/>
  <c r="AF51" i="31" s="1"/>
  <c r="AF52" i="31" s="1"/>
  <c r="AE75" i="31"/>
  <c r="AE73" i="31"/>
  <c r="AE83" i="31" s="1"/>
  <c r="B109" i="31"/>
  <c r="B93" i="31" s="1"/>
  <c r="AF93" i="31"/>
  <c r="AF192" i="31"/>
  <c r="AV214" i="31"/>
  <c r="AD7" i="31"/>
  <c r="B192" i="31" l="1"/>
  <c r="AH93" i="31"/>
  <c r="AI93" i="31"/>
  <c r="AF75" i="31"/>
  <c r="AF73" i="31"/>
  <c r="AW214" i="31"/>
  <c r="AE7" i="31"/>
  <c r="AH51" i="31"/>
  <c r="AI51" i="31"/>
  <c r="AF83" i="31" l="1"/>
  <c r="AH52" i="31"/>
  <c r="B75" i="31"/>
  <c r="AI52" i="31"/>
  <c r="B73" i="31"/>
  <c r="AX214" i="31"/>
  <c r="AF7" i="31"/>
  <c r="AH73" i="31" l="1"/>
  <c r="B83" i="31"/>
  <c r="AI73" i="31"/>
  <c r="T214" i="31"/>
  <c r="AH75" i="31"/>
  <c r="B7" i="31"/>
  <c r="A7" i="31" s="1"/>
  <c r="AI75" i="31"/>
  <c r="AI83" i="31" l="1"/>
  <c r="AH83" i="31"/>
  <c r="B93" i="30" l="1"/>
  <c r="B80" i="30"/>
  <c r="B79" i="30"/>
  <c r="B78" i="30"/>
  <c r="B77" i="30"/>
  <c r="B76" i="30"/>
  <c r="B72" i="30"/>
  <c r="B68" i="30"/>
  <c r="B56" i="30"/>
  <c r="B52" i="30"/>
  <c r="B51" i="30"/>
  <c r="B38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A239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C235" i="30"/>
  <c r="B235" i="30"/>
  <c r="S210" i="30"/>
  <c r="AG200" i="30"/>
  <c r="C200" i="30"/>
  <c r="H199" i="30"/>
  <c r="G199" i="30"/>
  <c r="F235" i="30" s="1"/>
  <c r="F199" i="30"/>
  <c r="E235" i="30" s="1"/>
  <c r="E199" i="30"/>
  <c r="D235" i="30" s="1"/>
  <c r="D199" i="30"/>
  <c r="I198" i="30"/>
  <c r="J198" i="30" s="1"/>
  <c r="K198" i="30" s="1"/>
  <c r="L198" i="30" s="1"/>
  <c r="M198" i="30" s="1"/>
  <c r="N198" i="30" s="1"/>
  <c r="O198" i="30" s="1"/>
  <c r="P198" i="30" s="1"/>
  <c r="Q198" i="30" s="1"/>
  <c r="R198" i="30" s="1"/>
  <c r="S198" i="30" s="1"/>
  <c r="T198" i="30" s="1"/>
  <c r="U198" i="30" s="1"/>
  <c r="V198" i="30" s="1"/>
  <c r="W198" i="30" s="1"/>
  <c r="X198" i="30" s="1"/>
  <c r="Y198" i="30" s="1"/>
  <c r="Z198" i="30" s="1"/>
  <c r="AA198" i="30" s="1"/>
  <c r="AB198" i="30" s="1"/>
  <c r="AC198" i="30" s="1"/>
  <c r="AD198" i="30" s="1"/>
  <c r="AE198" i="30" s="1"/>
  <c r="AF198" i="30" s="1"/>
  <c r="B198" i="30" s="1"/>
  <c r="F198" i="30"/>
  <c r="G198" i="30" s="1"/>
  <c r="H198" i="30" s="1"/>
  <c r="E198" i="30"/>
  <c r="D198" i="30"/>
  <c r="G197" i="30"/>
  <c r="H197" i="30" s="1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F197" i="30"/>
  <c r="D197" i="30"/>
  <c r="E197" i="30" s="1"/>
  <c r="E196" i="30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D196" i="30"/>
  <c r="E195" i="30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D195" i="30"/>
  <c r="D194" i="30"/>
  <c r="AG192" i="30"/>
  <c r="C192" i="30"/>
  <c r="N191" i="30"/>
  <c r="O191" i="30" s="1"/>
  <c r="P191" i="30" s="1"/>
  <c r="Q191" i="30" s="1"/>
  <c r="R191" i="30" s="1"/>
  <c r="S191" i="30" s="1"/>
  <c r="T191" i="30" s="1"/>
  <c r="U191" i="30" s="1"/>
  <c r="V191" i="30" s="1"/>
  <c r="W191" i="30" s="1"/>
  <c r="X191" i="30" s="1"/>
  <c r="Y191" i="30" s="1"/>
  <c r="Z191" i="30" s="1"/>
  <c r="AA191" i="30" s="1"/>
  <c r="AB191" i="30" s="1"/>
  <c r="AC191" i="30" s="1"/>
  <c r="AD191" i="30" s="1"/>
  <c r="AE191" i="30" s="1"/>
  <c r="AF191" i="30" s="1"/>
  <c r="B191" i="30" s="1"/>
  <c r="F191" i="30"/>
  <c r="G191" i="30" s="1"/>
  <c r="H191" i="30" s="1"/>
  <c r="I191" i="30" s="1"/>
  <c r="J191" i="30" s="1"/>
  <c r="K191" i="30" s="1"/>
  <c r="L191" i="30" s="1"/>
  <c r="M191" i="30" s="1"/>
  <c r="D191" i="30"/>
  <c r="E191" i="30" s="1"/>
  <c r="AF190" i="30"/>
  <c r="B190" i="30" s="1"/>
  <c r="W190" i="30"/>
  <c r="X190" i="30" s="1"/>
  <c r="Y190" i="30" s="1"/>
  <c r="Z190" i="30" s="1"/>
  <c r="AA190" i="30" s="1"/>
  <c r="AB190" i="30" s="1"/>
  <c r="AC190" i="30" s="1"/>
  <c r="AD190" i="30" s="1"/>
  <c r="AE190" i="30" s="1"/>
  <c r="D190" i="30"/>
  <c r="E190" i="30" s="1"/>
  <c r="F190" i="30" s="1"/>
  <c r="G190" i="30" s="1"/>
  <c r="H190" i="30" s="1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H189" i="30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G189" i="30"/>
  <c r="F189" i="30"/>
  <c r="E189" i="30"/>
  <c r="D189" i="30"/>
  <c r="U188" i="30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B188" i="30" s="1"/>
  <c r="J188" i="30"/>
  <c r="K188" i="30" s="1"/>
  <c r="L188" i="30" s="1"/>
  <c r="M188" i="30" s="1"/>
  <c r="N188" i="30" s="1"/>
  <c r="O188" i="30" s="1"/>
  <c r="P188" i="30" s="1"/>
  <c r="Q188" i="30" s="1"/>
  <c r="R188" i="30" s="1"/>
  <c r="S188" i="30" s="1"/>
  <c r="T188" i="30" s="1"/>
  <c r="E188" i="30"/>
  <c r="F188" i="30" s="1"/>
  <c r="G188" i="30" s="1"/>
  <c r="H188" i="30" s="1"/>
  <c r="I188" i="30" s="1"/>
  <c r="D188" i="30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F186" i="30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E186" i="30"/>
  <c r="D186" i="30"/>
  <c r="D185" i="30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B185" i="30" s="1"/>
  <c r="D184" i="30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X183" i="30"/>
  <c r="Y183" i="30" s="1"/>
  <c r="Z183" i="30" s="1"/>
  <c r="AA183" i="30" s="1"/>
  <c r="AB183" i="30" s="1"/>
  <c r="AC183" i="30" s="1"/>
  <c r="AD183" i="30" s="1"/>
  <c r="AE183" i="30" s="1"/>
  <c r="AF183" i="30" s="1"/>
  <c r="B183" i="30" s="1"/>
  <c r="F183" i="30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D183" i="30"/>
  <c r="E183" i="30" s="1"/>
  <c r="F182" i="30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E182" i="30"/>
  <c r="D182" i="30"/>
  <c r="R181" i="30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E181" i="30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D181" i="30"/>
  <c r="E180" i="30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B180" i="30" s="1"/>
  <c r="D180" i="30"/>
  <c r="I179" i="30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D179" i="30"/>
  <c r="E179" i="30" s="1"/>
  <c r="F179" i="30" s="1"/>
  <c r="G179" i="30" s="1"/>
  <c r="H179" i="30" s="1"/>
  <c r="E177" i="30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B177" i="30" s="1"/>
  <c r="D177" i="30"/>
  <c r="M176" i="30"/>
  <c r="N176" i="30" s="1"/>
  <c r="O176" i="30" s="1"/>
  <c r="P176" i="30" s="1"/>
  <c r="Q176" i="30" s="1"/>
  <c r="R176" i="30" s="1"/>
  <c r="S176" i="30" s="1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D176" i="30"/>
  <c r="E176" i="30" s="1"/>
  <c r="F176" i="30" s="1"/>
  <c r="G176" i="30" s="1"/>
  <c r="H176" i="30" s="1"/>
  <c r="I176" i="30" s="1"/>
  <c r="J176" i="30" s="1"/>
  <c r="K176" i="30" s="1"/>
  <c r="L176" i="30" s="1"/>
  <c r="I175" i="30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B175" i="30" s="1"/>
  <c r="D175" i="30"/>
  <c r="E175" i="30" s="1"/>
  <c r="F175" i="30" s="1"/>
  <c r="G175" i="30" s="1"/>
  <c r="H175" i="30" s="1"/>
  <c r="G174" i="30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B174" i="30" s="1"/>
  <c r="D174" i="30"/>
  <c r="E174" i="30" s="1"/>
  <c r="F174" i="30" s="1"/>
  <c r="V173" i="30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H173" i="30"/>
  <c r="I173" i="30" s="1"/>
  <c r="J173" i="30" s="1"/>
  <c r="K173" i="30" s="1"/>
  <c r="L173" i="30" s="1"/>
  <c r="M173" i="30" s="1"/>
  <c r="N173" i="30" s="1"/>
  <c r="O173" i="30" s="1"/>
  <c r="P173" i="30" s="1"/>
  <c r="Q173" i="30" s="1"/>
  <c r="R173" i="30" s="1"/>
  <c r="S173" i="30" s="1"/>
  <c r="T173" i="30" s="1"/>
  <c r="U173" i="30" s="1"/>
  <c r="F173" i="30"/>
  <c r="G173" i="30" s="1"/>
  <c r="E173" i="30"/>
  <c r="D173" i="30"/>
  <c r="D172" i="30"/>
  <c r="E172" i="30" s="1"/>
  <c r="F172" i="30" s="1"/>
  <c r="G172" i="30" s="1"/>
  <c r="H172" i="30" s="1"/>
  <c r="I172" i="30" s="1"/>
  <c r="J172" i="30" s="1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H171" i="30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D171" i="30"/>
  <c r="E171" i="30" s="1"/>
  <c r="F171" i="30" s="1"/>
  <c r="G171" i="30" s="1"/>
  <c r="G170" i="30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D170" i="30"/>
  <c r="E170" i="30" s="1"/>
  <c r="F170" i="30" s="1"/>
  <c r="G168" i="30"/>
  <c r="H168" i="30" s="1"/>
  <c r="I168" i="30" s="1"/>
  <c r="J168" i="30" s="1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B168" i="30" s="1"/>
  <c r="D168" i="30"/>
  <c r="E168" i="30" s="1"/>
  <c r="F168" i="30" s="1"/>
  <c r="F167" i="30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B167" i="30" s="1"/>
  <c r="D167" i="30"/>
  <c r="E167" i="30" s="1"/>
  <c r="I166" i="30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D166" i="30"/>
  <c r="E166" i="30" s="1"/>
  <c r="F166" i="30" s="1"/>
  <c r="G166" i="30" s="1"/>
  <c r="H166" i="30" s="1"/>
  <c r="W165" i="30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G165" i="30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E165" i="30"/>
  <c r="F165" i="30" s="1"/>
  <c r="D165" i="30"/>
  <c r="G164" i="30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F164" i="30"/>
  <c r="E164" i="30"/>
  <c r="D164" i="30"/>
  <c r="Y163" i="30"/>
  <c r="Z163" i="30" s="1"/>
  <c r="AA163" i="30" s="1"/>
  <c r="AB163" i="30" s="1"/>
  <c r="AC163" i="30" s="1"/>
  <c r="AD163" i="30" s="1"/>
  <c r="AE163" i="30" s="1"/>
  <c r="AF163" i="30" s="1"/>
  <c r="B163" i="30" s="1"/>
  <c r="F163" i="30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E163" i="30"/>
  <c r="D163" i="30"/>
  <c r="S162" i="30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B162" i="30" s="1"/>
  <c r="D162" i="30"/>
  <c r="E162" i="30" s="1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J161" i="30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X161" i="30" s="1"/>
  <c r="Y161" i="30" s="1"/>
  <c r="Z161" i="30" s="1"/>
  <c r="AA161" i="30" s="1"/>
  <c r="AB161" i="30" s="1"/>
  <c r="AC161" i="30" s="1"/>
  <c r="AD161" i="30" s="1"/>
  <c r="AE161" i="30" s="1"/>
  <c r="AF161" i="30" s="1"/>
  <c r="B161" i="30" s="1"/>
  <c r="H161" i="30"/>
  <c r="I161" i="30" s="1"/>
  <c r="E161" i="30"/>
  <c r="F161" i="30" s="1"/>
  <c r="G161" i="30" s="1"/>
  <c r="D161" i="30"/>
  <c r="P160" i="30"/>
  <c r="Q160" i="30" s="1"/>
  <c r="R160" i="30" s="1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M160" i="30"/>
  <c r="N160" i="30" s="1"/>
  <c r="O160" i="30" s="1"/>
  <c r="F160" i="30"/>
  <c r="G160" i="30" s="1"/>
  <c r="H160" i="30" s="1"/>
  <c r="I160" i="30" s="1"/>
  <c r="J160" i="30" s="1"/>
  <c r="K160" i="30" s="1"/>
  <c r="L160" i="30" s="1"/>
  <c r="E160" i="30"/>
  <c r="D160" i="30"/>
  <c r="Q159" i="30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B159" i="30" s="1"/>
  <c r="G159" i="30"/>
  <c r="H159" i="30" s="1"/>
  <c r="I159" i="30" s="1"/>
  <c r="J159" i="30" s="1"/>
  <c r="K159" i="30" s="1"/>
  <c r="L159" i="30" s="1"/>
  <c r="M159" i="30" s="1"/>
  <c r="N159" i="30" s="1"/>
  <c r="O159" i="30" s="1"/>
  <c r="P159" i="30" s="1"/>
  <c r="F159" i="30"/>
  <c r="E159" i="30"/>
  <c r="D159" i="30"/>
  <c r="J158" i="30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E158" i="30"/>
  <c r="F158" i="30" s="1"/>
  <c r="G158" i="30" s="1"/>
  <c r="H158" i="30" s="1"/>
  <c r="I158" i="30" s="1"/>
  <c r="D158" i="30"/>
  <c r="K157" i="30"/>
  <c r="L157" i="30" s="1"/>
  <c r="M157" i="30" s="1"/>
  <c r="N157" i="30" s="1"/>
  <c r="O157" i="30" s="1"/>
  <c r="P157" i="30" s="1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I157" i="30"/>
  <c r="J157" i="30" s="1"/>
  <c r="E157" i="30"/>
  <c r="F157" i="30" s="1"/>
  <c r="G157" i="30" s="1"/>
  <c r="H157" i="30" s="1"/>
  <c r="D157" i="30"/>
  <c r="G156" i="30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D156" i="30"/>
  <c r="E156" i="30" s="1"/>
  <c r="F156" i="30" s="1"/>
  <c r="E154" i="30"/>
  <c r="F154" i="30" s="1"/>
  <c r="G154" i="30" s="1"/>
  <c r="H154" i="30" s="1"/>
  <c r="I154" i="30" s="1"/>
  <c r="J154" i="30" s="1"/>
  <c r="K154" i="30" s="1"/>
  <c r="L154" i="30" s="1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B154" i="30" s="1"/>
  <c r="D154" i="30"/>
  <c r="P153" i="30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D153" i="30"/>
  <c r="E153" i="30" s="1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B153" i="30"/>
  <c r="U152" i="30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B152" i="30" s="1"/>
  <c r="E152" i="30"/>
  <c r="F152" i="30" s="1"/>
  <c r="G152" i="30" s="1"/>
  <c r="H152" i="30" s="1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D152" i="30"/>
  <c r="O151" i="30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H151" i="30"/>
  <c r="I151" i="30" s="1"/>
  <c r="J151" i="30" s="1"/>
  <c r="K151" i="30" s="1"/>
  <c r="L151" i="30" s="1"/>
  <c r="M151" i="30" s="1"/>
  <c r="N151" i="30" s="1"/>
  <c r="D151" i="30"/>
  <c r="E151" i="30" s="1"/>
  <c r="F151" i="30" s="1"/>
  <c r="G151" i="30" s="1"/>
  <c r="E149" i="30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B149" i="30" s="1"/>
  <c r="D149" i="30"/>
  <c r="D148" i="30"/>
  <c r="E148" i="30" s="1"/>
  <c r="F148" i="30" s="1"/>
  <c r="G148" i="30" s="1"/>
  <c r="H148" i="30" s="1"/>
  <c r="I148" i="30" s="1"/>
  <c r="J148" i="30" s="1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F146" i="30"/>
  <c r="G146" i="30" s="1"/>
  <c r="H146" i="30" s="1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B146" i="30" s="1"/>
  <c r="E146" i="30"/>
  <c r="D146" i="30"/>
  <c r="K145" i="30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E145" i="30"/>
  <c r="F145" i="30" s="1"/>
  <c r="G145" i="30" s="1"/>
  <c r="H145" i="30" s="1"/>
  <c r="I145" i="30" s="1"/>
  <c r="J145" i="30" s="1"/>
  <c r="D145" i="30"/>
  <c r="F144" i="30"/>
  <c r="G144" i="30" s="1"/>
  <c r="H144" i="30" s="1"/>
  <c r="I144" i="30" s="1"/>
  <c r="J144" i="30" s="1"/>
  <c r="K144" i="30" s="1"/>
  <c r="L144" i="30" s="1"/>
  <c r="M144" i="30" s="1"/>
  <c r="N144" i="30" s="1"/>
  <c r="O144" i="30" s="1"/>
  <c r="P144" i="30" s="1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E144" i="30"/>
  <c r="D144" i="30"/>
  <c r="H143" i="30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B143" i="30" s="1"/>
  <c r="G143" i="30"/>
  <c r="E143" i="30"/>
  <c r="F143" i="30" s="1"/>
  <c r="D143" i="30"/>
  <c r="AC142" i="30"/>
  <c r="AD142" i="30" s="1"/>
  <c r="AE142" i="30" s="1"/>
  <c r="AF142" i="30" s="1"/>
  <c r="B142" i="30" s="1"/>
  <c r="G142" i="30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E142" i="30"/>
  <c r="F142" i="30" s="1"/>
  <c r="D142" i="30"/>
  <c r="X141" i="30"/>
  <c r="Y141" i="30" s="1"/>
  <c r="Z141" i="30" s="1"/>
  <c r="AA141" i="30" s="1"/>
  <c r="AB141" i="30" s="1"/>
  <c r="AC141" i="30" s="1"/>
  <c r="AD141" i="30" s="1"/>
  <c r="AE141" i="30" s="1"/>
  <c r="AF141" i="30" s="1"/>
  <c r="B141" i="30" s="1"/>
  <c r="G141" i="30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E141" i="30"/>
  <c r="F141" i="30" s="1"/>
  <c r="D141" i="30"/>
  <c r="E140" i="30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D140" i="30"/>
  <c r="R138" i="30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B138" i="30" s="1"/>
  <c r="I138" i="30"/>
  <c r="J138" i="30" s="1"/>
  <c r="K138" i="30" s="1"/>
  <c r="L138" i="30" s="1"/>
  <c r="M138" i="30" s="1"/>
  <c r="N138" i="30" s="1"/>
  <c r="O138" i="30" s="1"/>
  <c r="P138" i="30" s="1"/>
  <c r="Q138" i="30" s="1"/>
  <c r="D138" i="30"/>
  <c r="E138" i="30" s="1"/>
  <c r="F138" i="30" s="1"/>
  <c r="G138" i="30" s="1"/>
  <c r="H138" i="30" s="1"/>
  <c r="W137" i="30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G137" i="30"/>
  <c r="H137" i="30" s="1"/>
  <c r="I137" i="30" s="1"/>
  <c r="J137" i="30" s="1"/>
  <c r="K137" i="30" s="1"/>
  <c r="L137" i="30" s="1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E137" i="30"/>
  <c r="F137" i="30" s="1"/>
  <c r="D137" i="30"/>
  <c r="G136" i="30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B136" i="30" s="1"/>
  <c r="F136" i="30"/>
  <c r="E136" i="30"/>
  <c r="D136" i="30"/>
  <c r="F135" i="30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B135" i="30" s="1"/>
  <c r="E135" i="30"/>
  <c r="D135" i="30"/>
  <c r="F134" i="30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D134" i="30"/>
  <c r="E134" i="30" s="1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H132" i="30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G132" i="30"/>
  <c r="F132" i="30"/>
  <c r="E132" i="30"/>
  <c r="D132" i="30"/>
  <c r="D131" i="30"/>
  <c r="E131" i="30" s="1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E129" i="30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B129" i="30" s="1"/>
  <c r="D129" i="30"/>
  <c r="I128" i="30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G128" i="30"/>
  <c r="H128" i="30" s="1"/>
  <c r="E128" i="30"/>
  <c r="F128" i="30" s="1"/>
  <c r="D128" i="30"/>
  <c r="E127" i="30"/>
  <c r="F127" i="30" s="1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D127" i="30"/>
  <c r="F126" i="30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D126" i="30"/>
  <c r="E126" i="30" s="1"/>
  <c r="F125" i="30"/>
  <c r="G125" i="30" s="1"/>
  <c r="H125" i="30" s="1"/>
  <c r="I125" i="30" s="1"/>
  <c r="J125" i="30" s="1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E125" i="30"/>
  <c r="D125" i="30"/>
  <c r="I124" i="30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E124" i="30"/>
  <c r="F124" i="30" s="1"/>
  <c r="G124" i="30" s="1"/>
  <c r="H124" i="30" s="1"/>
  <c r="D124" i="30"/>
  <c r="E123" i="30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D123" i="30"/>
  <c r="H122" i="30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G122" i="30"/>
  <c r="F122" i="30"/>
  <c r="E122" i="30"/>
  <c r="D122" i="30"/>
  <c r="D121" i="30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E120" i="30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D120" i="30"/>
  <c r="D119" i="30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D118" i="30"/>
  <c r="E118" i="30" s="1"/>
  <c r="F118" i="30" s="1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H117" i="30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D117" i="30"/>
  <c r="E117" i="30" s="1"/>
  <c r="F117" i="30" s="1"/>
  <c r="G117" i="30" s="1"/>
  <c r="E116" i="30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D116" i="30"/>
  <c r="D115" i="30"/>
  <c r="E115" i="30" s="1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L114" i="30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K114" i="30"/>
  <c r="D114" i="30"/>
  <c r="E114" i="30" s="1"/>
  <c r="F114" i="30" s="1"/>
  <c r="G114" i="30" s="1"/>
  <c r="H114" i="30" s="1"/>
  <c r="I114" i="30" s="1"/>
  <c r="F113" i="30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D113" i="30"/>
  <c r="E113" i="30" s="1"/>
  <c r="E112" i="30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D112" i="30"/>
  <c r="D110" i="30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B110" i="30" s="1"/>
  <c r="D109" i="30"/>
  <c r="E109" i="30" s="1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B107" i="30" s="1"/>
  <c r="E106" i="30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D106" i="30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D104" i="30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D103" i="30"/>
  <c r="E103" i="30" s="1"/>
  <c r="E102" i="30"/>
  <c r="D102" i="30"/>
  <c r="AH100" i="30"/>
  <c r="AI100" i="30" s="1"/>
  <c r="AH99" i="30"/>
  <c r="AI99" i="30" s="1"/>
  <c r="AH98" i="30"/>
  <c r="AI98" i="30" s="1"/>
  <c r="AH97" i="30"/>
  <c r="AI97" i="30" s="1"/>
  <c r="AH96" i="30"/>
  <c r="AI96" i="30" s="1"/>
  <c r="D93" i="30"/>
  <c r="C93" i="30"/>
  <c r="AH94" i="30"/>
  <c r="AI94" i="30" s="1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G82" i="30"/>
  <c r="AI81" i="30"/>
  <c r="AH81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I77" i="30"/>
  <c r="H77" i="30"/>
  <c r="G77" i="30"/>
  <c r="F77" i="30"/>
  <c r="E77" i="30"/>
  <c r="D77" i="30"/>
  <c r="C77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S82" i="30" s="1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AI74" i="30"/>
  <c r="AH74" i="30"/>
  <c r="AG72" i="30"/>
  <c r="AG75" i="30" s="1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AH72" i="30" s="1"/>
  <c r="AI71" i="30"/>
  <c r="AH71" i="30"/>
  <c r="AI70" i="30"/>
  <c r="AH70" i="30"/>
  <c r="AI69" i="30"/>
  <c r="AH69" i="30"/>
  <c r="AG68" i="30"/>
  <c r="AF68" i="30"/>
  <c r="AE68" i="30"/>
  <c r="AD68" i="30"/>
  <c r="AC68" i="30"/>
  <c r="AB68" i="30"/>
  <c r="AA68" i="30"/>
  <c r="Z5" i="30" s="1"/>
  <c r="Z68" i="30"/>
  <c r="Y5" i="30" s="1"/>
  <c r="Y68" i="30"/>
  <c r="X5" i="30" s="1"/>
  <c r="X68" i="30"/>
  <c r="W68" i="30"/>
  <c r="V5" i="30" s="1"/>
  <c r="V68" i="30"/>
  <c r="U68" i="30"/>
  <c r="T5" i="30" s="1"/>
  <c r="T68" i="30"/>
  <c r="S5" i="30" s="1"/>
  <c r="S68" i="30"/>
  <c r="R5" i="30" s="1"/>
  <c r="R68" i="30"/>
  <c r="Q5" i="30" s="1"/>
  <c r="Q68" i="30"/>
  <c r="P5" i="30" s="1"/>
  <c r="P68" i="30"/>
  <c r="O68" i="30"/>
  <c r="N68" i="30"/>
  <c r="I68" i="30"/>
  <c r="H5" i="30" s="1"/>
  <c r="H68" i="30"/>
  <c r="G68" i="30"/>
  <c r="F5" i="30" s="1"/>
  <c r="F68" i="30"/>
  <c r="E5" i="30" s="1"/>
  <c r="E68" i="30"/>
  <c r="D5" i="30" s="1"/>
  <c r="D68" i="30"/>
  <c r="C5" i="30" s="1"/>
  <c r="C68" i="30"/>
  <c r="B5" i="30" s="1"/>
  <c r="AF5" i="30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M68" i="30"/>
  <c r="L68" i="30"/>
  <c r="K77" i="30"/>
  <c r="K82" i="30" s="1"/>
  <c r="J77" i="30"/>
  <c r="AI57" i="30"/>
  <c r="AH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I55" i="30"/>
  <c r="AH55" i="30"/>
  <c r="AI54" i="30"/>
  <c r="AH54" i="30"/>
  <c r="AI53" i="30"/>
  <c r="AH53" i="30"/>
  <c r="Z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G52" i="30" s="1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H37" i="30"/>
  <c r="AI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D5" i="30"/>
  <c r="AC5" i="30"/>
  <c r="AB5" i="30"/>
  <c r="AA5" i="30"/>
  <c r="U5" i="30"/>
  <c r="N5" i="30"/>
  <c r="M5" i="30"/>
  <c r="AG4" i="30"/>
  <c r="K4" i="30"/>
  <c r="B4" i="30"/>
  <c r="AG2" i="30"/>
  <c r="T37" i="29"/>
  <c r="S37" i="29"/>
  <c r="R37" i="29"/>
  <c r="Q37" i="29"/>
  <c r="P37" i="29"/>
  <c r="N37" i="29"/>
  <c r="M37" i="29"/>
  <c r="M58" i="29"/>
  <c r="L58" i="29"/>
  <c r="L37" i="29"/>
  <c r="K58" i="29"/>
  <c r="K37" i="29"/>
  <c r="J58" i="29"/>
  <c r="J37" i="29"/>
  <c r="I37" i="29"/>
  <c r="H37" i="29"/>
  <c r="G37" i="29"/>
  <c r="F37" i="29"/>
  <c r="AH100" i="29"/>
  <c r="AI100" i="29" s="1"/>
  <c r="AH99" i="29"/>
  <c r="AI99" i="29" s="1"/>
  <c r="E37" i="29"/>
  <c r="D95" i="29"/>
  <c r="C95" i="29"/>
  <c r="B93" i="29"/>
  <c r="B68" i="29"/>
  <c r="B52" i="29"/>
  <c r="B38" i="29"/>
  <c r="B73" i="29" s="1"/>
  <c r="B75" i="29" s="1"/>
  <c r="B7" i="29" s="1"/>
  <c r="B95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C235" i="29"/>
  <c r="B235" i="29"/>
  <c r="S210" i="29"/>
  <c r="AG200" i="29"/>
  <c r="C200" i="29"/>
  <c r="E199" i="29"/>
  <c r="F199" i="29" s="1"/>
  <c r="G199" i="29" s="1"/>
  <c r="D199" i="29"/>
  <c r="D198" i="29"/>
  <c r="E198" i="29" s="1"/>
  <c r="F198" i="29" s="1"/>
  <c r="G198" i="29" s="1"/>
  <c r="H198" i="29" s="1"/>
  <c r="I198" i="29" s="1"/>
  <c r="J198" i="29" s="1"/>
  <c r="K198" i="29" s="1"/>
  <c r="L198" i="29" s="1"/>
  <c r="M198" i="29" s="1"/>
  <c r="N198" i="29" s="1"/>
  <c r="O198" i="29" s="1"/>
  <c r="P198" i="29" s="1"/>
  <c r="Q198" i="29" s="1"/>
  <c r="R198" i="29" s="1"/>
  <c r="S198" i="29" s="1"/>
  <c r="T198" i="29" s="1"/>
  <c r="U198" i="29" s="1"/>
  <c r="V198" i="29" s="1"/>
  <c r="W198" i="29" s="1"/>
  <c r="X198" i="29" s="1"/>
  <c r="Y198" i="29" s="1"/>
  <c r="Z198" i="29" s="1"/>
  <c r="AA198" i="29" s="1"/>
  <c r="AB198" i="29" s="1"/>
  <c r="AC198" i="29" s="1"/>
  <c r="AD198" i="29" s="1"/>
  <c r="AE198" i="29" s="1"/>
  <c r="AF198" i="29" s="1"/>
  <c r="B198" i="29" s="1"/>
  <c r="E197" i="29"/>
  <c r="F197" i="29" s="1"/>
  <c r="G197" i="29" s="1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7" i="29"/>
  <c r="G196" i="29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E196" i="29"/>
  <c r="F196" i="29" s="1"/>
  <c r="D196" i="29"/>
  <c r="D195" i="29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D194" i="29"/>
  <c r="E194" i="29" s="1"/>
  <c r="AG192" i="29"/>
  <c r="C192" i="29"/>
  <c r="I191" i="29"/>
  <c r="J191" i="29" s="1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B191" i="29" s="1"/>
  <c r="D191" i="29"/>
  <c r="E191" i="29" s="1"/>
  <c r="F191" i="29" s="1"/>
  <c r="G191" i="29" s="1"/>
  <c r="H191" i="29" s="1"/>
  <c r="E190" i="29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D190" i="29"/>
  <c r="F189" i="29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D189" i="29"/>
  <c r="E189" i="29" s="1"/>
  <c r="R188" i="29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D188" i="29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D187" i="29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G186" i="29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E186" i="29"/>
  <c r="F186" i="29" s="1"/>
  <c r="D186" i="29"/>
  <c r="D185" i="29"/>
  <c r="E185" i="29" s="1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E184" i="29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D184" i="29"/>
  <c r="G183" i="29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D183" i="29"/>
  <c r="E183" i="29" s="1"/>
  <c r="F183" i="29" s="1"/>
  <c r="E182" i="29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D182" i="29"/>
  <c r="E181" i="29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1" i="29"/>
  <c r="D180" i="29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D179" i="29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AA177" i="29"/>
  <c r="AB177" i="29" s="1"/>
  <c r="AC177" i="29" s="1"/>
  <c r="AD177" i="29" s="1"/>
  <c r="AE177" i="29" s="1"/>
  <c r="AF177" i="29" s="1"/>
  <c r="B177" i="29" s="1"/>
  <c r="D177" i="29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E173" i="29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D173" i="29"/>
  <c r="E172" i="29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D172" i="29"/>
  <c r="I171" i="29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D171" i="29"/>
  <c r="E171" i="29" s="1"/>
  <c r="F171" i="29" s="1"/>
  <c r="G171" i="29" s="1"/>
  <c r="H171" i="29" s="1"/>
  <c r="G170" i="29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E170" i="29"/>
  <c r="F170" i="29" s="1"/>
  <c r="D170" i="29"/>
  <c r="E168" i="29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B168" i="29" s="1"/>
  <c r="D168" i="29"/>
  <c r="E167" i="29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D167" i="29"/>
  <c r="D166" i="29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I165" i="29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G165" i="29"/>
  <c r="H165" i="29" s="1"/>
  <c r="E165" i="29"/>
  <c r="F165" i="29" s="1"/>
  <c r="D165" i="29"/>
  <c r="E164" i="29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D164" i="29"/>
  <c r="E163" i="29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D163" i="29"/>
  <c r="I162" i="29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D162" i="29"/>
  <c r="E162" i="29" s="1"/>
  <c r="F162" i="29" s="1"/>
  <c r="G162" i="29" s="1"/>
  <c r="H162" i="29" s="1"/>
  <c r="J161" i="29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E161" i="29"/>
  <c r="F161" i="29" s="1"/>
  <c r="G161" i="29" s="1"/>
  <c r="H161" i="29" s="1"/>
  <c r="I161" i="29" s="1"/>
  <c r="D161" i="29"/>
  <c r="E160" i="29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D160" i="29"/>
  <c r="R159" i="29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F159" i="29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E159" i="29"/>
  <c r="D159" i="29"/>
  <c r="G158" i="29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E158" i="29" s="1"/>
  <c r="F158" i="29" s="1"/>
  <c r="E157" i="29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D157" i="29"/>
  <c r="AE156" i="29"/>
  <c r="AF156" i="29" s="1"/>
  <c r="B156" i="29" s="1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T154" i="29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B154" i="29" s="1"/>
  <c r="E154" i="29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D154" i="29"/>
  <c r="D153" i="29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E152" i="29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D152" i="29"/>
  <c r="T151" i="29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D151" i="29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R149" i="29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B149" i="29" s="1"/>
  <c r="D149" i="29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E148" i="29"/>
  <c r="F148" i="29" s="1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D148" i="29"/>
  <c r="H146" i="29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B146" i="29" s="1"/>
  <c r="F146" i="29"/>
  <c r="G146" i="29" s="1"/>
  <c r="E146" i="29"/>
  <c r="D146" i="29"/>
  <c r="E145" i="29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D145" i="29"/>
  <c r="L144" i="29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D144" i="29"/>
  <c r="E144" i="29" s="1"/>
  <c r="F144" i="29" s="1"/>
  <c r="G144" i="29" s="1"/>
  <c r="H144" i="29" s="1"/>
  <c r="I144" i="29" s="1"/>
  <c r="J144" i="29" s="1"/>
  <c r="K144" i="29" s="1"/>
  <c r="E143" i="29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D143" i="29"/>
  <c r="E142" i="29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D142" i="29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K140" i="29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D140" i="29"/>
  <c r="E140" i="29" s="1"/>
  <c r="F140" i="29" s="1"/>
  <c r="G140" i="29" s="1"/>
  <c r="H140" i="29" s="1"/>
  <c r="I140" i="29" s="1"/>
  <c r="J140" i="29" s="1"/>
  <c r="Y138" i="29"/>
  <c r="Z138" i="29" s="1"/>
  <c r="AA138" i="29" s="1"/>
  <c r="AB138" i="29" s="1"/>
  <c r="AC138" i="29" s="1"/>
  <c r="AD138" i="29" s="1"/>
  <c r="AE138" i="29" s="1"/>
  <c r="AF138" i="29" s="1"/>
  <c r="B138" i="29" s="1"/>
  <c r="I138" i="29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E138" i="29"/>
  <c r="F138" i="29" s="1"/>
  <c r="G138" i="29" s="1"/>
  <c r="H138" i="29" s="1"/>
  <c r="D138" i="29"/>
  <c r="E137" i="29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D137" i="29"/>
  <c r="AD136" i="29"/>
  <c r="AE136" i="29" s="1"/>
  <c r="AF136" i="29" s="1"/>
  <c r="B136" i="29" s="1"/>
  <c r="S136" i="29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E136" i="29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D136" i="29"/>
  <c r="D135" i="29"/>
  <c r="E135" i="29" s="1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F134" i="29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E134" i="29"/>
  <c r="D134" i="29"/>
  <c r="E133" i="29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D133" i="29"/>
  <c r="R132" i="29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M132" i="29"/>
  <c r="N132" i="29" s="1"/>
  <c r="O132" i="29" s="1"/>
  <c r="P132" i="29" s="1"/>
  <c r="Q132" i="29" s="1"/>
  <c r="F132" i="29"/>
  <c r="G132" i="29" s="1"/>
  <c r="H132" i="29" s="1"/>
  <c r="I132" i="29" s="1"/>
  <c r="J132" i="29" s="1"/>
  <c r="K132" i="29" s="1"/>
  <c r="L132" i="29" s="1"/>
  <c r="E132" i="29"/>
  <c r="D132" i="29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R129" i="29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B129" i="29" s="1"/>
  <c r="D129" i="29"/>
  <c r="E129" i="29" s="1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E128" i="29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D128" i="29"/>
  <c r="F127" i="29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E127" i="29"/>
  <c r="D127" i="29"/>
  <c r="S126" i="29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D126" i="29"/>
  <c r="E126" i="29" s="1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G125" i="29"/>
  <c r="H125" i="29" s="1"/>
  <c r="I125" i="29" s="1"/>
  <c r="J125" i="29" s="1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E125" i="29"/>
  <c r="F125" i="29" s="1"/>
  <c r="D125" i="29"/>
  <c r="U124" i="29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E124" i="29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D124" i="29"/>
  <c r="E123" i="29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D123" i="29"/>
  <c r="L122" i="29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D122" i="29"/>
  <c r="E122" i="29" s="1"/>
  <c r="F122" i="29" s="1"/>
  <c r="G122" i="29" s="1"/>
  <c r="H122" i="29" s="1"/>
  <c r="I122" i="29" s="1"/>
  <c r="J122" i="29" s="1"/>
  <c r="K122" i="29" s="1"/>
  <c r="J121" i="29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I121" i="29"/>
  <c r="G121" i="29"/>
  <c r="H121" i="29" s="1"/>
  <c r="E121" i="29"/>
  <c r="F121" i="29" s="1"/>
  <c r="D121" i="29"/>
  <c r="AC120" i="29"/>
  <c r="AD120" i="29" s="1"/>
  <c r="AE120" i="29" s="1"/>
  <c r="AF120" i="29" s="1"/>
  <c r="B120" i="29" s="1"/>
  <c r="M120" i="29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E120" i="29"/>
  <c r="F120" i="29" s="1"/>
  <c r="G120" i="29" s="1"/>
  <c r="H120" i="29" s="1"/>
  <c r="I120" i="29" s="1"/>
  <c r="J120" i="29" s="1"/>
  <c r="K120" i="29" s="1"/>
  <c r="L120" i="29" s="1"/>
  <c r="D120" i="29"/>
  <c r="M119" i="29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D119" i="29"/>
  <c r="E119" i="29" s="1"/>
  <c r="F119" i="29" s="1"/>
  <c r="G119" i="29" s="1"/>
  <c r="H119" i="29" s="1"/>
  <c r="I119" i="29" s="1"/>
  <c r="J119" i="29" s="1"/>
  <c r="K119" i="29" s="1"/>
  <c r="L119" i="29" s="1"/>
  <c r="T118" i="29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J118" i="29"/>
  <c r="K118" i="29" s="1"/>
  <c r="L118" i="29" s="1"/>
  <c r="M118" i="29" s="1"/>
  <c r="N118" i="29" s="1"/>
  <c r="O118" i="29" s="1"/>
  <c r="P118" i="29" s="1"/>
  <c r="Q118" i="29" s="1"/>
  <c r="R118" i="29" s="1"/>
  <c r="S118" i="29" s="1"/>
  <c r="D118" i="29"/>
  <c r="E118" i="29" s="1"/>
  <c r="F118" i="29" s="1"/>
  <c r="G118" i="29" s="1"/>
  <c r="H118" i="29" s="1"/>
  <c r="I118" i="29" s="1"/>
  <c r="K117" i="29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D117" i="29"/>
  <c r="E117" i="29" s="1"/>
  <c r="F117" i="29" s="1"/>
  <c r="G117" i="29" s="1"/>
  <c r="H117" i="29" s="1"/>
  <c r="I117" i="29" s="1"/>
  <c r="J117" i="29" s="1"/>
  <c r="W116" i="29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N116" i="29"/>
  <c r="O116" i="29" s="1"/>
  <c r="P116" i="29" s="1"/>
  <c r="Q116" i="29" s="1"/>
  <c r="R116" i="29" s="1"/>
  <c r="S116" i="29" s="1"/>
  <c r="T116" i="29" s="1"/>
  <c r="U116" i="29" s="1"/>
  <c r="V116" i="29" s="1"/>
  <c r="E116" i="29"/>
  <c r="F116" i="29" s="1"/>
  <c r="G116" i="29" s="1"/>
  <c r="H116" i="29" s="1"/>
  <c r="I116" i="29" s="1"/>
  <c r="J116" i="29" s="1"/>
  <c r="K116" i="29" s="1"/>
  <c r="L116" i="29" s="1"/>
  <c r="M116" i="29" s="1"/>
  <c r="D116" i="29"/>
  <c r="D115" i="29"/>
  <c r="E115" i="29" s="1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AC114" i="29"/>
  <c r="AD114" i="29" s="1"/>
  <c r="AE114" i="29" s="1"/>
  <c r="AF114" i="29" s="1"/>
  <c r="B114" i="29" s="1"/>
  <c r="T114" i="29"/>
  <c r="U114" i="29" s="1"/>
  <c r="V114" i="29" s="1"/>
  <c r="W114" i="29" s="1"/>
  <c r="X114" i="29" s="1"/>
  <c r="Y114" i="29" s="1"/>
  <c r="Z114" i="29" s="1"/>
  <c r="AA114" i="29" s="1"/>
  <c r="AB114" i="29" s="1"/>
  <c r="K114" i="29"/>
  <c r="L114" i="29" s="1"/>
  <c r="M114" i="29" s="1"/>
  <c r="N114" i="29" s="1"/>
  <c r="O114" i="29" s="1"/>
  <c r="P114" i="29" s="1"/>
  <c r="Q114" i="29" s="1"/>
  <c r="R114" i="29" s="1"/>
  <c r="S114" i="29" s="1"/>
  <c r="D114" i="29"/>
  <c r="E114" i="29" s="1"/>
  <c r="F114" i="29" s="1"/>
  <c r="G114" i="29" s="1"/>
  <c r="H114" i="29" s="1"/>
  <c r="I114" i="29" s="1"/>
  <c r="F113" i="29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E113" i="29"/>
  <c r="D113" i="29"/>
  <c r="D112" i="29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J110" i="29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B110" i="29" s="1"/>
  <c r="D110" i="29"/>
  <c r="E110" i="29" s="1"/>
  <c r="F110" i="29" s="1"/>
  <c r="G110" i="29" s="1"/>
  <c r="H110" i="29" s="1"/>
  <c r="I110" i="29" s="1"/>
  <c r="D109" i="29"/>
  <c r="E109" i="29" s="1"/>
  <c r="V107" i="29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B107" i="29" s="1"/>
  <c r="N107" i="29"/>
  <c r="O107" i="29" s="1"/>
  <c r="P107" i="29" s="1"/>
  <c r="Q107" i="29" s="1"/>
  <c r="R107" i="29" s="1"/>
  <c r="S107" i="29" s="1"/>
  <c r="T107" i="29" s="1"/>
  <c r="U107" i="29" s="1"/>
  <c r="F107" i="29"/>
  <c r="G107" i="29" s="1"/>
  <c r="H107" i="29" s="1"/>
  <c r="I107" i="29" s="1"/>
  <c r="J107" i="29" s="1"/>
  <c r="K107" i="29" s="1"/>
  <c r="L107" i="29" s="1"/>
  <c r="M107" i="29" s="1"/>
  <c r="E107" i="29"/>
  <c r="D107" i="29"/>
  <c r="D106" i="29"/>
  <c r="E106" i="29" s="1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M105" i="29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J105" i="29"/>
  <c r="K105" i="29" s="1"/>
  <c r="L105" i="29" s="1"/>
  <c r="E105" i="29"/>
  <c r="F105" i="29" s="1"/>
  <c r="G105" i="29" s="1"/>
  <c r="H105" i="29" s="1"/>
  <c r="I105" i="29" s="1"/>
  <c r="D105" i="29"/>
  <c r="D104" i="29"/>
  <c r="E104" i="29" s="1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F103" i="29"/>
  <c r="G103" i="29" s="1"/>
  <c r="E103" i="29"/>
  <c r="D103" i="29"/>
  <c r="D102" i="29"/>
  <c r="AH98" i="29"/>
  <c r="AI98" i="29" s="1"/>
  <c r="AH97" i="29"/>
  <c r="AI97" i="29" s="1"/>
  <c r="AH96" i="29"/>
  <c r="AI96" i="29" s="1"/>
  <c r="AH95" i="29"/>
  <c r="AI95" i="29" s="1"/>
  <c r="AH94" i="29"/>
  <c r="AI94" i="29" s="1"/>
  <c r="D93" i="29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G82" i="29"/>
  <c r="AI81" i="29"/>
  <c r="AH81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AF76" i="29"/>
  <c r="AE76" i="29"/>
  <c r="AD76" i="29"/>
  <c r="AD82" i="29" s="1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D82" i="29" s="1"/>
  <c r="C76" i="29"/>
  <c r="AI74" i="29"/>
  <c r="AH74" i="29"/>
  <c r="AI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AH72" i="29"/>
  <c r="AI71" i="29"/>
  <c r="AH71" i="29"/>
  <c r="AI70" i="29"/>
  <c r="AH70" i="29"/>
  <c r="AI69" i="29"/>
  <c r="AH69" i="29"/>
  <c r="AG68" i="29"/>
  <c r="AG73" i="29" s="1"/>
  <c r="AF68" i="29"/>
  <c r="AE5" i="29" s="1"/>
  <c r="AE68" i="29"/>
  <c r="AD5" i="29" s="1"/>
  <c r="AD68" i="29"/>
  <c r="AC5" i="29" s="1"/>
  <c r="AC68" i="29"/>
  <c r="AB5" i="29" s="1"/>
  <c r="AB68" i="29"/>
  <c r="AA68" i="29"/>
  <c r="Z5" i="29" s="1"/>
  <c r="Z68" i="29"/>
  <c r="Y68" i="29"/>
  <c r="X68" i="29"/>
  <c r="W5" i="29" s="1"/>
  <c r="W68" i="29"/>
  <c r="V68" i="29"/>
  <c r="U68" i="29"/>
  <c r="T5" i="29" s="1"/>
  <c r="T68" i="29"/>
  <c r="S68" i="29"/>
  <c r="R5" i="29" s="1"/>
  <c r="R68" i="29"/>
  <c r="Q5" i="29" s="1"/>
  <c r="Q68" i="29"/>
  <c r="P68" i="29"/>
  <c r="O5" i="29" s="1"/>
  <c r="O68" i="29"/>
  <c r="N68" i="29"/>
  <c r="M5" i="29" s="1"/>
  <c r="M68" i="29"/>
  <c r="L68" i="29"/>
  <c r="K68" i="29"/>
  <c r="J5" i="29" s="1"/>
  <c r="J68" i="29"/>
  <c r="I5" i="29" s="1"/>
  <c r="I68" i="29"/>
  <c r="H5" i="29" s="1"/>
  <c r="H68" i="29"/>
  <c r="G68" i="29"/>
  <c r="F5" i="29" s="1"/>
  <c r="F68" i="29"/>
  <c r="E5" i="29" s="1"/>
  <c r="E68" i="29"/>
  <c r="D5" i="29" s="1"/>
  <c r="D68" i="29"/>
  <c r="C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I55" i="29"/>
  <c r="AH55" i="29"/>
  <c r="AI54" i="29"/>
  <c r="AH54" i="29"/>
  <c r="AI53" i="29"/>
  <c r="AH53" i="29"/>
  <c r="AG52" i="29"/>
  <c r="Z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Y5" i="29"/>
  <c r="U5" i="29"/>
  <c r="G5" i="29"/>
  <c r="AG4" i="29"/>
  <c r="K4" i="29"/>
  <c r="B4" i="29"/>
  <c r="AG3" i="29"/>
  <c r="AG2" i="29"/>
  <c r="AG6" i="29" s="1"/>
  <c r="AF95" i="28"/>
  <c r="AF37" i="28"/>
  <c r="AE37" i="28"/>
  <c r="AD95" i="28"/>
  <c r="AD37" i="28"/>
  <c r="AC95" i="28"/>
  <c r="AC37" i="28"/>
  <c r="AB37" i="28"/>
  <c r="M58" i="28"/>
  <c r="L58" i="28"/>
  <c r="L37" i="28"/>
  <c r="K58" i="28"/>
  <c r="K37" i="28"/>
  <c r="J37" i="28"/>
  <c r="I37" i="28"/>
  <c r="H37" i="28"/>
  <c r="G37" i="28"/>
  <c r="F37" i="28"/>
  <c r="E37" i="28"/>
  <c r="AH100" i="28"/>
  <c r="AI100" i="28" s="1"/>
  <c r="AH99" i="28"/>
  <c r="AI99" i="28" s="1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D235" i="28"/>
  <c r="C235" i="28"/>
  <c r="B235" i="28"/>
  <c r="S210" i="28"/>
  <c r="AG200" i="28"/>
  <c r="C200" i="28"/>
  <c r="F199" i="28"/>
  <c r="E199" i="28"/>
  <c r="D199" i="28"/>
  <c r="E198" i="28"/>
  <c r="F198" i="28" s="1"/>
  <c r="G198" i="28" s="1"/>
  <c r="H198" i="28" s="1"/>
  <c r="I198" i="28" s="1"/>
  <c r="J198" i="28" s="1"/>
  <c r="K198" i="28" s="1"/>
  <c r="L198" i="28" s="1"/>
  <c r="M198" i="28" s="1"/>
  <c r="N198" i="28" s="1"/>
  <c r="O198" i="28" s="1"/>
  <c r="P198" i="28" s="1"/>
  <c r="Q198" i="28" s="1"/>
  <c r="R198" i="28" s="1"/>
  <c r="S198" i="28" s="1"/>
  <c r="T198" i="28" s="1"/>
  <c r="U198" i="28" s="1"/>
  <c r="V198" i="28" s="1"/>
  <c r="W198" i="28" s="1"/>
  <c r="X198" i="28" s="1"/>
  <c r="Y198" i="28" s="1"/>
  <c r="Z198" i="28" s="1"/>
  <c r="AA198" i="28" s="1"/>
  <c r="AB198" i="28" s="1"/>
  <c r="AC198" i="28" s="1"/>
  <c r="AD198" i="28" s="1"/>
  <c r="AE198" i="28" s="1"/>
  <c r="AF198" i="28" s="1"/>
  <c r="B198" i="28" s="1"/>
  <c r="D198" i="28"/>
  <c r="Q197" i="28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D197" i="28"/>
  <c r="E197" i="28" s="1"/>
  <c r="F197" i="28" s="1"/>
  <c r="G197" i="28" s="1"/>
  <c r="H197" i="28" s="1"/>
  <c r="I197" i="28" s="1"/>
  <c r="J197" i="28" s="1"/>
  <c r="K197" i="28" s="1"/>
  <c r="L197" i="28" s="1"/>
  <c r="M197" i="28" s="1"/>
  <c r="N197" i="28" s="1"/>
  <c r="O197" i="28" s="1"/>
  <c r="P197" i="28" s="1"/>
  <c r="B197" i="28"/>
  <c r="E196" i="28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D196" i="28"/>
  <c r="N195" i="28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B195" i="28" s="1"/>
  <c r="E195" i="28"/>
  <c r="F195" i="28" s="1"/>
  <c r="G195" i="28" s="1"/>
  <c r="H195" i="28" s="1"/>
  <c r="I195" i="28" s="1"/>
  <c r="J195" i="28" s="1"/>
  <c r="K195" i="28" s="1"/>
  <c r="L195" i="28" s="1"/>
  <c r="M195" i="28" s="1"/>
  <c r="D195" i="28"/>
  <c r="D194" i="28"/>
  <c r="E194" i="28" s="1"/>
  <c r="E200" i="28" s="1"/>
  <c r="AG192" i="28"/>
  <c r="C192" i="28"/>
  <c r="N191" i="28"/>
  <c r="O191" i="28" s="1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B191" i="28" s="1"/>
  <c r="D191" i="28"/>
  <c r="E191" i="28" s="1"/>
  <c r="F191" i="28" s="1"/>
  <c r="G191" i="28" s="1"/>
  <c r="H191" i="28" s="1"/>
  <c r="I191" i="28" s="1"/>
  <c r="J191" i="28" s="1"/>
  <c r="K191" i="28" s="1"/>
  <c r="L191" i="28" s="1"/>
  <c r="M191" i="28" s="1"/>
  <c r="D190" i="28"/>
  <c r="E190" i="28" s="1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F189" i="28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E189" i="28"/>
  <c r="D189" i="28"/>
  <c r="AA188" i="28"/>
  <c r="AB188" i="28" s="1"/>
  <c r="AC188" i="28" s="1"/>
  <c r="AD188" i="28" s="1"/>
  <c r="AE188" i="28" s="1"/>
  <c r="AF188" i="28" s="1"/>
  <c r="B188" i="28" s="1"/>
  <c r="E188" i="28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D188" i="28"/>
  <c r="J187" i="28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F187" i="28"/>
  <c r="G187" i="28" s="1"/>
  <c r="H187" i="28" s="1"/>
  <c r="I187" i="28" s="1"/>
  <c r="D187" i="28"/>
  <c r="E187" i="28" s="1"/>
  <c r="O186" i="28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E186" i="28"/>
  <c r="F186" i="28" s="1"/>
  <c r="G186" i="28" s="1"/>
  <c r="H186" i="28" s="1"/>
  <c r="I186" i="28" s="1"/>
  <c r="J186" i="28" s="1"/>
  <c r="K186" i="28" s="1"/>
  <c r="L186" i="28" s="1"/>
  <c r="M186" i="28" s="1"/>
  <c r="N186" i="28" s="1"/>
  <c r="D186" i="28"/>
  <c r="R185" i="28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F185" i="28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D185" i="28"/>
  <c r="E185" i="28" s="1"/>
  <c r="K184" i="28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D184" i="28"/>
  <c r="E184" i="28" s="1"/>
  <c r="F184" i="28" s="1"/>
  <c r="G184" i="28" s="1"/>
  <c r="H184" i="28" s="1"/>
  <c r="I184" i="28" s="1"/>
  <c r="J184" i="28" s="1"/>
  <c r="D183" i="28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E182" i="28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D182" i="28"/>
  <c r="G181" i="28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E181" i="28"/>
  <c r="F181" i="28" s="1"/>
  <c r="D181" i="28"/>
  <c r="E180" i="28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D180" i="28"/>
  <c r="G179" i="28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F179" i="28"/>
  <c r="D179" i="28"/>
  <c r="E179" i="28" s="1"/>
  <c r="E177" i="28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B177" i="28" s="1"/>
  <c r="D177" i="28"/>
  <c r="E176" i="28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D176" i="28"/>
  <c r="J175" i="28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E175" i="28"/>
  <c r="F175" i="28" s="1"/>
  <c r="G175" i="28" s="1"/>
  <c r="H175" i="28" s="1"/>
  <c r="I175" i="28" s="1"/>
  <c r="D175" i="28"/>
  <c r="D174" i="28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M173" i="28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D173" i="28"/>
  <c r="E173" i="28" s="1"/>
  <c r="F173" i="28" s="1"/>
  <c r="G173" i="28" s="1"/>
  <c r="H173" i="28" s="1"/>
  <c r="I173" i="28" s="1"/>
  <c r="J173" i="28" s="1"/>
  <c r="K173" i="28" s="1"/>
  <c r="L173" i="28" s="1"/>
  <c r="E172" i="28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D172" i="28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Q170" i="28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I170" i="28"/>
  <c r="J170" i="28" s="1"/>
  <c r="K170" i="28" s="1"/>
  <c r="L170" i="28" s="1"/>
  <c r="M170" i="28" s="1"/>
  <c r="N170" i="28" s="1"/>
  <c r="O170" i="28" s="1"/>
  <c r="P170" i="28" s="1"/>
  <c r="E170" i="28"/>
  <c r="F170" i="28" s="1"/>
  <c r="G170" i="28" s="1"/>
  <c r="H170" i="28" s="1"/>
  <c r="D170" i="28"/>
  <c r="D168" i="28"/>
  <c r="E168" i="28" s="1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B168" i="28" s="1"/>
  <c r="Z167" i="28"/>
  <c r="AA167" i="28" s="1"/>
  <c r="AB167" i="28" s="1"/>
  <c r="AC167" i="28" s="1"/>
  <c r="AD167" i="28" s="1"/>
  <c r="AE167" i="28" s="1"/>
  <c r="AF167" i="28" s="1"/>
  <c r="B167" i="28" s="1"/>
  <c r="P167" i="28"/>
  <c r="Q167" i="28" s="1"/>
  <c r="R167" i="28" s="1"/>
  <c r="S167" i="28" s="1"/>
  <c r="T167" i="28" s="1"/>
  <c r="U167" i="28" s="1"/>
  <c r="V167" i="28" s="1"/>
  <c r="W167" i="28" s="1"/>
  <c r="X167" i="28" s="1"/>
  <c r="Y167" i="28" s="1"/>
  <c r="F167" i="28"/>
  <c r="G167" i="28" s="1"/>
  <c r="H167" i="28" s="1"/>
  <c r="I167" i="28" s="1"/>
  <c r="J167" i="28" s="1"/>
  <c r="K167" i="28" s="1"/>
  <c r="L167" i="28" s="1"/>
  <c r="M167" i="28" s="1"/>
  <c r="N167" i="28" s="1"/>
  <c r="O167" i="28" s="1"/>
  <c r="E167" i="28"/>
  <c r="D167" i="28"/>
  <c r="E166" i="28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D166" i="28"/>
  <c r="D165" i="28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G164" i="28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D164" i="28"/>
  <c r="E164" i="28" s="1"/>
  <c r="F164" i="28" s="1"/>
  <c r="I163" i="28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E163" i="28"/>
  <c r="F163" i="28" s="1"/>
  <c r="G163" i="28" s="1"/>
  <c r="H163" i="28" s="1"/>
  <c r="D163" i="28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S161" i="28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N161" i="28"/>
  <c r="O161" i="28" s="1"/>
  <c r="P161" i="28" s="1"/>
  <c r="Q161" i="28" s="1"/>
  <c r="R161" i="28" s="1"/>
  <c r="J161" i="28"/>
  <c r="K161" i="28" s="1"/>
  <c r="L161" i="28" s="1"/>
  <c r="M161" i="28" s="1"/>
  <c r="F161" i="28"/>
  <c r="G161" i="28" s="1"/>
  <c r="H161" i="28" s="1"/>
  <c r="I161" i="28" s="1"/>
  <c r="E161" i="28"/>
  <c r="D161" i="28"/>
  <c r="T160" i="28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H160" i="28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D160" i="28"/>
  <c r="E160" i="28" s="1"/>
  <c r="F160" i="28" s="1"/>
  <c r="G160" i="28" s="1"/>
  <c r="F159" i="28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E159" i="28"/>
  <c r="D159" i="28"/>
  <c r="AB158" i="28"/>
  <c r="AC158" i="28" s="1"/>
  <c r="AD158" i="28" s="1"/>
  <c r="AE158" i="28" s="1"/>
  <c r="AF158" i="28" s="1"/>
  <c r="B158" i="28" s="1"/>
  <c r="X158" i="28"/>
  <c r="Y158" i="28" s="1"/>
  <c r="Z158" i="28" s="1"/>
  <c r="AA158" i="28" s="1"/>
  <c r="D158" i="28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J157" i="28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F157" i="28"/>
  <c r="G157" i="28" s="1"/>
  <c r="H157" i="28" s="1"/>
  <c r="I157" i="28" s="1"/>
  <c r="E157" i="28"/>
  <c r="D157" i="28"/>
  <c r="D156" i="28"/>
  <c r="E156" i="28" s="1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N154" i="28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B154" i="28" s="1"/>
  <c r="J154" i="28"/>
  <c r="K154" i="28" s="1"/>
  <c r="L154" i="28" s="1"/>
  <c r="M154" i="28" s="1"/>
  <c r="F154" i="28"/>
  <c r="G154" i="28" s="1"/>
  <c r="H154" i="28" s="1"/>
  <c r="I154" i="28" s="1"/>
  <c r="E154" i="28"/>
  <c r="D154" i="28"/>
  <c r="I153" i="28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H153" i="28"/>
  <c r="D153" i="28"/>
  <c r="E153" i="28" s="1"/>
  <c r="F153" i="28" s="1"/>
  <c r="G153" i="28" s="1"/>
  <c r="V152" i="28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R152" i="28"/>
  <c r="S152" i="28" s="1"/>
  <c r="T152" i="28" s="1"/>
  <c r="U152" i="28" s="1"/>
  <c r="J152" i="28"/>
  <c r="K152" i="28" s="1"/>
  <c r="L152" i="28" s="1"/>
  <c r="M152" i="28" s="1"/>
  <c r="N152" i="28" s="1"/>
  <c r="O152" i="28" s="1"/>
  <c r="P152" i="28" s="1"/>
  <c r="Q152" i="28" s="1"/>
  <c r="G152" i="28"/>
  <c r="H152" i="28" s="1"/>
  <c r="I152" i="28" s="1"/>
  <c r="F152" i="28"/>
  <c r="E152" i="28"/>
  <c r="D152" i="28"/>
  <c r="Q151" i="28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P151" i="28"/>
  <c r="I151" i="28"/>
  <c r="J151" i="28" s="1"/>
  <c r="K151" i="28" s="1"/>
  <c r="L151" i="28" s="1"/>
  <c r="M151" i="28" s="1"/>
  <c r="N151" i="28" s="1"/>
  <c r="O151" i="28" s="1"/>
  <c r="H151" i="28"/>
  <c r="E151" i="28"/>
  <c r="F151" i="28" s="1"/>
  <c r="G151" i="28" s="1"/>
  <c r="D151" i="28"/>
  <c r="R149" i="28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B149" i="28" s="1"/>
  <c r="O149" i="28"/>
  <c r="P149" i="28" s="1"/>
  <c r="Q149" i="28" s="1"/>
  <c r="E149" i="28"/>
  <c r="F149" i="28" s="1"/>
  <c r="G149" i="28" s="1"/>
  <c r="H149" i="28" s="1"/>
  <c r="I149" i="28" s="1"/>
  <c r="J149" i="28" s="1"/>
  <c r="K149" i="28" s="1"/>
  <c r="L149" i="28" s="1"/>
  <c r="M149" i="28" s="1"/>
  <c r="N149" i="28" s="1"/>
  <c r="D149" i="28"/>
  <c r="D148" i="28"/>
  <c r="E148" i="28" s="1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I146" i="28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B146" i="28" s="1"/>
  <c r="G146" i="28"/>
  <c r="H146" i="28" s="1"/>
  <c r="F146" i="28"/>
  <c r="E146" i="28"/>
  <c r="D146" i="28"/>
  <c r="D145" i="28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E144" i="28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D144" i="28"/>
  <c r="X143" i="28"/>
  <c r="Y143" i="28" s="1"/>
  <c r="Z143" i="28" s="1"/>
  <c r="AA143" i="28" s="1"/>
  <c r="AB143" i="28" s="1"/>
  <c r="AC143" i="28" s="1"/>
  <c r="AD143" i="28" s="1"/>
  <c r="AE143" i="28" s="1"/>
  <c r="AF143" i="28" s="1"/>
  <c r="B143" i="28" s="1"/>
  <c r="E143" i="28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D143" i="28"/>
  <c r="AF142" i="28"/>
  <c r="B142" i="28" s="1"/>
  <c r="K142" i="28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H142" i="28"/>
  <c r="I142" i="28" s="1"/>
  <c r="J142" i="28" s="1"/>
  <c r="D142" i="28"/>
  <c r="E142" i="28" s="1"/>
  <c r="F142" i="28" s="1"/>
  <c r="G142" i="28" s="1"/>
  <c r="F141" i="28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E141" i="28"/>
  <c r="D141" i="28"/>
  <c r="AF140" i="28"/>
  <c r="B140" i="28" s="1"/>
  <c r="L140" i="28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D140" i="28"/>
  <c r="E140" i="28" s="1"/>
  <c r="F140" i="28" s="1"/>
  <c r="G140" i="28" s="1"/>
  <c r="H140" i="28" s="1"/>
  <c r="I140" i="28" s="1"/>
  <c r="J140" i="28" s="1"/>
  <c r="K140" i="28" s="1"/>
  <c r="U138" i="28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B138" i="28" s="1"/>
  <c r="E138" i="28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D138" i="28"/>
  <c r="K137" i="28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H137" i="28"/>
  <c r="I137" i="28" s="1"/>
  <c r="J137" i="28" s="1"/>
  <c r="D137" i="28"/>
  <c r="E137" i="28" s="1"/>
  <c r="F137" i="28" s="1"/>
  <c r="G137" i="28" s="1"/>
  <c r="F136" i="28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E136" i="28"/>
  <c r="D136" i="28"/>
  <c r="D135" i="28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U134" i="28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E134" i="28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D134" i="28"/>
  <c r="K133" i="28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H133" i="28"/>
  <c r="I133" i="28" s="1"/>
  <c r="J133" i="28" s="1"/>
  <c r="D133" i="28"/>
  <c r="E133" i="28" s="1"/>
  <c r="F133" i="28" s="1"/>
  <c r="G133" i="28" s="1"/>
  <c r="R132" i="28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F132" i="28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E132" i="28"/>
  <c r="D132" i="28"/>
  <c r="O131" i="28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31" i="28" s="1"/>
  <c r="F131" i="28" s="1"/>
  <c r="G131" i="28" s="1"/>
  <c r="H131" i="28" s="1"/>
  <c r="I131" i="28" s="1"/>
  <c r="J131" i="28" s="1"/>
  <c r="K131" i="28" s="1"/>
  <c r="L131" i="28" s="1"/>
  <c r="M131" i="28" s="1"/>
  <c r="N131" i="28" s="1"/>
  <c r="M129" i="28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B129" i="28" s="1"/>
  <c r="F129" i="28"/>
  <c r="G129" i="28" s="1"/>
  <c r="H129" i="28" s="1"/>
  <c r="I129" i="28" s="1"/>
  <c r="J129" i="28" s="1"/>
  <c r="K129" i="28" s="1"/>
  <c r="L129" i="28" s="1"/>
  <c r="E129" i="28"/>
  <c r="D129" i="28"/>
  <c r="L128" i="28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G128" i="28"/>
  <c r="H128" i="28" s="1"/>
  <c r="I128" i="28" s="1"/>
  <c r="J128" i="28" s="1"/>
  <c r="K128" i="28" s="1"/>
  <c r="D128" i="28"/>
  <c r="E128" i="28" s="1"/>
  <c r="F128" i="28" s="1"/>
  <c r="Z127" i="28"/>
  <c r="AA127" i="28" s="1"/>
  <c r="AB127" i="28" s="1"/>
  <c r="AC127" i="28" s="1"/>
  <c r="AD127" i="28" s="1"/>
  <c r="AE127" i="28" s="1"/>
  <c r="AF127" i="28" s="1"/>
  <c r="B127" i="28" s="1"/>
  <c r="J127" i="28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E127" i="28"/>
  <c r="F127" i="28" s="1"/>
  <c r="G127" i="28" s="1"/>
  <c r="H127" i="28" s="1"/>
  <c r="I127" i="28" s="1"/>
  <c r="D127" i="28"/>
  <c r="K126" i="28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D126" i="28"/>
  <c r="E126" i="28" s="1"/>
  <c r="F126" i="28" s="1"/>
  <c r="G126" i="28" s="1"/>
  <c r="H126" i="28" s="1"/>
  <c r="I126" i="28" s="1"/>
  <c r="J126" i="28" s="1"/>
  <c r="L125" i="28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D125" i="28"/>
  <c r="E125" i="28" s="1"/>
  <c r="F125" i="28" s="1"/>
  <c r="G125" i="28" s="1"/>
  <c r="H125" i="28" s="1"/>
  <c r="I125" i="28" s="1"/>
  <c r="J125" i="28" s="1"/>
  <c r="K125" i="28" s="1"/>
  <c r="P124" i="28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D124" i="28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D123" i="28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J122" i="28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D122" i="28"/>
  <c r="E122" i="28" s="1"/>
  <c r="F122" i="28" s="1"/>
  <c r="G122" i="28" s="1"/>
  <c r="H122" i="28" s="1"/>
  <c r="I122" i="28" s="1"/>
  <c r="D121" i="28"/>
  <c r="E121" i="28" s="1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F120" i="28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D120" i="28"/>
  <c r="E120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W118" i="28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L118" i="28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D118" i="28"/>
  <c r="E118" i="28" s="1"/>
  <c r="F118" i="28" s="1"/>
  <c r="G118" i="28" s="1"/>
  <c r="H118" i="28" s="1"/>
  <c r="I118" i="28" s="1"/>
  <c r="J118" i="28" s="1"/>
  <c r="K118" i="28" s="1"/>
  <c r="J117" i="28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E117" i="28"/>
  <c r="F117" i="28" s="1"/>
  <c r="G117" i="28" s="1"/>
  <c r="H117" i="28" s="1"/>
  <c r="I117" i="28" s="1"/>
  <c r="D117" i="28"/>
  <c r="D116" i="28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Q115" i="28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F115" i="28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E115" i="28"/>
  <c r="D115" i="28"/>
  <c r="K114" i="28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E114" i="28"/>
  <c r="F114" i="28" s="1"/>
  <c r="G114" i="28" s="1"/>
  <c r="H114" i="28" s="1"/>
  <c r="I114" i="28" s="1"/>
  <c r="D114" i="28"/>
  <c r="D113" i="28"/>
  <c r="E113" i="28" s="1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N112" i="28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E112" i="28"/>
  <c r="F112" i="28" s="1"/>
  <c r="G112" i="28" s="1"/>
  <c r="H112" i="28" s="1"/>
  <c r="I112" i="28" s="1"/>
  <c r="J112" i="28" s="1"/>
  <c r="K112" i="28" s="1"/>
  <c r="L112" i="28" s="1"/>
  <c r="M112" i="28" s="1"/>
  <c r="D112" i="28"/>
  <c r="H110" i="28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B110" i="28" s="1"/>
  <c r="D110" i="28"/>
  <c r="E110" i="28" s="1"/>
  <c r="F110" i="28" s="1"/>
  <c r="G110" i="28" s="1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D107" i="28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B107" i="28" s="1"/>
  <c r="H106" i="28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G106" i="28"/>
  <c r="F106" i="28"/>
  <c r="E106" i="28"/>
  <c r="D106" i="28"/>
  <c r="D105" i="28"/>
  <c r="E105" i="28" s="1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J104" i="28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I104" i="28"/>
  <c r="E104" i="28"/>
  <c r="F104" i="28" s="1"/>
  <c r="G104" i="28" s="1"/>
  <c r="H104" i="28" s="1"/>
  <c r="D104" i="28"/>
  <c r="D103" i="28"/>
  <c r="E103" i="28" s="1"/>
  <c r="F103" i="28" s="1"/>
  <c r="F102" i="28"/>
  <c r="E102" i="28"/>
  <c r="D102" i="28"/>
  <c r="AH98" i="28"/>
  <c r="AI98" i="28" s="1"/>
  <c r="AH97" i="28"/>
  <c r="AI97" i="28" s="1"/>
  <c r="AH96" i="28"/>
  <c r="AI96" i="28" s="1"/>
  <c r="AH95" i="28"/>
  <c r="AI95" i="28" s="1"/>
  <c r="AH94" i="28"/>
  <c r="AI94" i="28" s="1"/>
  <c r="D93" i="28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G82" i="28"/>
  <c r="AI81" i="28"/>
  <c r="AH81" i="28"/>
  <c r="AF80" i="28"/>
  <c r="AE80" i="28"/>
  <c r="AD80" i="28"/>
  <c r="AC80" i="28"/>
  <c r="AB80" i="28"/>
  <c r="AA80" i="28"/>
  <c r="Z80" i="28"/>
  <c r="Y80" i="28"/>
  <c r="X80" i="28"/>
  <c r="X82" i="28" s="1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B80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B79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AF76" i="28"/>
  <c r="AE76" i="28"/>
  <c r="AD76" i="28"/>
  <c r="AC76" i="28"/>
  <c r="AB76" i="28"/>
  <c r="AA76" i="28"/>
  <c r="Z76" i="28"/>
  <c r="Z82" i="28" s="1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AI74" i="28"/>
  <c r="AH74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F75" i="28" s="1"/>
  <c r="E72" i="28"/>
  <c r="D72" i="28"/>
  <c r="C72" i="28"/>
  <c r="B72" i="28"/>
  <c r="AI71" i="28"/>
  <c r="AH71" i="28"/>
  <c r="AI70" i="28"/>
  <c r="AH70" i="28"/>
  <c r="AI69" i="28"/>
  <c r="AH69" i="28"/>
  <c r="AG68" i="28"/>
  <c r="AG73" i="28" s="1"/>
  <c r="AF68" i="28"/>
  <c r="AE68" i="28"/>
  <c r="AD5" i="28" s="1"/>
  <c r="AD68" i="28"/>
  <c r="AC68" i="28"/>
  <c r="AB68" i="28"/>
  <c r="AA5" i="28" s="1"/>
  <c r="AA68" i="28"/>
  <c r="Z5" i="28" s="1"/>
  <c r="Z68" i="28"/>
  <c r="Y68" i="28"/>
  <c r="X5" i="28" s="1"/>
  <c r="X68" i="28"/>
  <c r="W5" i="28" s="1"/>
  <c r="W68" i="28"/>
  <c r="V5" i="28" s="1"/>
  <c r="V68" i="28"/>
  <c r="U68" i="28"/>
  <c r="T68" i="28"/>
  <c r="S68" i="28"/>
  <c r="R5" i="28" s="1"/>
  <c r="R68" i="28"/>
  <c r="Q68" i="28"/>
  <c r="P5" i="28" s="1"/>
  <c r="P68" i="28"/>
  <c r="O5" i="28" s="1"/>
  <c r="O68" i="28"/>
  <c r="N5" i="28" s="1"/>
  <c r="N68" i="28"/>
  <c r="M68" i="28"/>
  <c r="L5" i="28" s="1"/>
  <c r="L68" i="28"/>
  <c r="K5" i="28" s="1"/>
  <c r="K68" i="28"/>
  <c r="J68" i="28"/>
  <c r="I68" i="28"/>
  <c r="H5" i="28" s="1"/>
  <c r="H68" i="28"/>
  <c r="G5" i="28" s="1"/>
  <c r="G68" i="28"/>
  <c r="F5" i="28" s="1"/>
  <c r="F68" i="28"/>
  <c r="E68" i="28"/>
  <c r="D5" i="28" s="1"/>
  <c r="D68" i="28"/>
  <c r="C5" i="28" s="1"/>
  <c r="C68" i="28"/>
  <c r="B5" i="28" s="1"/>
  <c r="B68" i="28"/>
  <c r="AF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AI55" i="28"/>
  <c r="AH55" i="28"/>
  <c r="AI54" i="28"/>
  <c r="AH54" i="28"/>
  <c r="AI53" i="28"/>
  <c r="AH53" i="28"/>
  <c r="Z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G51" i="28"/>
  <c r="AG52" i="28" s="1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E5" i="28"/>
  <c r="AB5" i="28"/>
  <c r="Y5" i="28"/>
  <c r="T5" i="28"/>
  <c r="S5" i="28"/>
  <c r="Q5" i="28"/>
  <c r="J5" i="28"/>
  <c r="I5" i="28"/>
  <c r="AG4" i="28"/>
  <c r="K4" i="28"/>
  <c r="B4" i="28"/>
  <c r="AG2" i="28"/>
  <c r="AB93" i="27"/>
  <c r="Z7" i="27"/>
  <c r="AA95" i="27"/>
  <c r="Z95" i="27"/>
  <c r="Y95" i="27"/>
  <c r="Y37" i="27"/>
  <c r="X95" i="27"/>
  <c r="X37" i="27"/>
  <c r="W95" i="27"/>
  <c r="W37" i="27"/>
  <c r="V95" i="27"/>
  <c r="V37" i="27"/>
  <c r="U95" i="27"/>
  <c r="U37" i="27"/>
  <c r="T95" i="27"/>
  <c r="T37" i="27"/>
  <c r="E4" i="30"/>
  <c r="E4" i="28"/>
  <c r="E4" i="29"/>
  <c r="AF82" i="30" l="1"/>
  <c r="AE82" i="30"/>
  <c r="AD82" i="30"/>
  <c r="AA82" i="30"/>
  <c r="Z82" i="30"/>
  <c r="X82" i="30"/>
  <c r="W82" i="30"/>
  <c r="V82" i="30"/>
  <c r="R82" i="30"/>
  <c r="Q73" i="30"/>
  <c r="P82" i="30"/>
  <c r="O82" i="30"/>
  <c r="N82" i="30"/>
  <c r="I73" i="30"/>
  <c r="H82" i="30"/>
  <c r="G82" i="30"/>
  <c r="F82" i="30"/>
  <c r="AI78" i="30"/>
  <c r="C82" i="30"/>
  <c r="B82" i="30"/>
  <c r="B73" i="30"/>
  <c r="B75" i="30"/>
  <c r="I82" i="30"/>
  <c r="Q82" i="30"/>
  <c r="Y82" i="30"/>
  <c r="J82" i="30"/>
  <c r="AI77" i="30"/>
  <c r="AI80" i="30"/>
  <c r="L82" i="30"/>
  <c r="T82" i="30"/>
  <c r="AB82" i="30"/>
  <c r="AI79" i="30"/>
  <c r="E82" i="30"/>
  <c r="M82" i="30"/>
  <c r="U82" i="30"/>
  <c r="AC82" i="30"/>
  <c r="I75" i="30"/>
  <c r="AA214" i="30" s="1"/>
  <c r="Q75" i="30"/>
  <c r="AI214" i="30" s="1"/>
  <c r="AI56" i="30"/>
  <c r="H73" i="30"/>
  <c r="T73" i="30"/>
  <c r="H75" i="30"/>
  <c r="H7" i="30" s="1"/>
  <c r="P75" i="30"/>
  <c r="AH214" i="30" s="1"/>
  <c r="D73" i="30"/>
  <c r="D75" i="30"/>
  <c r="D7" i="30" s="1"/>
  <c r="G75" i="30"/>
  <c r="G7" i="30" s="1"/>
  <c r="O73" i="30"/>
  <c r="E75" i="30"/>
  <c r="E7" i="30" s="1"/>
  <c r="P73" i="30"/>
  <c r="S75" i="30"/>
  <c r="AK214" i="30" s="1"/>
  <c r="E73" i="30"/>
  <c r="T75" i="30"/>
  <c r="AL214" i="30" s="1"/>
  <c r="F73" i="30"/>
  <c r="N73" i="30"/>
  <c r="AH38" i="30"/>
  <c r="O75" i="30"/>
  <c r="O7" i="30" s="1"/>
  <c r="G73" i="30"/>
  <c r="AI76" i="30"/>
  <c r="AI38" i="30"/>
  <c r="H4" i="30"/>
  <c r="M75" i="30"/>
  <c r="M73" i="30"/>
  <c r="L5" i="30"/>
  <c r="AG6" i="30"/>
  <c r="AG73" i="30"/>
  <c r="AG83" i="30" s="1"/>
  <c r="AG3" i="30"/>
  <c r="F103" i="30"/>
  <c r="E93" i="30"/>
  <c r="L75" i="30"/>
  <c r="K5" i="30"/>
  <c r="L73" i="30"/>
  <c r="E192" i="30"/>
  <c r="K68" i="30"/>
  <c r="R73" i="30"/>
  <c r="Z73" i="30"/>
  <c r="F75" i="30"/>
  <c r="N75" i="30"/>
  <c r="F102" i="30"/>
  <c r="S211" i="30"/>
  <c r="D211" i="30"/>
  <c r="C73" i="30"/>
  <c r="C75" i="30" s="1"/>
  <c r="S73" i="30"/>
  <c r="D82" i="30"/>
  <c r="AH95" i="30"/>
  <c r="AI95" i="30" s="1"/>
  <c r="AI72" i="30"/>
  <c r="G5" i="30"/>
  <c r="O5" i="30"/>
  <c r="W5" i="30"/>
  <c r="AE5" i="30"/>
  <c r="AH56" i="30"/>
  <c r="AH58" i="30"/>
  <c r="AI58" i="30"/>
  <c r="R75" i="30"/>
  <c r="Z75" i="30"/>
  <c r="AH76" i="30"/>
  <c r="AH77" i="30"/>
  <c r="AH78" i="30"/>
  <c r="AH79" i="30"/>
  <c r="AH80" i="30"/>
  <c r="J68" i="30"/>
  <c r="D192" i="30"/>
  <c r="G235" i="30"/>
  <c r="I199" i="30"/>
  <c r="E194" i="30"/>
  <c r="D200" i="30"/>
  <c r="AC82" i="29"/>
  <c r="AB82" i="29"/>
  <c r="AA82" i="29"/>
  <c r="Z82" i="29"/>
  <c r="AI77" i="29"/>
  <c r="X82" i="29"/>
  <c r="V82" i="29"/>
  <c r="U82" i="29"/>
  <c r="Z73" i="29"/>
  <c r="T82" i="29"/>
  <c r="R82" i="29"/>
  <c r="R75" i="29"/>
  <c r="R73" i="29"/>
  <c r="Q73" i="29"/>
  <c r="P82" i="29"/>
  <c r="O73" i="29"/>
  <c r="N75" i="29"/>
  <c r="AF214" i="29" s="1"/>
  <c r="N82" i="29"/>
  <c r="N73" i="29"/>
  <c r="M73" i="29"/>
  <c r="L5" i="29"/>
  <c r="M82" i="29"/>
  <c r="L82" i="29"/>
  <c r="K82" i="29"/>
  <c r="AI80" i="29"/>
  <c r="K75" i="29"/>
  <c r="J82" i="29"/>
  <c r="J73" i="29"/>
  <c r="H82" i="29"/>
  <c r="AI79" i="29"/>
  <c r="G73" i="29"/>
  <c r="AI78" i="29"/>
  <c r="F73" i="29"/>
  <c r="F82" i="29"/>
  <c r="F75" i="29"/>
  <c r="X214" i="29" s="1"/>
  <c r="E75" i="29"/>
  <c r="AI68" i="29"/>
  <c r="AI56" i="29"/>
  <c r="AH38" i="29"/>
  <c r="AH79" i="29"/>
  <c r="B5" i="29"/>
  <c r="C82" i="29"/>
  <c r="B83" i="29"/>
  <c r="H4" i="29"/>
  <c r="W214" i="29"/>
  <c r="E7" i="29"/>
  <c r="AJ214" i="29"/>
  <c r="R7" i="29"/>
  <c r="AC214" i="29"/>
  <c r="K7" i="29"/>
  <c r="S211" i="29"/>
  <c r="D211" i="29"/>
  <c r="F83" i="29"/>
  <c r="J75" i="29"/>
  <c r="Z75" i="29"/>
  <c r="Z83" i="29" s="1"/>
  <c r="T73" i="29"/>
  <c r="N5" i="29"/>
  <c r="V5" i="29"/>
  <c r="G75" i="29"/>
  <c r="O75" i="29"/>
  <c r="I73" i="29"/>
  <c r="E93" i="29"/>
  <c r="F109" i="29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H75" i="29"/>
  <c r="P75" i="29"/>
  <c r="M75" i="29"/>
  <c r="M83" i="29" s="1"/>
  <c r="E82" i="29"/>
  <c r="D192" i="29"/>
  <c r="E102" i="29"/>
  <c r="P5" i="29"/>
  <c r="X5" i="29"/>
  <c r="F7" i="29"/>
  <c r="H73" i="29"/>
  <c r="P73" i="29"/>
  <c r="I75" i="29"/>
  <c r="Q75" i="29"/>
  <c r="AG75" i="29"/>
  <c r="AG83" i="29" s="1"/>
  <c r="G82" i="29"/>
  <c r="O82" i="29"/>
  <c r="W82" i="29"/>
  <c r="AE82" i="29"/>
  <c r="H103" i="29"/>
  <c r="L73" i="29"/>
  <c r="S82" i="29"/>
  <c r="AF82" i="29"/>
  <c r="AI38" i="29"/>
  <c r="AH56" i="29"/>
  <c r="AH68" i="29"/>
  <c r="S75" i="29"/>
  <c r="I82" i="29"/>
  <c r="Q82" i="29"/>
  <c r="Y82" i="29"/>
  <c r="AH76" i="29"/>
  <c r="AH78" i="29"/>
  <c r="D73" i="29"/>
  <c r="C5" i="29"/>
  <c r="K5" i="29"/>
  <c r="S5" i="29"/>
  <c r="AA5" i="29"/>
  <c r="C73" i="29"/>
  <c r="K73" i="29"/>
  <c r="K83" i="29" s="1"/>
  <c r="S73" i="29"/>
  <c r="D75" i="29"/>
  <c r="D83" i="29" s="1"/>
  <c r="L75" i="29"/>
  <c r="T75" i="29"/>
  <c r="E73" i="29"/>
  <c r="E83" i="29" s="1"/>
  <c r="AI76" i="29"/>
  <c r="AH77" i="29"/>
  <c r="F93" i="29"/>
  <c r="AH80" i="29"/>
  <c r="F235" i="29"/>
  <c r="H199" i="29"/>
  <c r="D200" i="29"/>
  <c r="E200" i="29"/>
  <c r="F194" i="29"/>
  <c r="E235" i="29"/>
  <c r="D235" i="29"/>
  <c r="AE82" i="28"/>
  <c r="AF82" i="28"/>
  <c r="AD82" i="28"/>
  <c r="AC82" i="28"/>
  <c r="AB82" i="28"/>
  <c r="AA82" i="28"/>
  <c r="Z75" i="28"/>
  <c r="Z73" i="28"/>
  <c r="Y82" i="28"/>
  <c r="W82" i="28"/>
  <c r="V82" i="28"/>
  <c r="U82" i="28"/>
  <c r="T82" i="28"/>
  <c r="T73" i="28"/>
  <c r="T75" i="28"/>
  <c r="AL214" i="28" s="1"/>
  <c r="S82" i="28"/>
  <c r="S75" i="28"/>
  <c r="AK214" i="28" s="1"/>
  <c r="S73" i="28"/>
  <c r="R82" i="28"/>
  <c r="R75" i="28"/>
  <c r="R73" i="28"/>
  <c r="Q82" i="28"/>
  <c r="Q75" i="28"/>
  <c r="AI214" i="28" s="1"/>
  <c r="O82" i="28"/>
  <c r="P82" i="28"/>
  <c r="P75" i="28"/>
  <c r="N82" i="28"/>
  <c r="N73" i="28"/>
  <c r="N75" i="28"/>
  <c r="AF214" i="28" s="1"/>
  <c r="M82" i="28"/>
  <c r="M75" i="28"/>
  <c r="AE214" i="28" s="1"/>
  <c r="L82" i="28"/>
  <c r="L73" i="28"/>
  <c r="M73" i="28"/>
  <c r="L75" i="28"/>
  <c r="AD214" i="28" s="1"/>
  <c r="K82" i="28"/>
  <c r="K75" i="28"/>
  <c r="AC214" i="28" s="1"/>
  <c r="K73" i="28"/>
  <c r="J82" i="28"/>
  <c r="J75" i="28"/>
  <c r="AB214" i="28" s="1"/>
  <c r="J73" i="28"/>
  <c r="J83" i="28" s="1"/>
  <c r="I82" i="28"/>
  <c r="I75" i="28"/>
  <c r="AA214" i="28" s="1"/>
  <c r="H82" i="28"/>
  <c r="H75" i="28"/>
  <c r="Z214" i="28" s="1"/>
  <c r="AI56" i="28"/>
  <c r="G82" i="28"/>
  <c r="F82" i="28"/>
  <c r="F73" i="28"/>
  <c r="F83" i="28" s="1"/>
  <c r="E82" i="28"/>
  <c r="AH77" i="28"/>
  <c r="AI77" i="28"/>
  <c r="E73" i="28"/>
  <c r="E75" i="28"/>
  <c r="AI78" i="28"/>
  <c r="D82" i="28"/>
  <c r="AH80" i="28"/>
  <c r="D73" i="28"/>
  <c r="AI38" i="28"/>
  <c r="D75" i="28"/>
  <c r="V214" i="28" s="1"/>
  <c r="AI76" i="28"/>
  <c r="AI79" i="28"/>
  <c r="AI80" i="28"/>
  <c r="C73" i="28"/>
  <c r="C75" i="28" s="1"/>
  <c r="B82" i="28"/>
  <c r="AH78" i="28"/>
  <c r="H4" i="28"/>
  <c r="AJ214" i="28"/>
  <c r="R7" i="28"/>
  <c r="AR214" i="28"/>
  <c r="Z7" i="28"/>
  <c r="F93" i="28"/>
  <c r="AG75" i="28"/>
  <c r="AG83" i="28" s="1"/>
  <c r="AG3" i="28"/>
  <c r="AG6" i="28" s="1"/>
  <c r="AH214" i="28"/>
  <c r="P7" i="28"/>
  <c r="U214" i="28"/>
  <c r="C7" i="28"/>
  <c r="X214" i="28"/>
  <c r="F7" i="28"/>
  <c r="G73" i="28"/>
  <c r="AH76" i="28"/>
  <c r="AH56" i="28"/>
  <c r="AH72" i="28"/>
  <c r="I7" i="28"/>
  <c r="AI68" i="28"/>
  <c r="I73" i="28"/>
  <c r="I83" i="28" s="1"/>
  <c r="AH79" i="28"/>
  <c r="AH38" i="28"/>
  <c r="O73" i="28"/>
  <c r="AH68" i="28"/>
  <c r="H73" i="28"/>
  <c r="P73" i="28"/>
  <c r="P83" i="28" s="1"/>
  <c r="C82" i="28"/>
  <c r="C83" i="28" s="1"/>
  <c r="Q7" i="28"/>
  <c r="R83" i="28"/>
  <c r="D211" i="28"/>
  <c r="S211" i="28"/>
  <c r="E5" i="28"/>
  <c r="M5" i="28"/>
  <c r="U5" i="28"/>
  <c r="AC5" i="28"/>
  <c r="S7" i="28"/>
  <c r="G75" i="28"/>
  <c r="O75" i="28"/>
  <c r="AI72" i="28"/>
  <c r="Q73" i="28"/>
  <c r="Q83" i="28" s="1"/>
  <c r="Z83" i="28"/>
  <c r="T7" i="28"/>
  <c r="E192" i="28"/>
  <c r="F192" i="28"/>
  <c r="E93" i="28"/>
  <c r="G102" i="28"/>
  <c r="G103" i="28"/>
  <c r="D192" i="28"/>
  <c r="E235" i="28"/>
  <c r="G199" i="28"/>
  <c r="F194" i="28"/>
  <c r="D200" i="28"/>
  <c r="S7" i="30" l="1"/>
  <c r="N7" i="29"/>
  <c r="N83" i="29"/>
  <c r="P7" i="30"/>
  <c r="P83" i="30"/>
  <c r="M83" i="30"/>
  <c r="AH68" i="30"/>
  <c r="G83" i="30"/>
  <c r="B83" i="30"/>
  <c r="Y214" i="30"/>
  <c r="Q83" i="30"/>
  <c r="T7" i="30"/>
  <c r="Q7" i="30"/>
  <c r="AH82" i="30"/>
  <c r="V214" i="30"/>
  <c r="I7" i="30"/>
  <c r="I83" i="30"/>
  <c r="E83" i="30"/>
  <c r="T83" i="30"/>
  <c r="Z83" i="30"/>
  <c r="Z214" i="30"/>
  <c r="H83" i="30"/>
  <c r="S83" i="30"/>
  <c r="L83" i="30"/>
  <c r="W214" i="30"/>
  <c r="O83" i="30"/>
  <c r="AG214" i="30"/>
  <c r="N83" i="30"/>
  <c r="E200" i="30"/>
  <c r="F194" i="30"/>
  <c r="X214" i="30"/>
  <c r="F7" i="30"/>
  <c r="F93" i="30"/>
  <c r="G103" i="30"/>
  <c r="H235" i="30"/>
  <c r="J199" i="30"/>
  <c r="D83" i="30"/>
  <c r="U214" i="30"/>
  <c r="C7" i="30"/>
  <c r="F83" i="30"/>
  <c r="AF214" i="30"/>
  <c r="N7" i="30"/>
  <c r="AR214" i="30"/>
  <c r="Z7" i="30"/>
  <c r="R83" i="30"/>
  <c r="AJ214" i="30"/>
  <c r="R7" i="30"/>
  <c r="AD214" i="30"/>
  <c r="L7" i="30"/>
  <c r="I5" i="30"/>
  <c r="J75" i="30"/>
  <c r="J73" i="30"/>
  <c r="C83" i="30"/>
  <c r="F192" i="30"/>
  <c r="G102" i="30"/>
  <c r="AI68" i="30"/>
  <c r="AE214" i="30"/>
  <c r="M7" i="30"/>
  <c r="AI82" i="30"/>
  <c r="J5" i="30"/>
  <c r="K73" i="30"/>
  <c r="K75" i="30"/>
  <c r="S83" i="29"/>
  <c r="R83" i="29"/>
  <c r="P83" i="29"/>
  <c r="O83" i="29"/>
  <c r="L83" i="29"/>
  <c r="I83" i="29"/>
  <c r="H83" i="29"/>
  <c r="G83" i="29"/>
  <c r="AI82" i="29"/>
  <c r="G235" i="29"/>
  <c r="I199" i="29"/>
  <c r="AK214" i="29"/>
  <c r="S7" i="29"/>
  <c r="AH214" i="29"/>
  <c r="P7" i="29"/>
  <c r="I103" i="29"/>
  <c r="E192" i="29"/>
  <c r="F102" i="29"/>
  <c r="Z214" i="29"/>
  <c r="H7" i="29"/>
  <c r="AL214" i="29"/>
  <c r="T7" i="29"/>
  <c r="AH82" i="29"/>
  <c r="AR214" i="29"/>
  <c r="Z7" i="29"/>
  <c r="T83" i="29"/>
  <c r="C75" i="29"/>
  <c r="C83" i="29" s="1"/>
  <c r="AG214" i="29"/>
  <c r="O7" i="29"/>
  <c r="AB214" i="29"/>
  <c r="J7" i="29"/>
  <c r="J83" i="29"/>
  <c r="AD214" i="29"/>
  <c r="L7" i="29"/>
  <c r="AI214" i="29"/>
  <c r="Q7" i="29"/>
  <c r="F200" i="29"/>
  <c r="G194" i="29"/>
  <c r="Q83" i="29"/>
  <c r="AE214" i="29"/>
  <c r="M7" i="29"/>
  <c r="Y214" i="29"/>
  <c r="C209" i="29"/>
  <c r="B209" i="29"/>
  <c r="G7" i="29"/>
  <c r="V214" i="29"/>
  <c r="D7" i="29"/>
  <c r="AA214" i="29"/>
  <c r="I7" i="29"/>
  <c r="T83" i="28"/>
  <c r="S83" i="28"/>
  <c r="O83" i="28"/>
  <c r="N7" i="28"/>
  <c r="N83" i="28"/>
  <c r="M83" i="28"/>
  <c r="M7" i="28"/>
  <c r="L83" i="28"/>
  <c r="L7" i="28"/>
  <c r="K7" i="28"/>
  <c r="K83" i="28"/>
  <c r="J7" i="28"/>
  <c r="H7" i="28"/>
  <c r="H83" i="28"/>
  <c r="G83" i="28"/>
  <c r="E83" i="28"/>
  <c r="W214" i="28"/>
  <c r="E7" i="28"/>
  <c r="D7" i="28"/>
  <c r="D83" i="28"/>
  <c r="AI82" i="28"/>
  <c r="AH82" i="28"/>
  <c r="AG214" i="28"/>
  <c r="O7" i="28"/>
  <c r="Y214" i="28"/>
  <c r="C209" i="28"/>
  <c r="B209" i="28"/>
  <c r="G7" i="28"/>
  <c r="H103" i="28"/>
  <c r="G192" i="28"/>
  <c r="H102" i="28"/>
  <c r="F235" i="28"/>
  <c r="H199" i="28"/>
  <c r="G194" i="28"/>
  <c r="F200" i="28"/>
  <c r="J83" i="30" l="1"/>
  <c r="K83" i="30"/>
  <c r="H103" i="30"/>
  <c r="AB214" i="30"/>
  <c r="J7" i="30"/>
  <c r="C209" i="30"/>
  <c r="B209" i="30"/>
  <c r="T214" i="30"/>
  <c r="B7" i="30"/>
  <c r="G194" i="30"/>
  <c r="G93" i="30" s="1"/>
  <c r="F200" i="30"/>
  <c r="AC214" i="30"/>
  <c r="K7" i="30"/>
  <c r="G192" i="30"/>
  <c r="H102" i="30"/>
  <c r="I235" i="30"/>
  <c r="K199" i="30"/>
  <c r="J103" i="29"/>
  <c r="K6" i="29"/>
  <c r="U214" i="29"/>
  <c r="C7" i="29"/>
  <c r="F192" i="29"/>
  <c r="G102" i="29"/>
  <c r="H235" i="29"/>
  <c r="J199" i="29"/>
  <c r="H194" i="29"/>
  <c r="G200" i="29"/>
  <c r="G93" i="29"/>
  <c r="K6" i="28"/>
  <c r="H194" i="28"/>
  <c r="G200" i="28"/>
  <c r="G235" i="28"/>
  <c r="I199" i="28"/>
  <c r="H192" i="28"/>
  <c r="I102" i="28"/>
  <c r="H93" i="28"/>
  <c r="I103" i="28"/>
  <c r="G93" i="28"/>
  <c r="K6" i="30" l="1"/>
  <c r="H192" i="30"/>
  <c r="I102" i="30"/>
  <c r="I103" i="30"/>
  <c r="H93" i="30"/>
  <c r="J235" i="30"/>
  <c r="L199" i="30"/>
  <c r="H194" i="30"/>
  <c r="G200" i="30"/>
  <c r="G192" i="29"/>
  <c r="H102" i="29"/>
  <c r="H200" i="29"/>
  <c r="I194" i="29"/>
  <c r="H93" i="29"/>
  <c r="I235" i="29"/>
  <c r="K199" i="29"/>
  <c r="K103" i="29"/>
  <c r="H235" i="28"/>
  <c r="J199" i="28"/>
  <c r="J103" i="28"/>
  <c r="I93" i="28"/>
  <c r="I192" i="28"/>
  <c r="J102" i="28"/>
  <c r="H200" i="28"/>
  <c r="I194" i="28"/>
  <c r="J103" i="30" l="1"/>
  <c r="M199" i="30"/>
  <c r="K235" i="30"/>
  <c r="I192" i="30"/>
  <c r="J102" i="30"/>
  <c r="I194" i="30"/>
  <c r="H200" i="30"/>
  <c r="I200" i="29"/>
  <c r="J194" i="29"/>
  <c r="I93" i="29"/>
  <c r="L103" i="29"/>
  <c r="H192" i="29"/>
  <c r="I102" i="29"/>
  <c r="J235" i="29"/>
  <c r="L199" i="29"/>
  <c r="J192" i="28"/>
  <c r="K102" i="28"/>
  <c r="K103" i="28"/>
  <c r="J194" i="28"/>
  <c r="I200" i="28"/>
  <c r="I235" i="28"/>
  <c r="K199" i="28"/>
  <c r="J194" i="30" l="1"/>
  <c r="I200" i="30"/>
  <c r="J192" i="30"/>
  <c r="K102" i="30"/>
  <c r="L235" i="30"/>
  <c r="N199" i="30"/>
  <c r="I93" i="30"/>
  <c r="K103" i="30"/>
  <c r="J93" i="30"/>
  <c r="I192" i="29"/>
  <c r="J102" i="29"/>
  <c r="J200" i="29"/>
  <c r="K194" i="29"/>
  <c r="J93" i="29"/>
  <c r="M199" i="29"/>
  <c r="K235" i="29"/>
  <c r="M103" i="29"/>
  <c r="J200" i="28"/>
  <c r="K194" i="28"/>
  <c r="L103" i="28"/>
  <c r="K93" i="28"/>
  <c r="L199" i="28"/>
  <c r="J235" i="28"/>
  <c r="J93" i="28"/>
  <c r="K192" i="28"/>
  <c r="L102" i="28"/>
  <c r="L103" i="30" l="1"/>
  <c r="O199" i="30"/>
  <c r="M235" i="30"/>
  <c r="K192" i="30"/>
  <c r="L102" i="30"/>
  <c r="J200" i="30"/>
  <c r="K194" i="30"/>
  <c r="N103" i="29"/>
  <c r="L235" i="29"/>
  <c r="N199" i="29"/>
  <c r="K200" i="29"/>
  <c r="L194" i="29"/>
  <c r="K93" i="29"/>
  <c r="J192" i="29"/>
  <c r="K102" i="29"/>
  <c r="K235" i="28"/>
  <c r="M199" i="28"/>
  <c r="M103" i="28"/>
  <c r="L93" i="28"/>
  <c r="K200" i="28"/>
  <c r="L194" i="28"/>
  <c r="L192" i="28"/>
  <c r="M102" i="28"/>
  <c r="K200" i="30" l="1"/>
  <c r="L194" i="30"/>
  <c r="L192" i="30"/>
  <c r="M102" i="30"/>
  <c r="K93" i="30"/>
  <c r="N235" i="30"/>
  <c r="P199" i="30"/>
  <c r="M103" i="30"/>
  <c r="L93" i="30"/>
  <c r="M235" i="29"/>
  <c r="O199" i="29"/>
  <c r="L200" i="29"/>
  <c r="M194" i="29"/>
  <c r="L93" i="29"/>
  <c r="O103" i="29"/>
  <c r="K192" i="29"/>
  <c r="L102" i="29"/>
  <c r="M194" i="28"/>
  <c r="L200" i="28"/>
  <c r="L235" i="28"/>
  <c r="N199" i="28"/>
  <c r="N103" i="28"/>
  <c r="M93" i="28"/>
  <c r="M192" i="28"/>
  <c r="N102" i="28"/>
  <c r="O235" i="30" l="1"/>
  <c r="Q199" i="30"/>
  <c r="M192" i="30"/>
  <c r="N102" i="30"/>
  <c r="L200" i="30"/>
  <c r="M194" i="30"/>
  <c r="N103" i="30"/>
  <c r="M93" i="30"/>
  <c r="N235" i="29"/>
  <c r="P199" i="29"/>
  <c r="P103" i="29"/>
  <c r="M200" i="29"/>
  <c r="N194" i="29"/>
  <c r="M93" i="29"/>
  <c r="L192" i="29"/>
  <c r="M102" i="29"/>
  <c r="N192" i="28"/>
  <c r="O102" i="28"/>
  <c r="M235" i="28"/>
  <c r="O199" i="28"/>
  <c r="N93" i="28"/>
  <c r="O103" i="28"/>
  <c r="M200" i="28"/>
  <c r="N194" i="28"/>
  <c r="M200" i="30" l="1"/>
  <c r="N194" i="30"/>
  <c r="N192" i="30"/>
  <c r="O102" i="30"/>
  <c r="P235" i="30"/>
  <c r="R199" i="30"/>
  <c r="O103" i="30"/>
  <c r="N93" i="30"/>
  <c r="N200" i="29"/>
  <c r="O194" i="29"/>
  <c r="N93" i="29"/>
  <c r="Q103" i="29"/>
  <c r="O235" i="29"/>
  <c r="Q199" i="29"/>
  <c r="M192" i="29"/>
  <c r="N102" i="29"/>
  <c r="O194" i="28"/>
  <c r="N200" i="28"/>
  <c r="O93" i="28"/>
  <c r="P103" i="28"/>
  <c r="N235" i="28"/>
  <c r="P199" i="28"/>
  <c r="O192" i="28"/>
  <c r="P102" i="28"/>
  <c r="P103" i="30" l="1"/>
  <c r="O93" i="30"/>
  <c r="O192" i="30"/>
  <c r="P102" i="30"/>
  <c r="O194" i="30"/>
  <c r="N200" i="30"/>
  <c r="Q235" i="30"/>
  <c r="S199" i="30"/>
  <c r="P235" i="29"/>
  <c r="R199" i="29"/>
  <c r="R103" i="29"/>
  <c r="P194" i="29"/>
  <c r="O200" i="29"/>
  <c r="O93" i="29"/>
  <c r="N192" i="29"/>
  <c r="O102" i="29"/>
  <c r="P192" i="28"/>
  <c r="Q102" i="28"/>
  <c r="Q103" i="28"/>
  <c r="P93" i="28"/>
  <c r="O235" i="28"/>
  <c r="Q199" i="28"/>
  <c r="P194" i="28"/>
  <c r="O200" i="28"/>
  <c r="R235" i="30" l="1"/>
  <c r="T199" i="30"/>
  <c r="O200" i="30"/>
  <c r="P194" i="30"/>
  <c r="P192" i="30"/>
  <c r="Q102" i="30"/>
  <c r="Q103" i="30"/>
  <c r="P93" i="30"/>
  <c r="Q194" i="29"/>
  <c r="P200" i="29"/>
  <c r="P93" i="29"/>
  <c r="Q235" i="29"/>
  <c r="S199" i="29"/>
  <c r="S103" i="29"/>
  <c r="O192" i="29"/>
  <c r="P102" i="29"/>
  <c r="Q194" i="28"/>
  <c r="P200" i="28"/>
  <c r="P235" i="28"/>
  <c r="R199" i="28"/>
  <c r="Q192" i="28"/>
  <c r="R102" i="28"/>
  <c r="R103" i="28"/>
  <c r="Q93" i="28"/>
  <c r="R103" i="30" l="1"/>
  <c r="Q192" i="30"/>
  <c r="R102" i="30"/>
  <c r="P200" i="30"/>
  <c r="Q194" i="30"/>
  <c r="U199" i="30"/>
  <c r="S235" i="30"/>
  <c r="T103" i="29"/>
  <c r="R235" i="29"/>
  <c r="T199" i="29"/>
  <c r="P192" i="29"/>
  <c r="Q102" i="29"/>
  <c r="R194" i="29"/>
  <c r="Q200" i="29"/>
  <c r="Q93" i="29"/>
  <c r="S103" i="28"/>
  <c r="R192" i="28"/>
  <c r="S102" i="28"/>
  <c r="Q235" i="28"/>
  <c r="S199" i="28"/>
  <c r="R194" i="28"/>
  <c r="Q200" i="28"/>
  <c r="R194" i="30" l="1"/>
  <c r="Q200" i="30"/>
  <c r="R192" i="30"/>
  <c r="S102" i="30"/>
  <c r="T235" i="30"/>
  <c r="V199" i="30"/>
  <c r="Q93" i="30"/>
  <c r="S103" i="30"/>
  <c r="R93" i="30"/>
  <c r="U199" i="29"/>
  <c r="S235" i="29"/>
  <c r="R200" i="29"/>
  <c r="S194" i="29"/>
  <c r="R93" i="29"/>
  <c r="Q192" i="29"/>
  <c r="R102" i="29"/>
  <c r="U103" i="29"/>
  <c r="R200" i="28"/>
  <c r="S194" i="28"/>
  <c r="S192" i="28"/>
  <c r="T102" i="28"/>
  <c r="T199" i="28"/>
  <c r="R235" i="28"/>
  <c r="R93" i="28"/>
  <c r="T103" i="28"/>
  <c r="S93" i="28"/>
  <c r="T103" i="30" l="1"/>
  <c r="U235" i="30"/>
  <c r="W199" i="30"/>
  <c r="S192" i="30"/>
  <c r="T102" i="30"/>
  <c r="R200" i="30"/>
  <c r="S194" i="30"/>
  <c r="R192" i="29"/>
  <c r="S102" i="29"/>
  <c r="S200" i="29"/>
  <c r="T194" i="29"/>
  <c r="S93" i="29"/>
  <c r="V103" i="29"/>
  <c r="T235" i="29"/>
  <c r="V199" i="29"/>
  <c r="T192" i="28"/>
  <c r="U102" i="28"/>
  <c r="U103" i="28"/>
  <c r="S200" i="28"/>
  <c r="T194" i="28"/>
  <c r="S235" i="28"/>
  <c r="U199" i="28"/>
  <c r="S200" i="30" l="1"/>
  <c r="T194" i="30"/>
  <c r="T192" i="30"/>
  <c r="U102" i="30"/>
  <c r="V235" i="30"/>
  <c r="X199" i="30"/>
  <c r="S93" i="30"/>
  <c r="U103" i="30"/>
  <c r="T93" i="30"/>
  <c r="T200" i="29"/>
  <c r="U194" i="29"/>
  <c r="T93" i="29"/>
  <c r="S192" i="29"/>
  <c r="T102" i="29"/>
  <c r="W103" i="29"/>
  <c r="W199" i="29"/>
  <c r="U235" i="29"/>
  <c r="T235" i="28"/>
  <c r="V199" i="28"/>
  <c r="T200" i="28"/>
  <c r="U194" i="28"/>
  <c r="T93" i="28"/>
  <c r="V103" i="28"/>
  <c r="U93" i="28"/>
  <c r="U192" i="28"/>
  <c r="V102" i="28"/>
  <c r="V103" i="30" l="1"/>
  <c r="U192" i="30"/>
  <c r="V102" i="30"/>
  <c r="W235" i="30"/>
  <c r="Y199" i="30"/>
  <c r="U194" i="30"/>
  <c r="T200" i="30"/>
  <c r="V235" i="29"/>
  <c r="X199" i="29"/>
  <c r="T192" i="29"/>
  <c r="U102" i="29"/>
  <c r="U200" i="29"/>
  <c r="U51" i="29" s="1"/>
  <c r="U52" i="29" s="1"/>
  <c r="V194" i="29"/>
  <c r="U93" i="29"/>
  <c r="X103" i="29"/>
  <c r="W103" i="28"/>
  <c r="U200" i="28"/>
  <c r="U51" i="28" s="1"/>
  <c r="U52" i="28" s="1"/>
  <c r="V194" i="28"/>
  <c r="V93" i="28" s="1"/>
  <c r="U235" i="28"/>
  <c r="W199" i="28"/>
  <c r="V192" i="28"/>
  <c r="W102" i="28"/>
  <c r="X235" i="30" l="1"/>
  <c r="Z199" i="30"/>
  <c r="U200" i="30"/>
  <c r="U51" i="30" s="1"/>
  <c r="V194" i="30"/>
  <c r="V192" i="30"/>
  <c r="W102" i="30"/>
  <c r="U93" i="30"/>
  <c r="V93" i="30"/>
  <c r="W103" i="30"/>
  <c r="Y103" i="29"/>
  <c r="U73" i="29"/>
  <c r="U75" i="29"/>
  <c r="U192" i="29"/>
  <c r="V102" i="29"/>
  <c r="W235" i="29"/>
  <c r="Y199" i="29"/>
  <c r="V200" i="29"/>
  <c r="V51" i="29" s="1"/>
  <c r="V52" i="29" s="1"/>
  <c r="W194" i="29"/>
  <c r="V93" i="29"/>
  <c r="W192" i="28"/>
  <c r="X102" i="28"/>
  <c r="V235" i="28"/>
  <c r="X199" i="28"/>
  <c r="W194" i="28"/>
  <c r="V200" i="28"/>
  <c r="V51" i="28" s="1"/>
  <c r="V52" i="28" s="1"/>
  <c r="U73" i="28"/>
  <c r="U75" i="28"/>
  <c r="X103" i="28"/>
  <c r="W93" i="28"/>
  <c r="U52" i="30" l="1"/>
  <c r="W192" i="30"/>
  <c r="X102" i="30"/>
  <c r="Y235" i="30"/>
  <c r="AA199" i="30"/>
  <c r="W194" i="30"/>
  <c r="V200" i="30"/>
  <c r="V51" i="30" s="1"/>
  <c r="V52" i="30" s="1"/>
  <c r="X103" i="30"/>
  <c r="X235" i="29"/>
  <c r="Z199" i="29"/>
  <c r="V192" i="29"/>
  <c r="W102" i="29"/>
  <c r="AM214" i="29"/>
  <c r="U7" i="29"/>
  <c r="U83" i="29"/>
  <c r="X194" i="29"/>
  <c r="W200" i="29"/>
  <c r="W51" i="29" s="1"/>
  <c r="W52" i="29" s="1"/>
  <c r="W93" i="29"/>
  <c r="Z103" i="29"/>
  <c r="V75" i="29"/>
  <c r="V73" i="29"/>
  <c r="V83" i="29" s="1"/>
  <c r="U83" i="28"/>
  <c r="X192" i="28"/>
  <c r="Y102" i="28"/>
  <c r="AM214" i="28"/>
  <c r="U7" i="28"/>
  <c r="V75" i="28"/>
  <c r="V73" i="28"/>
  <c r="X194" i="28"/>
  <c r="W200" i="28"/>
  <c r="W51" i="28" s="1"/>
  <c r="W52" i="28" s="1"/>
  <c r="W235" i="28"/>
  <c r="Y199" i="28"/>
  <c r="Y103" i="28"/>
  <c r="X93" i="28"/>
  <c r="Z235" i="30" l="1"/>
  <c r="AB199" i="30"/>
  <c r="W200" i="30"/>
  <c r="W51" i="30" s="1"/>
  <c r="X194" i="30"/>
  <c r="W93" i="30"/>
  <c r="X192" i="30"/>
  <c r="Y102" i="30"/>
  <c r="Y103" i="30"/>
  <c r="U75" i="30"/>
  <c r="U73" i="30"/>
  <c r="V75" i="30"/>
  <c r="V73" i="30"/>
  <c r="V83" i="30" s="1"/>
  <c r="X200" i="29"/>
  <c r="X51" i="29" s="1"/>
  <c r="X52" i="29" s="1"/>
  <c r="Y194" i="29"/>
  <c r="X93" i="29"/>
  <c r="AN214" i="29"/>
  <c r="V7" i="29"/>
  <c r="Y235" i="29"/>
  <c r="AA199" i="29"/>
  <c r="W192" i="29"/>
  <c r="X102" i="29"/>
  <c r="AA103" i="29"/>
  <c r="W73" i="29"/>
  <c r="W75" i="29"/>
  <c r="V83" i="28"/>
  <c r="AN214" i="28"/>
  <c r="V7" i="28"/>
  <c r="Y192" i="28"/>
  <c r="Z102" i="28"/>
  <c r="Y194" i="28"/>
  <c r="X200" i="28"/>
  <c r="X51" i="28" s="1"/>
  <c r="X52" i="28" s="1"/>
  <c r="Z103" i="28"/>
  <c r="Y93" i="28"/>
  <c r="X235" i="28"/>
  <c r="Z199" i="28"/>
  <c r="W73" i="28"/>
  <c r="W75" i="28"/>
  <c r="AN214" i="30" l="1"/>
  <c r="V7" i="30"/>
  <c r="U83" i="30"/>
  <c r="X200" i="30"/>
  <c r="X51" i="30" s="1"/>
  <c r="Y194" i="30"/>
  <c r="W52" i="30"/>
  <c r="AM214" i="30"/>
  <c r="U7" i="30"/>
  <c r="AC199" i="30"/>
  <c r="AA235" i="30"/>
  <c r="Z103" i="30"/>
  <c r="Y192" i="30"/>
  <c r="Z102" i="30"/>
  <c r="X93" i="30"/>
  <c r="AO214" i="29"/>
  <c r="W7" i="29"/>
  <c r="Z235" i="29"/>
  <c r="AB199" i="29"/>
  <c r="W83" i="29"/>
  <c r="AB103" i="29"/>
  <c r="Y200" i="29"/>
  <c r="Y51" i="29" s="1"/>
  <c r="Y52" i="29" s="1"/>
  <c r="Z194" i="29"/>
  <c r="Y93" i="29"/>
  <c r="X192" i="29"/>
  <c r="Y102" i="29"/>
  <c r="X73" i="29"/>
  <c r="X75" i="29"/>
  <c r="AA103" i="28"/>
  <c r="X75" i="28"/>
  <c r="X73" i="28"/>
  <c r="X83" i="28" s="1"/>
  <c r="AO214" i="28"/>
  <c r="W7" i="28"/>
  <c r="Z192" i="28"/>
  <c r="AA102" i="28"/>
  <c r="W83" i="28"/>
  <c r="Z194" i="28"/>
  <c r="Y200" i="28"/>
  <c r="Y51" i="28" s="1"/>
  <c r="Y52" i="28" s="1"/>
  <c r="Y235" i="28"/>
  <c r="AA199" i="28"/>
  <c r="Z194" i="30" l="1"/>
  <c r="Y200" i="30"/>
  <c r="Y51" i="30" s="1"/>
  <c r="Y52" i="30" s="1"/>
  <c r="AB235" i="30"/>
  <c r="AD199" i="30"/>
  <c r="AA103" i="30"/>
  <c r="Z93" i="30"/>
  <c r="W75" i="30"/>
  <c r="W73" i="30"/>
  <c r="X52" i="30"/>
  <c r="Z192" i="30"/>
  <c r="AA102" i="30"/>
  <c r="Y93" i="30"/>
  <c r="Y75" i="29"/>
  <c r="Y73" i="29"/>
  <c r="X83" i="29"/>
  <c r="Y192" i="29"/>
  <c r="Z102" i="29"/>
  <c r="AC199" i="29"/>
  <c r="AA235" i="29"/>
  <c r="AC103" i="29"/>
  <c r="AP214" i="29"/>
  <c r="X7" i="29"/>
  <c r="Z200" i="29"/>
  <c r="AA194" i="29"/>
  <c r="Z93" i="29"/>
  <c r="AB199" i="28"/>
  <c r="Z235" i="28"/>
  <c r="Y75" i="28"/>
  <c r="Y73" i="28"/>
  <c r="Y83" i="28" s="1"/>
  <c r="AP214" i="28"/>
  <c r="X7" i="28"/>
  <c r="Z200" i="28"/>
  <c r="AA194" i="28"/>
  <c r="AB103" i="28"/>
  <c r="AA192" i="28"/>
  <c r="AB102" i="28"/>
  <c r="Z93" i="28"/>
  <c r="W83" i="30" l="1"/>
  <c r="AO214" i="30"/>
  <c r="W7" i="30"/>
  <c r="X75" i="30"/>
  <c r="X73" i="30"/>
  <c r="X83" i="30" s="1"/>
  <c r="AB103" i="30"/>
  <c r="AC235" i="30"/>
  <c r="AE199" i="30"/>
  <c r="Y73" i="30"/>
  <c r="Y75" i="30"/>
  <c r="AA192" i="30"/>
  <c r="AB102" i="30"/>
  <c r="Z200" i="30"/>
  <c r="AA194" i="30"/>
  <c r="Y83" i="29"/>
  <c r="AD103" i="29"/>
  <c r="AB235" i="29"/>
  <c r="AD199" i="29"/>
  <c r="AA200" i="29"/>
  <c r="AA51" i="29" s="1"/>
  <c r="AA52" i="29" s="1"/>
  <c r="AB194" i="29"/>
  <c r="AA93" i="29"/>
  <c r="Z192" i="29"/>
  <c r="AA102" i="29"/>
  <c r="AQ214" i="29"/>
  <c r="Y7" i="29"/>
  <c r="AA200" i="28"/>
  <c r="AA51" i="28" s="1"/>
  <c r="AA52" i="28" s="1"/>
  <c r="AB194" i="28"/>
  <c r="AB192" i="28"/>
  <c r="AC102" i="28"/>
  <c r="AQ214" i="28"/>
  <c r="Y7" i="28"/>
  <c r="AA93" i="28"/>
  <c r="AC103" i="28"/>
  <c r="AB93" i="28"/>
  <c r="AC199" i="28"/>
  <c r="AA235" i="28"/>
  <c r="AQ214" i="30" l="1"/>
  <c r="Y7" i="30"/>
  <c r="Y83" i="30"/>
  <c r="AD235" i="30"/>
  <c r="AF199" i="30"/>
  <c r="AA200" i="30"/>
  <c r="AA51" i="30" s="1"/>
  <c r="AB194" i="30"/>
  <c r="AA93" i="30"/>
  <c r="AP214" i="30"/>
  <c r="X7" i="30"/>
  <c r="AB192" i="30"/>
  <c r="AC102" i="30"/>
  <c r="AC103" i="30"/>
  <c r="AB93" i="30"/>
  <c r="AA75" i="29"/>
  <c r="AA73" i="29"/>
  <c r="AB200" i="29"/>
  <c r="AB51" i="29" s="1"/>
  <c r="AB52" i="29" s="1"/>
  <c r="AC194" i="29"/>
  <c r="AB93" i="29"/>
  <c r="AC235" i="29"/>
  <c r="AE199" i="29"/>
  <c r="AE103" i="29"/>
  <c r="AA192" i="29"/>
  <c r="AB102" i="29"/>
  <c r="AD103" i="28"/>
  <c r="AC93" i="28"/>
  <c r="AD199" i="28"/>
  <c r="AB235" i="28"/>
  <c r="AC194" i="28"/>
  <c r="AB200" i="28"/>
  <c r="AB51" i="28" s="1"/>
  <c r="AB52" i="28" s="1"/>
  <c r="AC192" i="28"/>
  <c r="AD102" i="28"/>
  <c r="AA75" i="28"/>
  <c r="AA73" i="28"/>
  <c r="AA52" i="30" l="1"/>
  <c r="AE235" i="30"/>
  <c r="B199" i="30"/>
  <c r="AF235" i="30" s="1"/>
  <c r="AD103" i="30"/>
  <c r="AC93" i="30"/>
  <c r="AC192" i="30"/>
  <c r="AD102" i="30"/>
  <c r="AC194" i="30"/>
  <c r="AB200" i="30"/>
  <c r="AB51" i="30" s="1"/>
  <c r="AB52" i="30" s="1"/>
  <c r="AA83" i="29"/>
  <c r="AC200" i="29"/>
  <c r="AC51" i="29" s="1"/>
  <c r="AC52" i="29" s="1"/>
  <c r="AD194" i="29"/>
  <c r="AC93" i="29"/>
  <c r="AF103" i="29"/>
  <c r="AB192" i="29"/>
  <c r="AC102" i="29"/>
  <c r="AB73" i="29"/>
  <c r="AB75" i="29"/>
  <c r="AD235" i="29"/>
  <c r="AF199" i="29"/>
  <c r="AS214" i="29"/>
  <c r="AA7" i="29"/>
  <c r="AA83" i="28"/>
  <c r="AD192" i="28"/>
  <c r="AE102" i="28"/>
  <c r="AC235" i="28"/>
  <c r="AE199" i="28"/>
  <c r="AB73" i="28"/>
  <c r="AB75" i="28"/>
  <c r="AC200" i="28"/>
  <c r="AC51" i="28" s="1"/>
  <c r="AC52" i="28" s="1"/>
  <c r="AD194" i="28"/>
  <c r="AS214" i="28"/>
  <c r="AA7" i="28"/>
  <c r="AE103" i="28"/>
  <c r="AB83" i="29" l="1"/>
  <c r="AE103" i="30"/>
  <c r="AB73" i="30"/>
  <c r="AB75" i="30"/>
  <c r="AC200" i="30"/>
  <c r="AC51" i="30" s="1"/>
  <c r="AC52" i="30" s="1"/>
  <c r="AD194" i="30"/>
  <c r="AD192" i="30"/>
  <c r="AE102" i="30"/>
  <c r="AA73" i="30"/>
  <c r="AA75" i="30"/>
  <c r="B103" i="29"/>
  <c r="AC192" i="29"/>
  <c r="AD102" i="29"/>
  <c r="AE235" i="29"/>
  <c r="B199" i="29"/>
  <c r="AF235" i="29" s="1"/>
  <c r="AD200" i="29"/>
  <c r="AD51" i="29" s="1"/>
  <c r="AD52" i="29" s="1"/>
  <c r="AE194" i="29"/>
  <c r="AD93" i="29"/>
  <c r="AT214" i="29"/>
  <c r="AB7" i="29"/>
  <c r="AC73" i="29"/>
  <c r="AC75" i="29"/>
  <c r="AB83" i="28"/>
  <c r="AE194" i="28"/>
  <c r="AD200" i="28"/>
  <c r="AD51" i="28" s="1"/>
  <c r="AD52" i="28" s="1"/>
  <c r="AT214" i="28"/>
  <c r="AB7" i="28"/>
  <c r="AD93" i="28"/>
  <c r="AC73" i="28"/>
  <c r="AC75" i="28"/>
  <c r="AD235" i="28"/>
  <c r="AF199" i="28"/>
  <c r="AE192" i="28"/>
  <c r="AF102" i="28"/>
  <c r="AE93" i="28"/>
  <c r="AF103" i="28"/>
  <c r="AC75" i="30" l="1"/>
  <c r="AC73" i="30"/>
  <c r="AE194" i="30"/>
  <c r="AD200" i="30"/>
  <c r="AD51" i="30" s="1"/>
  <c r="AD52" i="30" s="1"/>
  <c r="AS214" i="30"/>
  <c r="AA7" i="30"/>
  <c r="AT214" i="30"/>
  <c r="AB7" i="30"/>
  <c r="AA83" i="30"/>
  <c r="AB83" i="30"/>
  <c r="AE192" i="30"/>
  <c r="AF102" i="30"/>
  <c r="AD93" i="30"/>
  <c r="AF103" i="30"/>
  <c r="AE93" i="30"/>
  <c r="AF194" i="29"/>
  <c r="AE200" i="29"/>
  <c r="AE51" i="29" s="1"/>
  <c r="AE52" i="29" s="1"/>
  <c r="AE93" i="29"/>
  <c r="AU214" i="29"/>
  <c r="AC7" i="29"/>
  <c r="AC83" i="29"/>
  <c r="AD192" i="29"/>
  <c r="AE102" i="29"/>
  <c r="AD73" i="29"/>
  <c r="AD75" i="29"/>
  <c r="AC83" i="28"/>
  <c r="AU214" i="28"/>
  <c r="AC7" i="28"/>
  <c r="AF93" i="28"/>
  <c r="B103" i="28"/>
  <c r="AD75" i="28"/>
  <c r="AD73" i="28"/>
  <c r="AF192" i="28"/>
  <c r="B102" i="28"/>
  <c r="AE235" i="28"/>
  <c r="B199" i="28"/>
  <c r="AF235" i="28" s="1"/>
  <c r="AF194" i="28"/>
  <c r="AE200" i="28"/>
  <c r="AE51" i="28" s="1"/>
  <c r="AE52" i="28" s="1"/>
  <c r="AC83" i="30" l="1"/>
  <c r="AD73" i="30"/>
  <c r="AD75" i="30"/>
  <c r="B103" i="30"/>
  <c r="AF93" i="30"/>
  <c r="AE200" i="30"/>
  <c r="AE51" i="30" s="1"/>
  <c r="AE52" i="30" s="1"/>
  <c r="AF194" i="30"/>
  <c r="AF192" i="30"/>
  <c r="B102" i="30"/>
  <c r="AU214" i="30"/>
  <c r="AC7" i="30"/>
  <c r="AE192" i="29"/>
  <c r="AF102" i="29"/>
  <c r="AV214" i="29"/>
  <c r="AD7" i="29"/>
  <c r="AE73" i="29"/>
  <c r="AE75" i="29"/>
  <c r="AD83" i="29"/>
  <c r="AF200" i="29"/>
  <c r="AF51" i="29" s="1"/>
  <c r="AF52" i="29" s="1"/>
  <c r="B194" i="29"/>
  <c r="AF93" i="29"/>
  <c r="AD83" i="28"/>
  <c r="AI93" i="28"/>
  <c r="AH93" i="28"/>
  <c r="B93" i="28"/>
  <c r="AV214" i="28"/>
  <c r="AD7" i="28"/>
  <c r="AE73" i="28"/>
  <c r="AE75" i="28"/>
  <c r="AF200" i="28"/>
  <c r="AF51" i="28" s="1"/>
  <c r="AF52" i="28" s="1"/>
  <c r="B194" i="28"/>
  <c r="B200" i="28" s="1"/>
  <c r="B192" i="28"/>
  <c r="AI93" i="30" l="1"/>
  <c r="AH93" i="30"/>
  <c r="AE75" i="30"/>
  <c r="AE73" i="30"/>
  <c r="B192" i="30"/>
  <c r="AV214" i="30"/>
  <c r="AD7" i="30"/>
  <c r="AF200" i="30"/>
  <c r="AF51" i="30" s="1"/>
  <c r="B194" i="30"/>
  <c r="B200" i="30" s="1"/>
  <c r="AD83" i="30"/>
  <c r="AE83" i="29"/>
  <c r="AF75" i="29"/>
  <c r="AF73" i="29"/>
  <c r="AW214" i="29"/>
  <c r="AE7" i="29"/>
  <c r="AI93" i="29"/>
  <c r="AH93" i="29"/>
  <c r="AF192" i="29"/>
  <c r="B102" i="29"/>
  <c r="B192" i="29" s="1"/>
  <c r="B200" i="29"/>
  <c r="AE83" i="28"/>
  <c r="AW214" i="28"/>
  <c r="AE7" i="28"/>
  <c r="AF73" i="28"/>
  <c r="AF75" i="28"/>
  <c r="AH51" i="28"/>
  <c r="B52" i="28"/>
  <c r="AI51" i="28"/>
  <c r="AE83" i="30" l="1"/>
  <c r="AW214" i="30"/>
  <c r="AE7" i="30"/>
  <c r="AF52" i="30"/>
  <c r="AI51" i="30"/>
  <c r="AH51" i="30"/>
  <c r="AF83" i="29"/>
  <c r="AI51" i="29"/>
  <c r="AH51" i="29"/>
  <c r="AX214" i="29"/>
  <c r="AF7" i="29"/>
  <c r="AX214" i="28"/>
  <c r="AF7" i="28"/>
  <c r="AI52" i="28"/>
  <c r="AH52" i="28"/>
  <c r="B75" i="28"/>
  <c r="B73" i="28"/>
  <c r="AF83" i="28"/>
  <c r="AF75" i="30" l="1"/>
  <c r="AF73" i="30"/>
  <c r="AH52" i="30"/>
  <c r="AI52" i="30"/>
  <c r="AI52" i="29"/>
  <c r="AH52" i="29"/>
  <c r="AI73" i="28"/>
  <c r="AH73" i="28"/>
  <c r="B83" i="28"/>
  <c r="T214" i="28"/>
  <c r="AI75" i="28"/>
  <c r="AH75" i="28"/>
  <c r="B7" i="28"/>
  <c r="A7" i="28" s="1"/>
  <c r="AF83" i="30" l="1"/>
  <c r="AI73" i="30"/>
  <c r="AH73" i="30"/>
  <c r="AX214" i="30"/>
  <c r="AF7" i="30"/>
  <c r="A7" i="30" s="1"/>
  <c r="AI75" i="30"/>
  <c r="AH75" i="30"/>
  <c r="AI73" i="29"/>
  <c r="AH73" i="29"/>
  <c r="T214" i="29"/>
  <c r="AI75" i="29"/>
  <c r="AH75" i="29"/>
  <c r="A7" i="29"/>
  <c r="AH83" i="28"/>
  <c r="AI83" i="28"/>
  <c r="AI83" i="30" l="1"/>
  <c r="AH83" i="30"/>
  <c r="AI83" i="29"/>
  <c r="AH83" i="29"/>
  <c r="D37" i="27" l="1"/>
  <c r="D52" i="27"/>
  <c r="C95" i="27"/>
  <c r="B95" i="27"/>
  <c r="B93" i="27"/>
  <c r="B80" i="27"/>
  <c r="B79" i="27"/>
  <c r="B78" i="27"/>
  <c r="B77" i="27"/>
  <c r="B76" i="27"/>
  <c r="B72" i="27"/>
  <c r="B68" i="27"/>
  <c r="B56" i="27"/>
  <c r="B52" i="27"/>
  <c r="B51" i="27"/>
  <c r="B38" i="27"/>
  <c r="AF239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R239" i="27"/>
  <c r="Q239" i="27"/>
  <c r="P239" i="27"/>
  <c r="O239" i="27"/>
  <c r="N239" i="27"/>
  <c r="M239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C235" i="27"/>
  <c r="B235" i="27"/>
  <c r="S210" i="27"/>
  <c r="AG200" i="27"/>
  <c r="C200" i="27"/>
  <c r="E199" i="27"/>
  <c r="F199" i="27" s="1"/>
  <c r="D199" i="27"/>
  <c r="N198" i="27"/>
  <c r="O198" i="27" s="1"/>
  <c r="P198" i="27" s="1"/>
  <c r="Q198" i="27" s="1"/>
  <c r="R198" i="27" s="1"/>
  <c r="S198" i="27" s="1"/>
  <c r="T198" i="27" s="1"/>
  <c r="U198" i="27" s="1"/>
  <c r="V198" i="27" s="1"/>
  <c r="W198" i="27" s="1"/>
  <c r="X198" i="27" s="1"/>
  <c r="Y198" i="27" s="1"/>
  <c r="Z198" i="27" s="1"/>
  <c r="AA198" i="27" s="1"/>
  <c r="AB198" i="27" s="1"/>
  <c r="AC198" i="27" s="1"/>
  <c r="AD198" i="27" s="1"/>
  <c r="AE198" i="27" s="1"/>
  <c r="AF198" i="27" s="1"/>
  <c r="B198" i="27" s="1"/>
  <c r="E198" i="27"/>
  <c r="F198" i="27" s="1"/>
  <c r="G198" i="27" s="1"/>
  <c r="H198" i="27" s="1"/>
  <c r="I198" i="27" s="1"/>
  <c r="J198" i="27" s="1"/>
  <c r="K198" i="27" s="1"/>
  <c r="L198" i="27" s="1"/>
  <c r="M198" i="27" s="1"/>
  <c r="D198" i="27"/>
  <c r="G197" i="27"/>
  <c r="H197" i="27" s="1"/>
  <c r="I197" i="27" s="1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D197" i="27"/>
  <c r="E197" i="27" s="1"/>
  <c r="F197" i="27" s="1"/>
  <c r="J196" i="27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E196" i="27"/>
  <c r="F196" i="27" s="1"/>
  <c r="G196" i="27" s="1"/>
  <c r="H196" i="27" s="1"/>
  <c r="I196" i="27" s="1"/>
  <c r="D196" i="27"/>
  <c r="E195" i="27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D195" i="27"/>
  <c r="D194" i="27"/>
  <c r="E194" i="27" s="1"/>
  <c r="AG192" i="27"/>
  <c r="C192" i="27"/>
  <c r="H191" i="27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B191" i="27" s="1"/>
  <c r="G191" i="27"/>
  <c r="D191" i="27"/>
  <c r="E191" i="27" s="1"/>
  <c r="F191" i="27" s="1"/>
  <c r="F190" i="27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E190" i="27"/>
  <c r="D190" i="27"/>
  <c r="E189" i="27"/>
  <c r="F189" i="27" s="1"/>
  <c r="G189" i="27" s="1"/>
  <c r="H189" i="27" s="1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D189" i="27"/>
  <c r="E188" i="27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D188" i="27"/>
  <c r="K187" i="27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G187" i="27"/>
  <c r="H187" i="27" s="1"/>
  <c r="I187" i="27" s="1"/>
  <c r="J187" i="27" s="1"/>
  <c r="D187" i="27"/>
  <c r="E187" i="27" s="1"/>
  <c r="F187" i="27" s="1"/>
  <c r="I186" i="27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E186" i="27"/>
  <c r="F186" i="27" s="1"/>
  <c r="G186" i="27" s="1"/>
  <c r="H186" i="27" s="1"/>
  <c r="D186" i="27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X184" i="27"/>
  <c r="Y184" i="27" s="1"/>
  <c r="Z184" i="27" s="1"/>
  <c r="AA184" i="27" s="1"/>
  <c r="AB184" i="27" s="1"/>
  <c r="AC184" i="27" s="1"/>
  <c r="AD184" i="27" s="1"/>
  <c r="AE184" i="27" s="1"/>
  <c r="AF184" i="27" s="1"/>
  <c r="B184" i="27" s="1"/>
  <c r="E184" i="27"/>
  <c r="F184" i="27" s="1"/>
  <c r="G184" i="27" s="1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D184" i="27"/>
  <c r="Q183" i="27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G183" i="27"/>
  <c r="H183" i="27" s="1"/>
  <c r="I183" i="27" s="1"/>
  <c r="J183" i="27" s="1"/>
  <c r="K183" i="27" s="1"/>
  <c r="L183" i="27" s="1"/>
  <c r="M183" i="27" s="1"/>
  <c r="N183" i="27" s="1"/>
  <c r="O183" i="27" s="1"/>
  <c r="P183" i="27" s="1"/>
  <c r="F183" i="27"/>
  <c r="D183" i="27"/>
  <c r="E183" i="27" s="1"/>
  <c r="O182" i="27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F182" i="27"/>
  <c r="G182" i="27" s="1"/>
  <c r="H182" i="27" s="1"/>
  <c r="I182" i="27" s="1"/>
  <c r="J182" i="27" s="1"/>
  <c r="K182" i="27" s="1"/>
  <c r="L182" i="27" s="1"/>
  <c r="M182" i="27" s="1"/>
  <c r="N182" i="27" s="1"/>
  <c r="E182" i="27"/>
  <c r="D182" i="27"/>
  <c r="D181" i="27"/>
  <c r="E181" i="27" s="1"/>
  <c r="F181" i="27" s="1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E180" i="27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D180" i="27"/>
  <c r="D179" i="27"/>
  <c r="E179" i="27" s="1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E177" i="27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B177" i="27" s="1"/>
  <c r="D177" i="27"/>
  <c r="S176" i="27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E176" i="27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D176" i="27"/>
  <c r="S175" i="27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G174" i="27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4" i="27"/>
  <c r="E174" i="27" s="1"/>
  <c r="F174" i="27" s="1"/>
  <c r="E173" i="27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D173" i="27"/>
  <c r="E172" i="27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D172" i="27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D170" i="27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G168" i="27"/>
  <c r="H168" i="27" s="1"/>
  <c r="I168" i="27" s="1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B168" i="27" s="1"/>
  <c r="D168" i="27"/>
  <c r="E168" i="27" s="1"/>
  <c r="F168" i="27" s="1"/>
  <c r="E167" i="27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D167" i="27"/>
  <c r="D166" i="27"/>
  <c r="E166" i="27" s="1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E165" i="27"/>
  <c r="F165" i="27" s="1"/>
  <c r="G165" i="27" s="1"/>
  <c r="H165" i="27" s="1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D165" i="27"/>
  <c r="H164" i="27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G164" i="27"/>
  <c r="D164" i="27"/>
  <c r="E164" i="27" s="1"/>
  <c r="F164" i="27" s="1"/>
  <c r="P163" i="27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F163" i="27"/>
  <c r="G163" i="27" s="1"/>
  <c r="H163" i="27" s="1"/>
  <c r="I163" i="27" s="1"/>
  <c r="J163" i="27" s="1"/>
  <c r="K163" i="27" s="1"/>
  <c r="L163" i="27" s="1"/>
  <c r="M163" i="27" s="1"/>
  <c r="N163" i="27" s="1"/>
  <c r="O163" i="27" s="1"/>
  <c r="E163" i="27"/>
  <c r="D163" i="27"/>
  <c r="H162" i="27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F162" i="27"/>
  <c r="G162" i="27" s="1"/>
  <c r="E162" i="27"/>
  <c r="D162" i="27"/>
  <c r="D161" i="27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B160" i="27" s="1"/>
  <c r="E159" i="27"/>
  <c r="F159" i="27" s="1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D159" i="27"/>
  <c r="N158" i="27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D158" i="27"/>
  <c r="E158" i="27" s="1"/>
  <c r="F158" i="27" s="1"/>
  <c r="G158" i="27" s="1"/>
  <c r="H158" i="27" s="1"/>
  <c r="I158" i="27" s="1"/>
  <c r="J158" i="27" s="1"/>
  <c r="K158" i="27" s="1"/>
  <c r="L158" i="27" s="1"/>
  <c r="M158" i="27" s="1"/>
  <c r="V157" i="27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F157" i="27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E157" i="27"/>
  <c r="D157" i="27"/>
  <c r="Q156" i="27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G156" i="27"/>
  <c r="H156" i="27" s="1"/>
  <c r="I156" i="27" s="1"/>
  <c r="J156" i="27" s="1"/>
  <c r="K156" i="27" s="1"/>
  <c r="L156" i="27" s="1"/>
  <c r="M156" i="27" s="1"/>
  <c r="N156" i="27" s="1"/>
  <c r="O156" i="27" s="1"/>
  <c r="P156" i="27" s="1"/>
  <c r="D156" i="27"/>
  <c r="E156" i="27" s="1"/>
  <c r="F156" i="27" s="1"/>
  <c r="E154" i="27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B154" i="27" s="1"/>
  <c r="D154" i="27"/>
  <c r="H153" i="27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G153" i="27"/>
  <c r="D153" i="27"/>
  <c r="E153" i="27" s="1"/>
  <c r="F153" i="27" s="1"/>
  <c r="H152" i="27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F152" i="27"/>
  <c r="G152" i="27" s="1"/>
  <c r="E152" i="27"/>
  <c r="D152" i="27"/>
  <c r="G151" i="27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F151" i="27"/>
  <c r="D151" i="27"/>
  <c r="E151" i="27" s="1"/>
  <c r="D149" i="27"/>
  <c r="E149" i="27" s="1"/>
  <c r="F149" i="27" s="1"/>
  <c r="G149" i="27" s="1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B149" i="27" s="1"/>
  <c r="G148" i="27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D148" i="27"/>
  <c r="E148" i="27" s="1"/>
  <c r="F148" i="27" s="1"/>
  <c r="F146" i="27"/>
  <c r="G146" i="27" s="1"/>
  <c r="H146" i="27" s="1"/>
  <c r="I146" i="27" s="1"/>
  <c r="J146" i="27" s="1"/>
  <c r="K146" i="27" s="1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B146" i="27" s="1"/>
  <c r="E146" i="27"/>
  <c r="D146" i="27"/>
  <c r="D145" i="27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D144" i="27"/>
  <c r="E144" i="27" s="1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Z143" i="27"/>
  <c r="AA143" i="27" s="1"/>
  <c r="AB143" i="27" s="1"/>
  <c r="AC143" i="27" s="1"/>
  <c r="AD143" i="27" s="1"/>
  <c r="AE143" i="27" s="1"/>
  <c r="AF143" i="27" s="1"/>
  <c r="B143" i="27" s="1"/>
  <c r="D143" i="27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D142" i="27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B142" i="27" s="1"/>
  <c r="F141" i="27"/>
  <c r="G14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D141" i="27"/>
  <c r="E141" i="27" s="1"/>
  <c r="I140" i="27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E140" i="27"/>
  <c r="F140" i="27" s="1"/>
  <c r="G140" i="27" s="1"/>
  <c r="H140" i="27" s="1"/>
  <c r="D140" i="27"/>
  <c r="H138" i="27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B138" i="27" s="1"/>
  <c r="D138" i="27"/>
  <c r="E138" i="27" s="1"/>
  <c r="F138" i="27" s="1"/>
  <c r="G138" i="27" s="1"/>
  <c r="F137" i="27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E137" i="27"/>
  <c r="D137" i="27"/>
  <c r="D136" i="27"/>
  <c r="E136" i="27" s="1"/>
  <c r="F136" i="27" s="1"/>
  <c r="G136" i="27" s="1"/>
  <c r="H136" i="27" s="1"/>
  <c r="I136" i="27" s="1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D135" i="27"/>
  <c r="E135" i="27" s="1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D134" i="27"/>
  <c r="E134" i="27" s="1"/>
  <c r="F134" i="27" s="1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J133" i="27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F133" i="27"/>
  <c r="G133" i="27" s="1"/>
  <c r="H133" i="27" s="1"/>
  <c r="I133" i="27" s="1"/>
  <c r="E133" i="27"/>
  <c r="D133" i="27"/>
  <c r="P132" i="27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D132" i="27"/>
  <c r="E132" i="27" s="1"/>
  <c r="F132" i="27" s="1"/>
  <c r="G132" i="27" s="1"/>
  <c r="H132" i="27" s="1"/>
  <c r="I132" i="27" s="1"/>
  <c r="J132" i="27" s="1"/>
  <c r="K132" i="27" s="1"/>
  <c r="L132" i="27" s="1"/>
  <c r="M132" i="27" s="1"/>
  <c r="N132" i="27" s="1"/>
  <c r="O132" i="27" s="1"/>
  <c r="W131" i="27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D131" i="27"/>
  <c r="E131" i="27" s="1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M129" i="27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B129" i="27" s="1"/>
  <c r="D129" i="27"/>
  <c r="E129" i="27" s="1"/>
  <c r="F129" i="27" s="1"/>
  <c r="G129" i="27" s="1"/>
  <c r="H129" i="27" s="1"/>
  <c r="I129" i="27" s="1"/>
  <c r="J129" i="27" s="1"/>
  <c r="K129" i="27" s="1"/>
  <c r="L129" i="27" s="1"/>
  <c r="V128" i="27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F128" i="27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E128" i="27"/>
  <c r="D128" i="27"/>
  <c r="P127" i="27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W126" i="27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D126" i="27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M125" i="27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E125" i="27"/>
  <c r="F125" i="27" s="1"/>
  <c r="G125" i="27" s="1"/>
  <c r="H125" i="27" s="1"/>
  <c r="I125" i="27" s="1"/>
  <c r="J125" i="27" s="1"/>
  <c r="K125" i="27" s="1"/>
  <c r="L125" i="27" s="1"/>
  <c r="D125" i="27"/>
  <c r="K124" i="27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E124" i="27"/>
  <c r="F124" i="27" s="1"/>
  <c r="G124" i="27" s="1"/>
  <c r="H124" i="27" s="1"/>
  <c r="I124" i="27" s="1"/>
  <c r="J124" i="27" s="1"/>
  <c r="D124" i="27"/>
  <c r="K123" i="27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D123" i="27"/>
  <c r="E123" i="27" s="1"/>
  <c r="F123" i="27" s="1"/>
  <c r="G123" i="27" s="1"/>
  <c r="H123" i="27" s="1"/>
  <c r="I123" i="27" s="1"/>
  <c r="J123" i="27" s="1"/>
  <c r="D122" i="27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Y121" i="27"/>
  <c r="Z121" i="27" s="1"/>
  <c r="AA121" i="27" s="1"/>
  <c r="AB121" i="27" s="1"/>
  <c r="AC121" i="27" s="1"/>
  <c r="AD121" i="27" s="1"/>
  <c r="AE121" i="27" s="1"/>
  <c r="AF121" i="27" s="1"/>
  <c r="B121" i="27" s="1"/>
  <c r="M121" i="27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D121" i="27"/>
  <c r="E121" i="27" s="1"/>
  <c r="F121" i="27" s="1"/>
  <c r="G121" i="27" s="1"/>
  <c r="H121" i="27" s="1"/>
  <c r="I121" i="27" s="1"/>
  <c r="J121" i="27" s="1"/>
  <c r="K121" i="27" s="1"/>
  <c r="L121" i="27" s="1"/>
  <c r="E120" i="27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D120" i="27"/>
  <c r="X119" i="27"/>
  <c r="Y119" i="27" s="1"/>
  <c r="Z119" i="27" s="1"/>
  <c r="AA119" i="27" s="1"/>
  <c r="AB119" i="27" s="1"/>
  <c r="AC119" i="27" s="1"/>
  <c r="AD119" i="27" s="1"/>
  <c r="AE119" i="27" s="1"/>
  <c r="AF119" i="27" s="1"/>
  <c r="B119" i="27" s="1"/>
  <c r="K119" i="27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D119" i="27"/>
  <c r="E119" i="27" s="1"/>
  <c r="F119" i="27" s="1"/>
  <c r="G119" i="27" s="1"/>
  <c r="H119" i="27" s="1"/>
  <c r="I119" i="27" s="1"/>
  <c r="J119" i="27" s="1"/>
  <c r="O118" i="27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F118" i="27"/>
  <c r="G118" i="27" s="1"/>
  <c r="H118" i="27" s="1"/>
  <c r="I118" i="27" s="1"/>
  <c r="J118" i="27" s="1"/>
  <c r="K118" i="27" s="1"/>
  <c r="L118" i="27" s="1"/>
  <c r="M118" i="27" s="1"/>
  <c r="N118" i="27" s="1"/>
  <c r="D118" i="27"/>
  <c r="E118" i="27" s="1"/>
  <c r="U117" i="27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H117" i="27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D117" i="27"/>
  <c r="E117" i="27" s="1"/>
  <c r="F117" i="27" s="1"/>
  <c r="G117" i="27" s="1"/>
  <c r="M116" i="27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F116" i="27"/>
  <c r="G116" i="27" s="1"/>
  <c r="H116" i="27" s="1"/>
  <c r="I116" i="27" s="1"/>
  <c r="J116" i="27" s="1"/>
  <c r="K116" i="27" s="1"/>
  <c r="L116" i="27" s="1"/>
  <c r="E116" i="27"/>
  <c r="D116" i="27"/>
  <c r="E115" i="27"/>
  <c r="D115" i="27"/>
  <c r="W114" i="27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N114" i="27"/>
  <c r="O114" i="27" s="1"/>
  <c r="P114" i="27" s="1"/>
  <c r="Q114" i="27" s="1"/>
  <c r="R114" i="27" s="1"/>
  <c r="S114" i="27" s="1"/>
  <c r="T114" i="27" s="1"/>
  <c r="U114" i="27" s="1"/>
  <c r="V114" i="27" s="1"/>
  <c r="K114" i="27"/>
  <c r="L114" i="27" s="1"/>
  <c r="M114" i="27" s="1"/>
  <c r="E114" i="27"/>
  <c r="F114" i="27" s="1"/>
  <c r="G114" i="27" s="1"/>
  <c r="H114" i="27" s="1"/>
  <c r="I114" i="27" s="1"/>
  <c r="D114" i="27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L112" i="27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D112" i="27"/>
  <c r="E112" i="27" s="1"/>
  <c r="F112" i="27" s="1"/>
  <c r="G112" i="27" s="1"/>
  <c r="H112" i="27" s="1"/>
  <c r="I112" i="27" s="1"/>
  <c r="J112" i="27" s="1"/>
  <c r="K112" i="27" s="1"/>
  <c r="AF110" i="27"/>
  <c r="B110" i="27" s="1"/>
  <c r="T110" i="27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J110" i="27"/>
  <c r="K110" i="27" s="1"/>
  <c r="L110" i="27" s="1"/>
  <c r="M110" i="27" s="1"/>
  <c r="N110" i="27" s="1"/>
  <c r="O110" i="27" s="1"/>
  <c r="P110" i="27" s="1"/>
  <c r="Q110" i="27" s="1"/>
  <c r="R110" i="27" s="1"/>
  <c r="S110" i="27" s="1"/>
  <c r="D110" i="27"/>
  <c r="E110" i="27" s="1"/>
  <c r="F110" i="27" s="1"/>
  <c r="G110" i="27" s="1"/>
  <c r="H110" i="27" s="1"/>
  <c r="I110" i="27" s="1"/>
  <c r="H109" i="27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E109" i="27"/>
  <c r="F109" i="27" s="1"/>
  <c r="G109" i="27" s="1"/>
  <c r="D109" i="27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B107" i="27" s="1"/>
  <c r="Q106" i="27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E106" i="27"/>
  <c r="F106" i="27" s="1"/>
  <c r="G106" i="27" s="1"/>
  <c r="H106" i="27" s="1"/>
  <c r="I106" i="27" s="1"/>
  <c r="J106" i="27" s="1"/>
  <c r="K106" i="27" s="1"/>
  <c r="L106" i="27" s="1"/>
  <c r="M106" i="27" s="1"/>
  <c r="N106" i="27" s="1"/>
  <c r="O106" i="27" s="1"/>
  <c r="P106" i="27" s="1"/>
  <c r="D106" i="27"/>
  <c r="Y105" i="27"/>
  <c r="Z105" i="27" s="1"/>
  <c r="AA105" i="27" s="1"/>
  <c r="AB105" i="27" s="1"/>
  <c r="AC105" i="27" s="1"/>
  <c r="AD105" i="27" s="1"/>
  <c r="AE105" i="27" s="1"/>
  <c r="AF105" i="27" s="1"/>
  <c r="B105" i="27" s="1"/>
  <c r="O105" i="27"/>
  <c r="P105" i="27" s="1"/>
  <c r="Q105" i="27" s="1"/>
  <c r="R105" i="27" s="1"/>
  <c r="S105" i="27" s="1"/>
  <c r="T105" i="27" s="1"/>
  <c r="U105" i="27" s="1"/>
  <c r="V105" i="27" s="1"/>
  <c r="W105" i="27" s="1"/>
  <c r="X105" i="27" s="1"/>
  <c r="G105" i="27"/>
  <c r="H105" i="27" s="1"/>
  <c r="I105" i="27" s="1"/>
  <c r="J105" i="27" s="1"/>
  <c r="K105" i="27" s="1"/>
  <c r="L105" i="27" s="1"/>
  <c r="M105" i="27" s="1"/>
  <c r="N105" i="27" s="1"/>
  <c r="D105" i="27"/>
  <c r="E105" i="27" s="1"/>
  <c r="F105" i="27" s="1"/>
  <c r="G104" i="27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F104" i="27"/>
  <c r="E104" i="27"/>
  <c r="D104" i="27"/>
  <c r="F103" i="27"/>
  <c r="G103" i="27" s="1"/>
  <c r="H103" i="27" s="1"/>
  <c r="E103" i="27"/>
  <c r="D103" i="27"/>
  <c r="D102" i="27"/>
  <c r="AH98" i="27"/>
  <c r="AI98" i="27" s="1"/>
  <c r="AH97" i="27"/>
  <c r="AI97" i="27" s="1"/>
  <c r="AH96" i="27"/>
  <c r="AI96" i="27" s="1"/>
  <c r="AH95" i="27"/>
  <c r="AI95" i="27" s="1"/>
  <c r="AH94" i="27"/>
  <c r="AI94" i="27" s="1"/>
  <c r="D93" i="27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G82" i="27"/>
  <c r="AI81" i="27"/>
  <c r="AH81" i="27"/>
  <c r="AF80" i="27"/>
  <c r="AE80" i="27"/>
  <c r="AD80" i="27"/>
  <c r="AC80" i="27"/>
  <c r="AB80" i="27"/>
  <c r="AA80" i="27"/>
  <c r="Y80" i="27"/>
  <c r="X80" i="27"/>
  <c r="W80" i="27"/>
  <c r="V80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D80" i="27"/>
  <c r="C80" i="27"/>
  <c r="AF79" i="27"/>
  <c r="AE79" i="27"/>
  <c r="AD79" i="27"/>
  <c r="AC79" i="27"/>
  <c r="AB79" i="27"/>
  <c r="AA79" i="27"/>
  <c r="Y79" i="27"/>
  <c r="X79" i="27"/>
  <c r="W79" i="27"/>
  <c r="V79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D79" i="27"/>
  <c r="C79" i="27"/>
  <c r="AF78" i="27"/>
  <c r="AE78" i="27"/>
  <c r="AD78" i="27"/>
  <c r="AC78" i="27"/>
  <c r="AB78" i="27"/>
  <c r="AA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AF77" i="27"/>
  <c r="AE77" i="27"/>
  <c r="AD77" i="27"/>
  <c r="AC77" i="27"/>
  <c r="AB77" i="27"/>
  <c r="AA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AF76" i="27"/>
  <c r="AE76" i="27"/>
  <c r="AD76" i="27"/>
  <c r="AC76" i="27"/>
  <c r="AC82" i="27" s="1"/>
  <c r="AB76" i="27"/>
  <c r="AA76" i="27"/>
  <c r="Y76" i="27"/>
  <c r="X76" i="27"/>
  <c r="W76" i="27"/>
  <c r="V76" i="27"/>
  <c r="U76" i="27"/>
  <c r="T76" i="27"/>
  <c r="S76" i="27"/>
  <c r="R76" i="27"/>
  <c r="Q76" i="27"/>
  <c r="Q82" i="27" s="1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AG75" i="27"/>
  <c r="AI74" i="27"/>
  <c r="AH74" i="27"/>
  <c r="AG72" i="27"/>
  <c r="AF72" i="27"/>
  <c r="AE72" i="27"/>
  <c r="AD72" i="27"/>
  <c r="AC72" i="27"/>
  <c r="AB72" i="27"/>
  <c r="AA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AH72" i="27"/>
  <c r="AI71" i="27"/>
  <c r="AH71" i="27"/>
  <c r="AI70" i="27"/>
  <c r="AH70" i="27"/>
  <c r="AI69" i="27"/>
  <c r="AH69" i="27"/>
  <c r="AG68" i="27"/>
  <c r="AG73" i="27" s="1"/>
  <c r="AF68" i="27"/>
  <c r="AE68" i="27"/>
  <c r="AD68" i="27"/>
  <c r="AC68" i="27"/>
  <c r="AB5" i="27" s="1"/>
  <c r="AB68" i="27"/>
  <c r="AA5" i="27" s="1"/>
  <c r="AA68" i="27"/>
  <c r="Z5" i="27" s="1"/>
  <c r="Y5" i="27"/>
  <c r="Y68" i="27"/>
  <c r="X5" i="27" s="1"/>
  <c r="X68" i="27"/>
  <c r="W68" i="27"/>
  <c r="V68" i="27"/>
  <c r="U68" i="27"/>
  <c r="T5" i="27" s="1"/>
  <c r="T68" i="27"/>
  <c r="S5" i="27" s="1"/>
  <c r="S68" i="27"/>
  <c r="R5" i="27" s="1"/>
  <c r="R68" i="27"/>
  <c r="Q68" i="27"/>
  <c r="P5" i="27" s="1"/>
  <c r="P68" i="27"/>
  <c r="O5" i="27" s="1"/>
  <c r="O68" i="27"/>
  <c r="N5" i="27" s="1"/>
  <c r="N68" i="27"/>
  <c r="M68" i="27"/>
  <c r="L5" i="27" s="1"/>
  <c r="L68" i="27"/>
  <c r="K5" i="27" s="1"/>
  <c r="K68" i="27"/>
  <c r="J5" i="27" s="1"/>
  <c r="J68" i="27"/>
  <c r="I5" i="27" s="1"/>
  <c r="I68" i="27"/>
  <c r="H5" i="27" s="1"/>
  <c r="H68" i="27"/>
  <c r="G68" i="27"/>
  <c r="F5" i="27" s="1"/>
  <c r="F68" i="27"/>
  <c r="E68" i="27"/>
  <c r="D5" i="27" s="1"/>
  <c r="D68" i="27"/>
  <c r="C5" i="27" s="1"/>
  <c r="C68" i="27"/>
  <c r="AF5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F56" i="27"/>
  <c r="AE56" i="27"/>
  <c r="AD56" i="27"/>
  <c r="AC56" i="27"/>
  <c r="AB56" i="27"/>
  <c r="AA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I55" i="27"/>
  <c r="AH55" i="27"/>
  <c r="AI54" i="27"/>
  <c r="AH54" i="27"/>
  <c r="AI53" i="27"/>
  <c r="AH53" i="27"/>
  <c r="AG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C52" i="27"/>
  <c r="AG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F38" i="27"/>
  <c r="AE38" i="27"/>
  <c r="AD38" i="27"/>
  <c r="AC38" i="27"/>
  <c r="AB38" i="27"/>
  <c r="AA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D5" i="27"/>
  <c r="W5" i="27"/>
  <c r="V5" i="27"/>
  <c r="Q5" i="27"/>
  <c r="G5" i="27"/>
  <c r="AG4" i="27"/>
  <c r="AG6" i="27" s="1"/>
  <c r="K4" i="27"/>
  <c r="B4" i="27"/>
  <c r="AG3" i="27"/>
  <c r="AG2" i="27"/>
  <c r="AF95" i="26"/>
  <c r="AF37" i="26"/>
  <c r="AE95" i="26"/>
  <c r="E4" i="27"/>
  <c r="AE82" i="27" l="1"/>
  <c r="AA82" i="27"/>
  <c r="Y82" i="27"/>
  <c r="W82" i="27"/>
  <c r="U82" i="27"/>
  <c r="T75" i="27"/>
  <c r="AL214" i="27" s="1"/>
  <c r="T73" i="27"/>
  <c r="S82" i="27"/>
  <c r="S73" i="27"/>
  <c r="R82" i="27"/>
  <c r="R73" i="27"/>
  <c r="Q75" i="27"/>
  <c r="Q73" i="27"/>
  <c r="P75" i="27"/>
  <c r="AH214" i="27" s="1"/>
  <c r="P73" i="27"/>
  <c r="O82" i="27"/>
  <c r="O73" i="27"/>
  <c r="N73" i="27"/>
  <c r="N75" i="27"/>
  <c r="M82" i="27"/>
  <c r="M73" i="27"/>
  <c r="M75" i="27"/>
  <c r="AE214" i="27" s="1"/>
  <c r="L73" i="27"/>
  <c r="K82" i="27"/>
  <c r="J82" i="27"/>
  <c r="I82" i="27"/>
  <c r="AI80" i="27"/>
  <c r="H73" i="27"/>
  <c r="AI77" i="27"/>
  <c r="G82" i="27"/>
  <c r="AI76" i="27"/>
  <c r="AH77" i="27"/>
  <c r="AI78" i="27"/>
  <c r="E82" i="27"/>
  <c r="AH56" i="27"/>
  <c r="F75" i="27"/>
  <c r="X214" i="27" s="1"/>
  <c r="F73" i="27"/>
  <c r="H75" i="27"/>
  <c r="G73" i="27"/>
  <c r="L75" i="27"/>
  <c r="AD214" i="27" s="1"/>
  <c r="K73" i="27"/>
  <c r="I73" i="27"/>
  <c r="J73" i="27"/>
  <c r="E73" i="27"/>
  <c r="D73" i="27"/>
  <c r="AH68" i="27"/>
  <c r="AI38" i="27"/>
  <c r="D75" i="27"/>
  <c r="V214" i="27" s="1"/>
  <c r="B5" i="27"/>
  <c r="C82" i="27"/>
  <c r="AH38" i="27"/>
  <c r="C73" i="27"/>
  <c r="C75" i="27" s="1"/>
  <c r="U214" i="27" s="1"/>
  <c r="B82" i="27"/>
  <c r="B75" i="27"/>
  <c r="B73" i="27"/>
  <c r="B83" i="27" s="1"/>
  <c r="H4" i="27"/>
  <c r="AF214" i="27"/>
  <c r="N7" i="27"/>
  <c r="F7" i="27"/>
  <c r="AI214" i="27"/>
  <c r="Q7" i="27"/>
  <c r="AG83" i="27"/>
  <c r="AI56" i="27"/>
  <c r="AI68" i="27"/>
  <c r="AI72" i="27"/>
  <c r="E75" i="27"/>
  <c r="D82" i="27"/>
  <c r="L82" i="27"/>
  <c r="T82" i="27"/>
  <c r="T83" i="27" s="1"/>
  <c r="AB82" i="27"/>
  <c r="Q83" i="27"/>
  <c r="I103" i="27"/>
  <c r="D211" i="27"/>
  <c r="S211" i="27"/>
  <c r="E5" i="27"/>
  <c r="M5" i="27"/>
  <c r="U5" i="27"/>
  <c r="AC5" i="27"/>
  <c r="G75" i="27"/>
  <c r="O75" i="27"/>
  <c r="O83" i="27" s="1"/>
  <c r="F82" i="27"/>
  <c r="N82" i="27"/>
  <c r="N83" i="27" s="1"/>
  <c r="V82" i="27"/>
  <c r="AD82" i="27"/>
  <c r="T7" i="27"/>
  <c r="I75" i="27"/>
  <c r="H82" i="27"/>
  <c r="P82" i="27"/>
  <c r="P83" i="27" s="1"/>
  <c r="X82" i="27"/>
  <c r="AF82" i="27"/>
  <c r="J75" i="27"/>
  <c r="R75" i="27"/>
  <c r="R83" i="27" s="1"/>
  <c r="AH76" i="27"/>
  <c r="AH80" i="27"/>
  <c r="F115" i="27"/>
  <c r="G115" i="27" s="1"/>
  <c r="E93" i="27"/>
  <c r="K75" i="27"/>
  <c r="S75" i="27"/>
  <c r="AI79" i="27"/>
  <c r="D192" i="27"/>
  <c r="AH78" i="27"/>
  <c r="E102" i="27"/>
  <c r="AH79" i="27"/>
  <c r="G199" i="27"/>
  <c r="E235" i="27"/>
  <c r="E200" i="27"/>
  <c r="F194" i="27"/>
  <c r="D200" i="27"/>
  <c r="D235" i="27"/>
  <c r="P7" i="27" l="1"/>
  <c r="M7" i="27"/>
  <c r="M83" i="27"/>
  <c r="K83" i="27"/>
  <c r="F83" i="27"/>
  <c r="G83" i="27"/>
  <c r="I83" i="27"/>
  <c r="H83" i="27"/>
  <c r="AI82" i="27"/>
  <c r="J83" i="27"/>
  <c r="L7" i="27"/>
  <c r="L83" i="27"/>
  <c r="Z214" i="27"/>
  <c r="H7" i="27"/>
  <c r="D83" i="27"/>
  <c r="D7" i="27"/>
  <c r="C7" i="27"/>
  <c r="C83" i="27"/>
  <c r="AR214" i="27"/>
  <c r="AC214" i="27"/>
  <c r="K7" i="27"/>
  <c r="AJ214" i="27"/>
  <c r="R7" i="27"/>
  <c r="AA214" i="27"/>
  <c r="I7" i="27"/>
  <c r="AH82" i="27"/>
  <c r="W214" i="27"/>
  <c r="E7" i="27"/>
  <c r="F235" i="27"/>
  <c r="H199" i="27"/>
  <c r="AB214" i="27"/>
  <c r="J7" i="27"/>
  <c r="AG214" i="27"/>
  <c r="O7" i="27"/>
  <c r="E192" i="27"/>
  <c r="F102" i="27"/>
  <c r="H115" i="27"/>
  <c r="G93" i="27"/>
  <c r="Y214" i="27"/>
  <c r="C209" i="27"/>
  <c r="B209" i="27"/>
  <c r="G7" i="27"/>
  <c r="J103" i="27"/>
  <c r="E83" i="27"/>
  <c r="AK214" i="27"/>
  <c r="S7" i="27"/>
  <c r="S83" i="27"/>
  <c r="G194" i="27"/>
  <c r="F200" i="27"/>
  <c r="F93" i="27"/>
  <c r="K6" i="27" l="1"/>
  <c r="G235" i="27"/>
  <c r="I199" i="27"/>
  <c r="I115" i="27"/>
  <c r="H93" i="27"/>
  <c r="K103" i="27"/>
  <c r="F192" i="27"/>
  <c r="G102" i="27"/>
  <c r="H194" i="27"/>
  <c r="G200" i="27"/>
  <c r="L103" i="27" l="1"/>
  <c r="I194" i="27"/>
  <c r="I93" i="27" s="1"/>
  <c r="H200" i="27"/>
  <c r="H235" i="27"/>
  <c r="J199" i="27"/>
  <c r="J115" i="27"/>
  <c r="G192" i="27"/>
  <c r="H102" i="27"/>
  <c r="H192" i="27" l="1"/>
  <c r="I102" i="27"/>
  <c r="I235" i="27"/>
  <c r="K199" i="27"/>
  <c r="M103" i="27"/>
  <c r="J194" i="27"/>
  <c r="I200" i="27"/>
  <c r="K115" i="27"/>
  <c r="J235" i="27" l="1"/>
  <c r="L199" i="27"/>
  <c r="J200" i="27"/>
  <c r="K194" i="27"/>
  <c r="N103" i="27"/>
  <c r="J93" i="27"/>
  <c r="I192" i="27"/>
  <c r="J102" i="27"/>
  <c r="L115" i="27"/>
  <c r="K93" i="27"/>
  <c r="O103" i="27" l="1"/>
  <c r="K200" i="27"/>
  <c r="L194" i="27"/>
  <c r="K235" i="27"/>
  <c r="M199" i="27"/>
  <c r="M115" i="27"/>
  <c r="L93" i="27"/>
  <c r="J192" i="27"/>
  <c r="K102" i="27"/>
  <c r="N115" i="27" l="1"/>
  <c r="N199" i="27"/>
  <c r="L235" i="27"/>
  <c r="L200" i="27"/>
  <c r="M194" i="27"/>
  <c r="K192" i="27"/>
  <c r="L102" i="27"/>
  <c r="P103" i="27"/>
  <c r="M200" i="27" l="1"/>
  <c r="N194" i="27"/>
  <c r="O199" i="27"/>
  <c r="M235" i="27"/>
  <c r="M93" i="27"/>
  <c r="L192" i="27"/>
  <c r="M102" i="27"/>
  <c r="Q103" i="27"/>
  <c r="O115" i="27"/>
  <c r="N93" i="27"/>
  <c r="R103" i="27" l="1"/>
  <c r="M192" i="27"/>
  <c r="N102" i="27"/>
  <c r="N235" i="27"/>
  <c r="P199" i="27"/>
  <c r="P115" i="27"/>
  <c r="O93" i="27"/>
  <c r="O194" i="27"/>
  <c r="N200" i="27"/>
  <c r="Q115" i="27" l="1"/>
  <c r="N192" i="27"/>
  <c r="O102" i="27"/>
  <c r="O235" i="27"/>
  <c r="Q199" i="27"/>
  <c r="P194" i="27"/>
  <c r="P93" i="27" s="1"/>
  <c r="O200" i="27"/>
  <c r="S103" i="27"/>
  <c r="O192" i="27" l="1"/>
  <c r="P102" i="27"/>
  <c r="P235" i="27"/>
  <c r="R199" i="27"/>
  <c r="T103" i="27"/>
  <c r="Q194" i="27"/>
  <c r="P200" i="27"/>
  <c r="R115" i="27"/>
  <c r="R194" i="27" l="1"/>
  <c r="Q200" i="27"/>
  <c r="Q235" i="27"/>
  <c r="S199" i="27"/>
  <c r="Q93" i="27"/>
  <c r="P192" i="27"/>
  <c r="Q102" i="27"/>
  <c r="U103" i="27"/>
  <c r="S115" i="27"/>
  <c r="R93" i="27"/>
  <c r="T115" i="27" l="1"/>
  <c r="V103" i="27"/>
  <c r="Q192" i="27"/>
  <c r="R102" i="27"/>
  <c r="R235" i="27"/>
  <c r="T199" i="27"/>
  <c r="R200" i="27"/>
  <c r="S194" i="27"/>
  <c r="S93" i="27" s="1"/>
  <c r="U199" i="27" l="1"/>
  <c r="S235" i="27"/>
  <c r="W103" i="27"/>
  <c r="R192" i="27"/>
  <c r="S102" i="27"/>
  <c r="S200" i="27"/>
  <c r="T194" i="27"/>
  <c r="U115" i="27"/>
  <c r="U194" i="27" l="1"/>
  <c r="T200" i="27"/>
  <c r="S192" i="27"/>
  <c r="T102" i="27"/>
  <c r="T93" i="27"/>
  <c r="X103" i="27"/>
  <c r="V115" i="27"/>
  <c r="U93" i="27"/>
  <c r="T235" i="27"/>
  <c r="V199" i="27"/>
  <c r="W115" i="27" l="1"/>
  <c r="Y103" i="27"/>
  <c r="T192" i="27"/>
  <c r="U102" i="27"/>
  <c r="U235" i="27"/>
  <c r="W199" i="27"/>
  <c r="U200" i="27"/>
  <c r="U51" i="27" s="1"/>
  <c r="U52" i="27" s="1"/>
  <c r="V194" i="27"/>
  <c r="U192" i="27" l="1"/>
  <c r="V102" i="27"/>
  <c r="V235" i="27"/>
  <c r="X199" i="27"/>
  <c r="Z103" i="27"/>
  <c r="W194" i="27"/>
  <c r="V200" i="27"/>
  <c r="V51" i="27" s="1"/>
  <c r="V52" i="27" s="1"/>
  <c r="V93" i="27"/>
  <c r="U73" i="27"/>
  <c r="U75" i="27"/>
  <c r="X115" i="27"/>
  <c r="W93" i="27"/>
  <c r="AM214" i="27" l="1"/>
  <c r="U7" i="27"/>
  <c r="AA103" i="27"/>
  <c r="Y115" i="27"/>
  <c r="X93" i="27"/>
  <c r="W235" i="27"/>
  <c r="Y199" i="27"/>
  <c r="U83" i="27"/>
  <c r="V192" i="27"/>
  <c r="W102" i="27"/>
  <c r="V75" i="27"/>
  <c r="V73" i="27"/>
  <c r="X194" i="27"/>
  <c r="W200" i="27"/>
  <c r="W51" i="27" s="1"/>
  <c r="W52" i="27" s="1"/>
  <c r="V83" i="27" l="1"/>
  <c r="AB103" i="27"/>
  <c r="W73" i="27"/>
  <c r="W75" i="27"/>
  <c r="X200" i="27"/>
  <c r="X51" i="27" s="1"/>
  <c r="X52" i="27" s="1"/>
  <c r="Y194" i="27"/>
  <c r="AN214" i="27"/>
  <c r="V7" i="27"/>
  <c r="W192" i="27"/>
  <c r="X102" i="27"/>
  <c r="Z115" i="27"/>
  <c r="Y93" i="27"/>
  <c r="X235" i="27"/>
  <c r="Z199" i="27"/>
  <c r="X75" i="27" l="1"/>
  <c r="X73" i="27"/>
  <c r="Y235" i="27"/>
  <c r="AA199" i="27"/>
  <c r="AO214" i="27"/>
  <c r="W7" i="27"/>
  <c r="AA115" i="27"/>
  <c r="Z93" i="27"/>
  <c r="W83" i="27"/>
  <c r="Z194" i="27"/>
  <c r="Y200" i="27"/>
  <c r="Y51" i="27" s="1"/>
  <c r="Y52" i="27" s="1"/>
  <c r="X192" i="27"/>
  <c r="Y102" i="27"/>
  <c r="AC103" i="27"/>
  <c r="X83" i="27" l="1"/>
  <c r="AB115" i="27"/>
  <c r="AD103" i="27"/>
  <c r="Y192" i="27"/>
  <c r="Z102" i="27"/>
  <c r="Z235" i="27"/>
  <c r="AB199" i="27"/>
  <c r="Y75" i="27"/>
  <c r="Y73" i="27"/>
  <c r="Z200" i="27"/>
  <c r="AA194" i="27"/>
  <c r="AP214" i="27"/>
  <c r="X7" i="27"/>
  <c r="Y83" i="27" l="1"/>
  <c r="AA235" i="27"/>
  <c r="AC199" i="27"/>
  <c r="AA200" i="27"/>
  <c r="AA51" i="27" s="1"/>
  <c r="AA52" i="27" s="1"/>
  <c r="AB194" i="27"/>
  <c r="AE103" i="27"/>
  <c r="Z192" i="27"/>
  <c r="AA102" i="27"/>
  <c r="AA93" i="27"/>
  <c r="AQ214" i="27"/>
  <c r="Y7" i="27"/>
  <c r="AC115" i="27"/>
  <c r="AA192" i="27" l="1"/>
  <c r="AB102" i="27"/>
  <c r="AF103" i="27"/>
  <c r="AD115" i="27"/>
  <c r="AC93" i="27"/>
  <c r="AC194" i="27"/>
  <c r="AB200" i="27"/>
  <c r="AB51" i="27" s="1"/>
  <c r="AB52" i="27" s="1"/>
  <c r="AA73" i="27"/>
  <c r="AA75" i="27"/>
  <c r="AB235" i="27"/>
  <c r="AD199" i="27"/>
  <c r="AA83" i="27" l="1"/>
  <c r="AC200" i="27"/>
  <c r="AC51" i="27" s="1"/>
  <c r="AC52" i="27" s="1"/>
  <c r="AD194" i="27"/>
  <c r="AB75" i="27"/>
  <c r="AB73" i="27"/>
  <c r="AB83" i="27" s="1"/>
  <c r="AE115" i="27"/>
  <c r="AD93" i="27"/>
  <c r="AC235" i="27"/>
  <c r="AE199" i="27"/>
  <c r="B103" i="27"/>
  <c r="AS214" i="27"/>
  <c r="AA7" i="27"/>
  <c r="AB192" i="27"/>
  <c r="AC102" i="27"/>
  <c r="AF115" i="27" l="1"/>
  <c r="AC192" i="27"/>
  <c r="AD102" i="27"/>
  <c r="AT214" i="27"/>
  <c r="AB7" i="27"/>
  <c r="AE194" i="27"/>
  <c r="AE93" i="27" s="1"/>
  <c r="AD200" i="27"/>
  <c r="AD51" i="27" s="1"/>
  <c r="AD52" i="27" s="1"/>
  <c r="AD235" i="27"/>
  <c r="AF199" i="27"/>
  <c r="AC73" i="27"/>
  <c r="AC75" i="27"/>
  <c r="AC83" i="27" l="1"/>
  <c r="AU214" i="27"/>
  <c r="AC7" i="27"/>
  <c r="AD192" i="27"/>
  <c r="AE102" i="27"/>
  <c r="AD75" i="27"/>
  <c r="AD73" i="27"/>
  <c r="AD83" i="27" s="1"/>
  <c r="AF194" i="27"/>
  <c r="AE200" i="27"/>
  <c r="AE51" i="27" s="1"/>
  <c r="AE52" i="27" s="1"/>
  <c r="AE235" i="27"/>
  <c r="B199" i="27"/>
  <c r="AF235" i="27" s="1"/>
  <c r="B115" i="27"/>
  <c r="AF93" i="27"/>
  <c r="AF200" i="27" l="1"/>
  <c r="AF51" i="27" s="1"/>
  <c r="AF52" i="27" s="1"/>
  <c r="B194" i="27"/>
  <c r="B200" i="27" s="1"/>
  <c r="AV214" i="27"/>
  <c r="AD7" i="27"/>
  <c r="AE192" i="27"/>
  <c r="AF102" i="27"/>
  <c r="AH93" i="27"/>
  <c r="AI93" i="27"/>
  <c r="AE73" i="27"/>
  <c r="AE75" i="27"/>
  <c r="AF192" i="27" l="1"/>
  <c r="B102" i="27"/>
  <c r="B192" i="27" s="1"/>
  <c r="AW214" i="27"/>
  <c r="AE7" i="27"/>
  <c r="AE83" i="27"/>
  <c r="AI51" i="27"/>
  <c r="AH51" i="27"/>
  <c r="AF73" i="27"/>
  <c r="AF83" i="27" s="1"/>
  <c r="AF75" i="27"/>
  <c r="AH52" i="27" l="1"/>
  <c r="AI52" i="27"/>
  <c r="AX214" i="27"/>
  <c r="AF7" i="27"/>
  <c r="T214" i="27" l="1"/>
  <c r="AI75" i="27"/>
  <c r="AH75" i="27"/>
  <c r="B7" i="27"/>
  <c r="A7" i="27" s="1"/>
  <c r="AI73" i="27"/>
  <c r="AH73" i="27"/>
  <c r="AI83" i="27" l="1"/>
  <c r="AH83" i="27"/>
  <c r="R95" i="26" l="1"/>
  <c r="P95" i="26"/>
  <c r="P37" i="26"/>
  <c r="O95" i="26"/>
  <c r="O37" i="26"/>
  <c r="N95" i="26"/>
  <c r="N37" i="26"/>
  <c r="M95" i="26"/>
  <c r="M37" i="26"/>
  <c r="AH99" i="26"/>
  <c r="AI99" i="26" s="1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B235" i="26"/>
  <c r="A235" i="26"/>
  <c r="B234" i="26"/>
  <c r="S209" i="26"/>
  <c r="AG199" i="26"/>
  <c r="C199" i="26"/>
  <c r="D198" i="26"/>
  <c r="D197" i="26"/>
  <c r="E197" i="26" s="1"/>
  <c r="F197" i="26" s="1"/>
  <c r="G197" i="26" s="1"/>
  <c r="H197" i="26" s="1"/>
  <c r="I197" i="26" s="1"/>
  <c r="J197" i="26" s="1"/>
  <c r="K197" i="26" s="1"/>
  <c r="L197" i="26" s="1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E196" i="26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D196" i="26"/>
  <c r="F195" i="26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E195" i="26"/>
  <c r="D195" i="26"/>
  <c r="D194" i="26"/>
  <c r="E194" i="26" s="1"/>
  <c r="F194" i="26" s="1"/>
  <c r="G194" i="26" s="1"/>
  <c r="H194" i="26" s="1"/>
  <c r="I194" i="26" s="1"/>
  <c r="J194" i="26" s="1"/>
  <c r="K194" i="26" s="1"/>
  <c r="L194" i="26" s="1"/>
  <c r="M194" i="26" s="1"/>
  <c r="N194" i="26" s="1"/>
  <c r="O194" i="26" s="1"/>
  <c r="P194" i="26" s="1"/>
  <c r="Q194" i="26" s="1"/>
  <c r="R194" i="26" s="1"/>
  <c r="S194" i="26" s="1"/>
  <c r="T194" i="26" s="1"/>
  <c r="U194" i="26" s="1"/>
  <c r="V194" i="26" s="1"/>
  <c r="W194" i="26" s="1"/>
  <c r="X194" i="26" s="1"/>
  <c r="Y194" i="26" s="1"/>
  <c r="Z194" i="26" s="1"/>
  <c r="AA194" i="26" s="1"/>
  <c r="AB194" i="26" s="1"/>
  <c r="AC194" i="26" s="1"/>
  <c r="AD194" i="26" s="1"/>
  <c r="AE194" i="26" s="1"/>
  <c r="AF194" i="26" s="1"/>
  <c r="B194" i="26" s="1"/>
  <c r="D193" i="26"/>
  <c r="AG191" i="26"/>
  <c r="C191" i="26"/>
  <c r="E190" i="26"/>
  <c r="F190" i="26" s="1"/>
  <c r="G190" i="26" s="1"/>
  <c r="H190" i="26" s="1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D190" i="26"/>
  <c r="N189" i="26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H189" i="26"/>
  <c r="I189" i="26" s="1"/>
  <c r="J189" i="26" s="1"/>
  <c r="K189" i="26" s="1"/>
  <c r="L189" i="26" s="1"/>
  <c r="M189" i="26" s="1"/>
  <c r="F189" i="26"/>
  <c r="G189" i="26" s="1"/>
  <c r="E189" i="26"/>
  <c r="D189" i="26"/>
  <c r="D188" i="26"/>
  <c r="E188" i="26" s="1"/>
  <c r="F188" i="26" s="1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D187" i="26"/>
  <c r="E187" i="26" s="1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P186" i="26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E186" i="26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D186" i="26"/>
  <c r="E185" i="26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D185" i="26"/>
  <c r="G184" i="26"/>
  <c r="H184" i="26" s="1"/>
  <c r="I184" i="26" s="1"/>
  <c r="J184" i="26" s="1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D184" i="26"/>
  <c r="E184" i="26" s="1"/>
  <c r="F184" i="26" s="1"/>
  <c r="I183" i="26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E183" i="26"/>
  <c r="F183" i="26" s="1"/>
  <c r="G183" i="26" s="1"/>
  <c r="H183" i="26" s="1"/>
  <c r="D183" i="26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E181" i="26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B181" i="26" s="1"/>
  <c r="D181" i="26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E179" i="26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D179" i="26"/>
  <c r="X178" i="26"/>
  <c r="Y178" i="26" s="1"/>
  <c r="Z178" i="26" s="1"/>
  <c r="AA178" i="26" s="1"/>
  <c r="AB178" i="26" s="1"/>
  <c r="AC178" i="26" s="1"/>
  <c r="AD178" i="26" s="1"/>
  <c r="AE178" i="26" s="1"/>
  <c r="AF178" i="26" s="1"/>
  <c r="B178" i="26" s="1"/>
  <c r="O178" i="26"/>
  <c r="P178" i="26" s="1"/>
  <c r="Q178" i="26" s="1"/>
  <c r="R178" i="26" s="1"/>
  <c r="S178" i="26" s="1"/>
  <c r="T178" i="26" s="1"/>
  <c r="U178" i="26" s="1"/>
  <c r="V178" i="26" s="1"/>
  <c r="W178" i="26" s="1"/>
  <c r="D178" i="26"/>
  <c r="E178" i="26" s="1"/>
  <c r="F178" i="26" s="1"/>
  <c r="G178" i="26" s="1"/>
  <c r="H178" i="26" s="1"/>
  <c r="I178" i="26" s="1"/>
  <c r="J178" i="26" s="1"/>
  <c r="K178" i="26" s="1"/>
  <c r="L178" i="26" s="1"/>
  <c r="M178" i="26" s="1"/>
  <c r="N178" i="26" s="1"/>
  <c r="T176" i="26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D176" i="26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J175" i="26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E175" i="26"/>
  <c r="F175" i="26" s="1"/>
  <c r="G175" i="26" s="1"/>
  <c r="H175" i="26" s="1"/>
  <c r="I175" i="26" s="1"/>
  <c r="D175" i="26"/>
  <c r="X174" i="26"/>
  <c r="Y174" i="26" s="1"/>
  <c r="Z174" i="26" s="1"/>
  <c r="AA174" i="26" s="1"/>
  <c r="AB174" i="26" s="1"/>
  <c r="AC174" i="26" s="1"/>
  <c r="AD174" i="26" s="1"/>
  <c r="AE174" i="26" s="1"/>
  <c r="AF174" i="26" s="1"/>
  <c r="B174" i="26" s="1"/>
  <c r="H174" i="26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D174" i="26"/>
  <c r="E174" i="26" s="1"/>
  <c r="F174" i="26" s="1"/>
  <c r="G174" i="26" s="1"/>
  <c r="W173" i="26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D173" i="26"/>
  <c r="E173" i="26" s="1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L172" i="26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D172" i="26"/>
  <c r="E172" i="26" s="1"/>
  <c r="F172" i="26" s="1"/>
  <c r="G172" i="26" s="1"/>
  <c r="H172" i="26" s="1"/>
  <c r="I172" i="26" s="1"/>
  <c r="J172" i="26" s="1"/>
  <c r="K172" i="26" s="1"/>
  <c r="J171" i="26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F171" i="26"/>
  <c r="G171" i="26" s="1"/>
  <c r="H171" i="26" s="1"/>
  <c r="I171" i="26" s="1"/>
  <c r="E171" i="26"/>
  <c r="D171" i="26"/>
  <c r="H170" i="26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B170" i="26" s="1"/>
  <c r="D170" i="26"/>
  <c r="E170" i="26" s="1"/>
  <c r="F170" i="26" s="1"/>
  <c r="G170" i="26" s="1"/>
  <c r="V169" i="26"/>
  <c r="W169" i="26" s="1"/>
  <c r="X169" i="26" s="1"/>
  <c r="Y169" i="26" s="1"/>
  <c r="Z169" i="26" s="1"/>
  <c r="AA169" i="26" s="1"/>
  <c r="AB169" i="26" s="1"/>
  <c r="AC169" i="26" s="1"/>
  <c r="AD169" i="26" s="1"/>
  <c r="AE169" i="26" s="1"/>
  <c r="AF169" i="26" s="1"/>
  <c r="B169" i="26" s="1"/>
  <c r="G169" i="26"/>
  <c r="H169" i="26" s="1"/>
  <c r="I169" i="26" s="1"/>
  <c r="J169" i="26" s="1"/>
  <c r="K169" i="26" s="1"/>
  <c r="L169" i="26" s="1"/>
  <c r="M169" i="26" s="1"/>
  <c r="N169" i="26" s="1"/>
  <c r="O169" i="26" s="1"/>
  <c r="P169" i="26" s="1"/>
  <c r="Q169" i="26" s="1"/>
  <c r="R169" i="26" s="1"/>
  <c r="S169" i="26" s="1"/>
  <c r="T169" i="26" s="1"/>
  <c r="U169" i="26" s="1"/>
  <c r="F169" i="26"/>
  <c r="D169" i="26"/>
  <c r="E169" i="26" s="1"/>
  <c r="P167" i="26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B167" i="26" s="1"/>
  <c r="E167" i="26"/>
  <c r="F167" i="26" s="1"/>
  <c r="G167" i="26" s="1"/>
  <c r="H167" i="26" s="1"/>
  <c r="I167" i="26" s="1"/>
  <c r="J167" i="26" s="1"/>
  <c r="K167" i="26" s="1"/>
  <c r="L167" i="26" s="1"/>
  <c r="M167" i="26" s="1"/>
  <c r="N167" i="26" s="1"/>
  <c r="O167" i="26" s="1"/>
  <c r="D167" i="26"/>
  <c r="E166" i="26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D166" i="26"/>
  <c r="F165" i="26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D165" i="26"/>
  <c r="E165" i="26" s="1"/>
  <c r="F164" i="26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D164" i="26"/>
  <c r="E164" i="26" s="1"/>
  <c r="I163" i="26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G163" i="26"/>
  <c r="H163" i="26" s="1"/>
  <c r="D163" i="26"/>
  <c r="E163" i="26" s="1"/>
  <c r="F163" i="26" s="1"/>
  <c r="H162" i="26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F162" i="26"/>
  <c r="G162" i="26" s="1"/>
  <c r="E162" i="26"/>
  <c r="D162" i="26"/>
  <c r="M161" i="26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D161" i="26"/>
  <c r="E161" i="26" s="1"/>
  <c r="F161" i="26" s="1"/>
  <c r="G161" i="26" s="1"/>
  <c r="H161" i="26" s="1"/>
  <c r="I161" i="26" s="1"/>
  <c r="J161" i="26" s="1"/>
  <c r="K161" i="26" s="1"/>
  <c r="L161" i="26" s="1"/>
  <c r="L160" i="26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F160" i="26"/>
  <c r="G160" i="26" s="1"/>
  <c r="H160" i="26" s="1"/>
  <c r="I160" i="26" s="1"/>
  <c r="J160" i="26" s="1"/>
  <c r="K160" i="26" s="1"/>
  <c r="E160" i="26"/>
  <c r="D160" i="26"/>
  <c r="G159" i="26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D159" i="26"/>
  <c r="E159" i="26" s="1"/>
  <c r="F159" i="26" s="1"/>
  <c r="E158" i="26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D158" i="26"/>
  <c r="E157" i="26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D157" i="26"/>
  <c r="I156" i="26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E156" i="26"/>
  <c r="F156" i="26" s="1"/>
  <c r="G156" i="26" s="1"/>
  <c r="H156" i="26" s="1"/>
  <c r="D156" i="26"/>
  <c r="D155" i="26"/>
  <c r="E155" i="26" s="1"/>
  <c r="F155" i="26" s="1"/>
  <c r="G155" i="26" s="1"/>
  <c r="H155" i="26" s="1"/>
  <c r="I155" i="26" s="1"/>
  <c r="J155" i="26" s="1"/>
  <c r="K155" i="26" s="1"/>
  <c r="L155" i="26" s="1"/>
  <c r="M155" i="26" s="1"/>
  <c r="N155" i="26" s="1"/>
  <c r="O155" i="26" s="1"/>
  <c r="P155" i="26" s="1"/>
  <c r="Q155" i="26" s="1"/>
  <c r="R155" i="26" s="1"/>
  <c r="S155" i="26" s="1"/>
  <c r="T155" i="26" s="1"/>
  <c r="U155" i="26" s="1"/>
  <c r="V155" i="26" s="1"/>
  <c r="W155" i="26" s="1"/>
  <c r="X155" i="26" s="1"/>
  <c r="Y155" i="26" s="1"/>
  <c r="Z155" i="26" s="1"/>
  <c r="AA155" i="26" s="1"/>
  <c r="AB155" i="26" s="1"/>
  <c r="AC155" i="26" s="1"/>
  <c r="AD155" i="26" s="1"/>
  <c r="AE155" i="26" s="1"/>
  <c r="AF155" i="26" s="1"/>
  <c r="B155" i="26" s="1"/>
  <c r="W153" i="26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J153" i="26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G153" i="26"/>
  <c r="H153" i="26" s="1"/>
  <c r="I153" i="26" s="1"/>
  <c r="E153" i="26"/>
  <c r="F153" i="26" s="1"/>
  <c r="D153" i="26"/>
  <c r="G152" i="26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E152" i="26"/>
  <c r="F152" i="26" s="1"/>
  <c r="D152" i="26"/>
  <c r="N151" i="26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I151" i="26"/>
  <c r="J151" i="26" s="1"/>
  <c r="K151" i="26" s="1"/>
  <c r="L151" i="26" s="1"/>
  <c r="M151" i="26" s="1"/>
  <c r="E151" i="26"/>
  <c r="F151" i="26" s="1"/>
  <c r="G151" i="26" s="1"/>
  <c r="H151" i="26" s="1"/>
  <c r="D151" i="26"/>
  <c r="D150" i="26"/>
  <c r="E150" i="26" s="1"/>
  <c r="F150" i="26" s="1"/>
  <c r="G150" i="26" s="1"/>
  <c r="H150" i="26" s="1"/>
  <c r="I150" i="26" s="1"/>
  <c r="J150" i="26" s="1"/>
  <c r="K150" i="26" s="1"/>
  <c r="L150" i="26" s="1"/>
  <c r="M150" i="26" s="1"/>
  <c r="N150" i="26" s="1"/>
  <c r="O150" i="26" s="1"/>
  <c r="P150" i="26" s="1"/>
  <c r="Q150" i="26" s="1"/>
  <c r="R150" i="26" s="1"/>
  <c r="S150" i="26" s="1"/>
  <c r="T150" i="26" s="1"/>
  <c r="U150" i="26" s="1"/>
  <c r="V150" i="26" s="1"/>
  <c r="W150" i="26" s="1"/>
  <c r="X150" i="26" s="1"/>
  <c r="Y150" i="26" s="1"/>
  <c r="Z150" i="26" s="1"/>
  <c r="AA150" i="26" s="1"/>
  <c r="AB150" i="26" s="1"/>
  <c r="AC150" i="26" s="1"/>
  <c r="AD150" i="26" s="1"/>
  <c r="AE150" i="26" s="1"/>
  <c r="AF150" i="26" s="1"/>
  <c r="B150" i="26" s="1"/>
  <c r="AB148" i="26"/>
  <c r="AC148" i="26" s="1"/>
  <c r="AD148" i="26" s="1"/>
  <c r="AE148" i="26" s="1"/>
  <c r="AF148" i="26" s="1"/>
  <c r="B148" i="26" s="1"/>
  <c r="T148" i="26"/>
  <c r="U148" i="26" s="1"/>
  <c r="V148" i="26" s="1"/>
  <c r="W148" i="26" s="1"/>
  <c r="X148" i="26" s="1"/>
  <c r="Y148" i="26" s="1"/>
  <c r="Z148" i="26" s="1"/>
  <c r="AA148" i="26" s="1"/>
  <c r="F148" i="26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E148" i="26"/>
  <c r="D148" i="26"/>
  <c r="G147" i="26"/>
  <c r="H147" i="26" s="1"/>
  <c r="I147" i="26" s="1"/>
  <c r="J147" i="26" s="1"/>
  <c r="K147" i="26" s="1"/>
  <c r="L147" i="26" s="1"/>
  <c r="M147" i="26" s="1"/>
  <c r="N147" i="26" s="1"/>
  <c r="O147" i="26" s="1"/>
  <c r="P147" i="26" s="1"/>
  <c r="Q147" i="26" s="1"/>
  <c r="R147" i="26" s="1"/>
  <c r="S147" i="26" s="1"/>
  <c r="T147" i="26" s="1"/>
  <c r="U147" i="26" s="1"/>
  <c r="V147" i="26" s="1"/>
  <c r="W147" i="26" s="1"/>
  <c r="X147" i="26" s="1"/>
  <c r="Y147" i="26" s="1"/>
  <c r="Z147" i="26" s="1"/>
  <c r="AA147" i="26" s="1"/>
  <c r="AB147" i="26" s="1"/>
  <c r="AC147" i="26" s="1"/>
  <c r="AD147" i="26" s="1"/>
  <c r="AE147" i="26" s="1"/>
  <c r="AF147" i="26" s="1"/>
  <c r="B147" i="26" s="1"/>
  <c r="D147" i="26"/>
  <c r="E147" i="26" s="1"/>
  <c r="F147" i="26" s="1"/>
  <c r="E145" i="26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D145" i="26"/>
  <c r="K144" i="26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G144" i="26"/>
  <c r="H144" i="26" s="1"/>
  <c r="I144" i="26" s="1"/>
  <c r="J144" i="26" s="1"/>
  <c r="D144" i="26"/>
  <c r="E144" i="26" s="1"/>
  <c r="F144" i="26" s="1"/>
  <c r="J143" i="26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B143" i="26" s="1"/>
  <c r="F143" i="26"/>
  <c r="G143" i="26" s="1"/>
  <c r="H143" i="26" s="1"/>
  <c r="I143" i="26" s="1"/>
  <c r="E143" i="26"/>
  <c r="D143" i="26"/>
  <c r="F142" i="26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E142" i="26"/>
  <c r="D142" i="26"/>
  <c r="E141" i="26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D141" i="26"/>
  <c r="D140" i="26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R139" i="26"/>
  <c r="S139" i="26" s="1"/>
  <c r="T139" i="26" s="1"/>
  <c r="U139" i="26" s="1"/>
  <c r="V139" i="26" s="1"/>
  <c r="W139" i="26" s="1"/>
  <c r="X139" i="26" s="1"/>
  <c r="Y139" i="26" s="1"/>
  <c r="Z139" i="26" s="1"/>
  <c r="AA139" i="26" s="1"/>
  <c r="AB139" i="26" s="1"/>
  <c r="AC139" i="26" s="1"/>
  <c r="AD139" i="26" s="1"/>
  <c r="AE139" i="26" s="1"/>
  <c r="AF139" i="26" s="1"/>
  <c r="B139" i="26" s="1"/>
  <c r="O139" i="26"/>
  <c r="P139" i="26" s="1"/>
  <c r="Q139" i="26" s="1"/>
  <c r="G139" i="26"/>
  <c r="H139" i="26" s="1"/>
  <c r="I139" i="26" s="1"/>
  <c r="J139" i="26" s="1"/>
  <c r="K139" i="26" s="1"/>
  <c r="L139" i="26" s="1"/>
  <c r="M139" i="26" s="1"/>
  <c r="N139" i="26" s="1"/>
  <c r="E139" i="26"/>
  <c r="F139" i="26" s="1"/>
  <c r="D139" i="26"/>
  <c r="M137" i="26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H137" i="26"/>
  <c r="I137" i="26" s="1"/>
  <c r="J137" i="26" s="1"/>
  <c r="K137" i="26" s="1"/>
  <c r="L137" i="26" s="1"/>
  <c r="E137" i="26"/>
  <c r="F137" i="26" s="1"/>
  <c r="G137" i="26" s="1"/>
  <c r="D137" i="26"/>
  <c r="Q136" i="26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N136" i="26"/>
  <c r="O136" i="26" s="1"/>
  <c r="P136" i="26" s="1"/>
  <c r="K136" i="26"/>
  <c r="L136" i="26" s="1"/>
  <c r="M136" i="26" s="1"/>
  <c r="F136" i="26"/>
  <c r="G136" i="26" s="1"/>
  <c r="H136" i="26" s="1"/>
  <c r="I136" i="26" s="1"/>
  <c r="J136" i="26" s="1"/>
  <c r="E136" i="26"/>
  <c r="D136" i="26"/>
  <c r="X135" i="26"/>
  <c r="Y135" i="26" s="1"/>
  <c r="Z135" i="26" s="1"/>
  <c r="AA135" i="26" s="1"/>
  <c r="AB135" i="26" s="1"/>
  <c r="AC135" i="26" s="1"/>
  <c r="AD135" i="26" s="1"/>
  <c r="AE135" i="26" s="1"/>
  <c r="AF135" i="26" s="1"/>
  <c r="B135" i="26" s="1"/>
  <c r="F135" i="26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D135" i="26"/>
  <c r="E135" i="26" s="1"/>
  <c r="E134" i="26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D134" i="26"/>
  <c r="O133" i="26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J133" i="26"/>
  <c r="K133" i="26" s="1"/>
  <c r="L133" i="26" s="1"/>
  <c r="M133" i="26" s="1"/>
  <c r="N133" i="26" s="1"/>
  <c r="H133" i="26"/>
  <c r="I133" i="26" s="1"/>
  <c r="E133" i="26"/>
  <c r="F133" i="26" s="1"/>
  <c r="G133" i="26" s="1"/>
  <c r="D133" i="26"/>
  <c r="H132" i="26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E132" i="26"/>
  <c r="F132" i="26" s="1"/>
  <c r="G132" i="26" s="1"/>
  <c r="D132" i="26"/>
  <c r="G131" i="26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B131" i="26" s="1"/>
  <c r="E131" i="26"/>
  <c r="F131" i="26" s="1"/>
  <c r="D131" i="26"/>
  <c r="E130" i="26"/>
  <c r="F130" i="26" s="1"/>
  <c r="G130" i="26" s="1"/>
  <c r="H130" i="26" s="1"/>
  <c r="I130" i="26" s="1"/>
  <c r="J130" i="26" s="1"/>
  <c r="K130" i="26" s="1"/>
  <c r="L130" i="26" s="1"/>
  <c r="M130" i="26" s="1"/>
  <c r="N130" i="26" s="1"/>
  <c r="O130" i="26" s="1"/>
  <c r="P130" i="26" s="1"/>
  <c r="Q130" i="26" s="1"/>
  <c r="R130" i="26" s="1"/>
  <c r="S130" i="26" s="1"/>
  <c r="T130" i="26" s="1"/>
  <c r="U130" i="26" s="1"/>
  <c r="V130" i="26" s="1"/>
  <c r="W130" i="26" s="1"/>
  <c r="X130" i="26" s="1"/>
  <c r="Y130" i="26" s="1"/>
  <c r="Z130" i="26" s="1"/>
  <c r="AA130" i="26" s="1"/>
  <c r="AB130" i="26" s="1"/>
  <c r="AC130" i="26" s="1"/>
  <c r="AD130" i="26" s="1"/>
  <c r="AE130" i="26" s="1"/>
  <c r="AF130" i="26" s="1"/>
  <c r="B130" i="26" s="1"/>
  <c r="D130" i="26"/>
  <c r="AA128" i="26"/>
  <c r="AB128" i="26" s="1"/>
  <c r="AC128" i="26" s="1"/>
  <c r="AD128" i="26" s="1"/>
  <c r="AE128" i="26" s="1"/>
  <c r="AF128" i="26" s="1"/>
  <c r="B128" i="26" s="1"/>
  <c r="E128" i="26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D128" i="26"/>
  <c r="Q127" i="26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E127" i="26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D127" i="26"/>
  <c r="AA126" i="26"/>
  <c r="AB126" i="26" s="1"/>
  <c r="AC126" i="26" s="1"/>
  <c r="AD126" i="26" s="1"/>
  <c r="AE126" i="26" s="1"/>
  <c r="AF126" i="26" s="1"/>
  <c r="B126" i="26" s="1"/>
  <c r="G126" i="26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D126" i="26"/>
  <c r="E126" i="26" s="1"/>
  <c r="F126" i="26" s="1"/>
  <c r="E125" i="26"/>
  <c r="F125" i="26" s="1"/>
  <c r="G125" i="26" s="1"/>
  <c r="H125" i="26" s="1"/>
  <c r="I125" i="26" s="1"/>
  <c r="J125" i="26" s="1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D125" i="26"/>
  <c r="AC124" i="26"/>
  <c r="AD124" i="26" s="1"/>
  <c r="AE124" i="26" s="1"/>
  <c r="AF124" i="26" s="1"/>
  <c r="B124" i="26" s="1"/>
  <c r="G124" i="26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E124" i="26"/>
  <c r="F124" i="26" s="1"/>
  <c r="D124" i="26"/>
  <c r="S123" i="26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E123" i="26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D123" i="26"/>
  <c r="I122" i="26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G122" i="26"/>
  <c r="H122" i="26" s="1"/>
  <c r="D122" i="26"/>
  <c r="E122" i="26" s="1"/>
  <c r="F122" i="26" s="1"/>
  <c r="G121" i="26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E121" i="26"/>
  <c r="F121" i="26" s="1"/>
  <c r="D121" i="26"/>
  <c r="K120" i="26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G120" i="26"/>
  <c r="H120" i="26" s="1"/>
  <c r="I120" i="26" s="1"/>
  <c r="J120" i="26" s="1"/>
  <c r="E120" i="26"/>
  <c r="F120" i="26" s="1"/>
  <c r="D120" i="26"/>
  <c r="U119" i="26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I119" i="26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E119" i="26"/>
  <c r="F119" i="26" s="1"/>
  <c r="G119" i="26" s="1"/>
  <c r="H119" i="26" s="1"/>
  <c r="D119" i="26"/>
  <c r="B119" i="26"/>
  <c r="K118" i="26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I118" i="26"/>
  <c r="J118" i="26" s="1"/>
  <c r="G118" i="26"/>
  <c r="H118" i="26" s="1"/>
  <c r="D118" i="26"/>
  <c r="E118" i="26" s="1"/>
  <c r="F118" i="26" s="1"/>
  <c r="O117" i="26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G117" i="26"/>
  <c r="H117" i="26" s="1"/>
  <c r="I117" i="26" s="1"/>
  <c r="J117" i="26" s="1"/>
  <c r="K117" i="26" s="1"/>
  <c r="L117" i="26" s="1"/>
  <c r="M117" i="26" s="1"/>
  <c r="N117" i="26" s="1"/>
  <c r="E117" i="26"/>
  <c r="F117" i="26" s="1"/>
  <c r="D117" i="26"/>
  <c r="L116" i="26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E116" i="26"/>
  <c r="F116" i="26" s="1"/>
  <c r="G116" i="26" s="1"/>
  <c r="H116" i="26" s="1"/>
  <c r="I116" i="26" s="1"/>
  <c r="J116" i="26" s="1"/>
  <c r="K116" i="26" s="1"/>
  <c r="D116" i="26"/>
  <c r="D115" i="26"/>
  <c r="E115" i="26" s="1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R114" i="26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H114" i="26"/>
  <c r="I114" i="26" s="1"/>
  <c r="J114" i="26" s="1"/>
  <c r="K114" i="26" s="1"/>
  <c r="L114" i="26" s="1"/>
  <c r="M114" i="26" s="1"/>
  <c r="N114" i="26" s="1"/>
  <c r="O114" i="26" s="1"/>
  <c r="P114" i="26" s="1"/>
  <c r="Q114" i="26" s="1"/>
  <c r="G114" i="26"/>
  <c r="D114" i="26"/>
  <c r="E114" i="26" s="1"/>
  <c r="F114" i="26" s="1"/>
  <c r="K113" i="26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F113" i="26"/>
  <c r="G113" i="26" s="1"/>
  <c r="H113" i="26" s="1"/>
  <c r="I113" i="26" s="1"/>
  <c r="E113" i="26"/>
  <c r="D113" i="26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L111" i="26"/>
  <c r="M111" i="26" s="1"/>
  <c r="N111" i="26" s="1"/>
  <c r="O111" i="26" s="1"/>
  <c r="P111" i="26" s="1"/>
  <c r="Q111" i="26" s="1"/>
  <c r="R111" i="26" s="1"/>
  <c r="S111" i="26" s="1"/>
  <c r="T111" i="26" s="1"/>
  <c r="U111" i="26" s="1"/>
  <c r="V111" i="26" s="1"/>
  <c r="W111" i="26" s="1"/>
  <c r="X111" i="26" s="1"/>
  <c r="Y111" i="26" s="1"/>
  <c r="Z111" i="26" s="1"/>
  <c r="AA111" i="26" s="1"/>
  <c r="AB111" i="26" s="1"/>
  <c r="AC111" i="26" s="1"/>
  <c r="AD111" i="26" s="1"/>
  <c r="AE111" i="26" s="1"/>
  <c r="AF111" i="26" s="1"/>
  <c r="B111" i="26" s="1"/>
  <c r="E111" i="26"/>
  <c r="F111" i="26" s="1"/>
  <c r="G111" i="26" s="1"/>
  <c r="H111" i="26" s="1"/>
  <c r="I111" i="26" s="1"/>
  <c r="J111" i="26" s="1"/>
  <c r="K111" i="26" s="1"/>
  <c r="D111" i="26"/>
  <c r="D109" i="26"/>
  <c r="E109" i="26" s="1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D108" i="26"/>
  <c r="E108" i="26" s="1"/>
  <c r="F108" i="26" s="1"/>
  <c r="G108" i="26" s="1"/>
  <c r="H108" i="26" s="1"/>
  <c r="I108" i="26" s="1"/>
  <c r="J108" i="26" s="1"/>
  <c r="K108" i="26" s="1"/>
  <c r="L108" i="26" s="1"/>
  <c r="M108" i="26" s="1"/>
  <c r="N108" i="26" s="1"/>
  <c r="O108" i="26" s="1"/>
  <c r="P108" i="26" s="1"/>
  <c r="Q108" i="26" s="1"/>
  <c r="R108" i="26" s="1"/>
  <c r="S108" i="26" s="1"/>
  <c r="T108" i="26" s="1"/>
  <c r="U108" i="26" s="1"/>
  <c r="V108" i="26" s="1"/>
  <c r="W108" i="26" s="1"/>
  <c r="X108" i="26" s="1"/>
  <c r="Y108" i="26" s="1"/>
  <c r="Z108" i="26" s="1"/>
  <c r="AA108" i="26" s="1"/>
  <c r="AB108" i="26" s="1"/>
  <c r="AC108" i="26" s="1"/>
  <c r="AD108" i="26" s="1"/>
  <c r="AE108" i="26" s="1"/>
  <c r="AF108" i="26" s="1"/>
  <c r="B108" i="26" s="1"/>
  <c r="S106" i="26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G106" i="26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F106" i="26"/>
  <c r="E106" i="26"/>
  <c r="D106" i="26"/>
  <c r="Q105" i="26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H105" i="26"/>
  <c r="I105" i="26" s="1"/>
  <c r="J105" i="26" s="1"/>
  <c r="K105" i="26" s="1"/>
  <c r="L105" i="26" s="1"/>
  <c r="M105" i="26" s="1"/>
  <c r="N105" i="26" s="1"/>
  <c r="O105" i="26" s="1"/>
  <c r="P105" i="26" s="1"/>
  <c r="G105" i="26"/>
  <c r="E105" i="26"/>
  <c r="F105" i="26" s="1"/>
  <c r="D105" i="26"/>
  <c r="E104" i="26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4" i="26"/>
  <c r="F103" i="26"/>
  <c r="G103" i="26" s="1"/>
  <c r="H103" i="26" s="1"/>
  <c r="I103" i="26" s="1"/>
  <c r="J103" i="26" s="1"/>
  <c r="K103" i="26" s="1"/>
  <c r="L103" i="26" s="1"/>
  <c r="M103" i="26" s="1"/>
  <c r="N103" i="26" s="1"/>
  <c r="O103" i="26" s="1"/>
  <c r="P103" i="26" s="1"/>
  <c r="Q103" i="26" s="1"/>
  <c r="R103" i="26" s="1"/>
  <c r="S103" i="26" s="1"/>
  <c r="T103" i="26" s="1"/>
  <c r="U103" i="26" s="1"/>
  <c r="V103" i="26" s="1"/>
  <c r="W103" i="26" s="1"/>
  <c r="X103" i="26" s="1"/>
  <c r="Y103" i="26" s="1"/>
  <c r="Z103" i="26" s="1"/>
  <c r="AA103" i="26" s="1"/>
  <c r="AB103" i="26" s="1"/>
  <c r="AC103" i="26" s="1"/>
  <c r="AD103" i="26" s="1"/>
  <c r="AE103" i="26" s="1"/>
  <c r="AF103" i="26" s="1"/>
  <c r="B103" i="26" s="1"/>
  <c r="E103" i="26"/>
  <c r="D103" i="26"/>
  <c r="D102" i="26"/>
  <c r="E102" i="26" s="1"/>
  <c r="G101" i="26"/>
  <c r="F101" i="26"/>
  <c r="E101" i="26"/>
  <c r="D101" i="26"/>
  <c r="AH98" i="26"/>
  <c r="AI98" i="26" s="1"/>
  <c r="AH97" i="26"/>
  <c r="AI97" i="26" s="1"/>
  <c r="AH96" i="26"/>
  <c r="AI96" i="26" s="1"/>
  <c r="AH95" i="26"/>
  <c r="AI95" i="26" s="1"/>
  <c r="AH94" i="26"/>
  <c r="AI94" i="26" s="1"/>
  <c r="D93" i="26"/>
  <c r="C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G82" i="26"/>
  <c r="AI81" i="26"/>
  <c r="AH81" i="26"/>
  <c r="AF80" i="26"/>
  <c r="AE80" i="26"/>
  <c r="AD80" i="26"/>
  <c r="AC80" i="26"/>
  <c r="AB80" i="26"/>
  <c r="AA80" i="26"/>
  <c r="Z80" i="26"/>
  <c r="Y80" i="26"/>
  <c r="X80" i="26"/>
  <c r="W80" i="26"/>
  <c r="V80" i="26"/>
  <c r="U80" i="26"/>
  <c r="T80" i="26"/>
  <c r="S80" i="26"/>
  <c r="R80" i="26"/>
  <c r="Q80" i="26"/>
  <c r="P80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80" i="26"/>
  <c r="AF79" i="26"/>
  <c r="AE79" i="26"/>
  <c r="AD79" i="26"/>
  <c r="AC79" i="26"/>
  <c r="AB79" i="26"/>
  <c r="AA79" i="26"/>
  <c r="Z79" i="26"/>
  <c r="Y79" i="26"/>
  <c r="X79" i="26"/>
  <c r="W79" i="26"/>
  <c r="V79" i="26"/>
  <c r="U79" i="26"/>
  <c r="T79" i="26"/>
  <c r="S79" i="26"/>
  <c r="R79" i="26"/>
  <c r="Q79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B79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Q82" i="26" s="1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AF76" i="26"/>
  <c r="AF82" i="26" s="1"/>
  <c r="AE76" i="26"/>
  <c r="AD76" i="26"/>
  <c r="AC76" i="26"/>
  <c r="AB76" i="26"/>
  <c r="AA76" i="26"/>
  <c r="Z76" i="26"/>
  <c r="Y76" i="26"/>
  <c r="X76" i="26"/>
  <c r="X82" i="26" s="1"/>
  <c r="W76" i="26"/>
  <c r="V76" i="26"/>
  <c r="U76" i="26"/>
  <c r="T76" i="26"/>
  <c r="S76" i="26"/>
  <c r="R76" i="26"/>
  <c r="Q76" i="26"/>
  <c r="P76" i="26"/>
  <c r="O76" i="26"/>
  <c r="N76" i="26"/>
  <c r="M76" i="26"/>
  <c r="M82" i="26" s="1"/>
  <c r="L76" i="26"/>
  <c r="K76" i="26"/>
  <c r="J76" i="26"/>
  <c r="I76" i="26"/>
  <c r="H76" i="26"/>
  <c r="G76" i="26"/>
  <c r="F76" i="26"/>
  <c r="E76" i="26"/>
  <c r="D76" i="26"/>
  <c r="C76" i="26"/>
  <c r="B76" i="26"/>
  <c r="AI74" i="26"/>
  <c r="AH74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AI71" i="26"/>
  <c r="AH71" i="26"/>
  <c r="AI70" i="26"/>
  <c r="AH70" i="26"/>
  <c r="AI69" i="26"/>
  <c r="AH69" i="26"/>
  <c r="AG68" i="26"/>
  <c r="AG73" i="26" s="1"/>
  <c r="AF68" i="26"/>
  <c r="AE68" i="26"/>
  <c r="AD5" i="26" s="1"/>
  <c r="AD68" i="26"/>
  <c r="AC5" i="26" s="1"/>
  <c r="AC68" i="26"/>
  <c r="AB68" i="26"/>
  <c r="AA5" i="26" s="1"/>
  <c r="AA68" i="26"/>
  <c r="Z68" i="26"/>
  <c r="Y68" i="26"/>
  <c r="X5" i="26" s="1"/>
  <c r="X68" i="26"/>
  <c r="W68" i="26"/>
  <c r="V5" i="26" s="1"/>
  <c r="V68" i="26"/>
  <c r="U5" i="26" s="1"/>
  <c r="U68" i="26"/>
  <c r="T5" i="26" s="1"/>
  <c r="T68" i="26"/>
  <c r="S5" i="26" s="1"/>
  <c r="S68" i="26"/>
  <c r="R5" i="26" s="1"/>
  <c r="R68" i="26"/>
  <c r="Q68" i="26"/>
  <c r="P5" i="26" s="1"/>
  <c r="P68" i="26"/>
  <c r="O68" i="26"/>
  <c r="N68" i="26"/>
  <c r="M5" i="26" s="1"/>
  <c r="M68" i="26"/>
  <c r="L5" i="26" s="1"/>
  <c r="L68" i="26"/>
  <c r="K68" i="26"/>
  <c r="J5" i="26" s="1"/>
  <c r="J68" i="26"/>
  <c r="I5" i="26" s="1"/>
  <c r="I68" i="26"/>
  <c r="H5" i="26" s="1"/>
  <c r="H68" i="26"/>
  <c r="G68" i="26"/>
  <c r="F5" i="26" s="1"/>
  <c r="F68" i="26"/>
  <c r="E5" i="26" s="1"/>
  <c r="E68" i="26"/>
  <c r="D5" i="26" s="1"/>
  <c r="D68" i="26"/>
  <c r="C5" i="26" s="1"/>
  <c r="C68" i="26"/>
  <c r="B68" i="26"/>
  <c r="AF5" i="26" s="1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AI55" i="26"/>
  <c r="AH55" i="26"/>
  <c r="AI54" i="26"/>
  <c r="AH54" i="26"/>
  <c r="AI53" i="26"/>
  <c r="AH53" i="26"/>
  <c r="Z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G51" i="26"/>
  <c r="AG52" i="26" s="1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G2" i="26" s="1"/>
  <c r="AF38" i="26"/>
  <c r="AE38" i="26"/>
  <c r="AD38" i="26"/>
  <c r="AC38" i="26"/>
  <c r="AB38" i="26"/>
  <c r="AA38" i="26"/>
  <c r="Z38" i="26"/>
  <c r="Z75" i="26" s="1"/>
  <c r="AR213" i="26" s="1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I75" i="26" s="1"/>
  <c r="H38" i="26"/>
  <c r="G38" i="26"/>
  <c r="F38" i="26"/>
  <c r="E38" i="26"/>
  <c r="D38" i="26"/>
  <c r="C38" i="26"/>
  <c r="B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B5" i="26"/>
  <c r="Z5" i="26"/>
  <c r="Y5" i="26"/>
  <c r="Q5" i="26"/>
  <c r="N5" i="26"/>
  <c r="K5" i="26"/>
  <c r="B5" i="26"/>
  <c r="AG4" i="26"/>
  <c r="K4" i="26"/>
  <c r="B4" i="26"/>
  <c r="E4" i="26"/>
  <c r="AE82" i="26" l="1"/>
  <c r="AC82" i="26"/>
  <c r="AB82" i="26"/>
  <c r="AA82" i="26"/>
  <c r="Z73" i="26"/>
  <c r="Y82" i="26"/>
  <c r="W82" i="26"/>
  <c r="U82" i="26"/>
  <c r="T82" i="26"/>
  <c r="T73" i="26"/>
  <c r="T75" i="26"/>
  <c r="S82" i="26"/>
  <c r="S73" i="26"/>
  <c r="R75" i="26"/>
  <c r="AJ213" i="26" s="1"/>
  <c r="R73" i="26"/>
  <c r="Q75" i="26"/>
  <c r="Q73" i="26"/>
  <c r="P82" i="26"/>
  <c r="P75" i="26"/>
  <c r="P73" i="26"/>
  <c r="O82" i="26"/>
  <c r="O73" i="26"/>
  <c r="O75" i="26"/>
  <c r="N82" i="26"/>
  <c r="M73" i="26"/>
  <c r="L82" i="26"/>
  <c r="L73" i="26"/>
  <c r="L75" i="26"/>
  <c r="AD213" i="26" s="1"/>
  <c r="K82" i="26"/>
  <c r="K73" i="26"/>
  <c r="J75" i="26"/>
  <c r="AB213" i="26" s="1"/>
  <c r="J73" i="26"/>
  <c r="I82" i="26"/>
  <c r="I73" i="26"/>
  <c r="I83" i="26" s="1"/>
  <c r="H82" i="26"/>
  <c r="H75" i="26"/>
  <c r="Z213" i="26" s="1"/>
  <c r="H73" i="26"/>
  <c r="AH76" i="26"/>
  <c r="G82" i="26"/>
  <c r="G75" i="26"/>
  <c r="Y213" i="26" s="1"/>
  <c r="G73" i="26"/>
  <c r="AH77" i="26"/>
  <c r="F82" i="26"/>
  <c r="F75" i="26"/>
  <c r="X213" i="26" s="1"/>
  <c r="E82" i="26"/>
  <c r="E73" i="26"/>
  <c r="E75" i="26"/>
  <c r="W213" i="26" s="1"/>
  <c r="AI79" i="26"/>
  <c r="AH79" i="26"/>
  <c r="AI77" i="26"/>
  <c r="D82" i="26"/>
  <c r="AI56" i="26"/>
  <c r="D73" i="26"/>
  <c r="D75" i="26"/>
  <c r="V213" i="26" s="1"/>
  <c r="AI78" i="26"/>
  <c r="C82" i="26"/>
  <c r="AH80" i="26"/>
  <c r="AH38" i="26"/>
  <c r="C73" i="26"/>
  <c r="C75" i="26" s="1"/>
  <c r="U213" i="26" s="1"/>
  <c r="AI38" i="26"/>
  <c r="H4" i="26"/>
  <c r="AA213" i="26"/>
  <c r="I7" i="26"/>
  <c r="AG83" i="26"/>
  <c r="AI213" i="26"/>
  <c r="Q7" i="26"/>
  <c r="AG3" i="26"/>
  <c r="AG75" i="26"/>
  <c r="AL213" i="26"/>
  <c r="T7" i="26"/>
  <c r="AG6" i="26"/>
  <c r="Q83" i="26"/>
  <c r="G7" i="26"/>
  <c r="AG213" i="26"/>
  <c r="O7" i="26"/>
  <c r="AH213" i="26"/>
  <c r="P7" i="26"/>
  <c r="V82" i="26"/>
  <c r="AD82" i="26"/>
  <c r="AI80" i="26"/>
  <c r="H101" i="26"/>
  <c r="G5" i="26"/>
  <c r="O5" i="26"/>
  <c r="W5" i="26"/>
  <c r="AE5" i="26"/>
  <c r="F73" i="26"/>
  <c r="N73" i="26"/>
  <c r="K75" i="26"/>
  <c r="S75" i="26"/>
  <c r="AH56" i="26"/>
  <c r="AH68" i="26"/>
  <c r="AH72" i="26"/>
  <c r="B82" i="26"/>
  <c r="J82" i="26"/>
  <c r="R82" i="26"/>
  <c r="R83" i="26" s="1"/>
  <c r="Z82" i="26"/>
  <c r="Z83" i="26" s="1"/>
  <c r="AI76" i="26"/>
  <c r="AI68" i="26"/>
  <c r="AI72" i="26"/>
  <c r="M75" i="26"/>
  <c r="AH78" i="26"/>
  <c r="R7" i="26"/>
  <c r="Z7" i="26"/>
  <c r="T83" i="26"/>
  <c r="N75" i="26"/>
  <c r="S210" i="26"/>
  <c r="D210" i="26"/>
  <c r="F102" i="26"/>
  <c r="F191" i="26" s="1"/>
  <c r="E93" i="26"/>
  <c r="E191" i="26"/>
  <c r="D191" i="26"/>
  <c r="D199" i="26"/>
  <c r="C234" i="26"/>
  <c r="E198" i="26"/>
  <c r="E193" i="26"/>
  <c r="R37" i="25"/>
  <c r="Q37" i="25"/>
  <c r="P95" i="25"/>
  <c r="P37" i="25"/>
  <c r="N37" i="25"/>
  <c r="M37" i="25"/>
  <c r="B93" i="25"/>
  <c r="B80" i="25"/>
  <c r="B79" i="25"/>
  <c r="B78" i="25"/>
  <c r="B77" i="25"/>
  <c r="B76" i="25"/>
  <c r="B72" i="25"/>
  <c r="B68" i="25"/>
  <c r="B73" i="25" s="1"/>
  <c r="B56" i="25"/>
  <c r="B51" i="25"/>
  <c r="B52" i="25" s="1"/>
  <c r="B38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P235" i="25"/>
  <c r="O235" i="25"/>
  <c r="N235" i="25"/>
  <c r="M235" i="25"/>
  <c r="L235" i="25"/>
  <c r="K235" i="25"/>
  <c r="J235" i="25"/>
  <c r="I235" i="25"/>
  <c r="H235" i="25"/>
  <c r="G235" i="25"/>
  <c r="F235" i="25"/>
  <c r="E235" i="25"/>
  <c r="D235" i="25"/>
  <c r="C235" i="25"/>
  <c r="B235" i="25"/>
  <c r="A235" i="25"/>
  <c r="B234" i="25"/>
  <c r="S209" i="25"/>
  <c r="AG199" i="25"/>
  <c r="C199" i="25"/>
  <c r="E198" i="25"/>
  <c r="D198" i="25"/>
  <c r="C234" i="25" s="1"/>
  <c r="E197" i="25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D197" i="25"/>
  <c r="G196" i="25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D196" i="25"/>
  <c r="E196" i="25" s="1"/>
  <c r="F196" i="25" s="1"/>
  <c r="E195" i="25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B195" i="25" s="1"/>
  <c r="D195" i="25"/>
  <c r="D194" i="25"/>
  <c r="E194" i="25" s="1"/>
  <c r="F194" i="25" s="1"/>
  <c r="G194" i="25" s="1"/>
  <c r="H194" i="25" s="1"/>
  <c r="I194" i="25" s="1"/>
  <c r="J194" i="25" s="1"/>
  <c r="K194" i="25" s="1"/>
  <c r="L194" i="25" s="1"/>
  <c r="M194" i="25" s="1"/>
  <c r="N194" i="25" s="1"/>
  <c r="O194" i="25" s="1"/>
  <c r="P194" i="25" s="1"/>
  <c r="Q194" i="25" s="1"/>
  <c r="R194" i="25" s="1"/>
  <c r="S194" i="25" s="1"/>
  <c r="T194" i="25" s="1"/>
  <c r="U194" i="25" s="1"/>
  <c r="V194" i="25" s="1"/>
  <c r="W194" i="25" s="1"/>
  <c r="X194" i="25" s="1"/>
  <c r="Y194" i="25" s="1"/>
  <c r="Z194" i="25" s="1"/>
  <c r="AA194" i="25" s="1"/>
  <c r="AB194" i="25" s="1"/>
  <c r="AC194" i="25" s="1"/>
  <c r="AD194" i="25" s="1"/>
  <c r="AE194" i="25" s="1"/>
  <c r="AF194" i="25" s="1"/>
  <c r="B194" i="25" s="1"/>
  <c r="D193" i="25"/>
  <c r="AG191" i="25"/>
  <c r="C191" i="25"/>
  <c r="J190" i="25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D190" i="25"/>
  <c r="E190" i="25" s="1"/>
  <c r="F190" i="25" s="1"/>
  <c r="G190" i="25" s="1"/>
  <c r="H190" i="25" s="1"/>
  <c r="I190" i="25" s="1"/>
  <c r="J189" i="25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H189" i="25"/>
  <c r="I189" i="25" s="1"/>
  <c r="F189" i="25"/>
  <c r="G189" i="25" s="1"/>
  <c r="E189" i="25"/>
  <c r="D189" i="25"/>
  <c r="E188" i="25"/>
  <c r="F188" i="25" s="1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D188" i="25"/>
  <c r="I187" i="25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E187" i="25"/>
  <c r="F187" i="25" s="1"/>
  <c r="G187" i="25" s="1"/>
  <c r="H187" i="25" s="1"/>
  <c r="D187" i="25"/>
  <c r="O186" i="25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G186" i="25"/>
  <c r="H186" i="25" s="1"/>
  <c r="I186" i="25" s="1"/>
  <c r="J186" i="25" s="1"/>
  <c r="K186" i="25" s="1"/>
  <c r="L186" i="25" s="1"/>
  <c r="M186" i="25" s="1"/>
  <c r="N186" i="25" s="1"/>
  <c r="D186" i="25"/>
  <c r="E186" i="25" s="1"/>
  <c r="F186" i="25" s="1"/>
  <c r="M185" i="25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G185" i="25"/>
  <c r="H185" i="25" s="1"/>
  <c r="I185" i="25" s="1"/>
  <c r="J185" i="25" s="1"/>
  <c r="K185" i="25" s="1"/>
  <c r="L185" i="25" s="1"/>
  <c r="E185" i="25"/>
  <c r="F185" i="25" s="1"/>
  <c r="D185" i="25"/>
  <c r="D184" i="25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D183" i="25"/>
  <c r="E183" i="25" s="1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D182" i="25"/>
  <c r="E182" i="25" s="1"/>
  <c r="F182" i="25" s="1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F181" i="25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E181" i="25"/>
  <c r="D181" i="25"/>
  <c r="O180" i="25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G180" i="25"/>
  <c r="H180" i="25" s="1"/>
  <c r="I180" i="25" s="1"/>
  <c r="J180" i="25" s="1"/>
  <c r="K180" i="25" s="1"/>
  <c r="L180" i="25" s="1"/>
  <c r="M180" i="25" s="1"/>
  <c r="N180" i="25" s="1"/>
  <c r="E180" i="25"/>
  <c r="F180" i="25" s="1"/>
  <c r="D180" i="25"/>
  <c r="M179" i="25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I179" i="25"/>
  <c r="J179" i="25" s="1"/>
  <c r="K179" i="25" s="1"/>
  <c r="L179" i="25" s="1"/>
  <c r="E179" i="25"/>
  <c r="F179" i="25" s="1"/>
  <c r="G179" i="25" s="1"/>
  <c r="H179" i="25" s="1"/>
  <c r="D179" i="25"/>
  <c r="W178" i="25"/>
  <c r="X178" i="25" s="1"/>
  <c r="Y178" i="25" s="1"/>
  <c r="Z178" i="25" s="1"/>
  <c r="AA178" i="25" s="1"/>
  <c r="AB178" i="25" s="1"/>
  <c r="AC178" i="25" s="1"/>
  <c r="AD178" i="25" s="1"/>
  <c r="AE178" i="25" s="1"/>
  <c r="AF178" i="25" s="1"/>
  <c r="B178" i="25" s="1"/>
  <c r="I178" i="25"/>
  <c r="J178" i="25" s="1"/>
  <c r="K178" i="25" s="1"/>
  <c r="L178" i="25" s="1"/>
  <c r="M178" i="25" s="1"/>
  <c r="N178" i="25" s="1"/>
  <c r="O178" i="25" s="1"/>
  <c r="P178" i="25" s="1"/>
  <c r="Q178" i="25" s="1"/>
  <c r="R178" i="25" s="1"/>
  <c r="S178" i="25" s="1"/>
  <c r="T178" i="25" s="1"/>
  <c r="U178" i="25" s="1"/>
  <c r="V178" i="25" s="1"/>
  <c r="F178" i="25"/>
  <c r="G178" i="25" s="1"/>
  <c r="H178" i="25" s="1"/>
  <c r="D178" i="25"/>
  <c r="E178" i="25" s="1"/>
  <c r="L176" i="25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F176" i="25"/>
  <c r="G176" i="25" s="1"/>
  <c r="H176" i="25" s="1"/>
  <c r="I176" i="25" s="1"/>
  <c r="J176" i="25" s="1"/>
  <c r="K176" i="25" s="1"/>
  <c r="D176" i="25"/>
  <c r="E176" i="25" s="1"/>
  <c r="F175" i="25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D175" i="25"/>
  <c r="E175" i="25" s="1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V173" i="25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B173" i="25" s="1"/>
  <c r="D173" i="25"/>
  <c r="E173" i="25" s="1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AD172" i="25"/>
  <c r="AE172" i="25" s="1"/>
  <c r="AF172" i="25" s="1"/>
  <c r="B172" i="25" s="1"/>
  <c r="X172" i="25"/>
  <c r="Y172" i="25" s="1"/>
  <c r="Z172" i="25" s="1"/>
  <c r="AA172" i="25" s="1"/>
  <c r="AB172" i="25" s="1"/>
  <c r="AC172" i="25" s="1"/>
  <c r="F172" i="25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D172" i="25"/>
  <c r="E172" i="25" s="1"/>
  <c r="L171" i="25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E171" i="25"/>
  <c r="F171" i="25" s="1"/>
  <c r="G171" i="25" s="1"/>
  <c r="H171" i="25" s="1"/>
  <c r="I171" i="25" s="1"/>
  <c r="J171" i="25" s="1"/>
  <c r="K171" i="25" s="1"/>
  <c r="D171" i="25"/>
  <c r="V170" i="25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70" i="25"/>
  <c r="E170" i="25" s="1"/>
  <c r="F170" i="25" s="1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R169" i="25"/>
  <c r="S169" i="25" s="1"/>
  <c r="T169" i="25" s="1"/>
  <c r="U169" i="25" s="1"/>
  <c r="V169" i="25" s="1"/>
  <c r="W169" i="25" s="1"/>
  <c r="X169" i="25" s="1"/>
  <c r="Y169" i="25" s="1"/>
  <c r="Z169" i="25" s="1"/>
  <c r="AA169" i="25" s="1"/>
  <c r="AB169" i="25" s="1"/>
  <c r="AC169" i="25" s="1"/>
  <c r="AD169" i="25" s="1"/>
  <c r="AE169" i="25" s="1"/>
  <c r="AF169" i="25" s="1"/>
  <c r="B169" i="25" s="1"/>
  <c r="E169" i="25"/>
  <c r="F169" i="25" s="1"/>
  <c r="G169" i="25" s="1"/>
  <c r="H169" i="25" s="1"/>
  <c r="I169" i="25" s="1"/>
  <c r="J169" i="25" s="1"/>
  <c r="K169" i="25" s="1"/>
  <c r="L169" i="25" s="1"/>
  <c r="M169" i="25" s="1"/>
  <c r="N169" i="25" s="1"/>
  <c r="O169" i="25" s="1"/>
  <c r="P169" i="25" s="1"/>
  <c r="Q169" i="25" s="1"/>
  <c r="D169" i="25"/>
  <c r="D167" i="25"/>
  <c r="E167" i="25" s="1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I166" i="25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F166" i="25"/>
  <c r="G166" i="25" s="1"/>
  <c r="H166" i="25" s="1"/>
  <c r="E166" i="25"/>
  <c r="D166" i="25"/>
  <c r="D165" i="25"/>
  <c r="E165" i="25" s="1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B165" i="25" s="1"/>
  <c r="D164" i="25"/>
  <c r="E164" i="25" s="1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T163" i="25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K163" i="25"/>
  <c r="L163" i="25" s="1"/>
  <c r="M163" i="25" s="1"/>
  <c r="N163" i="25" s="1"/>
  <c r="O163" i="25" s="1"/>
  <c r="P163" i="25" s="1"/>
  <c r="Q163" i="25" s="1"/>
  <c r="R163" i="25" s="1"/>
  <c r="S163" i="25" s="1"/>
  <c r="H163" i="25"/>
  <c r="I163" i="25" s="1"/>
  <c r="J163" i="25" s="1"/>
  <c r="D163" i="25"/>
  <c r="E163" i="25" s="1"/>
  <c r="F163" i="25" s="1"/>
  <c r="G163" i="25" s="1"/>
  <c r="E162" i="25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D162" i="25"/>
  <c r="F161" i="25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D161" i="25"/>
  <c r="E161" i="25" s="1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D159" i="25"/>
  <c r="E159" i="25" s="1"/>
  <c r="F159" i="25" s="1"/>
  <c r="G159" i="25" s="1"/>
  <c r="H159" i="25" s="1"/>
  <c r="I159" i="25" s="1"/>
  <c r="J159" i="25" s="1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AF158" i="25"/>
  <c r="B158" i="25" s="1"/>
  <c r="F158" i="25"/>
  <c r="G158" i="25" s="1"/>
  <c r="H158" i="25" s="1"/>
  <c r="I158" i="25" s="1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E158" i="25"/>
  <c r="D158" i="25"/>
  <c r="X157" i="25"/>
  <c r="Y157" i="25" s="1"/>
  <c r="Z157" i="25" s="1"/>
  <c r="AA157" i="25" s="1"/>
  <c r="AB157" i="25" s="1"/>
  <c r="AC157" i="25" s="1"/>
  <c r="AD157" i="25" s="1"/>
  <c r="AE157" i="25" s="1"/>
  <c r="AF157" i="25" s="1"/>
  <c r="B157" i="25" s="1"/>
  <c r="D157" i="25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F156" i="25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D156" i="25"/>
  <c r="E156" i="25" s="1"/>
  <c r="D155" i="25"/>
  <c r="E155" i="25" s="1"/>
  <c r="F155" i="25" s="1"/>
  <c r="G155" i="25" s="1"/>
  <c r="H155" i="25" s="1"/>
  <c r="I155" i="25" s="1"/>
  <c r="J155" i="25" s="1"/>
  <c r="K155" i="25" s="1"/>
  <c r="L155" i="25" s="1"/>
  <c r="M155" i="25" s="1"/>
  <c r="N155" i="25" s="1"/>
  <c r="O155" i="25" s="1"/>
  <c r="P155" i="25" s="1"/>
  <c r="Q155" i="25" s="1"/>
  <c r="R155" i="25" s="1"/>
  <c r="S155" i="25" s="1"/>
  <c r="T155" i="25" s="1"/>
  <c r="U155" i="25" s="1"/>
  <c r="V155" i="25" s="1"/>
  <c r="W155" i="25" s="1"/>
  <c r="X155" i="25" s="1"/>
  <c r="Y155" i="25" s="1"/>
  <c r="Z155" i="25" s="1"/>
  <c r="AA155" i="25" s="1"/>
  <c r="AB155" i="25" s="1"/>
  <c r="AC155" i="25" s="1"/>
  <c r="AD155" i="25" s="1"/>
  <c r="AE155" i="25" s="1"/>
  <c r="AF155" i="25" s="1"/>
  <c r="B155" i="25" s="1"/>
  <c r="D153" i="25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AF152" i="25"/>
  <c r="B152" i="25" s="1"/>
  <c r="F152" i="25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D152" i="25"/>
  <c r="E152" i="25" s="1"/>
  <c r="P151" i="25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E151" i="25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D151" i="25"/>
  <c r="L150" i="25"/>
  <c r="M150" i="25" s="1"/>
  <c r="N150" i="25" s="1"/>
  <c r="O150" i="25" s="1"/>
  <c r="P150" i="25" s="1"/>
  <c r="Q150" i="25" s="1"/>
  <c r="R150" i="25" s="1"/>
  <c r="S150" i="25" s="1"/>
  <c r="T150" i="25" s="1"/>
  <c r="U150" i="25" s="1"/>
  <c r="V150" i="25" s="1"/>
  <c r="W150" i="25" s="1"/>
  <c r="X150" i="25" s="1"/>
  <c r="Y150" i="25" s="1"/>
  <c r="Z150" i="25" s="1"/>
  <c r="AA150" i="25" s="1"/>
  <c r="AB150" i="25" s="1"/>
  <c r="AC150" i="25" s="1"/>
  <c r="AD150" i="25" s="1"/>
  <c r="AE150" i="25" s="1"/>
  <c r="AF150" i="25" s="1"/>
  <c r="B150" i="25" s="1"/>
  <c r="J150" i="25"/>
  <c r="K150" i="25" s="1"/>
  <c r="D150" i="25"/>
  <c r="E150" i="25" s="1"/>
  <c r="F150" i="25" s="1"/>
  <c r="G150" i="25" s="1"/>
  <c r="H150" i="25" s="1"/>
  <c r="I150" i="25" s="1"/>
  <c r="P148" i="25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B148" i="25" s="1"/>
  <c r="D148" i="25"/>
  <c r="E148" i="25" s="1"/>
  <c r="F148" i="25" s="1"/>
  <c r="G148" i="25" s="1"/>
  <c r="H148" i="25" s="1"/>
  <c r="I148" i="25" s="1"/>
  <c r="J148" i="25" s="1"/>
  <c r="K148" i="25" s="1"/>
  <c r="L148" i="25" s="1"/>
  <c r="M148" i="25" s="1"/>
  <c r="N148" i="25" s="1"/>
  <c r="O148" i="25" s="1"/>
  <c r="D147" i="25"/>
  <c r="E147" i="25" s="1"/>
  <c r="F147" i="25" s="1"/>
  <c r="G147" i="25" s="1"/>
  <c r="H147" i="25" s="1"/>
  <c r="I147" i="25" s="1"/>
  <c r="J147" i="25" s="1"/>
  <c r="K147" i="25" s="1"/>
  <c r="L147" i="25" s="1"/>
  <c r="M147" i="25" s="1"/>
  <c r="N147" i="25" s="1"/>
  <c r="O147" i="25" s="1"/>
  <c r="P147" i="25" s="1"/>
  <c r="Q147" i="25" s="1"/>
  <c r="R147" i="25" s="1"/>
  <c r="S147" i="25" s="1"/>
  <c r="T147" i="25" s="1"/>
  <c r="U147" i="25" s="1"/>
  <c r="V147" i="25" s="1"/>
  <c r="W147" i="25" s="1"/>
  <c r="X147" i="25" s="1"/>
  <c r="Y147" i="25" s="1"/>
  <c r="Z147" i="25" s="1"/>
  <c r="AA147" i="25" s="1"/>
  <c r="AB147" i="25" s="1"/>
  <c r="AC147" i="25" s="1"/>
  <c r="AD147" i="25" s="1"/>
  <c r="AE147" i="25" s="1"/>
  <c r="AF147" i="25" s="1"/>
  <c r="B147" i="25" s="1"/>
  <c r="E145" i="25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D145" i="25"/>
  <c r="X144" i="25"/>
  <c r="Y144" i="25" s="1"/>
  <c r="Z144" i="25" s="1"/>
  <c r="AA144" i="25" s="1"/>
  <c r="AB144" i="25" s="1"/>
  <c r="AC144" i="25" s="1"/>
  <c r="AD144" i="25" s="1"/>
  <c r="AE144" i="25" s="1"/>
  <c r="AF144" i="25" s="1"/>
  <c r="B144" i="25" s="1"/>
  <c r="D144" i="25"/>
  <c r="E144" i="25" s="1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D143" i="25"/>
  <c r="E143" i="25" s="1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V142" i="25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D142" i="25"/>
  <c r="E142" i="25" s="1"/>
  <c r="F142" i="25" s="1"/>
  <c r="G142" i="25" s="1"/>
  <c r="H142" i="25" s="1"/>
  <c r="I142" i="25" s="1"/>
  <c r="J142" i="25" s="1"/>
  <c r="K142" i="25" s="1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H140" i="25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E140" i="25"/>
  <c r="F140" i="25" s="1"/>
  <c r="G140" i="25" s="1"/>
  <c r="D140" i="25"/>
  <c r="K139" i="25"/>
  <c r="L139" i="25" s="1"/>
  <c r="M139" i="25" s="1"/>
  <c r="N139" i="25" s="1"/>
  <c r="O139" i="25" s="1"/>
  <c r="P139" i="25" s="1"/>
  <c r="Q139" i="25" s="1"/>
  <c r="R139" i="25" s="1"/>
  <c r="S139" i="25" s="1"/>
  <c r="T139" i="25" s="1"/>
  <c r="U139" i="25" s="1"/>
  <c r="V139" i="25" s="1"/>
  <c r="W139" i="25" s="1"/>
  <c r="X139" i="25" s="1"/>
  <c r="Y139" i="25" s="1"/>
  <c r="Z139" i="25" s="1"/>
  <c r="AA139" i="25" s="1"/>
  <c r="AB139" i="25" s="1"/>
  <c r="AC139" i="25" s="1"/>
  <c r="AD139" i="25" s="1"/>
  <c r="AE139" i="25" s="1"/>
  <c r="AF139" i="25" s="1"/>
  <c r="B139" i="25" s="1"/>
  <c r="F139" i="25"/>
  <c r="G139" i="25" s="1"/>
  <c r="H139" i="25" s="1"/>
  <c r="I139" i="25" s="1"/>
  <c r="J139" i="25" s="1"/>
  <c r="E139" i="25"/>
  <c r="D139" i="25"/>
  <c r="V137" i="25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F137" i="25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D137" i="25"/>
  <c r="E137" i="25" s="1"/>
  <c r="D136" i="25"/>
  <c r="E136" i="25" s="1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G135" i="25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D135" i="25"/>
  <c r="E135" i="25" s="1"/>
  <c r="F135" i="25" s="1"/>
  <c r="J134" i="25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D134" i="25"/>
  <c r="E134" i="25" s="1"/>
  <c r="F134" i="25" s="1"/>
  <c r="G134" i="25" s="1"/>
  <c r="H134" i="25" s="1"/>
  <c r="I134" i="25" s="1"/>
  <c r="N133" i="25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D133" i="25"/>
  <c r="E133" i="25" s="1"/>
  <c r="F133" i="25" s="1"/>
  <c r="G133" i="25" s="1"/>
  <c r="H133" i="25" s="1"/>
  <c r="I133" i="25" s="1"/>
  <c r="J133" i="25" s="1"/>
  <c r="K133" i="25" s="1"/>
  <c r="L133" i="25" s="1"/>
  <c r="M133" i="25" s="1"/>
  <c r="B133" i="25"/>
  <c r="G132" i="25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E132" i="25"/>
  <c r="F132" i="25" s="1"/>
  <c r="D132" i="25"/>
  <c r="D131" i="25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E130" i="25"/>
  <c r="F130" i="25" s="1"/>
  <c r="G130" i="25" s="1"/>
  <c r="H130" i="25" s="1"/>
  <c r="I130" i="25" s="1"/>
  <c r="J130" i="25" s="1"/>
  <c r="K130" i="25" s="1"/>
  <c r="L130" i="25" s="1"/>
  <c r="M130" i="25" s="1"/>
  <c r="N130" i="25" s="1"/>
  <c r="O130" i="25" s="1"/>
  <c r="P130" i="25" s="1"/>
  <c r="Q130" i="25" s="1"/>
  <c r="R130" i="25" s="1"/>
  <c r="S130" i="25" s="1"/>
  <c r="T130" i="25" s="1"/>
  <c r="U130" i="25" s="1"/>
  <c r="V130" i="25" s="1"/>
  <c r="W130" i="25" s="1"/>
  <c r="X130" i="25" s="1"/>
  <c r="Y130" i="25" s="1"/>
  <c r="Z130" i="25" s="1"/>
  <c r="AA130" i="25" s="1"/>
  <c r="AB130" i="25" s="1"/>
  <c r="AC130" i="25" s="1"/>
  <c r="AD130" i="25" s="1"/>
  <c r="AE130" i="25" s="1"/>
  <c r="AF130" i="25" s="1"/>
  <c r="B130" i="25" s="1"/>
  <c r="D130" i="25"/>
  <c r="D128" i="25"/>
  <c r="E128" i="25" s="1"/>
  <c r="F128" i="25" s="1"/>
  <c r="G128" i="25" s="1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N126" i="25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G126" i="25"/>
  <c r="H126" i="25" s="1"/>
  <c r="I126" i="25" s="1"/>
  <c r="J126" i="25" s="1"/>
  <c r="K126" i="25" s="1"/>
  <c r="L126" i="25" s="1"/>
  <c r="M126" i="25" s="1"/>
  <c r="F126" i="25"/>
  <c r="E126" i="25"/>
  <c r="D126" i="25"/>
  <c r="G125" i="25"/>
  <c r="H125" i="25" s="1"/>
  <c r="I125" i="25" s="1"/>
  <c r="J125" i="25" s="1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D125" i="25"/>
  <c r="E125" i="25" s="1"/>
  <c r="F125" i="25" s="1"/>
  <c r="M124" i="25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E124" i="25"/>
  <c r="F124" i="25" s="1"/>
  <c r="G124" i="25" s="1"/>
  <c r="H124" i="25" s="1"/>
  <c r="I124" i="25" s="1"/>
  <c r="J124" i="25" s="1"/>
  <c r="K124" i="25" s="1"/>
  <c r="L124" i="25" s="1"/>
  <c r="D124" i="25"/>
  <c r="I123" i="25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G123" i="25"/>
  <c r="H123" i="25" s="1"/>
  <c r="F123" i="25"/>
  <c r="D123" i="25"/>
  <c r="E123" i="25" s="1"/>
  <c r="AC122" i="25"/>
  <c r="AD122" i="25" s="1"/>
  <c r="AE122" i="25" s="1"/>
  <c r="AF122" i="25" s="1"/>
  <c r="B122" i="25" s="1"/>
  <c r="G122" i="25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D122" i="25"/>
  <c r="E122" i="25" s="1"/>
  <c r="F122" i="25" s="1"/>
  <c r="G121" i="25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E121" i="25"/>
  <c r="F121" i="25" s="1"/>
  <c r="D121" i="25"/>
  <c r="E120" i="25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D120" i="25"/>
  <c r="K119" i="25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G119" i="25"/>
  <c r="H119" i="25" s="1"/>
  <c r="I119" i="25" s="1"/>
  <c r="J119" i="25" s="1"/>
  <c r="F119" i="25"/>
  <c r="D119" i="25"/>
  <c r="E119" i="25" s="1"/>
  <c r="N118" i="25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F118" i="25"/>
  <c r="G118" i="25" s="1"/>
  <c r="H118" i="25" s="1"/>
  <c r="I118" i="25" s="1"/>
  <c r="J118" i="25" s="1"/>
  <c r="K118" i="25" s="1"/>
  <c r="L118" i="25" s="1"/>
  <c r="M118" i="25" s="1"/>
  <c r="E118" i="25"/>
  <c r="D118" i="25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D116" i="25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P115" i="25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D115" i="25"/>
  <c r="E115" i="25" s="1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I114" i="25"/>
  <c r="J114" i="25" s="1"/>
  <c r="K114" i="25" s="1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D114" i="25"/>
  <c r="E114" i="25" s="1"/>
  <c r="F114" i="25" s="1"/>
  <c r="G114" i="25" s="1"/>
  <c r="H114" i="25" s="1"/>
  <c r="L113" i="25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K113" i="25"/>
  <c r="G113" i="25"/>
  <c r="H113" i="25" s="1"/>
  <c r="I113" i="25" s="1"/>
  <c r="D113" i="25"/>
  <c r="E113" i="25" s="1"/>
  <c r="F113" i="25" s="1"/>
  <c r="J112" i="25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E112" i="25"/>
  <c r="F112" i="25" s="1"/>
  <c r="G112" i="25" s="1"/>
  <c r="H112" i="25" s="1"/>
  <c r="I112" i="25" s="1"/>
  <c r="D112" i="25"/>
  <c r="N111" i="25"/>
  <c r="O111" i="25" s="1"/>
  <c r="P111" i="25" s="1"/>
  <c r="Q111" i="25" s="1"/>
  <c r="R111" i="25" s="1"/>
  <c r="S111" i="25" s="1"/>
  <c r="T111" i="25" s="1"/>
  <c r="U111" i="25" s="1"/>
  <c r="V111" i="25" s="1"/>
  <c r="W111" i="25" s="1"/>
  <c r="X111" i="25" s="1"/>
  <c r="Y111" i="25" s="1"/>
  <c r="Z111" i="25" s="1"/>
  <c r="AA111" i="25" s="1"/>
  <c r="AB111" i="25" s="1"/>
  <c r="AC111" i="25" s="1"/>
  <c r="AD111" i="25" s="1"/>
  <c r="AE111" i="25" s="1"/>
  <c r="AF111" i="25" s="1"/>
  <c r="B111" i="25" s="1"/>
  <c r="G111" i="25"/>
  <c r="H111" i="25" s="1"/>
  <c r="I111" i="25" s="1"/>
  <c r="J111" i="25" s="1"/>
  <c r="K111" i="25" s="1"/>
  <c r="L111" i="25" s="1"/>
  <c r="M111" i="25" s="1"/>
  <c r="E111" i="25"/>
  <c r="F111" i="25" s="1"/>
  <c r="D111" i="25"/>
  <c r="D109" i="25"/>
  <c r="E109" i="25" s="1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B109" i="25" s="1"/>
  <c r="D108" i="25"/>
  <c r="P106" i="25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6" i="25"/>
  <c r="E106" i="25" s="1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O105" i="25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F105" i="25"/>
  <c r="G105" i="25" s="1"/>
  <c r="H105" i="25" s="1"/>
  <c r="I105" i="25" s="1"/>
  <c r="J105" i="25" s="1"/>
  <c r="K105" i="25" s="1"/>
  <c r="L105" i="25" s="1"/>
  <c r="M105" i="25" s="1"/>
  <c r="N105" i="25" s="1"/>
  <c r="E105" i="25"/>
  <c r="D105" i="25"/>
  <c r="AF104" i="25"/>
  <c r="B104" i="25" s="1"/>
  <c r="T104" i="25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D104" i="25"/>
  <c r="E104" i="25" s="1"/>
  <c r="F104" i="25" s="1"/>
  <c r="G104" i="25" s="1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F103" i="25"/>
  <c r="G103" i="25" s="1"/>
  <c r="H103" i="25" s="1"/>
  <c r="I103" i="25" s="1"/>
  <c r="J103" i="25" s="1"/>
  <c r="K103" i="25" s="1"/>
  <c r="L103" i="25" s="1"/>
  <c r="M103" i="25" s="1"/>
  <c r="N103" i="25" s="1"/>
  <c r="O103" i="25" s="1"/>
  <c r="P103" i="25" s="1"/>
  <c r="Q103" i="25" s="1"/>
  <c r="R103" i="25" s="1"/>
  <c r="S103" i="25" s="1"/>
  <c r="T103" i="25" s="1"/>
  <c r="U103" i="25" s="1"/>
  <c r="V103" i="25" s="1"/>
  <c r="W103" i="25" s="1"/>
  <c r="X103" i="25" s="1"/>
  <c r="Y103" i="25" s="1"/>
  <c r="Z103" i="25" s="1"/>
  <c r="AA103" i="25" s="1"/>
  <c r="AB103" i="25" s="1"/>
  <c r="AC103" i="25" s="1"/>
  <c r="AD103" i="25" s="1"/>
  <c r="AE103" i="25" s="1"/>
  <c r="AF103" i="25" s="1"/>
  <c r="B103" i="25" s="1"/>
  <c r="D103" i="25"/>
  <c r="E103" i="25" s="1"/>
  <c r="E102" i="25"/>
  <c r="F102" i="25" s="1"/>
  <c r="D102" i="25"/>
  <c r="D101" i="25"/>
  <c r="AH99" i="25"/>
  <c r="AI99" i="25" s="1"/>
  <c r="AH98" i="25"/>
  <c r="AI98" i="25" s="1"/>
  <c r="AH97" i="25"/>
  <c r="AI97" i="25" s="1"/>
  <c r="AH96" i="25"/>
  <c r="AI96" i="25" s="1"/>
  <c r="AH95" i="25"/>
  <c r="AI95" i="25" s="1"/>
  <c r="AH94" i="25"/>
  <c r="AI94" i="25" s="1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G82" i="25"/>
  <c r="AI81" i="25"/>
  <c r="AH81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K82" i="25" s="1"/>
  <c r="J78" i="25"/>
  <c r="I78" i="25"/>
  <c r="H78" i="25"/>
  <c r="G78" i="25"/>
  <c r="F78" i="25"/>
  <c r="E78" i="25"/>
  <c r="D78" i="25"/>
  <c r="C78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T82" i="25" s="1"/>
  <c r="S76" i="25"/>
  <c r="R76" i="25"/>
  <c r="Q76" i="25"/>
  <c r="P76" i="25"/>
  <c r="P82" i="25" s="1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AI74" i="25"/>
  <c r="AH74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AI71" i="25"/>
  <c r="AH71" i="25"/>
  <c r="AI70" i="25"/>
  <c r="AH70" i="25"/>
  <c r="AI69" i="25"/>
  <c r="AH69" i="25"/>
  <c r="AG68" i="25"/>
  <c r="AF68" i="25"/>
  <c r="AE5" i="25" s="1"/>
  <c r="AE68" i="25"/>
  <c r="AD68" i="25"/>
  <c r="AC5" i="25" s="1"/>
  <c r="AC68" i="25"/>
  <c r="AB68" i="25"/>
  <c r="AA5" i="25" s="1"/>
  <c r="AA68" i="25"/>
  <c r="Z68" i="25"/>
  <c r="Y68" i="25"/>
  <c r="X68" i="25"/>
  <c r="W5" i="25" s="1"/>
  <c r="W68" i="25"/>
  <c r="V68" i="25"/>
  <c r="U68" i="25"/>
  <c r="T68" i="25"/>
  <c r="S5" i="25" s="1"/>
  <c r="S68" i="25"/>
  <c r="R68" i="25"/>
  <c r="Q5" i="25" s="1"/>
  <c r="Q68" i="25"/>
  <c r="P5" i="25" s="1"/>
  <c r="P68" i="25"/>
  <c r="O68" i="25"/>
  <c r="N68" i="25"/>
  <c r="M5" i="25" s="1"/>
  <c r="M68" i="25"/>
  <c r="L68" i="25"/>
  <c r="K5" i="25" s="1"/>
  <c r="K68" i="25"/>
  <c r="J68" i="25"/>
  <c r="I5" i="25" s="1"/>
  <c r="I68" i="25"/>
  <c r="H68" i="25"/>
  <c r="G68" i="25"/>
  <c r="F5" i="25" s="1"/>
  <c r="F68" i="25"/>
  <c r="E5" i="25" s="1"/>
  <c r="E68" i="25"/>
  <c r="D5" i="25" s="1"/>
  <c r="D68" i="25"/>
  <c r="C68" i="25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G73" i="25" s="1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AI55" i="25"/>
  <c r="AH55" i="25"/>
  <c r="AI54" i="25"/>
  <c r="AH54" i="25"/>
  <c r="AI53" i="25"/>
  <c r="AH53" i="25"/>
  <c r="AG52" i="25"/>
  <c r="Z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AG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G2" i="25" s="1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H75" i="25" s="1"/>
  <c r="G38" i="25"/>
  <c r="F38" i="25"/>
  <c r="E38" i="25"/>
  <c r="D38" i="25"/>
  <c r="C38" i="25"/>
  <c r="AI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D5" i="25"/>
  <c r="AB5" i="25"/>
  <c r="Y5" i="25"/>
  <c r="X5" i="25"/>
  <c r="V5" i="25"/>
  <c r="U5" i="25"/>
  <c r="T5" i="25"/>
  <c r="O5" i="25"/>
  <c r="N5" i="25"/>
  <c r="L5" i="25"/>
  <c r="H5" i="25"/>
  <c r="G5" i="25"/>
  <c r="C5" i="25"/>
  <c r="AG4" i="25"/>
  <c r="K4" i="25"/>
  <c r="B4" i="25"/>
  <c r="AG3" i="25"/>
  <c r="AA37" i="24"/>
  <c r="Z37" i="24"/>
  <c r="Y37" i="24"/>
  <c r="W37" i="24"/>
  <c r="X37" i="24"/>
  <c r="V37" i="24"/>
  <c r="U37" i="24"/>
  <c r="T37" i="24"/>
  <c r="S37" i="24"/>
  <c r="R37" i="24"/>
  <c r="E4" i="25"/>
  <c r="P83" i="26" l="1"/>
  <c r="O83" i="26"/>
  <c r="N83" i="26"/>
  <c r="L7" i="26"/>
  <c r="L83" i="26"/>
  <c r="J7" i="26"/>
  <c r="J83" i="26"/>
  <c r="H7" i="26"/>
  <c r="H83" i="26"/>
  <c r="G83" i="26"/>
  <c r="F7" i="26"/>
  <c r="F83" i="26"/>
  <c r="E7" i="26"/>
  <c r="E83" i="26"/>
  <c r="D83" i="26"/>
  <c r="D7" i="26"/>
  <c r="C7" i="26"/>
  <c r="C83" i="26"/>
  <c r="AE213" i="26"/>
  <c r="M7" i="26"/>
  <c r="F193" i="26"/>
  <c r="E199" i="26"/>
  <c r="AC213" i="26"/>
  <c r="K7" i="26"/>
  <c r="F93" i="26"/>
  <c r="G102" i="26"/>
  <c r="D234" i="26"/>
  <c r="F198" i="26"/>
  <c r="AH82" i="26"/>
  <c r="AI82" i="26"/>
  <c r="B208" i="26"/>
  <c r="AK213" i="26"/>
  <c r="S7" i="26"/>
  <c r="C208" i="26"/>
  <c r="M83" i="26"/>
  <c r="K83" i="26"/>
  <c r="AF213" i="26"/>
  <c r="N7" i="26"/>
  <c r="I101" i="26"/>
  <c r="S83" i="26"/>
  <c r="AF82" i="25"/>
  <c r="AC82" i="25"/>
  <c r="AB82" i="25"/>
  <c r="Z73" i="25"/>
  <c r="X82" i="25"/>
  <c r="U82" i="25"/>
  <c r="S82" i="25"/>
  <c r="R73" i="25"/>
  <c r="P75" i="25"/>
  <c r="M82" i="25"/>
  <c r="L82" i="25"/>
  <c r="AH78" i="25"/>
  <c r="K75" i="25"/>
  <c r="AC213" i="25" s="1"/>
  <c r="H82" i="25"/>
  <c r="G73" i="25"/>
  <c r="C82" i="25"/>
  <c r="AI38" i="25"/>
  <c r="AI79" i="25"/>
  <c r="AI68" i="25"/>
  <c r="AF5" i="25"/>
  <c r="J73" i="25"/>
  <c r="B75" i="25"/>
  <c r="B7" i="25" s="1"/>
  <c r="AH79" i="25"/>
  <c r="E82" i="25"/>
  <c r="F82" i="25"/>
  <c r="N82" i="25"/>
  <c r="V82" i="25"/>
  <c r="AD82" i="25"/>
  <c r="AI76" i="25"/>
  <c r="AI77" i="25"/>
  <c r="I82" i="25"/>
  <c r="Q82" i="25"/>
  <c r="Y82" i="25"/>
  <c r="AI78" i="25"/>
  <c r="AA82" i="25"/>
  <c r="AE82" i="25"/>
  <c r="AH56" i="25"/>
  <c r="L73" i="25"/>
  <c r="T73" i="25"/>
  <c r="J75" i="25"/>
  <c r="AB213" i="25" s="1"/>
  <c r="R75" i="25"/>
  <c r="AJ213" i="25" s="1"/>
  <c r="Z75" i="25"/>
  <c r="AR213" i="25" s="1"/>
  <c r="I73" i="25"/>
  <c r="Q73" i="25"/>
  <c r="O73" i="25"/>
  <c r="L75" i="25"/>
  <c r="AD213" i="25" s="1"/>
  <c r="N75" i="25"/>
  <c r="N7" i="25" s="1"/>
  <c r="H73" i="25"/>
  <c r="H83" i="25" s="1"/>
  <c r="P73" i="25"/>
  <c r="P83" i="25" s="1"/>
  <c r="B82" i="25"/>
  <c r="H4" i="25"/>
  <c r="B5" i="25"/>
  <c r="C73" i="25"/>
  <c r="AH68" i="25"/>
  <c r="J5" i="25"/>
  <c r="K73" i="25"/>
  <c r="R5" i="25"/>
  <c r="S73" i="25"/>
  <c r="Z5" i="25"/>
  <c r="J82" i="25"/>
  <c r="R82" i="25"/>
  <c r="Z82" i="25"/>
  <c r="T75" i="25"/>
  <c r="D93" i="25"/>
  <c r="E108" i="25"/>
  <c r="R7" i="25"/>
  <c r="AH213" i="25"/>
  <c r="P7" i="25"/>
  <c r="AH77" i="25"/>
  <c r="AG6" i="25"/>
  <c r="T213" i="25"/>
  <c r="AI56" i="25"/>
  <c r="E73" i="25"/>
  <c r="E75" i="25"/>
  <c r="M73" i="25"/>
  <c r="M75" i="25"/>
  <c r="S75" i="25"/>
  <c r="AH76" i="25"/>
  <c r="AH38" i="25"/>
  <c r="AI80" i="25"/>
  <c r="D75" i="25"/>
  <c r="G75" i="25"/>
  <c r="O75" i="25"/>
  <c r="I75" i="25"/>
  <c r="Q75" i="25"/>
  <c r="AG75" i="25"/>
  <c r="AG83" i="25" s="1"/>
  <c r="C75" i="25"/>
  <c r="AH37" i="25"/>
  <c r="F73" i="25"/>
  <c r="N73" i="25"/>
  <c r="F75" i="25"/>
  <c r="G82" i="25"/>
  <c r="O82" i="25"/>
  <c r="W82" i="25"/>
  <c r="AH80" i="25"/>
  <c r="AI72" i="25"/>
  <c r="D73" i="25"/>
  <c r="Z83" i="25"/>
  <c r="Z213" i="25"/>
  <c r="H7" i="25"/>
  <c r="G102" i="25"/>
  <c r="D210" i="25"/>
  <c r="S210" i="25"/>
  <c r="AH72" i="25"/>
  <c r="D191" i="25"/>
  <c r="E101" i="25"/>
  <c r="D82" i="25"/>
  <c r="F198" i="25"/>
  <c r="D234" i="25"/>
  <c r="D199" i="25"/>
  <c r="E193" i="25"/>
  <c r="K6" i="26" l="1"/>
  <c r="E234" i="26"/>
  <c r="G198" i="26"/>
  <c r="G193" i="26"/>
  <c r="F199" i="26"/>
  <c r="J101" i="26"/>
  <c r="G93" i="26"/>
  <c r="H102" i="26"/>
  <c r="G191" i="26"/>
  <c r="AF213" i="25"/>
  <c r="K83" i="25"/>
  <c r="K7" i="25"/>
  <c r="G83" i="25"/>
  <c r="B83" i="25"/>
  <c r="AI82" i="25"/>
  <c r="L83" i="25"/>
  <c r="J83" i="25"/>
  <c r="J7" i="25"/>
  <c r="N83" i="25"/>
  <c r="C83" i="25"/>
  <c r="Z7" i="25"/>
  <c r="L7" i="25"/>
  <c r="R83" i="25"/>
  <c r="I83" i="25"/>
  <c r="O83" i="25"/>
  <c r="E83" i="25"/>
  <c r="F83" i="25"/>
  <c r="M83" i="25"/>
  <c r="AE213" i="25"/>
  <c r="M7" i="25"/>
  <c r="AI213" i="25"/>
  <c r="Q7" i="25"/>
  <c r="Q83" i="25"/>
  <c r="V213" i="25"/>
  <c r="D7" i="25"/>
  <c r="AL213" i="25"/>
  <c r="T7" i="25"/>
  <c r="AK213" i="25"/>
  <c r="S7" i="25"/>
  <c r="AA213" i="25"/>
  <c r="I7" i="25"/>
  <c r="D83" i="25"/>
  <c r="W213" i="25"/>
  <c r="E7" i="25"/>
  <c r="T83" i="25"/>
  <c r="U213" i="25"/>
  <c r="C7" i="25"/>
  <c r="S83" i="25"/>
  <c r="Y213" i="25"/>
  <c r="C208" i="25"/>
  <c r="B208" i="25"/>
  <c r="G7" i="25"/>
  <c r="E199" i="25"/>
  <c r="F193" i="25"/>
  <c r="H102" i="25"/>
  <c r="E191" i="25"/>
  <c r="F101" i="25"/>
  <c r="AH82" i="25"/>
  <c r="X213" i="25"/>
  <c r="F7" i="25"/>
  <c r="F108" i="25"/>
  <c r="E93" i="25"/>
  <c r="G198" i="25"/>
  <c r="E234" i="25"/>
  <c r="AG213" i="25"/>
  <c r="O7" i="25"/>
  <c r="F234" i="26" l="1"/>
  <c r="H198" i="26"/>
  <c r="K101" i="26"/>
  <c r="H193" i="26"/>
  <c r="G199" i="26"/>
  <c r="H93" i="26"/>
  <c r="I102" i="26"/>
  <c r="H191" i="26"/>
  <c r="K6" i="25"/>
  <c r="F191" i="25"/>
  <c r="G101" i="25"/>
  <c r="I102" i="25"/>
  <c r="F234" i="25"/>
  <c r="H198" i="25"/>
  <c r="G108" i="25"/>
  <c r="F93" i="25"/>
  <c r="G193" i="25"/>
  <c r="F199" i="25"/>
  <c r="I193" i="26" l="1"/>
  <c r="H199" i="26"/>
  <c r="L101" i="26"/>
  <c r="G234" i="26"/>
  <c r="I198" i="26"/>
  <c r="J102" i="26"/>
  <c r="I93" i="26"/>
  <c r="I191" i="26"/>
  <c r="J102" i="25"/>
  <c r="G191" i="25"/>
  <c r="H101" i="25"/>
  <c r="H193" i="25"/>
  <c r="G199" i="25"/>
  <c r="H108" i="25"/>
  <c r="G93" i="25"/>
  <c r="G234" i="25"/>
  <c r="I198" i="25"/>
  <c r="H234" i="26" l="1"/>
  <c r="J198" i="26"/>
  <c r="M101" i="26"/>
  <c r="K102" i="26"/>
  <c r="J93" i="26"/>
  <c r="J191" i="26"/>
  <c r="I199" i="26"/>
  <c r="J193" i="26"/>
  <c r="H199" i="25"/>
  <c r="I193" i="25"/>
  <c r="I108" i="25"/>
  <c r="H93" i="25"/>
  <c r="H234" i="25"/>
  <c r="J198" i="25"/>
  <c r="H191" i="25"/>
  <c r="I101" i="25"/>
  <c r="K102" i="25"/>
  <c r="L102" i="26" l="1"/>
  <c r="K191" i="26"/>
  <c r="N101" i="26"/>
  <c r="K198" i="26"/>
  <c r="I234" i="26"/>
  <c r="J199" i="26"/>
  <c r="K193" i="26"/>
  <c r="I191" i="25"/>
  <c r="J101" i="25"/>
  <c r="I234" i="25"/>
  <c r="K198" i="25"/>
  <c r="J108" i="25"/>
  <c r="I93" i="25"/>
  <c r="L102" i="25"/>
  <c r="J193" i="25"/>
  <c r="I199" i="25"/>
  <c r="J234" i="26" l="1"/>
  <c r="L198" i="26"/>
  <c r="O101" i="26"/>
  <c r="K93" i="26"/>
  <c r="K199" i="26"/>
  <c r="L193" i="26"/>
  <c r="M102" i="26"/>
  <c r="L191" i="26"/>
  <c r="M102" i="25"/>
  <c r="J191" i="25"/>
  <c r="K101" i="25"/>
  <c r="K108" i="25"/>
  <c r="J93" i="25"/>
  <c r="J234" i="25"/>
  <c r="L198" i="25"/>
  <c r="J199" i="25"/>
  <c r="K193" i="25"/>
  <c r="P37" i="24"/>
  <c r="O37" i="24"/>
  <c r="N37" i="24"/>
  <c r="M95" i="24"/>
  <c r="L37" i="24"/>
  <c r="K37" i="24"/>
  <c r="J37" i="24"/>
  <c r="I37" i="24"/>
  <c r="H37" i="24"/>
  <c r="G37" i="24"/>
  <c r="F37" i="24"/>
  <c r="AH99" i="24"/>
  <c r="AI99" i="24" s="1"/>
  <c r="E37" i="24"/>
  <c r="C95" i="24"/>
  <c r="D95" i="24"/>
  <c r="D37" i="24"/>
  <c r="C37" i="24"/>
  <c r="B52" i="24"/>
  <c r="B75" i="24" s="1"/>
  <c r="B7" i="24" s="1"/>
  <c r="B38" i="24"/>
  <c r="B95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P235" i="24"/>
  <c r="O235" i="24"/>
  <c r="N235" i="24"/>
  <c r="M235" i="24"/>
  <c r="L235" i="24"/>
  <c r="K235" i="24"/>
  <c r="J235" i="24"/>
  <c r="I235" i="24"/>
  <c r="H235" i="24"/>
  <c r="G235" i="24"/>
  <c r="F235" i="24"/>
  <c r="E235" i="24"/>
  <c r="D235" i="24"/>
  <c r="C235" i="24"/>
  <c r="B235" i="24"/>
  <c r="A235" i="24"/>
  <c r="B234" i="24"/>
  <c r="S209" i="24"/>
  <c r="AG199" i="24"/>
  <c r="AG51" i="24" s="1"/>
  <c r="AG52" i="24" s="1"/>
  <c r="AG3" i="24" s="1"/>
  <c r="C199" i="24"/>
  <c r="D198" i="24"/>
  <c r="E198" i="24" s="1"/>
  <c r="D197" i="24"/>
  <c r="E197" i="24" s="1"/>
  <c r="F197" i="24" s="1"/>
  <c r="G197" i="24" s="1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E196" i="24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D196" i="24"/>
  <c r="D195" i="24"/>
  <c r="E195" i="24" s="1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D194" i="24"/>
  <c r="E194" i="24" s="1"/>
  <c r="F194" i="24" s="1"/>
  <c r="G194" i="24" s="1"/>
  <c r="H194" i="24" s="1"/>
  <c r="I194" i="24" s="1"/>
  <c r="J194" i="24" s="1"/>
  <c r="K194" i="24" s="1"/>
  <c r="L194" i="24" s="1"/>
  <c r="M194" i="24" s="1"/>
  <c r="N194" i="24" s="1"/>
  <c r="O194" i="24" s="1"/>
  <c r="P194" i="24" s="1"/>
  <c r="Q194" i="24" s="1"/>
  <c r="R194" i="24" s="1"/>
  <c r="S194" i="24" s="1"/>
  <c r="T194" i="24" s="1"/>
  <c r="U194" i="24" s="1"/>
  <c r="V194" i="24" s="1"/>
  <c r="W194" i="24" s="1"/>
  <c r="X194" i="24" s="1"/>
  <c r="Y194" i="24" s="1"/>
  <c r="Z194" i="24" s="1"/>
  <c r="AA194" i="24" s="1"/>
  <c r="AB194" i="24" s="1"/>
  <c r="AC194" i="24" s="1"/>
  <c r="AD194" i="24" s="1"/>
  <c r="AE194" i="24" s="1"/>
  <c r="AF194" i="24" s="1"/>
  <c r="B194" i="24" s="1"/>
  <c r="E193" i="24"/>
  <c r="F193" i="24" s="1"/>
  <c r="D193" i="24"/>
  <c r="AG191" i="24"/>
  <c r="C191" i="24"/>
  <c r="D190" i="24"/>
  <c r="E190" i="24" s="1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F189" i="24"/>
  <c r="G189" i="24" s="1"/>
  <c r="H189" i="24" s="1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D189" i="24"/>
  <c r="E189" i="24" s="1"/>
  <c r="D188" i="24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E187" i="24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D187" i="24"/>
  <c r="D186" i="24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E185" i="24"/>
  <c r="F185" i="24" s="1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B185" i="24" s="1"/>
  <c r="D185" i="24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E183" i="24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D183" i="24"/>
  <c r="D182" i="24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K181" i="24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D181" i="24"/>
  <c r="E181" i="24" s="1"/>
  <c r="F181" i="24" s="1"/>
  <c r="G181" i="24" s="1"/>
  <c r="H181" i="24" s="1"/>
  <c r="I181" i="24" s="1"/>
  <c r="J181" i="24" s="1"/>
  <c r="D180" i="24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H179" i="24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D179" i="24"/>
  <c r="E179" i="24" s="1"/>
  <c r="F179" i="24" s="1"/>
  <c r="G179" i="24" s="1"/>
  <c r="E178" i="24"/>
  <c r="F178" i="24" s="1"/>
  <c r="G178" i="24" s="1"/>
  <c r="H178" i="24" s="1"/>
  <c r="I178" i="24" s="1"/>
  <c r="J178" i="24" s="1"/>
  <c r="K178" i="24" s="1"/>
  <c r="L178" i="24" s="1"/>
  <c r="M178" i="24" s="1"/>
  <c r="N178" i="24" s="1"/>
  <c r="O178" i="24" s="1"/>
  <c r="P178" i="24" s="1"/>
  <c r="Q178" i="24" s="1"/>
  <c r="R178" i="24" s="1"/>
  <c r="S178" i="24" s="1"/>
  <c r="T178" i="24" s="1"/>
  <c r="U178" i="24" s="1"/>
  <c r="V178" i="24" s="1"/>
  <c r="W178" i="24" s="1"/>
  <c r="X178" i="24" s="1"/>
  <c r="Y178" i="24" s="1"/>
  <c r="Z178" i="24" s="1"/>
  <c r="AA178" i="24" s="1"/>
  <c r="AB178" i="24" s="1"/>
  <c r="AC178" i="24" s="1"/>
  <c r="AD178" i="24" s="1"/>
  <c r="AE178" i="24" s="1"/>
  <c r="AF178" i="24" s="1"/>
  <c r="B178" i="24" s="1"/>
  <c r="D178" i="24"/>
  <c r="D176" i="24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D175" i="24"/>
  <c r="E175" i="24" s="1"/>
  <c r="F175" i="24" s="1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D174" i="24"/>
  <c r="E174" i="24" s="1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D173" i="24"/>
  <c r="E173" i="24" s="1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E172" i="24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D172" i="24"/>
  <c r="D171" i="24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I170" i="24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D170" i="24"/>
  <c r="E170" i="24" s="1"/>
  <c r="F170" i="24" s="1"/>
  <c r="G170" i="24" s="1"/>
  <c r="H170" i="24" s="1"/>
  <c r="D169" i="24"/>
  <c r="E169" i="24" s="1"/>
  <c r="F169" i="24" s="1"/>
  <c r="G169" i="24" s="1"/>
  <c r="H169" i="24" s="1"/>
  <c r="I169" i="24" s="1"/>
  <c r="J169" i="24" s="1"/>
  <c r="K169" i="24" s="1"/>
  <c r="L169" i="24" s="1"/>
  <c r="M169" i="24" s="1"/>
  <c r="N169" i="24" s="1"/>
  <c r="O169" i="24" s="1"/>
  <c r="P169" i="24" s="1"/>
  <c r="Q169" i="24" s="1"/>
  <c r="R169" i="24" s="1"/>
  <c r="S169" i="24" s="1"/>
  <c r="T169" i="24" s="1"/>
  <c r="U169" i="24" s="1"/>
  <c r="V169" i="24" s="1"/>
  <c r="W169" i="24" s="1"/>
  <c r="X169" i="24" s="1"/>
  <c r="Y169" i="24" s="1"/>
  <c r="Z169" i="24" s="1"/>
  <c r="AA169" i="24" s="1"/>
  <c r="AB169" i="24" s="1"/>
  <c r="AC169" i="24" s="1"/>
  <c r="AD169" i="24" s="1"/>
  <c r="AE169" i="24" s="1"/>
  <c r="AF169" i="24" s="1"/>
  <c r="B169" i="24" s="1"/>
  <c r="D167" i="24"/>
  <c r="E167" i="24" s="1"/>
  <c r="F167" i="24" s="1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B167" i="24" s="1"/>
  <c r="D166" i="24"/>
  <c r="E166" i="24" s="1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B166" i="24" s="1"/>
  <c r="D165" i="24"/>
  <c r="E165" i="24" s="1"/>
  <c r="F165" i="24" s="1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E164" i="24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D164" i="24"/>
  <c r="D163" i="24"/>
  <c r="E163" i="24" s="1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E162" i="24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D162" i="24"/>
  <c r="D161" i="24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E160" i="24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D160" i="24"/>
  <c r="D159" i="24"/>
  <c r="E159" i="24" s="1"/>
  <c r="F159" i="24" s="1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D157" i="24"/>
  <c r="E157" i="24" s="1"/>
  <c r="F157" i="24" s="1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D156" i="24"/>
  <c r="E156" i="24" s="1"/>
  <c r="F156" i="24" s="1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D155" i="24"/>
  <c r="E155" i="24" s="1"/>
  <c r="F155" i="24" s="1"/>
  <c r="G155" i="24" s="1"/>
  <c r="H155" i="24" s="1"/>
  <c r="I155" i="24" s="1"/>
  <c r="J155" i="24" s="1"/>
  <c r="K155" i="24" s="1"/>
  <c r="L155" i="24" s="1"/>
  <c r="M155" i="24" s="1"/>
  <c r="N155" i="24" s="1"/>
  <c r="O155" i="24" s="1"/>
  <c r="P155" i="24" s="1"/>
  <c r="Q155" i="24" s="1"/>
  <c r="R155" i="24" s="1"/>
  <c r="S155" i="24" s="1"/>
  <c r="T155" i="24" s="1"/>
  <c r="U155" i="24" s="1"/>
  <c r="V155" i="24" s="1"/>
  <c r="W155" i="24" s="1"/>
  <c r="X155" i="24" s="1"/>
  <c r="Y155" i="24" s="1"/>
  <c r="Z155" i="24" s="1"/>
  <c r="AA155" i="24" s="1"/>
  <c r="AB155" i="24" s="1"/>
  <c r="AC155" i="24" s="1"/>
  <c r="AD155" i="24" s="1"/>
  <c r="AE155" i="24" s="1"/>
  <c r="AF155" i="24" s="1"/>
  <c r="B155" i="24" s="1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D152" i="24"/>
  <c r="E152" i="24" s="1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E151" i="24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D151" i="24"/>
  <c r="D150" i="24"/>
  <c r="E150" i="24" s="1"/>
  <c r="F150" i="24" s="1"/>
  <c r="G150" i="24" s="1"/>
  <c r="H150" i="24" s="1"/>
  <c r="I150" i="24" s="1"/>
  <c r="J150" i="24" s="1"/>
  <c r="K150" i="24" s="1"/>
  <c r="L150" i="24" s="1"/>
  <c r="M150" i="24" s="1"/>
  <c r="N150" i="24" s="1"/>
  <c r="O150" i="24" s="1"/>
  <c r="P150" i="24" s="1"/>
  <c r="Q150" i="24" s="1"/>
  <c r="R150" i="24" s="1"/>
  <c r="S150" i="24" s="1"/>
  <c r="T150" i="24" s="1"/>
  <c r="U150" i="24" s="1"/>
  <c r="V150" i="24" s="1"/>
  <c r="W150" i="24" s="1"/>
  <c r="X150" i="24" s="1"/>
  <c r="Y150" i="24" s="1"/>
  <c r="Z150" i="24" s="1"/>
  <c r="AA150" i="24" s="1"/>
  <c r="AB150" i="24" s="1"/>
  <c r="AC150" i="24" s="1"/>
  <c r="AD150" i="24" s="1"/>
  <c r="AE150" i="24" s="1"/>
  <c r="AF150" i="24" s="1"/>
  <c r="B150" i="24" s="1"/>
  <c r="D148" i="24"/>
  <c r="E148" i="24" s="1"/>
  <c r="F148" i="24" s="1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B148" i="24" s="1"/>
  <c r="E147" i="24"/>
  <c r="F147" i="24" s="1"/>
  <c r="G147" i="24" s="1"/>
  <c r="H147" i="24" s="1"/>
  <c r="I147" i="24" s="1"/>
  <c r="J147" i="24" s="1"/>
  <c r="K147" i="24" s="1"/>
  <c r="L147" i="24" s="1"/>
  <c r="M147" i="24" s="1"/>
  <c r="N147" i="24" s="1"/>
  <c r="O147" i="24" s="1"/>
  <c r="P147" i="24" s="1"/>
  <c r="Q147" i="24" s="1"/>
  <c r="R147" i="24" s="1"/>
  <c r="S147" i="24" s="1"/>
  <c r="T147" i="24" s="1"/>
  <c r="U147" i="24" s="1"/>
  <c r="V147" i="24" s="1"/>
  <c r="W147" i="24" s="1"/>
  <c r="X147" i="24" s="1"/>
  <c r="Y147" i="24" s="1"/>
  <c r="Z147" i="24" s="1"/>
  <c r="AA147" i="24" s="1"/>
  <c r="AB147" i="24" s="1"/>
  <c r="AC147" i="24" s="1"/>
  <c r="AD147" i="24" s="1"/>
  <c r="AE147" i="24" s="1"/>
  <c r="AF147" i="24" s="1"/>
  <c r="B147" i="24" s="1"/>
  <c r="D147" i="24"/>
  <c r="D145" i="24"/>
  <c r="E145" i="24" s="1"/>
  <c r="F145" i="24" s="1"/>
  <c r="G145" i="24" s="1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D144" i="24"/>
  <c r="E144" i="24" s="1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B144" i="24" s="1"/>
  <c r="D143" i="24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B143" i="24" s="1"/>
  <c r="D142" i="24"/>
  <c r="E142" i="24" s="1"/>
  <c r="F142" i="24" s="1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B142" i="24" s="1"/>
  <c r="D141" i="24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G140" i="24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B140" i="24" s="1"/>
  <c r="D140" i="24"/>
  <c r="E140" i="24" s="1"/>
  <c r="F140" i="24" s="1"/>
  <c r="D139" i="24"/>
  <c r="E139" i="24" s="1"/>
  <c r="F139" i="24" s="1"/>
  <c r="G139" i="24" s="1"/>
  <c r="H139" i="24" s="1"/>
  <c r="I139" i="24" s="1"/>
  <c r="J139" i="24" s="1"/>
  <c r="K139" i="24" s="1"/>
  <c r="L139" i="24" s="1"/>
  <c r="M139" i="24" s="1"/>
  <c r="N139" i="24" s="1"/>
  <c r="O139" i="24" s="1"/>
  <c r="P139" i="24" s="1"/>
  <c r="Q139" i="24" s="1"/>
  <c r="R139" i="24" s="1"/>
  <c r="S139" i="24" s="1"/>
  <c r="T139" i="24" s="1"/>
  <c r="U139" i="24" s="1"/>
  <c r="V139" i="24" s="1"/>
  <c r="W139" i="24" s="1"/>
  <c r="X139" i="24" s="1"/>
  <c r="Y139" i="24" s="1"/>
  <c r="Z139" i="24" s="1"/>
  <c r="AA139" i="24" s="1"/>
  <c r="AB139" i="24" s="1"/>
  <c r="AC139" i="24" s="1"/>
  <c r="AD139" i="24" s="1"/>
  <c r="AE139" i="24" s="1"/>
  <c r="AF139" i="24" s="1"/>
  <c r="B139" i="24" s="1"/>
  <c r="D137" i="24"/>
  <c r="E137" i="24" s="1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F136" i="24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D136" i="24"/>
  <c r="E136" i="24" s="1"/>
  <c r="E135" i="24"/>
  <c r="F135" i="24" s="1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D135" i="24"/>
  <c r="J134" i="24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H134" i="24"/>
  <c r="I134" i="24" s="1"/>
  <c r="D134" i="24"/>
  <c r="E134" i="24" s="1"/>
  <c r="F134" i="24" s="1"/>
  <c r="G134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B133" i="24" s="1"/>
  <c r="D132" i="24"/>
  <c r="E132" i="24" s="1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J130" i="24"/>
  <c r="K130" i="24" s="1"/>
  <c r="L130" i="24" s="1"/>
  <c r="M130" i="24" s="1"/>
  <c r="N130" i="24" s="1"/>
  <c r="O130" i="24" s="1"/>
  <c r="P130" i="24" s="1"/>
  <c r="Q130" i="24" s="1"/>
  <c r="R130" i="24" s="1"/>
  <c r="S130" i="24" s="1"/>
  <c r="T130" i="24" s="1"/>
  <c r="U130" i="24" s="1"/>
  <c r="V130" i="24" s="1"/>
  <c r="W130" i="24" s="1"/>
  <c r="X130" i="24" s="1"/>
  <c r="Y130" i="24" s="1"/>
  <c r="Z130" i="24" s="1"/>
  <c r="AA130" i="24" s="1"/>
  <c r="AB130" i="24" s="1"/>
  <c r="AC130" i="24" s="1"/>
  <c r="AD130" i="24" s="1"/>
  <c r="AE130" i="24" s="1"/>
  <c r="AF130" i="24" s="1"/>
  <c r="B130" i="24" s="1"/>
  <c r="E130" i="24"/>
  <c r="F130" i="24" s="1"/>
  <c r="G130" i="24" s="1"/>
  <c r="H130" i="24" s="1"/>
  <c r="I130" i="24" s="1"/>
  <c r="D130" i="24"/>
  <c r="D128" i="24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F127" i="24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E127" i="24" s="1"/>
  <c r="E126" i="24"/>
  <c r="F126" i="24" s="1"/>
  <c r="G126" i="24" s="1"/>
  <c r="H126" i="24" s="1"/>
  <c r="I126" i="24" s="1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B126" i="24" s="1"/>
  <c r="D126" i="24"/>
  <c r="D125" i="24"/>
  <c r="E125" i="24" s="1"/>
  <c r="F125" i="24" s="1"/>
  <c r="G125" i="24" s="1"/>
  <c r="H125" i="24" s="1"/>
  <c r="I125" i="24" s="1"/>
  <c r="J125" i="24" s="1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E124" i="24"/>
  <c r="F124" i="24" s="1"/>
  <c r="G124" i="24" s="1"/>
  <c r="H124" i="24" s="1"/>
  <c r="I124" i="24" s="1"/>
  <c r="J124" i="24" s="1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D124" i="24"/>
  <c r="D123" i="24"/>
  <c r="E123" i="24" s="1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E122" i="24"/>
  <c r="F122" i="24" s="1"/>
  <c r="G122" i="24" s="1"/>
  <c r="H122" i="24" s="1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D122" i="24"/>
  <c r="D121" i="24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G120" i="24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B120" i="24" s="1"/>
  <c r="E120" i="24"/>
  <c r="F120" i="24" s="1"/>
  <c r="D120" i="24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F118" i="24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E118" i="24" s="1"/>
  <c r="D117" i="24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B117" i="24" s="1"/>
  <c r="D116" i="24"/>
  <c r="E116" i="24" s="1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D114" i="24"/>
  <c r="E114" i="24" s="1"/>
  <c r="F114" i="24" s="1"/>
  <c r="G114" i="24" s="1"/>
  <c r="H114" i="24" s="1"/>
  <c r="I114" i="24" s="1"/>
  <c r="J114" i="24" s="1"/>
  <c r="K114" i="24" s="1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B114" i="24" s="1"/>
  <c r="K113" i="24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E113" i="24"/>
  <c r="F113" i="24" s="1"/>
  <c r="G113" i="24" s="1"/>
  <c r="H113" i="24" s="1"/>
  <c r="I113" i="24" s="1"/>
  <c r="D113" i="24"/>
  <c r="D112" i="24"/>
  <c r="E112" i="24" s="1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H111" i="24"/>
  <c r="I111" i="24" s="1"/>
  <c r="J111" i="24" s="1"/>
  <c r="K111" i="24" s="1"/>
  <c r="L111" i="24" s="1"/>
  <c r="M111" i="24" s="1"/>
  <c r="N111" i="24" s="1"/>
  <c r="O111" i="24" s="1"/>
  <c r="P111" i="24" s="1"/>
  <c r="Q111" i="24" s="1"/>
  <c r="R111" i="24" s="1"/>
  <c r="S111" i="24" s="1"/>
  <c r="T111" i="24" s="1"/>
  <c r="U111" i="24" s="1"/>
  <c r="V111" i="24" s="1"/>
  <c r="W111" i="24" s="1"/>
  <c r="X111" i="24" s="1"/>
  <c r="Y111" i="24" s="1"/>
  <c r="Z111" i="24" s="1"/>
  <c r="AA111" i="24" s="1"/>
  <c r="AB111" i="24" s="1"/>
  <c r="AC111" i="24" s="1"/>
  <c r="AD111" i="24" s="1"/>
  <c r="AE111" i="24" s="1"/>
  <c r="AF111" i="24" s="1"/>
  <c r="B111" i="24" s="1"/>
  <c r="D111" i="24"/>
  <c r="E111" i="24" s="1"/>
  <c r="F111" i="24" s="1"/>
  <c r="G111" i="24" s="1"/>
  <c r="E109" i="24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D109" i="24"/>
  <c r="D108" i="24"/>
  <c r="N106" i="24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E106" i="24"/>
  <c r="F106" i="24" s="1"/>
  <c r="G106" i="24" s="1"/>
  <c r="H106" i="24" s="1"/>
  <c r="I106" i="24" s="1"/>
  <c r="J106" i="24" s="1"/>
  <c r="K106" i="24" s="1"/>
  <c r="L106" i="24" s="1"/>
  <c r="M106" i="24" s="1"/>
  <c r="D106" i="24"/>
  <c r="E105" i="24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D105" i="24"/>
  <c r="D104" i="24"/>
  <c r="E104" i="24" s="1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3" i="24"/>
  <c r="E103" i="24" s="1"/>
  <c r="F103" i="24" s="1"/>
  <c r="G103" i="24" s="1"/>
  <c r="H103" i="24" s="1"/>
  <c r="I103" i="24" s="1"/>
  <c r="J103" i="24" s="1"/>
  <c r="K103" i="24" s="1"/>
  <c r="L103" i="24" s="1"/>
  <c r="M103" i="24" s="1"/>
  <c r="N103" i="24" s="1"/>
  <c r="O103" i="24" s="1"/>
  <c r="P103" i="24" s="1"/>
  <c r="Q103" i="24" s="1"/>
  <c r="R103" i="24" s="1"/>
  <c r="S103" i="24" s="1"/>
  <c r="T103" i="24" s="1"/>
  <c r="U103" i="24" s="1"/>
  <c r="V103" i="24" s="1"/>
  <c r="W103" i="24" s="1"/>
  <c r="X103" i="24" s="1"/>
  <c r="Y103" i="24" s="1"/>
  <c r="Z103" i="24" s="1"/>
  <c r="AA103" i="24" s="1"/>
  <c r="AB103" i="24" s="1"/>
  <c r="AC103" i="24" s="1"/>
  <c r="AD103" i="24" s="1"/>
  <c r="AE103" i="24" s="1"/>
  <c r="AF103" i="24" s="1"/>
  <c r="B103" i="24" s="1"/>
  <c r="D102" i="24"/>
  <c r="E102" i="24" s="1"/>
  <c r="D101" i="24"/>
  <c r="E101" i="24" s="1"/>
  <c r="F101" i="24" s="1"/>
  <c r="AH98" i="24"/>
  <c r="AI98" i="24" s="1"/>
  <c r="AH97" i="24"/>
  <c r="AI97" i="24" s="1"/>
  <c r="AH96" i="24"/>
  <c r="AI96" i="24" s="1"/>
  <c r="AH95" i="24"/>
  <c r="AI95" i="24" s="1"/>
  <c r="AH94" i="24"/>
  <c r="AI94" i="24" s="1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G82" i="24"/>
  <c r="AI81" i="24"/>
  <c r="AH81" i="24"/>
  <c r="AF80" i="24"/>
  <c r="AE80" i="24"/>
  <c r="AD80" i="24"/>
  <c r="AC80" i="24"/>
  <c r="AB80" i="24"/>
  <c r="AA80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AF79" i="24"/>
  <c r="AE79" i="24"/>
  <c r="AD79" i="24"/>
  <c r="AC79" i="24"/>
  <c r="AB79" i="24"/>
  <c r="AA79" i="24"/>
  <c r="Z79" i="24"/>
  <c r="Y79" i="24"/>
  <c r="X79" i="24"/>
  <c r="W79" i="24"/>
  <c r="V79" i="24"/>
  <c r="U79" i="24"/>
  <c r="T79" i="24"/>
  <c r="S79" i="24"/>
  <c r="R79" i="24"/>
  <c r="Q79" i="24"/>
  <c r="P79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AF76" i="24"/>
  <c r="AE76" i="24"/>
  <c r="AD76" i="24"/>
  <c r="AC76" i="24"/>
  <c r="AB76" i="24"/>
  <c r="AA76" i="24"/>
  <c r="Z76" i="24"/>
  <c r="Y76" i="24"/>
  <c r="X76" i="24"/>
  <c r="W76" i="24"/>
  <c r="V76" i="24"/>
  <c r="V82" i="24" s="1"/>
  <c r="U76" i="24"/>
  <c r="T76" i="24"/>
  <c r="S76" i="24"/>
  <c r="R76" i="24"/>
  <c r="Q76" i="24"/>
  <c r="P76" i="24"/>
  <c r="O76" i="24"/>
  <c r="N76" i="24"/>
  <c r="N82" i="24" s="1"/>
  <c r="M76" i="24"/>
  <c r="L76" i="24"/>
  <c r="K76" i="24"/>
  <c r="J76" i="24"/>
  <c r="I76" i="24"/>
  <c r="H76" i="24"/>
  <c r="G76" i="24"/>
  <c r="F76" i="24"/>
  <c r="F82" i="24" s="1"/>
  <c r="E76" i="24"/>
  <c r="D76" i="24"/>
  <c r="C76" i="24"/>
  <c r="AI74" i="24"/>
  <c r="AH74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AI71" i="24"/>
  <c r="AH71" i="24"/>
  <c r="AI70" i="24"/>
  <c r="AH70" i="24"/>
  <c r="AI69" i="24"/>
  <c r="AH69" i="24"/>
  <c r="AG68" i="24"/>
  <c r="AF68" i="24"/>
  <c r="AE5" i="24" s="1"/>
  <c r="AE68" i="24"/>
  <c r="AD5" i="24" s="1"/>
  <c r="AD68" i="24"/>
  <c r="AC5" i="24" s="1"/>
  <c r="AC68" i="24"/>
  <c r="AB68" i="24"/>
  <c r="AA68" i="24"/>
  <c r="Z68" i="24"/>
  <c r="Y68" i="24"/>
  <c r="X5" i="24" s="1"/>
  <c r="X68" i="24"/>
  <c r="W5" i="24" s="1"/>
  <c r="W68" i="24"/>
  <c r="V5" i="24" s="1"/>
  <c r="V68" i="24"/>
  <c r="U5" i="24" s="1"/>
  <c r="U68" i="24"/>
  <c r="T68" i="24"/>
  <c r="S5" i="24" s="1"/>
  <c r="S68" i="24"/>
  <c r="R68" i="24"/>
  <c r="Q68" i="24"/>
  <c r="P5" i="24" s="1"/>
  <c r="P68" i="24"/>
  <c r="O5" i="24" s="1"/>
  <c r="O68" i="24"/>
  <c r="N5" i="24" s="1"/>
  <c r="N68" i="24"/>
  <c r="M5" i="24" s="1"/>
  <c r="M68" i="24"/>
  <c r="L68" i="24"/>
  <c r="K5" i="24" s="1"/>
  <c r="K68" i="24"/>
  <c r="J5" i="24" s="1"/>
  <c r="J68" i="24"/>
  <c r="I5" i="24" s="1"/>
  <c r="I68" i="24"/>
  <c r="H5" i="24" s="1"/>
  <c r="H68" i="24"/>
  <c r="G5" i="24" s="1"/>
  <c r="G68" i="24"/>
  <c r="F5" i="24" s="1"/>
  <c r="F68" i="24"/>
  <c r="E5" i="24" s="1"/>
  <c r="E68" i="24"/>
  <c r="D68" i="24"/>
  <c r="C5" i="24" s="1"/>
  <c r="C68" i="24"/>
  <c r="B5" i="24" s="1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G4" i="24" s="1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AI55" i="24"/>
  <c r="AH55" i="24"/>
  <c r="AI54" i="24"/>
  <c r="AH54" i="24"/>
  <c r="AI53" i="24"/>
  <c r="AH53" i="24"/>
  <c r="Z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B5" i="24"/>
  <c r="AA5" i="24"/>
  <c r="T5" i="24"/>
  <c r="L5" i="24"/>
  <c r="D5" i="24"/>
  <c r="K4" i="24"/>
  <c r="B4" i="24"/>
  <c r="AG2" i="24"/>
  <c r="AF37" i="23"/>
  <c r="AE95" i="23"/>
  <c r="AE37" i="23"/>
  <c r="AD95" i="23"/>
  <c r="AD37" i="23"/>
  <c r="AC95" i="23"/>
  <c r="AC37" i="23"/>
  <c r="AB37" i="23"/>
  <c r="AA38" i="23"/>
  <c r="AA73" i="23" s="1"/>
  <c r="AA51" i="23"/>
  <c r="AA52" i="23"/>
  <c r="AA56" i="23"/>
  <c r="AA68" i="23"/>
  <c r="AA72" i="23"/>
  <c r="E4" i="24"/>
  <c r="N102" i="26" l="1"/>
  <c r="M191" i="26"/>
  <c r="L199" i="26"/>
  <c r="M193" i="26"/>
  <c r="P101" i="26"/>
  <c r="K234" i="26"/>
  <c r="M198" i="26"/>
  <c r="L93" i="26"/>
  <c r="K234" i="25"/>
  <c r="M198" i="25"/>
  <c r="L108" i="25"/>
  <c r="K93" i="25"/>
  <c r="K191" i="25"/>
  <c r="L101" i="25"/>
  <c r="K199" i="25"/>
  <c r="L193" i="25"/>
  <c r="N102" i="25"/>
  <c r="AD82" i="24"/>
  <c r="AG6" i="24"/>
  <c r="D93" i="24"/>
  <c r="E108" i="24"/>
  <c r="F108" i="24" s="1"/>
  <c r="G108" i="24" s="1"/>
  <c r="H108" i="24" s="1"/>
  <c r="I108" i="24" s="1"/>
  <c r="J108" i="24" s="1"/>
  <c r="K108" i="24" s="1"/>
  <c r="L108" i="24" s="1"/>
  <c r="M108" i="24" s="1"/>
  <c r="N108" i="24" s="1"/>
  <c r="O108" i="24" s="1"/>
  <c r="P108" i="24" s="1"/>
  <c r="Q108" i="24" s="1"/>
  <c r="R108" i="24" s="1"/>
  <c r="S108" i="24" s="1"/>
  <c r="T108" i="24" s="1"/>
  <c r="U108" i="24" s="1"/>
  <c r="V108" i="24" s="1"/>
  <c r="W108" i="24" s="1"/>
  <c r="X108" i="24" s="1"/>
  <c r="Y108" i="24" s="1"/>
  <c r="Z108" i="24" s="1"/>
  <c r="AA108" i="24" s="1"/>
  <c r="AB108" i="24" s="1"/>
  <c r="AC108" i="24" s="1"/>
  <c r="AD108" i="24" s="1"/>
  <c r="AE108" i="24" s="1"/>
  <c r="AF108" i="24" s="1"/>
  <c r="B108" i="24" s="1"/>
  <c r="C234" i="24"/>
  <c r="AG73" i="24"/>
  <c r="AE82" i="24"/>
  <c r="AF82" i="24"/>
  <c r="D82" i="24"/>
  <c r="B73" i="24"/>
  <c r="AC82" i="24"/>
  <c r="AB82" i="24"/>
  <c r="AA82" i="24"/>
  <c r="Z82" i="24"/>
  <c r="Z73" i="24"/>
  <c r="X82" i="24"/>
  <c r="W82" i="24"/>
  <c r="U82" i="24"/>
  <c r="T82" i="24"/>
  <c r="T75" i="24"/>
  <c r="S82" i="24"/>
  <c r="R82" i="24"/>
  <c r="P82" i="24"/>
  <c r="P75" i="24"/>
  <c r="AH213" i="24" s="1"/>
  <c r="P73" i="24"/>
  <c r="P83" i="24" s="1"/>
  <c r="O82" i="24"/>
  <c r="O73" i="24"/>
  <c r="M82" i="24"/>
  <c r="M73" i="24"/>
  <c r="L82" i="24"/>
  <c r="K82" i="24"/>
  <c r="J82" i="24"/>
  <c r="H82" i="24"/>
  <c r="AH78" i="24"/>
  <c r="G82" i="24"/>
  <c r="AI80" i="24"/>
  <c r="L75" i="24"/>
  <c r="AD213" i="24" s="1"/>
  <c r="H75" i="24"/>
  <c r="Z213" i="24" s="1"/>
  <c r="E73" i="24"/>
  <c r="AH77" i="24"/>
  <c r="E82" i="24"/>
  <c r="G73" i="24"/>
  <c r="I73" i="24"/>
  <c r="H73" i="24"/>
  <c r="D75" i="24"/>
  <c r="V213" i="24" s="1"/>
  <c r="AH56" i="24"/>
  <c r="AI37" i="24"/>
  <c r="C73" i="24"/>
  <c r="C82" i="24"/>
  <c r="C75" i="24"/>
  <c r="AI38" i="24"/>
  <c r="AH37" i="24"/>
  <c r="H4" i="24"/>
  <c r="AL213" i="24"/>
  <c r="T7" i="24"/>
  <c r="AF5" i="24"/>
  <c r="J75" i="24"/>
  <c r="AH76" i="24"/>
  <c r="AI77" i="24"/>
  <c r="I75" i="24"/>
  <c r="Q75" i="24"/>
  <c r="AG75" i="24"/>
  <c r="AG83" i="24" s="1"/>
  <c r="Q73" i="24"/>
  <c r="E75" i="24"/>
  <c r="AI78" i="24"/>
  <c r="AI79" i="24"/>
  <c r="AH72" i="24"/>
  <c r="AI56" i="24"/>
  <c r="K73" i="24"/>
  <c r="S73" i="24"/>
  <c r="AI68" i="24"/>
  <c r="K75" i="24"/>
  <c r="S75" i="24"/>
  <c r="AI72" i="24"/>
  <c r="M75" i="24"/>
  <c r="D73" i="24"/>
  <c r="J73" i="24"/>
  <c r="Y5" i="24"/>
  <c r="L73" i="24"/>
  <c r="T73" i="24"/>
  <c r="T83" i="24" s="1"/>
  <c r="Z5" i="24"/>
  <c r="P7" i="24"/>
  <c r="AH79" i="24"/>
  <c r="E191" i="24"/>
  <c r="F102" i="24"/>
  <c r="E93" i="24"/>
  <c r="AH68" i="24"/>
  <c r="Z75" i="24"/>
  <c r="Z83" i="24" s="1"/>
  <c r="N75" i="24"/>
  <c r="F191" i="24"/>
  <c r="G101" i="24"/>
  <c r="R73" i="24"/>
  <c r="R75" i="24"/>
  <c r="Q5" i="24"/>
  <c r="AH38" i="24"/>
  <c r="F75" i="24"/>
  <c r="R5" i="24"/>
  <c r="G75" i="24"/>
  <c r="O75" i="24"/>
  <c r="O83" i="24" s="1"/>
  <c r="I82" i="24"/>
  <c r="Q82" i="24"/>
  <c r="Y82" i="24"/>
  <c r="AI76" i="24"/>
  <c r="F73" i="24"/>
  <c r="N73" i="24"/>
  <c r="N83" i="24" s="1"/>
  <c r="D191" i="24"/>
  <c r="S210" i="24"/>
  <c r="D210" i="24"/>
  <c r="AH80" i="24"/>
  <c r="D234" i="24"/>
  <c r="F198" i="24"/>
  <c r="D199" i="24"/>
  <c r="E199" i="24"/>
  <c r="G193" i="24"/>
  <c r="N193" i="26" l="1"/>
  <c r="M199" i="26"/>
  <c r="Q101" i="26"/>
  <c r="M93" i="26"/>
  <c r="L234" i="26"/>
  <c r="N198" i="26"/>
  <c r="N93" i="26"/>
  <c r="O102" i="26"/>
  <c r="N191" i="26"/>
  <c r="L199" i="25"/>
  <c r="M193" i="25"/>
  <c r="L191" i="25"/>
  <c r="M101" i="25"/>
  <c r="M108" i="25"/>
  <c r="L93" i="25"/>
  <c r="O102" i="25"/>
  <c r="L234" i="25"/>
  <c r="N198" i="25"/>
  <c r="S83" i="24"/>
  <c r="R83" i="24"/>
  <c r="M83" i="24"/>
  <c r="L7" i="24"/>
  <c r="L83" i="24"/>
  <c r="H7" i="24"/>
  <c r="C83" i="24"/>
  <c r="I83" i="24"/>
  <c r="G83" i="24"/>
  <c r="H83" i="24"/>
  <c r="J83" i="24"/>
  <c r="F83" i="24"/>
  <c r="K83" i="24"/>
  <c r="D83" i="24"/>
  <c r="D7" i="24"/>
  <c r="Q83" i="24"/>
  <c r="F93" i="24"/>
  <c r="G102" i="24"/>
  <c r="G191" i="24" s="1"/>
  <c r="H101" i="24"/>
  <c r="AK213" i="24"/>
  <c r="S7" i="24"/>
  <c r="AI213" i="24"/>
  <c r="Q7" i="24"/>
  <c r="AH82" i="24"/>
  <c r="AI82" i="24"/>
  <c r="W213" i="24"/>
  <c r="E7" i="24"/>
  <c r="H193" i="24"/>
  <c r="AG213" i="24"/>
  <c r="O7" i="24"/>
  <c r="AF213" i="24"/>
  <c r="N7" i="24"/>
  <c r="AC213" i="24"/>
  <c r="K7" i="24"/>
  <c r="AA213" i="24"/>
  <c r="I7" i="24"/>
  <c r="AB213" i="24"/>
  <c r="J7" i="24"/>
  <c r="E234" i="24"/>
  <c r="G198" i="24"/>
  <c r="G199" i="24" s="1"/>
  <c r="X213" i="24"/>
  <c r="F7" i="24"/>
  <c r="Y213" i="24"/>
  <c r="C208" i="24"/>
  <c r="B208" i="24"/>
  <c r="G7" i="24"/>
  <c r="AJ213" i="24"/>
  <c r="R7" i="24"/>
  <c r="U213" i="24"/>
  <c r="C7" i="24"/>
  <c r="F199" i="24"/>
  <c r="AR213" i="24"/>
  <c r="Z7" i="24"/>
  <c r="AE213" i="24"/>
  <c r="M7" i="24"/>
  <c r="E83" i="24"/>
  <c r="R101" i="26" l="1"/>
  <c r="M234" i="26"/>
  <c r="O198" i="26"/>
  <c r="O93" i="26"/>
  <c r="P102" i="26"/>
  <c r="O191" i="26"/>
  <c r="O193" i="26"/>
  <c r="N199" i="26"/>
  <c r="N108" i="25"/>
  <c r="M93" i="25"/>
  <c r="M191" i="25"/>
  <c r="N101" i="25"/>
  <c r="P102" i="25"/>
  <c r="M234" i="25"/>
  <c r="O198" i="25"/>
  <c r="M199" i="25"/>
  <c r="N193" i="25"/>
  <c r="K6" i="24"/>
  <c r="I193" i="24"/>
  <c r="I101" i="24"/>
  <c r="H198" i="24"/>
  <c r="F234" i="24"/>
  <c r="H102" i="24"/>
  <c r="H191" i="24" s="1"/>
  <c r="G93" i="24"/>
  <c r="P193" i="26" l="1"/>
  <c r="O199" i="26"/>
  <c r="Q102" i="26"/>
  <c r="P191" i="26"/>
  <c r="N234" i="26"/>
  <c r="P198" i="26"/>
  <c r="S101" i="26"/>
  <c r="N234" i="25"/>
  <c r="P198" i="25"/>
  <c r="Q102" i="25"/>
  <c r="N191" i="25"/>
  <c r="O101" i="25"/>
  <c r="O193" i="25"/>
  <c r="N199" i="25"/>
  <c r="O108" i="25"/>
  <c r="N93" i="25"/>
  <c r="G234" i="24"/>
  <c r="I198" i="24"/>
  <c r="J101" i="24"/>
  <c r="H199" i="24"/>
  <c r="I102" i="24"/>
  <c r="H93" i="24"/>
  <c r="J193" i="24"/>
  <c r="O234" i="26" l="1"/>
  <c r="Q198" i="26"/>
  <c r="R102" i="26"/>
  <c r="Q93" i="26"/>
  <c r="Q191" i="26"/>
  <c r="P93" i="26"/>
  <c r="T101" i="26"/>
  <c r="Q193" i="26"/>
  <c r="P199" i="26"/>
  <c r="O191" i="25"/>
  <c r="P101" i="25"/>
  <c r="P193" i="25"/>
  <c r="O199" i="25"/>
  <c r="R102" i="25"/>
  <c r="O234" i="25"/>
  <c r="Q198" i="25"/>
  <c r="P108" i="25"/>
  <c r="O93" i="25"/>
  <c r="J102" i="24"/>
  <c r="J191" i="24" s="1"/>
  <c r="I93" i="24"/>
  <c r="H234" i="24"/>
  <c r="J198" i="24"/>
  <c r="K101" i="24"/>
  <c r="I191" i="24"/>
  <c r="K193" i="24"/>
  <c r="I199" i="24"/>
  <c r="U101" i="26" l="1"/>
  <c r="S102" i="26"/>
  <c r="R93" i="26"/>
  <c r="R191" i="26"/>
  <c r="P234" i="26"/>
  <c r="R198" i="26"/>
  <c r="Q199" i="26"/>
  <c r="R193" i="26"/>
  <c r="P234" i="25"/>
  <c r="R198" i="25"/>
  <c r="P199" i="25"/>
  <c r="Q193" i="25"/>
  <c r="P191" i="25"/>
  <c r="Q101" i="25"/>
  <c r="S102" i="25"/>
  <c r="Q108" i="25"/>
  <c r="P93" i="25"/>
  <c r="K198" i="24"/>
  <c r="I234" i="24"/>
  <c r="K199" i="24"/>
  <c r="L193" i="24"/>
  <c r="K102" i="24"/>
  <c r="K191" i="24" s="1"/>
  <c r="J93" i="24"/>
  <c r="L101" i="24"/>
  <c r="J199" i="24"/>
  <c r="S198" i="26" l="1"/>
  <c r="Q234" i="26"/>
  <c r="V101" i="26"/>
  <c r="T102" i="26"/>
  <c r="S93" i="26"/>
  <c r="S191" i="26"/>
  <c r="R199" i="26"/>
  <c r="S193" i="26"/>
  <c r="T102" i="25"/>
  <c r="Q199" i="25"/>
  <c r="R193" i="25"/>
  <c r="Q191" i="25"/>
  <c r="R101" i="25"/>
  <c r="Q234" i="25"/>
  <c r="S198" i="25"/>
  <c r="R108" i="25"/>
  <c r="Q93" i="25"/>
  <c r="M101" i="24"/>
  <c r="L102" i="24"/>
  <c r="K93" i="24"/>
  <c r="M193" i="24"/>
  <c r="J234" i="24"/>
  <c r="L198" i="24"/>
  <c r="W101" i="26" l="1"/>
  <c r="U102" i="26"/>
  <c r="T191" i="26"/>
  <c r="S199" i="26"/>
  <c r="T193" i="26"/>
  <c r="R234" i="26"/>
  <c r="T198" i="26"/>
  <c r="R234" i="25"/>
  <c r="T198" i="25"/>
  <c r="R191" i="25"/>
  <c r="S101" i="25"/>
  <c r="U102" i="25"/>
  <c r="R199" i="25"/>
  <c r="S193" i="25"/>
  <c r="S108" i="25"/>
  <c r="R93" i="25"/>
  <c r="L93" i="24"/>
  <c r="M102" i="24"/>
  <c r="M191" i="24"/>
  <c r="N101" i="24"/>
  <c r="M198" i="24"/>
  <c r="K234" i="24"/>
  <c r="N193" i="24"/>
  <c r="M199" i="24"/>
  <c r="L199" i="24"/>
  <c r="L191" i="24"/>
  <c r="T199" i="26" l="1"/>
  <c r="U193" i="26"/>
  <c r="X101" i="26"/>
  <c r="T93" i="26"/>
  <c r="V102" i="26"/>
  <c r="U93" i="26"/>
  <c r="U191" i="26"/>
  <c r="S234" i="26"/>
  <c r="U198" i="26"/>
  <c r="S191" i="25"/>
  <c r="T101" i="25"/>
  <c r="S199" i="25"/>
  <c r="T193" i="25"/>
  <c r="V102" i="25"/>
  <c r="S234" i="25"/>
  <c r="U198" i="25"/>
  <c r="T108" i="25"/>
  <c r="S93" i="25"/>
  <c r="O193" i="24"/>
  <c r="N198" i="24"/>
  <c r="L234" i="24"/>
  <c r="O101" i="24"/>
  <c r="N102" i="24"/>
  <c r="N191" i="24" s="1"/>
  <c r="M93" i="24"/>
  <c r="Y101" i="26" l="1"/>
  <c r="V193" i="26"/>
  <c r="U199" i="26"/>
  <c r="U51" i="26" s="1"/>
  <c r="U52" i="26" s="1"/>
  <c r="V93" i="26"/>
  <c r="W102" i="26"/>
  <c r="V191" i="26"/>
  <c r="T234" i="26"/>
  <c r="V198" i="26"/>
  <c r="T234" i="25"/>
  <c r="V198" i="25"/>
  <c r="W102" i="25"/>
  <c r="T199" i="25"/>
  <c r="U193" i="25"/>
  <c r="T191" i="25"/>
  <c r="U101" i="25"/>
  <c r="U108" i="25"/>
  <c r="T93" i="25"/>
  <c r="P101" i="24"/>
  <c r="M234" i="24"/>
  <c r="O198" i="24"/>
  <c r="O199" i="24"/>
  <c r="P193" i="24"/>
  <c r="N93" i="24"/>
  <c r="O102" i="24"/>
  <c r="N199" i="24"/>
  <c r="X102" i="26" l="1"/>
  <c r="W191" i="26"/>
  <c r="U73" i="26"/>
  <c r="U75" i="26"/>
  <c r="Z101" i="26"/>
  <c r="W193" i="26"/>
  <c r="V199" i="26"/>
  <c r="V51" i="26" s="1"/>
  <c r="V52" i="26" s="1"/>
  <c r="U234" i="26"/>
  <c r="W198" i="26"/>
  <c r="V108" i="25"/>
  <c r="U93" i="25"/>
  <c r="U191" i="25"/>
  <c r="V101" i="25"/>
  <c r="X102" i="25"/>
  <c r="U199" i="25"/>
  <c r="U51" i="25" s="1"/>
  <c r="V193" i="25"/>
  <c r="U234" i="25"/>
  <c r="W198" i="25"/>
  <c r="O93" i="24"/>
  <c r="P102" i="24"/>
  <c r="Q193" i="24"/>
  <c r="P198" i="24"/>
  <c r="N234" i="24"/>
  <c r="P191" i="24"/>
  <c r="Q101" i="24"/>
  <c r="O191" i="24"/>
  <c r="X193" i="26" l="1"/>
  <c r="W199" i="26"/>
  <c r="W51" i="26" s="1"/>
  <c r="W52" i="26" s="1"/>
  <c r="U83" i="26"/>
  <c r="V234" i="26"/>
  <c r="X198" i="26"/>
  <c r="Y102" i="26"/>
  <c r="X93" i="26"/>
  <c r="X191" i="26"/>
  <c r="AA101" i="26"/>
  <c r="AM213" i="26"/>
  <c r="U7" i="26"/>
  <c r="V75" i="26"/>
  <c r="V73" i="26"/>
  <c r="W93" i="26"/>
  <c r="W193" i="25"/>
  <c r="V199" i="25"/>
  <c r="V51" i="25" s="1"/>
  <c r="V52" i="25" s="1"/>
  <c r="U52" i="25"/>
  <c r="Y102" i="25"/>
  <c r="V234" i="25"/>
  <c r="X198" i="25"/>
  <c r="V191" i="25"/>
  <c r="W101" i="25"/>
  <c r="W108" i="25"/>
  <c r="V93" i="25"/>
  <c r="R101" i="24"/>
  <c r="O234" i="24"/>
  <c r="Q198" i="24"/>
  <c r="P199" i="24"/>
  <c r="Q199" i="24"/>
  <c r="R193" i="24"/>
  <c r="Q102" i="24"/>
  <c r="P93" i="24"/>
  <c r="V83" i="26" l="1"/>
  <c r="AN213" i="26"/>
  <c r="V7" i="26"/>
  <c r="AB101" i="26"/>
  <c r="Z102" i="26"/>
  <c r="Y93" i="26"/>
  <c r="Y191" i="26"/>
  <c r="W234" i="26"/>
  <c r="Y198" i="26"/>
  <c r="W75" i="26"/>
  <c r="W73" i="26"/>
  <c r="W83" i="26" s="1"/>
  <c r="Y193" i="26"/>
  <c r="X199" i="26"/>
  <c r="X51" i="26" s="1"/>
  <c r="X52" i="26" s="1"/>
  <c r="Z102" i="25"/>
  <c r="X108" i="25"/>
  <c r="W93" i="25"/>
  <c r="U75" i="25"/>
  <c r="U73" i="25"/>
  <c r="W191" i="25"/>
  <c r="X101" i="25"/>
  <c r="V75" i="25"/>
  <c r="V73" i="25"/>
  <c r="W234" i="25"/>
  <c r="Y198" i="25"/>
  <c r="X193" i="25"/>
  <c r="W199" i="25"/>
  <c r="W51" i="25" s="1"/>
  <c r="R102" i="24"/>
  <c r="Q93" i="24"/>
  <c r="S193" i="24"/>
  <c r="P234" i="24"/>
  <c r="R198" i="24"/>
  <c r="R191" i="24"/>
  <c r="S101" i="24"/>
  <c r="Q191" i="24"/>
  <c r="AA102" i="26" l="1"/>
  <c r="Z191" i="26"/>
  <c r="X73" i="26"/>
  <c r="X75" i="26"/>
  <c r="Y199" i="26"/>
  <c r="Y51" i="26" s="1"/>
  <c r="Y52" i="26" s="1"/>
  <c r="Z193" i="26"/>
  <c r="AO213" i="26"/>
  <c r="W7" i="26"/>
  <c r="AC101" i="26"/>
  <c r="X234" i="26"/>
  <c r="Z198" i="26"/>
  <c r="V83" i="25"/>
  <c r="W52" i="25"/>
  <c r="U83" i="25"/>
  <c r="X234" i="25"/>
  <c r="Z198" i="25"/>
  <c r="AM213" i="25"/>
  <c r="U7" i="25"/>
  <c r="X199" i="25"/>
  <c r="X51" i="25" s="1"/>
  <c r="X52" i="25" s="1"/>
  <c r="Y193" i="25"/>
  <c r="AN213" i="25"/>
  <c r="V7" i="25"/>
  <c r="Y108" i="25"/>
  <c r="X93" i="25"/>
  <c r="X191" i="25"/>
  <c r="Y101" i="25"/>
  <c r="AA102" i="25"/>
  <c r="S198" i="24"/>
  <c r="Q234" i="24"/>
  <c r="S199" i="24"/>
  <c r="T193" i="24"/>
  <c r="T101" i="24"/>
  <c r="R199" i="24"/>
  <c r="S102" i="24"/>
  <c r="R93" i="24"/>
  <c r="Z199" i="26" l="1"/>
  <c r="AA193" i="26"/>
  <c r="AP213" i="26"/>
  <c r="X7" i="26"/>
  <c r="AD101" i="26"/>
  <c r="Z93" i="26"/>
  <c r="Y75" i="26"/>
  <c r="Y73" i="26"/>
  <c r="AA198" i="26"/>
  <c r="Y234" i="26"/>
  <c r="X83" i="26"/>
  <c r="AB102" i="26"/>
  <c r="AA93" i="26"/>
  <c r="AA191" i="26"/>
  <c r="Y234" i="25"/>
  <c r="AA198" i="25"/>
  <c r="Y199" i="25"/>
  <c r="Y51" i="25" s="1"/>
  <c r="Y52" i="25" s="1"/>
  <c r="Z193" i="25"/>
  <c r="Y191" i="25"/>
  <c r="Z101" i="25"/>
  <c r="X75" i="25"/>
  <c r="X73" i="25"/>
  <c r="X83" i="25" s="1"/>
  <c r="AB102" i="25"/>
  <c r="Z108" i="25"/>
  <c r="Y93" i="25"/>
  <c r="W75" i="25"/>
  <c r="W73" i="25"/>
  <c r="T102" i="24"/>
  <c r="S93" i="24"/>
  <c r="T191" i="24"/>
  <c r="U101" i="24"/>
  <c r="S191" i="24"/>
  <c r="T199" i="24"/>
  <c r="U193" i="24"/>
  <c r="R234" i="24"/>
  <c r="T198" i="24"/>
  <c r="AQ213" i="26" l="1"/>
  <c r="Y7" i="26"/>
  <c r="AC102" i="26"/>
  <c r="AB93" i="26"/>
  <c r="AB191" i="26"/>
  <c r="AE101" i="26"/>
  <c r="Z234" i="26"/>
  <c r="AB198" i="26"/>
  <c r="AA199" i="26"/>
  <c r="AA51" i="26" s="1"/>
  <c r="AA52" i="26" s="1"/>
  <c r="AB193" i="26"/>
  <c r="Y83" i="26"/>
  <c r="AA108" i="25"/>
  <c r="Z93" i="25"/>
  <c r="AC102" i="25"/>
  <c r="Z199" i="25"/>
  <c r="AA193" i="25"/>
  <c r="Z191" i="25"/>
  <c r="AA101" i="25"/>
  <c r="Y75" i="25"/>
  <c r="Y73" i="25"/>
  <c r="W83" i="25"/>
  <c r="AO213" i="25"/>
  <c r="W7" i="25"/>
  <c r="Z234" i="25"/>
  <c r="AB198" i="25"/>
  <c r="AP213" i="25"/>
  <c r="X7" i="25"/>
  <c r="V193" i="24"/>
  <c r="V101" i="24"/>
  <c r="S234" i="24"/>
  <c r="U198" i="24"/>
  <c r="U199" i="24" s="1"/>
  <c r="U51" i="24" s="1"/>
  <c r="U52" i="24" s="1"/>
  <c r="T93" i="24"/>
  <c r="U102" i="24"/>
  <c r="AF101" i="26" l="1"/>
  <c r="AA75" i="26"/>
  <c r="AA73" i="26"/>
  <c r="AB199" i="26"/>
  <c r="AB51" i="26" s="1"/>
  <c r="AB52" i="26" s="1"/>
  <c r="AC193" i="26"/>
  <c r="AD102" i="26"/>
  <c r="AC93" i="26"/>
  <c r="AC191" i="26"/>
  <c r="AA234" i="26"/>
  <c r="AC198" i="26"/>
  <c r="Y83" i="25"/>
  <c r="AD102" i="25"/>
  <c r="AA191" i="25"/>
  <c r="AB101" i="25"/>
  <c r="AA199" i="25"/>
  <c r="AA51" i="25" s="1"/>
  <c r="AB193" i="25"/>
  <c r="AA234" i="25"/>
  <c r="AC198" i="25"/>
  <c r="AQ213" i="25"/>
  <c r="Y7" i="25"/>
  <c r="AB108" i="25"/>
  <c r="AA93" i="25"/>
  <c r="U73" i="24"/>
  <c r="U75" i="24"/>
  <c r="W101" i="24"/>
  <c r="V102" i="24"/>
  <c r="U93" i="24"/>
  <c r="U191" i="24"/>
  <c r="T234" i="24"/>
  <c r="V198" i="24"/>
  <c r="V199" i="24" s="1"/>
  <c r="V51" i="24" s="1"/>
  <c r="V52" i="24" s="1"/>
  <c r="W193" i="24"/>
  <c r="AA83" i="26" l="1"/>
  <c r="AE102" i="26"/>
  <c r="AD191" i="26"/>
  <c r="AD193" i="26"/>
  <c r="AC199" i="26"/>
  <c r="AC51" i="26" s="1"/>
  <c r="AC52" i="26" s="1"/>
  <c r="B101" i="26"/>
  <c r="AB73" i="26"/>
  <c r="AB75" i="26"/>
  <c r="AB234" i="26"/>
  <c r="AD198" i="26"/>
  <c r="AS213" i="26"/>
  <c r="AA7" i="26"/>
  <c r="AA52" i="25"/>
  <c r="AB199" i="25"/>
  <c r="AB51" i="25" s="1"/>
  <c r="AB52" i="25" s="1"/>
  <c r="AC193" i="25"/>
  <c r="AC108" i="25"/>
  <c r="AB93" i="25"/>
  <c r="AB191" i="25"/>
  <c r="AC101" i="25"/>
  <c r="AB234" i="25"/>
  <c r="AD198" i="25"/>
  <c r="AE102" i="25"/>
  <c r="V93" i="24"/>
  <c r="W102" i="24"/>
  <c r="W191" i="24"/>
  <c r="X101" i="24"/>
  <c r="X193" i="24"/>
  <c r="V191" i="24"/>
  <c r="V73" i="24"/>
  <c r="V75" i="24"/>
  <c r="AM213" i="24"/>
  <c r="U7" i="24"/>
  <c r="U234" i="24"/>
  <c r="W198" i="24"/>
  <c r="U83" i="24"/>
  <c r="AB83" i="26" l="1"/>
  <c r="AE193" i="26"/>
  <c r="AD199" i="26"/>
  <c r="AD51" i="26" s="1"/>
  <c r="AD52" i="26" s="1"/>
  <c r="AC234" i="26"/>
  <c r="AE198" i="26"/>
  <c r="AE93" i="26"/>
  <c r="AF102" i="26"/>
  <c r="AE191" i="26"/>
  <c r="AC73" i="26"/>
  <c r="AC75" i="26"/>
  <c r="AT213" i="26"/>
  <c r="AB7" i="26"/>
  <c r="AD93" i="26"/>
  <c r="AD108" i="25"/>
  <c r="AC93" i="25"/>
  <c r="AF102" i="25"/>
  <c r="AC199" i="25"/>
  <c r="AC51" i="25" s="1"/>
  <c r="AC52" i="25" s="1"/>
  <c r="AD193" i="25"/>
  <c r="AB73" i="25"/>
  <c r="AB75" i="25"/>
  <c r="AC234" i="25"/>
  <c r="AE198" i="25"/>
  <c r="AC191" i="25"/>
  <c r="AD101" i="25"/>
  <c r="AA75" i="25"/>
  <c r="AA73" i="25"/>
  <c r="V83" i="24"/>
  <c r="Y193" i="24"/>
  <c r="X198" i="24"/>
  <c r="V234" i="24"/>
  <c r="W199" i="24"/>
  <c r="W51" i="24" s="1"/>
  <c r="W52" i="24" s="1"/>
  <c r="Y101" i="24"/>
  <c r="X102" i="24"/>
  <c r="W93" i="24"/>
  <c r="AN213" i="24"/>
  <c r="V7" i="24"/>
  <c r="AD73" i="26" l="1"/>
  <c r="AD75" i="26"/>
  <c r="B102" i="26"/>
  <c r="AF93" i="26"/>
  <c r="AF191" i="26"/>
  <c r="AD234" i="26"/>
  <c r="AF198" i="26"/>
  <c r="AU213" i="26"/>
  <c r="AC7" i="26"/>
  <c r="AC83" i="26"/>
  <c r="AF193" i="26"/>
  <c r="AE199" i="26"/>
  <c r="AE51" i="26" s="1"/>
  <c r="AE52" i="26" s="1"/>
  <c r="AT213" i="25"/>
  <c r="AB7" i="25"/>
  <c r="AD191" i="25"/>
  <c r="AE101" i="25"/>
  <c r="AC73" i="25"/>
  <c r="AC75" i="25"/>
  <c r="AB83" i="25"/>
  <c r="AA83" i="25"/>
  <c r="AE193" i="25"/>
  <c r="AD199" i="25"/>
  <c r="AD51" i="25" s="1"/>
  <c r="AD52" i="25" s="1"/>
  <c r="AS213" i="25"/>
  <c r="AA7" i="25"/>
  <c r="B102" i="25"/>
  <c r="AD234" i="25"/>
  <c r="AF198" i="25"/>
  <c r="AE108" i="25"/>
  <c r="AD93" i="25"/>
  <c r="Y102" i="24"/>
  <c r="X93" i="24"/>
  <c r="X191" i="24"/>
  <c r="Y198" i="24"/>
  <c r="W234" i="24"/>
  <c r="Y191" i="24"/>
  <c r="Z101" i="24"/>
  <c r="W73" i="24"/>
  <c r="W83" i="24" s="1"/>
  <c r="W75" i="24"/>
  <c r="X199" i="24"/>
  <c r="X51" i="24" s="1"/>
  <c r="X52" i="24" s="1"/>
  <c r="Z193" i="24"/>
  <c r="B191" i="26" l="1"/>
  <c r="B198" i="26"/>
  <c r="AF234" i="26" s="1"/>
  <c r="AE234" i="26"/>
  <c r="AE75" i="26"/>
  <c r="AE73" i="26"/>
  <c r="AE83" i="26" s="1"/>
  <c r="AV213" i="26"/>
  <c r="AD7" i="26"/>
  <c r="AH93" i="26"/>
  <c r="AI93" i="26"/>
  <c r="AF199" i="26"/>
  <c r="AF51" i="26" s="1"/>
  <c r="AF52" i="26" s="1"/>
  <c r="B193" i="26"/>
  <c r="B199" i="26" s="1"/>
  <c r="B51" i="26" s="1"/>
  <c r="AD83" i="26"/>
  <c r="AC83" i="25"/>
  <c r="AF108" i="25"/>
  <c r="AE93" i="25"/>
  <c r="AE191" i="25"/>
  <c r="AF101" i="25"/>
  <c r="AE234" i="25"/>
  <c r="B198" i="25"/>
  <c r="AF234" i="25" s="1"/>
  <c r="AD75" i="25"/>
  <c r="AD73" i="25"/>
  <c r="AU213" i="25"/>
  <c r="AC7" i="25"/>
  <c r="AF193" i="25"/>
  <c r="AE199" i="25"/>
  <c r="AE51" i="25" s="1"/>
  <c r="AE52" i="25" s="1"/>
  <c r="AA193" i="24"/>
  <c r="X234" i="24"/>
  <c r="Z198" i="24"/>
  <c r="Y199" i="24"/>
  <c r="Y51" i="24" s="1"/>
  <c r="Y52" i="24" s="1"/>
  <c r="Z191" i="24"/>
  <c r="AA101" i="24"/>
  <c r="X75" i="24"/>
  <c r="X73" i="24"/>
  <c r="AO213" i="24"/>
  <c r="W7" i="24"/>
  <c r="Z102" i="24"/>
  <c r="Y93" i="24"/>
  <c r="AW213" i="26" l="1"/>
  <c r="AE7" i="26"/>
  <c r="AF73" i="26"/>
  <c r="AF75" i="26"/>
  <c r="B52" i="26"/>
  <c r="AH51" i="26"/>
  <c r="AI51" i="26"/>
  <c r="B93" i="26"/>
  <c r="AV213" i="25"/>
  <c r="AD7" i="25"/>
  <c r="AE75" i="25"/>
  <c r="AE73" i="25"/>
  <c r="AE83" i="25" s="1"/>
  <c r="AF191" i="25"/>
  <c r="B101" i="25"/>
  <c r="B191" i="25" s="1"/>
  <c r="B193" i="25"/>
  <c r="B199" i="25" s="1"/>
  <c r="AF199" i="25"/>
  <c r="AF51" i="25" s="1"/>
  <c r="B108" i="25"/>
  <c r="AF93" i="25"/>
  <c r="AD83" i="25"/>
  <c r="AP213" i="24"/>
  <c r="X7" i="24"/>
  <c r="Y73" i="24"/>
  <c r="Y75" i="24"/>
  <c r="AB101" i="24"/>
  <c r="AA102" i="24"/>
  <c r="AA191" i="24" s="1"/>
  <c r="Z93" i="24"/>
  <c r="AA198" i="24"/>
  <c r="AA199" i="24" s="1"/>
  <c r="AA51" i="24" s="1"/>
  <c r="AA52" i="24" s="1"/>
  <c r="Y234" i="24"/>
  <c r="AB193" i="24"/>
  <c r="X83" i="24"/>
  <c r="Z199" i="24"/>
  <c r="B75" i="26" l="1"/>
  <c r="AI52" i="26"/>
  <c r="AH52" i="26"/>
  <c r="B73" i="26"/>
  <c r="AX213" i="26"/>
  <c r="AF7" i="26"/>
  <c r="AF83" i="26"/>
  <c r="AI93" i="25"/>
  <c r="AH93" i="25"/>
  <c r="AW213" i="25"/>
  <c r="AE7" i="25"/>
  <c r="AF52" i="25"/>
  <c r="AH51" i="25"/>
  <c r="AI51" i="25"/>
  <c r="AB102" i="24"/>
  <c r="AA93" i="24"/>
  <c r="AQ213" i="24"/>
  <c r="Y7" i="24"/>
  <c r="AB191" i="24"/>
  <c r="AC101" i="24"/>
  <c r="AB199" i="24"/>
  <c r="AB51" i="24" s="1"/>
  <c r="AB52" i="24" s="1"/>
  <c r="AC193" i="24"/>
  <c r="AA73" i="24"/>
  <c r="AA75" i="24"/>
  <c r="Y83" i="24"/>
  <c r="Z234" i="24"/>
  <c r="AB198" i="24"/>
  <c r="AI73" i="26" l="1"/>
  <c r="AH73" i="26"/>
  <c r="B83" i="26"/>
  <c r="T213" i="26"/>
  <c r="B7" i="26"/>
  <c r="A7" i="26" s="1"/>
  <c r="AI75" i="26"/>
  <c r="AH75" i="26"/>
  <c r="AF75" i="25"/>
  <c r="AF73" i="25"/>
  <c r="AI52" i="25"/>
  <c r="AH52" i="25"/>
  <c r="AD193" i="24"/>
  <c r="AD101" i="24"/>
  <c r="AA234" i="24"/>
  <c r="AC198" i="24"/>
  <c r="AB73" i="24"/>
  <c r="AB75" i="24"/>
  <c r="AS213" i="24"/>
  <c r="AA7" i="24"/>
  <c r="AA83" i="24"/>
  <c r="AC102" i="24"/>
  <c r="AB93" i="24"/>
  <c r="AI83" i="26" l="1"/>
  <c r="AH83" i="26"/>
  <c r="AF83" i="25"/>
  <c r="AI73" i="25"/>
  <c r="AH73" i="25"/>
  <c r="AX213" i="25"/>
  <c r="AF7" i="25"/>
  <c r="A7" i="25" s="1"/>
  <c r="AH75" i="25"/>
  <c r="AI75" i="25"/>
  <c r="AT213" i="24"/>
  <c r="AB7" i="24"/>
  <c r="AB234" i="24"/>
  <c r="AD198" i="24"/>
  <c r="AB83" i="24"/>
  <c r="AD102" i="24"/>
  <c r="AC93" i="24"/>
  <c r="AD191" i="24"/>
  <c r="AE101" i="24"/>
  <c r="AC191" i="24"/>
  <c r="AC199" i="24"/>
  <c r="AC51" i="24" s="1"/>
  <c r="AC52" i="24" s="1"/>
  <c r="AD199" i="24"/>
  <c r="AD51" i="24" s="1"/>
  <c r="AD52" i="24" s="1"/>
  <c r="AE193" i="24"/>
  <c r="AI83" i="25" l="1"/>
  <c r="AH83" i="25"/>
  <c r="AD75" i="24"/>
  <c r="AD73" i="24"/>
  <c r="AC234" i="24"/>
  <c r="AE198" i="24"/>
  <c r="AE199" i="24"/>
  <c r="AE51" i="24" s="1"/>
  <c r="AE52" i="24" s="1"/>
  <c r="AF193" i="24"/>
  <c r="AC73" i="24"/>
  <c r="AC75" i="24"/>
  <c r="AE102" i="24"/>
  <c r="AD93" i="24"/>
  <c r="AE191" i="24"/>
  <c r="AF101" i="24"/>
  <c r="AD83" i="24" l="1"/>
  <c r="AC83" i="24"/>
  <c r="B193" i="24"/>
  <c r="AE73" i="24"/>
  <c r="AE75" i="24"/>
  <c r="AF191" i="24"/>
  <c r="B101" i="24"/>
  <c r="AF198" i="24"/>
  <c r="AD234" i="24"/>
  <c r="AU213" i="24"/>
  <c r="AC7" i="24"/>
  <c r="AF102" i="24"/>
  <c r="AE93" i="24"/>
  <c r="AV213" i="24"/>
  <c r="AD7" i="24"/>
  <c r="B198" i="24" l="1"/>
  <c r="AF234" i="24" s="1"/>
  <c r="AE234" i="24"/>
  <c r="AE83" i="24"/>
  <c r="B102" i="24"/>
  <c r="B93" i="24" s="1"/>
  <c r="AF93" i="24"/>
  <c r="AF199" i="24"/>
  <c r="AF51" i="24" s="1"/>
  <c r="AF52" i="24" s="1"/>
  <c r="AW213" i="24"/>
  <c r="AE7" i="24"/>
  <c r="B199" i="24"/>
  <c r="AH93" i="24" l="1"/>
  <c r="AI93" i="24"/>
  <c r="AF75" i="24"/>
  <c r="AF73" i="24"/>
  <c r="AF83" i="24" s="1"/>
  <c r="AH51" i="24"/>
  <c r="AI51" i="24"/>
  <c r="B191" i="24"/>
  <c r="AH52" i="24" l="1"/>
  <c r="AI52" i="24"/>
  <c r="AX213" i="24"/>
  <c r="AF7" i="24"/>
  <c r="T213" i="24" l="1"/>
  <c r="AI75" i="24"/>
  <c r="AH75" i="24"/>
  <c r="A7" i="24"/>
  <c r="AI73" i="24"/>
  <c r="AH73" i="24"/>
  <c r="AI83" i="24" l="1"/>
  <c r="AH83" i="24"/>
  <c r="Z37" i="23" l="1"/>
  <c r="Y37" i="23"/>
  <c r="X37" i="23"/>
  <c r="W37" i="23"/>
  <c r="V37" i="23"/>
  <c r="U37" i="23"/>
  <c r="R93" i="23"/>
  <c r="L37" i="23" l="1"/>
  <c r="K37" i="23"/>
  <c r="J37" i="23"/>
  <c r="I37" i="23"/>
  <c r="AH37" i="23"/>
  <c r="H37" i="23"/>
  <c r="G37" i="23"/>
  <c r="F37" i="23"/>
  <c r="E37" i="23"/>
  <c r="AH99" i="23"/>
  <c r="AI99" i="23" s="1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AF235" i="23"/>
  <c r="AE235" i="23"/>
  <c r="AD235" i="23"/>
  <c r="AC235" i="23"/>
  <c r="AB235" i="23"/>
  <c r="AA235" i="23"/>
  <c r="Z235" i="23"/>
  <c r="Y235" i="23"/>
  <c r="X235" i="23"/>
  <c r="W235" i="23"/>
  <c r="V235" i="23"/>
  <c r="U235" i="23"/>
  <c r="T235" i="23"/>
  <c r="S235" i="23"/>
  <c r="R235" i="23"/>
  <c r="Q235" i="23"/>
  <c r="P235" i="23"/>
  <c r="O235" i="23"/>
  <c r="N235" i="23"/>
  <c r="M235" i="23"/>
  <c r="L235" i="23"/>
  <c r="K235" i="23"/>
  <c r="J235" i="23"/>
  <c r="I235" i="23"/>
  <c r="H235" i="23"/>
  <c r="G235" i="23"/>
  <c r="F235" i="23"/>
  <c r="E235" i="23"/>
  <c r="D235" i="23"/>
  <c r="C235" i="23"/>
  <c r="B235" i="23"/>
  <c r="A235" i="23"/>
  <c r="B234" i="23"/>
  <c r="S209" i="23"/>
  <c r="AG199" i="23"/>
  <c r="C199" i="23"/>
  <c r="D198" i="23"/>
  <c r="C234" i="23" s="1"/>
  <c r="D197" i="23"/>
  <c r="E197" i="23" s="1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E196" i="23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D196" i="23"/>
  <c r="D195" i="23"/>
  <c r="E195" i="23" s="1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D194" i="23"/>
  <c r="E194" i="23" s="1"/>
  <c r="G193" i="23"/>
  <c r="D193" i="23"/>
  <c r="E193" i="23" s="1"/>
  <c r="F193" i="23" s="1"/>
  <c r="AG191" i="23"/>
  <c r="C191" i="23"/>
  <c r="N190" i="23"/>
  <c r="O190" i="23" s="1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E190" i="23"/>
  <c r="F190" i="23" s="1"/>
  <c r="G190" i="23" s="1"/>
  <c r="H190" i="23" s="1"/>
  <c r="I190" i="23" s="1"/>
  <c r="J190" i="23" s="1"/>
  <c r="K190" i="23" s="1"/>
  <c r="L190" i="23" s="1"/>
  <c r="M190" i="23" s="1"/>
  <c r="D190" i="23"/>
  <c r="K189" i="23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F189" i="23"/>
  <c r="G189" i="23" s="1"/>
  <c r="H189" i="23" s="1"/>
  <c r="I189" i="23" s="1"/>
  <c r="J189" i="23" s="1"/>
  <c r="E189" i="23"/>
  <c r="D189" i="23"/>
  <c r="D188" i="23"/>
  <c r="E188" i="23" s="1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G187" i="23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D187" i="23"/>
  <c r="E187" i="23" s="1"/>
  <c r="F187" i="23" s="1"/>
  <c r="E186" i="23"/>
  <c r="F186" i="23" s="1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D186" i="23"/>
  <c r="F185" i="23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E185" i="23"/>
  <c r="D185" i="23"/>
  <c r="D184" i="23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I183" i="23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D183" i="23"/>
  <c r="E183" i="23" s="1"/>
  <c r="F183" i="23" s="1"/>
  <c r="G183" i="23" s="1"/>
  <c r="H183" i="23" s="1"/>
  <c r="N182" i="23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E182" i="23"/>
  <c r="F182" i="23" s="1"/>
  <c r="G182" i="23" s="1"/>
  <c r="H182" i="23" s="1"/>
  <c r="I182" i="23" s="1"/>
  <c r="J182" i="23" s="1"/>
  <c r="K182" i="23" s="1"/>
  <c r="L182" i="23" s="1"/>
  <c r="M182" i="23" s="1"/>
  <c r="D182" i="23"/>
  <c r="F181" i="23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B181" i="23" s="1"/>
  <c r="D181" i="23"/>
  <c r="E181" i="23" s="1"/>
  <c r="D180" i="23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W179" i="23"/>
  <c r="X179" i="23" s="1"/>
  <c r="Y179" i="23" s="1"/>
  <c r="Z179" i="23" s="1"/>
  <c r="AA179" i="23" s="1"/>
  <c r="AB179" i="23" s="1"/>
  <c r="AC179" i="23" s="1"/>
  <c r="AD179" i="23" s="1"/>
  <c r="AE179" i="23" s="1"/>
  <c r="AF179" i="23" s="1"/>
  <c r="B179" i="23" s="1"/>
  <c r="G179" i="23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E179" i="23"/>
  <c r="F179" i="23" s="1"/>
  <c r="D179" i="23"/>
  <c r="E178" i="23"/>
  <c r="F178" i="23" s="1"/>
  <c r="G178" i="23" s="1"/>
  <c r="H178" i="23" s="1"/>
  <c r="I178" i="23" s="1"/>
  <c r="J178" i="23" s="1"/>
  <c r="K178" i="23" s="1"/>
  <c r="L178" i="23" s="1"/>
  <c r="M178" i="23" s="1"/>
  <c r="N178" i="23" s="1"/>
  <c r="O178" i="23" s="1"/>
  <c r="P178" i="23" s="1"/>
  <c r="Q178" i="23" s="1"/>
  <c r="R178" i="23" s="1"/>
  <c r="S178" i="23" s="1"/>
  <c r="T178" i="23" s="1"/>
  <c r="U178" i="23" s="1"/>
  <c r="V178" i="23" s="1"/>
  <c r="W178" i="23" s="1"/>
  <c r="X178" i="23" s="1"/>
  <c r="Y178" i="23" s="1"/>
  <c r="Z178" i="23" s="1"/>
  <c r="AA178" i="23" s="1"/>
  <c r="AB178" i="23" s="1"/>
  <c r="AC178" i="23" s="1"/>
  <c r="AD178" i="23" s="1"/>
  <c r="AE178" i="23" s="1"/>
  <c r="AF178" i="23" s="1"/>
  <c r="B178" i="23" s="1"/>
  <c r="D178" i="23"/>
  <c r="E176" i="23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D176" i="23"/>
  <c r="G175" i="23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F175" i="23"/>
  <c r="D175" i="23"/>
  <c r="E175" i="23" s="1"/>
  <c r="N174" i="23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D174" i="23"/>
  <c r="E174" i="23" s="1"/>
  <c r="F174" i="23" s="1"/>
  <c r="G174" i="23" s="1"/>
  <c r="H174" i="23" s="1"/>
  <c r="I174" i="23" s="1"/>
  <c r="J174" i="23" s="1"/>
  <c r="K174" i="23" s="1"/>
  <c r="L174" i="23" s="1"/>
  <c r="M174" i="23" s="1"/>
  <c r="E173" i="23"/>
  <c r="F173" i="23" s="1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B173" i="23" s="1"/>
  <c r="D173" i="23"/>
  <c r="AF172" i="23"/>
  <c r="B172" i="23" s="1"/>
  <c r="J172" i="23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F172" i="23"/>
  <c r="G172" i="23" s="1"/>
  <c r="H172" i="23" s="1"/>
  <c r="I172" i="23" s="1"/>
  <c r="D172" i="23"/>
  <c r="E172" i="23" s="1"/>
  <c r="E171" i="23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D171" i="23"/>
  <c r="G170" i="23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B170" i="23" s="1"/>
  <c r="D170" i="23"/>
  <c r="E170" i="23" s="1"/>
  <c r="F170" i="23" s="1"/>
  <c r="E169" i="23"/>
  <c r="F169" i="23" s="1"/>
  <c r="G169" i="23" s="1"/>
  <c r="H169" i="23" s="1"/>
  <c r="I169" i="23" s="1"/>
  <c r="J169" i="23" s="1"/>
  <c r="K169" i="23" s="1"/>
  <c r="L169" i="23" s="1"/>
  <c r="M169" i="23" s="1"/>
  <c r="N169" i="23" s="1"/>
  <c r="O169" i="23" s="1"/>
  <c r="P169" i="23" s="1"/>
  <c r="Q169" i="23" s="1"/>
  <c r="R169" i="23" s="1"/>
  <c r="S169" i="23" s="1"/>
  <c r="T169" i="23" s="1"/>
  <c r="U169" i="23" s="1"/>
  <c r="V169" i="23" s="1"/>
  <c r="W169" i="23" s="1"/>
  <c r="X169" i="23" s="1"/>
  <c r="Y169" i="23" s="1"/>
  <c r="Z169" i="23" s="1"/>
  <c r="AA169" i="23" s="1"/>
  <c r="AB169" i="23" s="1"/>
  <c r="AC169" i="23" s="1"/>
  <c r="AD169" i="23" s="1"/>
  <c r="AE169" i="23" s="1"/>
  <c r="AF169" i="23" s="1"/>
  <c r="B169" i="23" s="1"/>
  <c r="D169" i="23"/>
  <c r="D167" i="23"/>
  <c r="E167" i="23" s="1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6" i="23"/>
  <c r="E166" i="23" s="1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D165" i="23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F164" i="23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E164" i="23"/>
  <c r="D164" i="23"/>
  <c r="D163" i="23"/>
  <c r="E163" i="23" s="1"/>
  <c r="F163" i="23" s="1"/>
  <c r="G163" i="23" s="1"/>
  <c r="H163" i="23" s="1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J162" i="23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F162" i="23"/>
  <c r="G162" i="23" s="1"/>
  <c r="H162" i="23" s="1"/>
  <c r="I162" i="23" s="1"/>
  <c r="E162" i="23"/>
  <c r="D162" i="23"/>
  <c r="X161" i="23"/>
  <c r="Y161" i="23" s="1"/>
  <c r="Z161" i="23" s="1"/>
  <c r="AA161" i="23" s="1"/>
  <c r="AB161" i="23" s="1"/>
  <c r="AC161" i="23" s="1"/>
  <c r="AD161" i="23" s="1"/>
  <c r="AE161" i="23" s="1"/>
  <c r="AF161" i="23" s="1"/>
  <c r="B161" i="23" s="1"/>
  <c r="H161" i="23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D161" i="23"/>
  <c r="E161" i="23" s="1"/>
  <c r="F161" i="23" s="1"/>
  <c r="G161" i="23" s="1"/>
  <c r="F160" i="23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E160" i="23"/>
  <c r="D160" i="23"/>
  <c r="L159" i="23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D159" i="23"/>
  <c r="E159" i="23" s="1"/>
  <c r="F159" i="23" s="1"/>
  <c r="G159" i="23" s="1"/>
  <c r="H159" i="23" s="1"/>
  <c r="I159" i="23" s="1"/>
  <c r="J159" i="23" s="1"/>
  <c r="K159" i="23" s="1"/>
  <c r="E158" i="23"/>
  <c r="F158" i="23" s="1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D158" i="23"/>
  <c r="L157" i="23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E157" i="23"/>
  <c r="F157" i="23" s="1"/>
  <c r="G157" i="23" s="1"/>
  <c r="H157" i="23" s="1"/>
  <c r="I157" i="23" s="1"/>
  <c r="J157" i="23" s="1"/>
  <c r="K157" i="23" s="1"/>
  <c r="D157" i="23"/>
  <c r="V156" i="23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F156" i="23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E156" i="23"/>
  <c r="D156" i="23"/>
  <c r="G155" i="23"/>
  <c r="H155" i="23" s="1"/>
  <c r="I155" i="23" s="1"/>
  <c r="J155" i="23" s="1"/>
  <c r="K155" i="23" s="1"/>
  <c r="L155" i="23" s="1"/>
  <c r="M155" i="23" s="1"/>
  <c r="N155" i="23" s="1"/>
  <c r="O155" i="23" s="1"/>
  <c r="P155" i="23" s="1"/>
  <c r="Q155" i="23" s="1"/>
  <c r="R155" i="23" s="1"/>
  <c r="S155" i="23" s="1"/>
  <c r="T155" i="23" s="1"/>
  <c r="U155" i="23" s="1"/>
  <c r="V155" i="23" s="1"/>
  <c r="W155" i="23" s="1"/>
  <c r="X155" i="23" s="1"/>
  <c r="Y155" i="23" s="1"/>
  <c r="Z155" i="23" s="1"/>
  <c r="AA155" i="23" s="1"/>
  <c r="AB155" i="23" s="1"/>
  <c r="AC155" i="23" s="1"/>
  <c r="AD155" i="23" s="1"/>
  <c r="AE155" i="23" s="1"/>
  <c r="AF155" i="23" s="1"/>
  <c r="B155" i="23" s="1"/>
  <c r="D155" i="23"/>
  <c r="E155" i="23" s="1"/>
  <c r="F155" i="23" s="1"/>
  <c r="G153" i="23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E153" i="23"/>
  <c r="F153" i="23" s="1"/>
  <c r="D153" i="23"/>
  <c r="F152" i="23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D152" i="23"/>
  <c r="E152" i="23" s="1"/>
  <c r="E151" i="23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D151" i="23"/>
  <c r="I150" i="23"/>
  <c r="J150" i="23" s="1"/>
  <c r="K150" i="23" s="1"/>
  <c r="L150" i="23" s="1"/>
  <c r="M150" i="23" s="1"/>
  <c r="N150" i="23" s="1"/>
  <c r="O150" i="23" s="1"/>
  <c r="P150" i="23" s="1"/>
  <c r="Q150" i="23" s="1"/>
  <c r="R150" i="23" s="1"/>
  <c r="S150" i="23" s="1"/>
  <c r="T150" i="23" s="1"/>
  <c r="U150" i="23" s="1"/>
  <c r="V150" i="23" s="1"/>
  <c r="W150" i="23" s="1"/>
  <c r="X150" i="23" s="1"/>
  <c r="Y150" i="23" s="1"/>
  <c r="Z150" i="23" s="1"/>
  <c r="AA150" i="23" s="1"/>
  <c r="AB150" i="23" s="1"/>
  <c r="AC150" i="23" s="1"/>
  <c r="AD150" i="23" s="1"/>
  <c r="AE150" i="23" s="1"/>
  <c r="AF150" i="23" s="1"/>
  <c r="B150" i="23" s="1"/>
  <c r="E150" i="23"/>
  <c r="F150" i="23" s="1"/>
  <c r="G150" i="23" s="1"/>
  <c r="H150" i="23" s="1"/>
  <c r="D150" i="23"/>
  <c r="E148" i="23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D148" i="23"/>
  <c r="E147" i="23"/>
  <c r="F147" i="23" s="1"/>
  <c r="G147" i="23" s="1"/>
  <c r="H147" i="23" s="1"/>
  <c r="I147" i="23" s="1"/>
  <c r="J147" i="23" s="1"/>
  <c r="K147" i="23" s="1"/>
  <c r="L147" i="23" s="1"/>
  <c r="M147" i="23" s="1"/>
  <c r="N147" i="23" s="1"/>
  <c r="O147" i="23" s="1"/>
  <c r="P147" i="23" s="1"/>
  <c r="Q147" i="23" s="1"/>
  <c r="R147" i="23" s="1"/>
  <c r="S147" i="23" s="1"/>
  <c r="T147" i="23" s="1"/>
  <c r="U147" i="23" s="1"/>
  <c r="V147" i="23" s="1"/>
  <c r="W147" i="23" s="1"/>
  <c r="X147" i="23" s="1"/>
  <c r="Y147" i="23" s="1"/>
  <c r="Z147" i="23" s="1"/>
  <c r="AA147" i="23" s="1"/>
  <c r="AB147" i="23" s="1"/>
  <c r="AC147" i="23" s="1"/>
  <c r="AD147" i="23" s="1"/>
  <c r="AE147" i="23" s="1"/>
  <c r="AF147" i="23" s="1"/>
  <c r="B147" i="23" s="1"/>
  <c r="D147" i="23"/>
  <c r="G145" i="23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E145" i="23"/>
  <c r="F145" i="23" s="1"/>
  <c r="D145" i="23"/>
  <c r="E144" i="23"/>
  <c r="F144" i="23" s="1"/>
  <c r="G144" i="23" s="1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D144" i="23"/>
  <c r="K143" i="23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G143" i="23"/>
  <c r="H143" i="23" s="1"/>
  <c r="I143" i="23" s="1"/>
  <c r="J143" i="23" s="1"/>
  <c r="E143" i="23"/>
  <c r="F143" i="23" s="1"/>
  <c r="D143" i="23"/>
  <c r="E142" i="23"/>
  <c r="F142" i="23" s="1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D142" i="23"/>
  <c r="K141" i="23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I141" i="23"/>
  <c r="J141" i="23" s="1"/>
  <c r="G141" i="23"/>
  <c r="H141" i="23" s="1"/>
  <c r="E141" i="23"/>
  <c r="F141" i="23" s="1"/>
  <c r="D141" i="23"/>
  <c r="Y140" i="23"/>
  <c r="Z140" i="23" s="1"/>
  <c r="AA140" i="23" s="1"/>
  <c r="AB140" i="23" s="1"/>
  <c r="AC140" i="23" s="1"/>
  <c r="AD140" i="23" s="1"/>
  <c r="AE140" i="23" s="1"/>
  <c r="AF140" i="23" s="1"/>
  <c r="B140" i="23" s="1"/>
  <c r="E140" i="23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D140" i="23"/>
  <c r="E139" i="23"/>
  <c r="F139" i="23" s="1"/>
  <c r="G139" i="23" s="1"/>
  <c r="H139" i="23" s="1"/>
  <c r="I139" i="23" s="1"/>
  <c r="J139" i="23" s="1"/>
  <c r="K139" i="23" s="1"/>
  <c r="L139" i="23" s="1"/>
  <c r="M139" i="23" s="1"/>
  <c r="N139" i="23" s="1"/>
  <c r="O139" i="23" s="1"/>
  <c r="P139" i="23" s="1"/>
  <c r="Q139" i="23" s="1"/>
  <c r="R139" i="23" s="1"/>
  <c r="S139" i="23" s="1"/>
  <c r="T139" i="23" s="1"/>
  <c r="U139" i="23" s="1"/>
  <c r="V139" i="23" s="1"/>
  <c r="W139" i="23" s="1"/>
  <c r="X139" i="23" s="1"/>
  <c r="Y139" i="23" s="1"/>
  <c r="Z139" i="23" s="1"/>
  <c r="AA139" i="23" s="1"/>
  <c r="AB139" i="23" s="1"/>
  <c r="AC139" i="23" s="1"/>
  <c r="AD139" i="23" s="1"/>
  <c r="AE139" i="23" s="1"/>
  <c r="AF139" i="23" s="1"/>
  <c r="B139" i="23" s="1"/>
  <c r="D139" i="23"/>
  <c r="I137" i="23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G137" i="23"/>
  <c r="H137" i="23" s="1"/>
  <c r="E137" i="23"/>
  <c r="F137" i="23" s="1"/>
  <c r="D137" i="23"/>
  <c r="Q136" i="23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I136" i="23"/>
  <c r="J136" i="23" s="1"/>
  <c r="K136" i="23" s="1"/>
  <c r="L136" i="23" s="1"/>
  <c r="M136" i="23" s="1"/>
  <c r="N136" i="23" s="1"/>
  <c r="O136" i="23" s="1"/>
  <c r="P136" i="23" s="1"/>
  <c r="G136" i="23"/>
  <c r="H136" i="23" s="1"/>
  <c r="E136" i="23"/>
  <c r="F136" i="23" s="1"/>
  <c r="D136" i="23"/>
  <c r="P135" i="23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E135" i="23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D135" i="23"/>
  <c r="I134" i="23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E134" i="23"/>
  <c r="F134" i="23" s="1"/>
  <c r="G134" i="23" s="1"/>
  <c r="H134" i="23" s="1"/>
  <c r="D134" i="23"/>
  <c r="D133" i="23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F132" i="23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E132" i="23"/>
  <c r="D132" i="23"/>
  <c r="D131" i="23"/>
  <c r="E131" i="23" s="1"/>
  <c r="F131" i="23" s="1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D130" i="23"/>
  <c r="E130" i="23" s="1"/>
  <c r="F130" i="23" s="1"/>
  <c r="G130" i="23" s="1"/>
  <c r="H130" i="23" s="1"/>
  <c r="I130" i="23" s="1"/>
  <c r="J130" i="23" s="1"/>
  <c r="K130" i="23" s="1"/>
  <c r="L130" i="23" s="1"/>
  <c r="M130" i="23" s="1"/>
  <c r="N130" i="23" s="1"/>
  <c r="O130" i="23" s="1"/>
  <c r="P130" i="23" s="1"/>
  <c r="Q130" i="23" s="1"/>
  <c r="R130" i="23" s="1"/>
  <c r="S130" i="23" s="1"/>
  <c r="T130" i="23" s="1"/>
  <c r="U130" i="23" s="1"/>
  <c r="V130" i="23" s="1"/>
  <c r="W130" i="23" s="1"/>
  <c r="X130" i="23" s="1"/>
  <c r="Y130" i="23" s="1"/>
  <c r="Z130" i="23" s="1"/>
  <c r="AA130" i="23" s="1"/>
  <c r="AB130" i="23" s="1"/>
  <c r="AC130" i="23" s="1"/>
  <c r="AD130" i="23" s="1"/>
  <c r="AE130" i="23" s="1"/>
  <c r="AF130" i="23" s="1"/>
  <c r="B130" i="23" s="1"/>
  <c r="Q128" i="23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G128" i="23"/>
  <c r="H128" i="23" s="1"/>
  <c r="I128" i="23" s="1"/>
  <c r="J128" i="23" s="1"/>
  <c r="K128" i="23" s="1"/>
  <c r="L128" i="23" s="1"/>
  <c r="M128" i="23" s="1"/>
  <c r="N128" i="23" s="1"/>
  <c r="O128" i="23" s="1"/>
  <c r="P128" i="23" s="1"/>
  <c r="E128" i="23"/>
  <c r="F128" i="23" s="1"/>
  <c r="D128" i="23"/>
  <c r="E127" i="23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7" i="23"/>
  <c r="D126" i="23"/>
  <c r="E126" i="23" s="1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T125" i="23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G125" i="23"/>
  <c r="H125" i="23" s="1"/>
  <c r="I125" i="23" s="1"/>
  <c r="J125" i="23" s="1"/>
  <c r="K125" i="23" s="1"/>
  <c r="L125" i="23" s="1"/>
  <c r="M125" i="23" s="1"/>
  <c r="N125" i="23" s="1"/>
  <c r="O125" i="23" s="1"/>
  <c r="P125" i="23" s="1"/>
  <c r="Q125" i="23" s="1"/>
  <c r="R125" i="23" s="1"/>
  <c r="S125" i="23" s="1"/>
  <c r="F125" i="23"/>
  <c r="E125" i="23"/>
  <c r="D125" i="23"/>
  <c r="I124" i="23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D124" i="23"/>
  <c r="E124" i="23" s="1"/>
  <c r="F124" i="23" s="1"/>
  <c r="G124" i="23" s="1"/>
  <c r="H124" i="23" s="1"/>
  <c r="M123" i="23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K123" i="23"/>
  <c r="L123" i="23" s="1"/>
  <c r="G123" i="23"/>
  <c r="H123" i="23" s="1"/>
  <c r="I123" i="23" s="1"/>
  <c r="J123" i="23" s="1"/>
  <c r="F123" i="23"/>
  <c r="E123" i="23"/>
  <c r="D123" i="23"/>
  <c r="G122" i="23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F122" i="23"/>
  <c r="E122" i="23"/>
  <c r="D122" i="23"/>
  <c r="D121" i="23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D120" i="23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E119" i="23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D119" i="23"/>
  <c r="D118" i="23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Z117" i="23"/>
  <c r="AA117" i="23" s="1"/>
  <c r="AB117" i="23" s="1"/>
  <c r="AC117" i="23" s="1"/>
  <c r="AD117" i="23" s="1"/>
  <c r="AE117" i="23" s="1"/>
  <c r="AF117" i="23" s="1"/>
  <c r="B117" i="23" s="1"/>
  <c r="N117" i="23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D117" i="23"/>
  <c r="E117" i="23" s="1"/>
  <c r="F117" i="23" s="1"/>
  <c r="G117" i="23" s="1"/>
  <c r="H117" i="23" s="1"/>
  <c r="I117" i="23" s="1"/>
  <c r="J117" i="23" s="1"/>
  <c r="K117" i="23" s="1"/>
  <c r="L117" i="23" s="1"/>
  <c r="M117" i="23" s="1"/>
  <c r="G116" i="23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F116" i="23"/>
  <c r="D116" i="23"/>
  <c r="E116" i="23" s="1"/>
  <c r="W115" i="23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L115" i="23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E115" i="23"/>
  <c r="F115" i="23" s="1"/>
  <c r="G115" i="23" s="1"/>
  <c r="H115" i="23" s="1"/>
  <c r="I115" i="23" s="1"/>
  <c r="J115" i="23" s="1"/>
  <c r="K115" i="23" s="1"/>
  <c r="D115" i="23"/>
  <c r="P114" i="23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E114" i="23"/>
  <c r="F114" i="23" s="1"/>
  <c r="G114" i="23" s="1"/>
  <c r="H114" i="23" s="1"/>
  <c r="I114" i="23" s="1"/>
  <c r="J114" i="23" s="1"/>
  <c r="K114" i="23" s="1"/>
  <c r="L114" i="23" s="1"/>
  <c r="M114" i="23" s="1"/>
  <c r="N114" i="23" s="1"/>
  <c r="O114" i="23" s="1"/>
  <c r="D114" i="23"/>
  <c r="Z113" i="23"/>
  <c r="AA113" i="23" s="1"/>
  <c r="AB113" i="23" s="1"/>
  <c r="AC113" i="23" s="1"/>
  <c r="AD113" i="23" s="1"/>
  <c r="AE113" i="23" s="1"/>
  <c r="AF113" i="23" s="1"/>
  <c r="B113" i="23" s="1"/>
  <c r="R113" i="23"/>
  <c r="S113" i="23" s="1"/>
  <c r="T113" i="23" s="1"/>
  <c r="U113" i="23" s="1"/>
  <c r="V113" i="23" s="1"/>
  <c r="W113" i="23" s="1"/>
  <c r="X113" i="23" s="1"/>
  <c r="Y113" i="23" s="1"/>
  <c r="L113" i="23"/>
  <c r="M113" i="23" s="1"/>
  <c r="N113" i="23" s="1"/>
  <c r="O113" i="23" s="1"/>
  <c r="P113" i="23" s="1"/>
  <c r="Q113" i="23" s="1"/>
  <c r="K113" i="23"/>
  <c r="E113" i="23"/>
  <c r="F113" i="23" s="1"/>
  <c r="G113" i="23" s="1"/>
  <c r="H113" i="23" s="1"/>
  <c r="I113" i="23" s="1"/>
  <c r="D113" i="23"/>
  <c r="D112" i="23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E111" i="23"/>
  <c r="F111" i="23" s="1"/>
  <c r="G111" i="23" s="1"/>
  <c r="H111" i="23" s="1"/>
  <c r="I111" i="23" s="1"/>
  <c r="J111" i="23" s="1"/>
  <c r="K111" i="23" s="1"/>
  <c r="L111" i="23" s="1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X111" i="23" s="1"/>
  <c r="Y111" i="23" s="1"/>
  <c r="Z111" i="23" s="1"/>
  <c r="AA111" i="23" s="1"/>
  <c r="AB111" i="23" s="1"/>
  <c r="AC111" i="23" s="1"/>
  <c r="AD111" i="23" s="1"/>
  <c r="AE111" i="23" s="1"/>
  <c r="AF111" i="23" s="1"/>
  <c r="B111" i="23" s="1"/>
  <c r="D111" i="23"/>
  <c r="K109" i="23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F109" i="23"/>
  <c r="G109" i="23" s="1"/>
  <c r="H109" i="23" s="1"/>
  <c r="I109" i="23" s="1"/>
  <c r="J109" i="23" s="1"/>
  <c r="E109" i="23"/>
  <c r="D109" i="23"/>
  <c r="D108" i="23"/>
  <c r="E108" i="23" s="1"/>
  <c r="F108" i="23" s="1"/>
  <c r="G108" i="23" s="1"/>
  <c r="H108" i="23" s="1"/>
  <c r="I108" i="23" s="1"/>
  <c r="J108" i="23" s="1"/>
  <c r="K108" i="23" s="1"/>
  <c r="L108" i="23" s="1"/>
  <c r="M108" i="23" s="1"/>
  <c r="N108" i="23" s="1"/>
  <c r="O108" i="23" s="1"/>
  <c r="P108" i="23" s="1"/>
  <c r="Q108" i="23" s="1"/>
  <c r="R108" i="23" s="1"/>
  <c r="S108" i="23" s="1"/>
  <c r="T108" i="23" s="1"/>
  <c r="U108" i="23" s="1"/>
  <c r="V108" i="23" s="1"/>
  <c r="W108" i="23" s="1"/>
  <c r="X108" i="23" s="1"/>
  <c r="Y108" i="23" s="1"/>
  <c r="Z108" i="23" s="1"/>
  <c r="AA108" i="23" s="1"/>
  <c r="AB108" i="23" s="1"/>
  <c r="AC108" i="23" s="1"/>
  <c r="AD108" i="23" s="1"/>
  <c r="AE108" i="23" s="1"/>
  <c r="AF108" i="23" s="1"/>
  <c r="B108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M105" i="23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E105" i="23"/>
  <c r="F105" i="23" s="1"/>
  <c r="G105" i="23" s="1"/>
  <c r="H105" i="23" s="1"/>
  <c r="I105" i="23" s="1"/>
  <c r="J105" i="23" s="1"/>
  <c r="K105" i="23" s="1"/>
  <c r="L105" i="23" s="1"/>
  <c r="D105" i="23"/>
  <c r="K104" i="23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D104" i="23"/>
  <c r="E104" i="23" s="1"/>
  <c r="F104" i="23" s="1"/>
  <c r="G104" i="23" s="1"/>
  <c r="H104" i="23" s="1"/>
  <c r="I104" i="23" s="1"/>
  <c r="J104" i="23" s="1"/>
  <c r="I103" i="23"/>
  <c r="J103" i="23" s="1"/>
  <c r="K103" i="23" s="1"/>
  <c r="L103" i="23" s="1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X103" i="23" s="1"/>
  <c r="Y103" i="23" s="1"/>
  <c r="Z103" i="23" s="1"/>
  <c r="AA103" i="23" s="1"/>
  <c r="AB103" i="23" s="1"/>
  <c r="AC103" i="23" s="1"/>
  <c r="AD103" i="23" s="1"/>
  <c r="AE103" i="23" s="1"/>
  <c r="AF103" i="23" s="1"/>
  <c r="B103" i="23" s="1"/>
  <c r="D103" i="23"/>
  <c r="E103" i="23" s="1"/>
  <c r="F103" i="23" s="1"/>
  <c r="G103" i="23" s="1"/>
  <c r="H103" i="23" s="1"/>
  <c r="D102" i="23"/>
  <c r="E102" i="23" s="1"/>
  <c r="E101" i="23"/>
  <c r="D101" i="23"/>
  <c r="AH98" i="23"/>
  <c r="AI98" i="23" s="1"/>
  <c r="AH97" i="23"/>
  <c r="AI97" i="23" s="1"/>
  <c r="AH96" i="23"/>
  <c r="AI96" i="23" s="1"/>
  <c r="AH95" i="23"/>
  <c r="AI95" i="23" s="1"/>
  <c r="AH94" i="23"/>
  <c r="AI94" i="23" s="1"/>
  <c r="D93" i="23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G82" i="23"/>
  <c r="AI81" i="23"/>
  <c r="AH81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B80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K79" i="23"/>
  <c r="J79" i="23"/>
  <c r="I79" i="23"/>
  <c r="H79" i="23"/>
  <c r="G79" i="23"/>
  <c r="F79" i="23"/>
  <c r="E79" i="23"/>
  <c r="D79" i="23"/>
  <c r="C79" i="23"/>
  <c r="B79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F82" i="23" s="1"/>
  <c r="E77" i="23"/>
  <c r="D77" i="23"/>
  <c r="C77" i="23"/>
  <c r="B77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U82" i="23" s="1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R75" i="23"/>
  <c r="AJ213" i="23" s="1"/>
  <c r="AI74" i="23"/>
  <c r="AH74" i="23"/>
  <c r="R73" i="23"/>
  <c r="AG72" i="23"/>
  <c r="AF72" i="23"/>
  <c r="AE72" i="23"/>
  <c r="AD72" i="23"/>
  <c r="AC72" i="23"/>
  <c r="AB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AI72" i="23" s="1"/>
  <c r="B72" i="23"/>
  <c r="AH72" i="23" s="1"/>
  <c r="AI71" i="23"/>
  <c r="AH71" i="23"/>
  <c r="AI70" i="23"/>
  <c r="AH70" i="23"/>
  <c r="AI69" i="23"/>
  <c r="AH69" i="23"/>
  <c r="AG68" i="23"/>
  <c r="AG73" i="23" s="1"/>
  <c r="AF68" i="23"/>
  <c r="AE68" i="23"/>
  <c r="AD5" i="23" s="1"/>
  <c r="AD68" i="23"/>
  <c r="AC5" i="23" s="1"/>
  <c r="AC68" i="23"/>
  <c r="AB68" i="23"/>
  <c r="AA5" i="23" s="1"/>
  <c r="Z5" i="23"/>
  <c r="Z68" i="23"/>
  <c r="Y5" i="23" s="1"/>
  <c r="Y68" i="23"/>
  <c r="X5" i="23" s="1"/>
  <c r="X68" i="23"/>
  <c r="W68" i="23"/>
  <c r="V5" i="23" s="1"/>
  <c r="V68" i="23"/>
  <c r="U5" i="23" s="1"/>
  <c r="U68" i="23"/>
  <c r="T5" i="23" s="1"/>
  <c r="T68" i="23"/>
  <c r="S5" i="23" s="1"/>
  <c r="S68" i="23"/>
  <c r="R5" i="23" s="1"/>
  <c r="R68" i="23"/>
  <c r="Q68" i="23"/>
  <c r="P5" i="23" s="1"/>
  <c r="P68" i="23"/>
  <c r="O68" i="23"/>
  <c r="N5" i="23" s="1"/>
  <c r="N68" i="23"/>
  <c r="M5" i="23" s="1"/>
  <c r="M68" i="23"/>
  <c r="L5" i="23" s="1"/>
  <c r="L68" i="23"/>
  <c r="K5" i="23" s="1"/>
  <c r="K68" i="23"/>
  <c r="J68" i="23"/>
  <c r="I68" i="23"/>
  <c r="H5" i="23" s="1"/>
  <c r="H68" i="23"/>
  <c r="G5" i="23" s="1"/>
  <c r="G68" i="23"/>
  <c r="F5" i="23" s="1"/>
  <c r="F68" i="23"/>
  <c r="E5" i="23" s="1"/>
  <c r="E68" i="23"/>
  <c r="D68" i="23"/>
  <c r="C5" i="23" s="1"/>
  <c r="C68" i="23"/>
  <c r="B5" i="23" s="1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D56" i="23"/>
  <c r="AC56" i="23"/>
  <c r="AB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Z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AG51" i="23"/>
  <c r="AG52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F38" i="23"/>
  <c r="AE38" i="23"/>
  <c r="AD38" i="23"/>
  <c r="AC38" i="23"/>
  <c r="AB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R7" i="23"/>
  <c r="AE5" i="23"/>
  <c r="AB5" i="23"/>
  <c r="W5" i="23"/>
  <c r="Q5" i="23"/>
  <c r="O5" i="23"/>
  <c r="J5" i="23"/>
  <c r="I5" i="23"/>
  <c r="D5" i="23"/>
  <c r="AG4" i="23"/>
  <c r="K4" i="23"/>
  <c r="B4" i="23"/>
  <c r="AG2" i="23"/>
  <c r="AA95" i="22"/>
  <c r="Z95" i="22"/>
  <c r="Y95" i="22"/>
  <c r="X95" i="22"/>
  <c r="X37" i="22"/>
  <c r="W37" i="22"/>
  <c r="W95" i="22"/>
  <c r="V95" i="22"/>
  <c r="V37" i="22"/>
  <c r="U95" i="22"/>
  <c r="U37" i="22"/>
  <c r="T95" i="22"/>
  <c r="T37" i="22"/>
  <c r="S95" i="22"/>
  <c r="S37" i="22"/>
  <c r="E4" i="23"/>
  <c r="AE82" i="23" l="1"/>
  <c r="AD82" i="23"/>
  <c r="AC82" i="23"/>
  <c r="AB82" i="23"/>
  <c r="AA82" i="23"/>
  <c r="Z73" i="23"/>
  <c r="Z75" i="23"/>
  <c r="W82" i="23"/>
  <c r="V82" i="23"/>
  <c r="T82" i="23"/>
  <c r="T73" i="23"/>
  <c r="S82" i="23"/>
  <c r="S73" i="23"/>
  <c r="S75" i="23"/>
  <c r="Q75" i="23"/>
  <c r="AI213" i="23" s="1"/>
  <c r="Q7" i="23"/>
  <c r="Q73" i="23"/>
  <c r="P73" i="23"/>
  <c r="O82" i="23"/>
  <c r="N82" i="23"/>
  <c r="N75" i="23"/>
  <c r="AF213" i="23" s="1"/>
  <c r="N73" i="23"/>
  <c r="M82" i="23"/>
  <c r="M73" i="23"/>
  <c r="M75" i="23"/>
  <c r="L82" i="23"/>
  <c r="L73" i="23"/>
  <c r="K82" i="23"/>
  <c r="K73" i="23"/>
  <c r="J75" i="23"/>
  <c r="AB213" i="23" s="1"/>
  <c r="J73" i="23"/>
  <c r="I75" i="23"/>
  <c r="AA213" i="23" s="1"/>
  <c r="I73" i="23"/>
  <c r="H73" i="23"/>
  <c r="G82" i="23"/>
  <c r="F73" i="23"/>
  <c r="F75" i="23"/>
  <c r="X213" i="23" s="1"/>
  <c r="AI38" i="23"/>
  <c r="AI79" i="23"/>
  <c r="AH79" i="23"/>
  <c r="E82" i="23"/>
  <c r="AI80" i="23"/>
  <c r="E73" i="23"/>
  <c r="E75" i="23"/>
  <c r="W213" i="23" s="1"/>
  <c r="D82" i="23"/>
  <c r="D75" i="23"/>
  <c r="D73" i="23"/>
  <c r="AI78" i="23"/>
  <c r="AI77" i="23"/>
  <c r="C82" i="23"/>
  <c r="AH68" i="23"/>
  <c r="AH56" i="23"/>
  <c r="C73" i="23"/>
  <c r="C75" i="23" s="1"/>
  <c r="AF5" i="23"/>
  <c r="AI56" i="23"/>
  <c r="H4" i="23"/>
  <c r="AG3" i="23"/>
  <c r="AG75" i="23"/>
  <c r="AG83" i="23" s="1"/>
  <c r="AG6" i="23"/>
  <c r="AK213" i="23"/>
  <c r="S7" i="23"/>
  <c r="X82" i="23"/>
  <c r="E191" i="23"/>
  <c r="F101" i="23"/>
  <c r="H82" i="23"/>
  <c r="AF82" i="23"/>
  <c r="AH38" i="23"/>
  <c r="G73" i="23"/>
  <c r="O73" i="23"/>
  <c r="K75" i="23"/>
  <c r="I82" i="23"/>
  <c r="Q82" i="23"/>
  <c r="Q83" i="23" s="1"/>
  <c r="Y82" i="23"/>
  <c r="AH76" i="23"/>
  <c r="N7" i="23"/>
  <c r="P82" i="23"/>
  <c r="L75" i="23"/>
  <c r="T75" i="23"/>
  <c r="T83" i="23" s="1"/>
  <c r="B82" i="23"/>
  <c r="J82" i="23"/>
  <c r="R82" i="23"/>
  <c r="R83" i="23" s="1"/>
  <c r="Z82" i="23"/>
  <c r="Z83" i="23" s="1"/>
  <c r="AI76" i="23"/>
  <c r="AH77" i="23"/>
  <c r="AI68" i="23"/>
  <c r="S83" i="23"/>
  <c r="AH78" i="23"/>
  <c r="S210" i="23"/>
  <c r="D210" i="23"/>
  <c r="G75" i="23"/>
  <c r="O75" i="23"/>
  <c r="AH80" i="23"/>
  <c r="F102" i="23"/>
  <c r="E93" i="23"/>
  <c r="N83" i="23"/>
  <c r="H75" i="23"/>
  <c r="P75" i="23"/>
  <c r="D191" i="23"/>
  <c r="E199" i="23"/>
  <c r="F194" i="23"/>
  <c r="G194" i="23" s="1"/>
  <c r="H194" i="23" s="1"/>
  <c r="I194" i="23" s="1"/>
  <c r="J194" i="23" s="1"/>
  <c r="K194" i="23" s="1"/>
  <c r="L194" i="23" s="1"/>
  <c r="M194" i="23" s="1"/>
  <c r="N194" i="23" s="1"/>
  <c r="O194" i="23" s="1"/>
  <c r="P194" i="23" s="1"/>
  <c r="Q194" i="23" s="1"/>
  <c r="R194" i="23" s="1"/>
  <c r="S194" i="23" s="1"/>
  <c r="T194" i="23" s="1"/>
  <c r="U194" i="23" s="1"/>
  <c r="V194" i="23" s="1"/>
  <c r="W194" i="23" s="1"/>
  <c r="X194" i="23" s="1"/>
  <c r="Y194" i="23" s="1"/>
  <c r="Z194" i="23" s="1"/>
  <c r="AA194" i="23" s="1"/>
  <c r="AB194" i="23" s="1"/>
  <c r="AC194" i="23" s="1"/>
  <c r="AD194" i="23" s="1"/>
  <c r="AE194" i="23" s="1"/>
  <c r="AF194" i="23" s="1"/>
  <c r="B194" i="23" s="1"/>
  <c r="D199" i="23"/>
  <c r="H193" i="23"/>
  <c r="E198" i="23"/>
  <c r="AR213" i="23" l="1"/>
  <c r="Z7" i="23"/>
  <c r="O83" i="23"/>
  <c r="M83" i="23"/>
  <c r="M7" i="23"/>
  <c r="AE213" i="23"/>
  <c r="L83" i="23"/>
  <c r="K83" i="23"/>
  <c r="J83" i="23"/>
  <c r="J7" i="23"/>
  <c r="I83" i="23"/>
  <c r="I7" i="23"/>
  <c r="H83" i="23"/>
  <c r="G83" i="23"/>
  <c r="F83" i="23"/>
  <c r="F7" i="23"/>
  <c r="E83" i="23"/>
  <c r="E7" i="23"/>
  <c r="D83" i="23"/>
  <c r="D7" i="23"/>
  <c r="V213" i="23"/>
  <c r="C83" i="23"/>
  <c r="AG213" i="23"/>
  <c r="O7" i="23"/>
  <c r="AD213" i="23"/>
  <c r="L7" i="23"/>
  <c r="Y213" i="23"/>
  <c r="C208" i="23"/>
  <c r="B208" i="23"/>
  <c r="G7" i="23"/>
  <c r="F191" i="23"/>
  <c r="G101" i="23"/>
  <c r="D234" i="23"/>
  <c r="F198" i="23"/>
  <c r="F93" i="23"/>
  <c r="G102" i="23"/>
  <c r="AL213" i="23"/>
  <c r="T7" i="23"/>
  <c r="I193" i="23"/>
  <c r="AH213" i="23"/>
  <c r="P7" i="23"/>
  <c r="AH82" i="23"/>
  <c r="AI82" i="23"/>
  <c r="P83" i="23"/>
  <c r="U213" i="23"/>
  <c r="C7" i="23"/>
  <c r="F199" i="23"/>
  <c r="Z213" i="23"/>
  <c r="H7" i="23"/>
  <c r="AC213" i="23"/>
  <c r="K7" i="23"/>
  <c r="K6" i="23" l="1"/>
  <c r="E234" i="23"/>
  <c r="G198" i="23"/>
  <c r="J193" i="23"/>
  <c r="H102" i="23"/>
  <c r="G93" i="23"/>
  <c r="G191" i="23"/>
  <c r="H101" i="23"/>
  <c r="I102" i="23" l="1"/>
  <c r="H93" i="23"/>
  <c r="K193" i="23"/>
  <c r="H191" i="23"/>
  <c r="I101" i="23"/>
  <c r="H198" i="23"/>
  <c r="F234" i="23"/>
  <c r="G199" i="23"/>
  <c r="L193" i="23" l="1"/>
  <c r="I191" i="23"/>
  <c r="J101" i="23"/>
  <c r="J102" i="23"/>
  <c r="I93" i="23"/>
  <c r="G234" i="23"/>
  <c r="I198" i="23"/>
  <c r="H199" i="23"/>
  <c r="M193" i="23" l="1"/>
  <c r="K102" i="23"/>
  <c r="J93" i="23"/>
  <c r="J191" i="23"/>
  <c r="K101" i="23"/>
  <c r="J198" i="23"/>
  <c r="H234" i="23"/>
  <c r="I199" i="23"/>
  <c r="K198" i="23" l="1"/>
  <c r="I234" i="23"/>
  <c r="J199" i="23"/>
  <c r="K191" i="23"/>
  <c r="L101" i="23"/>
  <c r="L102" i="23"/>
  <c r="K93" i="23"/>
  <c r="N193" i="23"/>
  <c r="M102" i="23" l="1"/>
  <c r="L191" i="23"/>
  <c r="M101" i="23"/>
  <c r="O193" i="23"/>
  <c r="L198" i="23"/>
  <c r="J234" i="23"/>
  <c r="K199" i="23"/>
  <c r="K234" i="23" l="1"/>
  <c r="M198" i="23"/>
  <c r="L199" i="23"/>
  <c r="P193" i="23"/>
  <c r="M191" i="23"/>
  <c r="N101" i="23"/>
  <c r="L93" i="23"/>
  <c r="N102" i="23"/>
  <c r="M93" i="23"/>
  <c r="Q193" i="23" l="1"/>
  <c r="L234" i="23"/>
  <c r="N198" i="23"/>
  <c r="M199" i="23"/>
  <c r="N191" i="23"/>
  <c r="O101" i="23"/>
  <c r="N93" i="23"/>
  <c r="O102" i="23"/>
  <c r="O191" i="23" l="1"/>
  <c r="P101" i="23"/>
  <c r="M234" i="23"/>
  <c r="O198" i="23"/>
  <c r="N199" i="23"/>
  <c r="P102" i="23"/>
  <c r="O93" i="23"/>
  <c r="R193" i="23"/>
  <c r="Q102" i="23" l="1"/>
  <c r="P93" i="23"/>
  <c r="P198" i="23"/>
  <c r="N234" i="23"/>
  <c r="O199" i="23"/>
  <c r="P191" i="23"/>
  <c r="Q101" i="23"/>
  <c r="S193" i="23"/>
  <c r="Q191" i="23" l="1"/>
  <c r="R101" i="23"/>
  <c r="Q198" i="23"/>
  <c r="O234" i="23"/>
  <c r="P199" i="23"/>
  <c r="T193" i="23"/>
  <c r="R102" i="23"/>
  <c r="Q93" i="23"/>
  <c r="S102" i="23" l="1"/>
  <c r="U193" i="23"/>
  <c r="R198" i="23"/>
  <c r="P234" i="23"/>
  <c r="Q199" i="23"/>
  <c r="R191" i="23"/>
  <c r="S101" i="23"/>
  <c r="S198" i="23" l="1"/>
  <c r="Q234" i="23"/>
  <c r="R199" i="23"/>
  <c r="V193" i="23"/>
  <c r="S191" i="23"/>
  <c r="T101" i="23"/>
  <c r="T102" i="23"/>
  <c r="S93" i="23"/>
  <c r="U102" i="23" l="1"/>
  <c r="T191" i="23"/>
  <c r="U101" i="23"/>
  <c r="W193" i="23"/>
  <c r="T198" i="23"/>
  <c r="R234" i="23"/>
  <c r="S199" i="23"/>
  <c r="U191" i="23" l="1"/>
  <c r="V101" i="23"/>
  <c r="U198" i="23"/>
  <c r="S234" i="23"/>
  <c r="T199" i="23"/>
  <c r="X193" i="23"/>
  <c r="T93" i="23"/>
  <c r="V102" i="23"/>
  <c r="U93" i="23"/>
  <c r="V191" i="23" l="1"/>
  <c r="W101" i="23"/>
  <c r="Y193" i="23"/>
  <c r="T234" i="23"/>
  <c r="V198" i="23"/>
  <c r="U199" i="23"/>
  <c r="U51" i="23" s="1"/>
  <c r="U52" i="23" s="1"/>
  <c r="V93" i="23"/>
  <c r="W102" i="23"/>
  <c r="Z193" i="23" l="1"/>
  <c r="U234" i="23"/>
  <c r="W198" i="23"/>
  <c r="V199" i="23"/>
  <c r="V51" i="23" s="1"/>
  <c r="V52" i="23" s="1"/>
  <c r="W191" i="23"/>
  <c r="X101" i="23"/>
  <c r="U75" i="23"/>
  <c r="U73" i="23"/>
  <c r="X102" i="23"/>
  <c r="W93" i="23"/>
  <c r="AM213" i="23" l="1"/>
  <c r="U7" i="23"/>
  <c r="X191" i="23"/>
  <c r="Y101" i="23"/>
  <c r="V75" i="23"/>
  <c r="V73" i="23"/>
  <c r="X198" i="23"/>
  <c r="V234" i="23"/>
  <c r="W199" i="23"/>
  <c r="W51" i="23" s="1"/>
  <c r="W52" i="23" s="1"/>
  <c r="Y102" i="23"/>
  <c r="AA193" i="23"/>
  <c r="U83" i="23"/>
  <c r="V83" i="23" l="1"/>
  <c r="AN213" i="23"/>
  <c r="V7" i="23"/>
  <c r="Y191" i="23"/>
  <c r="Z101" i="23"/>
  <c r="W234" i="23"/>
  <c r="Y198" i="23"/>
  <c r="Y93" i="23" s="1"/>
  <c r="X199" i="23"/>
  <c r="X51" i="23" s="1"/>
  <c r="X52" i="23" s="1"/>
  <c r="AB193" i="23"/>
  <c r="Z102" i="23"/>
  <c r="X93" i="23"/>
  <c r="W75" i="23"/>
  <c r="W73" i="23"/>
  <c r="W83" i="23" l="1"/>
  <c r="AO213" i="23"/>
  <c r="W7" i="23"/>
  <c r="Z191" i="23"/>
  <c r="AA101" i="23"/>
  <c r="AA102" i="23"/>
  <c r="Z93" i="23"/>
  <c r="X73" i="23"/>
  <c r="X75" i="23"/>
  <c r="X234" i="23"/>
  <c r="Z198" i="23"/>
  <c r="Y199" i="23"/>
  <c r="Y51" i="23" s="1"/>
  <c r="Y52" i="23" s="1"/>
  <c r="AC193" i="23"/>
  <c r="AP213" i="23" l="1"/>
  <c r="X7" i="23"/>
  <c r="Y75" i="23"/>
  <c r="Y73" i="23"/>
  <c r="X83" i="23"/>
  <c r="AB102" i="23"/>
  <c r="AA93" i="23"/>
  <c r="AD193" i="23"/>
  <c r="AA191" i="23"/>
  <c r="AB101" i="23"/>
  <c r="Y234" i="23"/>
  <c r="AA198" i="23"/>
  <c r="Z199" i="23"/>
  <c r="Y83" i="23" l="1"/>
  <c r="AC102" i="23"/>
  <c r="AB191" i="23"/>
  <c r="AC101" i="23"/>
  <c r="AE193" i="23"/>
  <c r="AB198" i="23"/>
  <c r="Z234" i="23"/>
  <c r="AA199" i="23"/>
  <c r="AQ213" i="23"/>
  <c r="Y7" i="23"/>
  <c r="AC198" i="23" l="1"/>
  <c r="AA234" i="23"/>
  <c r="AB199" i="23"/>
  <c r="AB51" i="23" s="1"/>
  <c r="AB52" i="23" s="1"/>
  <c r="AC191" i="23"/>
  <c r="AD101" i="23"/>
  <c r="AB93" i="23"/>
  <c r="AF193" i="23"/>
  <c r="AA75" i="23"/>
  <c r="AD102" i="23"/>
  <c r="AC93" i="23"/>
  <c r="AA83" i="23" l="1"/>
  <c r="B193" i="23"/>
  <c r="AD191" i="23"/>
  <c r="AE101" i="23"/>
  <c r="AD93" i="23"/>
  <c r="AE102" i="23"/>
  <c r="AB75" i="23"/>
  <c r="AB73" i="23"/>
  <c r="AS213" i="23"/>
  <c r="AA7" i="23"/>
  <c r="AD198" i="23"/>
  <c r="AB234" i="23"/>
  <c r="AC199" i="23"/>
  <c r="AC51" i="23" s="1"/>
  <c r="AC52" i="23" s="1"/>
  <c r="AB83" i="23" l="1"/>
  <c r="AC75" i="23"/>
  <c r="AC73" i="23"/>
  <c r="AE191" i="23"/>
  <c r="AF101" i="23"/>
  <c r="AC234" i="23"/>
  <c r="AE198" i="23"/>
  <c r="AD199" i="23"/>
  <c r="AD51" i="23" s="1"/>
  <c r="AD52" i="23" s="1"/>
  <c r="AT213" i="23"/>
  <c r="AB7" i="23"/>
  <c r="AF102" i="23"/>
  <c r="AE93" i="23"/>
  <c r="AC83" i="23" l="1"/>
  <c r="AF198" i="23"/>
  <c r="AD234" i="23"/>
  <c r="AE199" i="23"/>
  <c r="AE51" i="23" s="1"/>
  <c r="AE52" i="23" s="1"/>
  <c r="AF191" i="23"/>
  <c r="B101" i="23"/>
  <c r="B191" i="23" s="1"/>
  <c r="B102" i="23"/>
  <c r="AU213" i="23"/>
  <c r="AC7" i="23"/>
  <c r="AD75" i="23"/>
  <c r="AD73" i="23"/>
  <c r="AD83" i="23" l="1"/>
  <c r="AH93" i="23"/>
  <c r="AI93" i="23"/>
  <c r="AE75" i="23"/>
  <c r="AE73" i="23"/>
  <c r="AE83" i="23" s="1"/>
  <c r="B93" i="23"/>
  <c r="AV213" i="23"/>
  <c r="AD7" i="23"/>
  <c r="AE234" i="23"/>
  <c r="B198" i="23"/>
  <c r="AF199" i="23"/>
  <c r="AF51" i="23" s="1"/>
  <c r="AF52" i="23" s="1"/>
  <c r="AW213" i="23" l="1"/>
  <c r="AE7" i="23"/>
  <c r="AF73" i="23"/>
  <c r="AF75" i="23"/>
  <c r="AF234" i="23"/>
  <c r="B199" i="23"/>
  <c r="AX213" i="23" l="1"/>
  <c r="AF7" i="23"/>
  <c r="B52" i="23"/>
  <c r="AH51" i="23"/>
  <c r="AI51" i="23"/>
  <c r="AF83" i="23"/>
  <c r="B73" i="23" l="1"/>
  <c r="AI52" i="23"/>
  <c r="AH52" i="23"/>
  <c r="B75" i="23"/>
  <c r="T213" i="23" l="1"/>
  <c r="B7" i="23"/>
  <c r="A7" i="23" s="1"/>
  <c r="AI75" i="23"/>
  <c r="AH75" i="23"/>
  <c r="AI73" i="23"/>
  <c r="AH73" i="23"/>
  <c r="B83" i="23"/>
  <c r="AI83" i="23" l="1"/>
  <c r="AH83" i="23"/>
  <c r="M37" i="22" l="1"/>
  <c r="K37" i="22"/>
  <c r="J37" i="22"/>
  <c r="I37" i="22"/>
  <c r="H37" i="22"/>
  <c r="AI37" i="22" s="1"/>
  <c r="G37" i="22"/>
  <c r="F37" i="22"/>
  <c r="E37" i="22"/>
  <c r="D95" i="22"/>
  <c r="D37" i="22"/>
  <c r="D38" i="22"/>
  <c r="AH99" i="22"/>
  <c r="AI99" i="22" s="1"/>
  <c r="C95" i="22"/>
  <c r="AH95" i="22" s="1"/>
  <c r="AI95" i="22" s="1"/>
  <c r="B38" i="22"/>
  <c r="B95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D235" i="22"/>
  <c r="C235" i="22"/>
  <c r="B235" i="22"/>
  <c r="A235" i="22"/>
  <c r="B234" i="22"/>
  <c r="S209" i="22"/>
  <c r="AG199" i="22"/>
  <c r="C199" i="22"/>
  <c r="E198" i="22"/>
  <c r="D234" i="22" s="1"/>
  <c r="D198" i="22"/>
  <c r="C234" i="22" s="1"/>
  <c r="D197" i="22"/>
  <c r="E197" i="22" s="1"/>
  <c r="F197" i="22" s="1"/>
  <c r="G197" i="22" s="1"/>
  <c r="H197" i="22" s="1"/>
  <c r="I197" i="22" s="1"/>
  <c r="J197" i="22" s="1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D196" i="22"/>
  <c r="E196" i="22" s="1"/>
  <c r="F196" i="22" s="1"/>
  <c r="G196" i="22" s="1"/>
  <c r="H196" i="22" s="1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D195" i="22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D194" i="22"/>
  <c r="E194" i="22" s="1"/>
  <c r="F194" i="22" s="1"/>
  <c r="G194" i="22" s="1"/>
  <c r="H194" i="22" s="1"/>
  <c r="I194" i="22" s="1"/>
  <c r="J194" i="22" s="1"/>
  <c r="K194" i="22" s="1"/>
  <c r="L194" i="22" s="1"/>
  <c r="M194" i="22" s="1"/>
  <c r="N194" i="22" s="1"/>
  <c r="O194" i="22" s="1"/>
  <c r="P194" i="22" s="1"/>
  <c r="Q194" i="22" s="1"/>
  <c r="R194" i="22" s="1"/>
  <c r="S194" i="22" s="1"/>
  <c r="T194" i="22" s="1"/>
  <c r="U194" i="22" s="1"/>
  <c r="V194" i="22" s="1"/>
  <c r="W194" i="22" s="1"/>
  <c r="X194" i="22" s="1"/>
  <c r="Y194" i="22" s="1"/>
  <c r="Z194" i="22" s="1"/>
  <c r="AA194" i="22" s="1"/>
  <c r="AB194" i="22" s="1"/>
  <c r="AC194" i="22" s="1"/>
  <c r="AD194" i="22" s="1"/>
  <c r="AE194" i="22" s="1"/>
  <c r="AF194" i="22" s="1"/>
  <c r="B194" i="22" s="1"/>
  <c r="D193" i="22"/>
  <c r="AG191" i="22"/>
  <c r="C191" i="22"/>
  <c r="D190" i="22"/>
  <c r="E190" i="22" s="1"/>
  <c r="F190" i="22" s="1"/>
  <c r="G190" i="22" s="1"/>
  <c r="H190" i="22" s="1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D189" i="22"/>
  <c r="E189" i="22" s="1"/>
  <c r="F189" i="22" s="1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D188" i="22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D187" i="22"/>
  <c r="E187" i="22" s="1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6" i="22"/>
  <c r="E186" i="22" s="1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X185" i="22"/>
  <c r="Y185" i="22" s="1"/>
  <c r="Z185" i="22" s="1"/>
  <c r="AA185" i="22" s="1"/>
  <c r="AB185" i="22" s="1"/>
  <c r="AC185" i="22" s="1"/>
  <c r="AD185" i="22" s="1"/>
  <c r="AE185" i="22" s="1"/>
  <c r="AF185" i="22" s="1"/>
  <c r="B185" i="22" s="1"/>
  <c r="D185" i="22"/>
  <c r="E185" i="22" s="1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D184" i="22"/>
  <c r="E184" i="22" s="1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D183" i="22"/>
  <c r="E183" i="22" s="1"/>
  <c r="F183" i="22" s="1"/>
  <c r="G183" i="22" s="1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D182" i="22"/>
  <c r="E182" i="22" s="1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D181" i="22"/>
  <c r="E181" i="22" s="1"/>
  <c r="F181" i="22" s="1"/>
  <c r="G181" i="22" s="1"/>
  <c r="H181" i="22" s="1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D180" i="22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G179" i="22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D179" i="22"/>
  <c r="E179" i="22" s="1"/>
  <c r="F179" i="22" s="1"/>
  <c r="D178" i="22"/>
  <c r="E178" i="22" s="1"/>
  <c r="F178" i="22" s="1"/>
  <c r="G178" i="22" s="1"/>
  <c r="H178" i="22" s="1"/>
  <c r="I178" i="22" s="1"/>
  <c r="J178" i="22" s="1"/>
  <c r="K178" i="22" s="1"/>
  <c r="L178" i="22" s="1"/>
  <c r="M178" i="22" s="1"/>
  <c r="N178" i="22" s="1"/>
  <c r="O178" i="22" s="1"/>
  <c r="P178" i="22" s="1"/>
  <c r="Q178" i="22" s="1"/>
  <c r="R178" i="22" s="1"/>
  <c r="S178" i="22" s="1"/>
  <c r="T178" i="22" s="1"/>
  <c r="U178" i="22" s="1"/>
  <c r="V178" i="22" s="1"/>
  <c r="W178" i="22" s="1"/>
  <c r="X178" i="22" s="1"/>
  <c r="Y178" i="22" s="1"/>
  <c r="Z178" i="22" s="1"/>
  <c r="AA178" i="22" s="1"/>
  <c r="AB178" i="22" s="1"/>
  <c r="AC178" i="22" s="1"/>
  <c r="AD178" i="22" s="1"/>
  <c r="AE178" i="22" s="1"/>
  <c r="AF178" i="22" s="1"/>
  <c r="B178" i="22" s="1"/>
  <c r="D176" i="22"/>
  <c r="E176" i="22" s="1"/>
  <c r="F176" i="22" s="1"/>
  <c r="G176" i="22" s="1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D175" i="22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D174" i="22"/>
  <c r="E174" i="22" s="1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D173" i="22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D172" i="22"/>
  <c r="E172" i="22" s="1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G171" i="22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B171" i="22" s="1"/>
  <c r="D171" i="22"/>
  <c r="E171" i="22" s="1"/>
  <c r="F171" i="22" s="1"/>
  <c r="D170" i="22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D169" i="22"/>
  <c r="E169" i="22" s="1"/>
  <c r="F169" i="22" s="1"/>
  <c r="G169" i="22" s="1"/>
  <c r="H169" i="22" s="1"/>
  <c r="I169" i="22" s="1"/>
  <c r="J169" i="22" s="1"/>
  <c r="K169" i="22" s="1"/>
  <c r="L169" i="22" s="1"/>
  <c r="M169" i="22" s="1"/>
  <c r="N169" i="22" s="1"/>
  <c r="O169" i="22" s="1"/>
  <c r="P169" i="22" s="1"/>
  <c r="Q169" i="22" s="1"/>
  <c r="R169" i="22" s="1"/>
  <c r="S169" i="22" s="1"/>
  <c r="T169" i="22" s="1"/>
  <c r="U169" i="22" s="1"/>
  <c r="V169" i="22" s="1"/>
  <c r="W169" i="22" s="1"/>
  <c r="X169" i="22" s="1"/>
  <c r="Y169" i="22" s="1"/>
  <c r="Z169" i="22" s="1"/>
  <c r="AA169" i="22" s="1"/>
  <c r="AB169" i="22" s="1"/>
  <c r="AC169" i="22" s="1"/>
  <c r="AD169" i="22" s="1"/>
  <c r="AE169" i="22" s="1"/>
  <c r="AF169" i="22" s="1"/>
  <c r="B169" i="22" s="1"/>
  <c r="D167" i="22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D166" i="22"/>
  <c r="E166" i="22" s="1"/>
  <c r="F166" i="22" s="1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M165" i="22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D165" i="22"/>
  <c r="E165" i="22" s="1"/>
  <c r="F165" i="22" s="1"/>
  <c r="G165" i="22" s="1"/>
  <c r="H165" i="22" s="1"/>
  <c r="I165" i="22" s="1"/>
  <c r="J165" i="22" s="1"/>
  <c r="K165" i="22" s="1"/>
  <c r="L165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D163" i="22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D162" i="22"/>
  <c r="E162" i="22" s="1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D161" i="22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D160" i="22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D159" i="22"/>
  <c r="E159" i="22" s="1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D158" i="22"/>
  <c r="E158" i="22" s="1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D157" i="22"/>
  <c r="E157" i="22" s="1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D156" i="22"/>
  <c r="E156" i="22" s="1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D155" i="22"/>
  <c r="E155" i="22" s="1"/>
  <c r="F155" i="22" s="1"/>
  <c r="G155" i="22" s="1"/>
  <c r="H155" i="22" s="1"/>
  <c r="I155" i="22" s="1"/>
  <c r="J155" i="22" s="1"/>
  <c r="K155" i="22" s="1"/>
  <c r="L155" i="22" s="1"/>
  <c r="M155" i="22" s="1"/>
  <c r="N155" i="22" s="1"/>
  <c r="O155" i="22" s="1"/>
  <c r="P155" i="22" s="1"/>
  <c r="Q155" i="22" s="1"/>
  <c r="R155" i="22" s="1"/>
  <c r="S155" i="22" s="1"/>
  <c r="T155" i="22" s="1"/>
  <c r="U155" i="22" s="1"/>
  <c r="V155" i="22" s="1"/>
  <c r="W155" i="22" s="1"/>
  <c r="X155" i="22" s="1"/>
  <c r="Y155" i="22" s="1"/>
  <c r="Z155" i="22" s="1"/>
  <c r="AA155" i="22" s="1"/>
  <c r="AB155" i="22" s="1"/>
  <c r="AC155" i="22" s="1"/>
  <c r="AD155" i="22" s="1"/>
  <c r="AE155" i="22" s="1"/>
  <c r="AF155" i="22" s="1"/>
  <c r="B155" i="22" s="1"/>
  <c r="D153" i="22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D152" i="22"/>
  <c r="E152" i="22" s="1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D151" i="22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B151" i="22" s="1"/>
  <c r="D150" i="22"/>
  <c r="E150" i="22" s="1"/>
  <c r="F150" i="22" s="1"/>
  <c r="G150" i="22" s="1"/>
  <c r="H150" i="22" s="1"/>
  <c r="I150" i="22" s="1"/>
  <c r="J150" i="22" s="1"/>
  <c r="K150" i="22" s="1"/>
  <c r="L150" i="22" s="1"/>
  <c r="M150" i="22" s="1"/>
  <c r="N150" i="22" s="1"/>
  <c r="O150" i="22" s="1"/>
  <c r="P150" i="22" s="1"/>
  <c r="Q150" i="22" s="1"/>
  <c r="R150" i="22" s="1"/>
  <c r="S150" i="22" s="1"/>
  <c r="T150" i="22" s="1"/>
  <c r="U150" i="22" s="1"/>
  <c r="V150" i="22" s="1"/>
  <c r="W150" i="22" s="1"/>
  <c r="X150" i="22" s="1"/>
  <c r="Y150" i="22" s="1"/>
  <c r="Z150" i="22" s="1"/>
  <c r="AA150" i="22" s="1"/>
  <c r="AB150" i="22" s="1"/>
  <c r="AC150" i="22" s="1"/>
  <c r="AD150" i="22" s="1"/>
  <c r="AE150" i="22" s="1"/>
  <c r="AF150" i="22" s="1"/>
  <c r="B150" i="22" s="1"/>
  <c r="D148" i="22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D147" i="22"/>
  <c r="E147" i="22" s="1"/>
  <c r="F147" i="22" s="1"/>
  <c r="G147" i="22" s="1"/>
  <c r="H147" i="22" s="1"/>
  <c r="I147" i="22" s="1"/>
  <c r="J147" i="22" s="1"/>
  <c r="K147" i="22" s="1"/>
  <c r="L147" i="22" s="1"/>
  <c r="M147" i="22" s="1"/>
  <c r="N147" i="22" s="1"/>
  <c r="O147" i="22" s="1"/>
  <c r="P147" i="22" s="1"/>
  <c r="Q147" i="22" s="1"/>
  <c r="R147" i="22" s="1"/>
  <c r="S147" i="22" s="1"/>
  <c r="T147" i="22" s="1"/>
  <c r="U147" i="22" s="1"/>
  <c r="V147" i="22" s="1"/>
  <c r="W147" i="22" s="1"/>
  <c r="X147" i="22" s="1"/>
  <c r="Y147" i="22" s="1"/>
  <c r="Z147" i="22" s="1"/>
  <c r="AA147" i="22" s="1"/>
  <c r="AB147" i="22" s="1"/>
  <c r="AC147" i="22" s="1"/>
  <c r="AD147" i="22" s="1"/>
  <c r="AE147" i="22" s="1"/>
  <c r="AF147" i="22" s="1"/>
  <c r="B147" i="22" s="1"/>
  <c r="D145" i="22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D144" i="22"/>
  <c r="E144" i="22" s="1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D143" i="22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D141" i="22"/>
  <c r="E141" i="22" s="1"/>
  <c r="F141" i="22" s="1"/>
  <c r="G141" i="22" s="1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D140" i="22"/>
  <c r="E140" i="22" s="1"/>
  <c r="F140" i="22" s="1"/>
  <c r="G140" i="22" s="1"/>
  <c r="H140" i="22" s="1"/>
  <c r="I140" i="22" s="1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D139" i="22"/>
  <c r="E139" i="22" s="1"/>
  <c r="F139" i="22" s="1"/>
  <c r="G139" i="22" s="1"/>
  <c r="H139" i="22" s="1"/>
  <c r="I139" i="22" s="1"/>
  <c r="J139" i="22" s="1"/>
  <c r="K139" i="22" s="1"/>
  <c r="L139" i="22" s="1"/>
  <c r="M139" i="22" s="1"/>
  <c r="N139" i="22" s="1"/>
  <c r="O139" i="22" s="1"/>
  <c r="P139" i="22" s="1"/>
  <c r="Q139" i="22" s="1"/>
  <c r="R139" i="22" s="1"/>
  <c r="S139" i="22" s="1"/>
  <c r="T139" i="22" s="1"/>
  <c r="U139" i="22" s="1"/>
  <c r="V139" i="22" s="1"/>
  <c r="W139" i="22" s="1"/>
  <c r="X139" i="22" s="1"/>
  <c r="Y139" i="22" s="1"/>
  <c r="Z139" i="22" s="1"/>
  <c r="AA139" i="22" s="1"/>
  <c r="AB139" i="22" s="1"/>
  <c r="AC139" i="22" s="1"/>
  <c r="AD139" i="22" s="1"/>
  <c r="AE139" i="22" s="1"/>
  <c r="AF139" i="22" s="1"/>
  <c r="B139" i="22" s="1"/>
  <c r="D137" i="22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B137" i="22" s="1"/>
  <c r="E136" i="22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D136" i="22"/>
  <c r="D135" i="22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D134" i="22"/>
  <c r="E134" i="22" s="1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E133" i="22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D133" i="22"/>
  <c r="E132" i="22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D132" i="22"/>
  <c r="D131" i="22"/>
  <c r="E131" i="22" s="1"/>
  <c r="F131" i="22" s="1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H130" i="22"/>
  <c r="I130" i="22" s="1"/>
  <c r="J130" i="22" s="1"/>
  <c r="K130" i="22" s="1"/>
  <c r="L130" i="22" s="1"/>
  <c r="M130" i="22" s="1"/>
  <c r="N130" i="22" s="1"/>
  <c r="O130" i="22" s="1"/>
  <c r="P130" i="22" s="1"/>
  <c r="Q130" i="22" s="1"/>
  <c r="R130" i="22" s="1"/>
  <c r="S130" i="22" s="1"/>
  <c r="T130" i="22" s="1"/>
  <c r="U130" i="22" s="1"/>
  <c r="V130" i="22" s="1"/>
  <c r="W130" i="22" s="1"/>
  <c r="X130" i="22" s="1"/>
  <c r="Y130" i="22" s="1"/>
  <c r="Z130" i="22" s="1"/>
  <c r="AA130" i="22" s="1"/>
  <c r="AB130" i="22" s="1"/>
  <c r="AC130" i="22" s="1"/>
  <c r="AD130" i="22" s="1"/>
  <c r="AE130" i="22" s="1"/>
  <c r="AF130" i="22" s="1"/>
  <c r="B130" i="22" s="1"/>
  <c r="D130" i="22"/>
  <c r="E130" i="22" s="1"/>
  <c r="F130" i="22" s="1"/>
  <c r="G130" i="22" s="1"/>
  <c r="D128" i="22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D127" i="22"/>
  <c r="E127" i="22" s="1"/>
  <c r="F127" i="22" s="1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6" i="22"/>
  <c r="E126" i="22" s="1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D125" i="22"/>
  <c r="E125" i="22" s="1"/>
  <c r="F125" i="22" s="1"/>
  <c r="G125" i="22" s="1"/>
  <c r="H125" i="22" s="1"/>
  <c r="I125" i="22" s="1"/>
  <c r="J125" i="22" s="1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D123" i="22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D122" i="22"/>
  <c r="E122" i="22" s="1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D121" i="22"/>
  <c r="E121" i="22" s="1"/>
  <c r="F121" i="22" s="1"/>
  <c r="G121" i="22" s="1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E120" i="22"/>
  <c r="F120" i="22" s="1"/>
  <c r="G120" i="22" s="1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D120" i="22"/>
  <c r="D119" i="22"/>
  <c r="E119" i="22" s="1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D118" i="22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M117" i="22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D117" i="22"/>
  <c r="E117" i="22" s="1"/>
  <c r="F117" i="22" s="1"/>
  <c r="G117" i="22" s="1"/>
  <c r="H117" i="22" s="1"/>
  <c r="I117" i="22" s="1"/>
  <c r="J117" i="22" s="1"/>
  <c r="K117" i="22" s="1"/>
  <c r="L117" i="22" s="1"/>
  <c r="E116" i="22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D116" i="22"/>
  <c r="D115" i="22"/>
  <c r="E115" i="22" s="1"/>
  <c r="F115" i="22" s="1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D114" i="22"/>
  <c r="E114" i="22" s="1"/>
  <c r="F114" i="22" s="1"/>
  <c r="G114" i="22" s="1"/>
  <c r="H114" i="22" s="1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K113" i="22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D113" i="22"/>
  <c r="E113" i="22" s="1"/>
  <c r="F113" i="22" s="1"/>
  <c r="G113" i="22" s="1"/>
  <c r="H113" i="22" s="1"/>
  <c r="I113" i="22" s="1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G111" i="22"/>
  <c r="H111" i="22" s="1"/>
  <c r="I111" i="22" s="1"/>
  <c r="J111" i="22" s="1"/>
  <c r="K111" i="22" s="1"/>
  <c r="L111" i="22" s="1"/>
  <c r="M111" i="22" s="1"/>
  <c r="N111" i="22" s="1"/>
  <c r="O111" i="22" s="1"/>
  <c r="P111" i="22" s="1"/>
  <c r="Q111" i="22" s="1"/>
  <c r="R111" i="22" s="1"/>
  <c r="S111" i="22" s="1"/>
  <c r="T111" i="22" s="1"/>
  <c r="U111" i="22" s="1"/>
  <c r="V111" i="22" s="1"/>
  <c r="W111" i="22" s="1"/>
  <c r="X111" i="22" s="1"/>
  <c r="Y111" i="22" s="1"/>
  <c r="Z111" i="22" s="1"/>
  <c r="AA111" i="22" s="1"/>
  <c r="AB111" i="22" s="1"/>
  <c r="AC111" i="22" s="1"/>
  <c r="AD111" i="22" s="1"/>
  <c r="AE111" i="22" s="1"/>
  <c r="AF111" i="22" s="1"/>
  <c r="B111" i="22" s="1"/>
  <c r="D111" i="22"/>
  <c r="E111" i="22" s="1"/>
  <c r="F111" i="22" s="1"/>
  <c r="D109" i="22"/>
  <c r="E109" i="22" s="1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8" i="22"/>
  <c r="E108" i="22" s="1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D105" i="22"/>
  <c r="E105" i="22" s="1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D104" i="22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D103" i="22"/>
  <c r="E103" i="22" s="1"/>
  <c r="F103" i="22" s="1"/>
  <c r="G103" i="22" s="1"/>
  <c r="H103" i="22" s="1"/>
  <c r="I103" i="22" s="1"/>
  <c r="J103" i="22" s="1"/>
  <c r="K103" i="22" s="1"/>
  <c r="L103" i="22" s="1"/>
  <c r="M103" i="22" s="1"/>
  <c r="N103" i="22" s="1"/>
  <c r="O103" i="22" s="1"/>
  <c r="P103" i="22" s="1"/>
  <c r="Q103" i="22" s="1"/>
  <c r="R103" i="22" s="1"/>
  <c r="S103" i="22" s="1"/>
  <c r="T103" i="22" s="1"/>
  <c r="U103" i="22" s="1"/>
  <c r="V103" i="22" s="1"/>
  <c r="W103" i="22" s="1"/>
  <c r="X103" i="22" s="1"/>
  <c r="Y103" i="22" s="1"/>
  <c r="Z103" i="22" s="1"/>
  <c r="AA103" i="22" s="1"/>
  <c r="AB103" i="22" s="1"/>
  <c r="AC103" i="22" s="1"/>
  <c r="AD103" i="22" s="1"/>
  <c r="AE103" i="22" s="1"/>
  <c r="AF103" i="22" s="1"/>
  <c r="B103" i="22" s="1"/>
  <c r="D102" i="22"/>
  <c r="E102" i="22" s="1"/>
  <c r="F102" i="22" s="1"/>
  <c r="D101" i="22"/>
  <c r="AH98" i="22"/>
  <c r="AI98" i="22" s="1"/>
  <c r="AH97" i="22"/>
  <c r="AI97" i="22" s="1"/>
  <c r="AH96" i="22"/>
  <c r="AI96" i="22" s="1"/>
  <c r="AH94" i="22"/>
  <c r="AI94" i="22" s="1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G82" i="22"/>
  <c r="AI81" i="22"/>
  <c r="AH81" i="22"/>
  <c r="AF80" i="22"/>
  <c r="AE80" i="22"/>
  <c r="AD80" i="22"/>
  <c r="AC80" i="22"/>
  <c r="AB80" i="22"/>
  <c r="AA80" i="22"/>
  <c r="Z80" i="22"/>
  <c r="Y80" i="22"/>
  <c r="X80" i="22"/>
  <c r="W80" i="22"/>
  <c r="V80" i="22"/>
  <c r="U80" i="22"/>
  <c r="T80" i="22"/>
  <c r="S80" i="22"/>
  <c r="R80" i="22"/>
  <c r="Q80" i="22"/>
  <c r="P80" i="22"/>
  <c r="O80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B80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AI74" i="22"/>
  <c r="AH74" i="22"/>
  <c r="AG72" i="22"/>
  <c r="AG75" i="22" s="1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AI71" i="22"/>
  <c r="AH71" i="22"/>
  <c r="AI70" i="22"/>
  <c r="AH70" i="22"/>
  <c r="AI69" i="22"/>
  <c r="AH69" i="22"/>
  <c r="AG68" i="22"/>
  <c r="AF68" i="22"/>
  <c r="AE68" i="22"/>
  <c r="AD68" i="22"/>
  <c r="AC5" i="22" s="1"/>
  <c r="AC68" i="22"/>
  <c r="AB5" i="22" s="1"/>
  <c r="AB68" i="22"/>
  <c r="AA68" i="22"/>
  <c r="Z5" i="22" s="1"/>
  <c r="Z68" i="22"/>
  <c r="Y68" i="22"/>
  <c r="X5" i="22" s="1"/>
  <c r="X68" i="22"/>
  <c r="W68" i="22"/>
  <c r="V68" i="22"/>
  <c r="U5" i="22" s="1"/>
  <c r="U68" i="22"/>
  <c r="T5" i="22" s="1"/>
  <c r="T68" i="22"/>
  <c r="S68" i="22"/>
  <c r="R5" i="22" s="1"/>
  <c r="R68" i="22"/>
  <c r="Q5" i="22" s="1"/>
  <c r="Q68" i="22"/>
  <c r="P5" i="22" s="1"/>
  <c r="P68" i="22"/>
  <c r="O5" i="22" s="1"/>
  <c r="O68" i="22"/>
  <c r="N68" i="22"/>
  <c r="M5" i="22" s="1"/>
  <c r="M68" i="22"/>
  <c r="L5" i="22" s="1"/>
  <c r="L68" i="22"/>
  <c r="K68" i="22"/>
  <c r="J5" i="22" s="1"/>
  <c r="J68" i="22"/>
  <c r="I5" i="22" s="1"/>
  <c r="I68" i="22"/>
  <c r="H5" i="22" s="1"/>
  <c r="H68" i="22"/>
  <c r="G68" i="22"/>
  <c r="F68" i="22"/>
  <c r="E5" i="22" s="1"/>
  <c r="E68" i="22"/>
  <c r="D5" i="22" s="1"/>
  <c r="D68" i="22"/>
  <c r="C68" i="22"/>
  <c r="B5" i="22" s="1"/>
  <c r="B68" i="22"/>
  <c r="AF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G4" i="22" s="1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I55" i="22"/>
  <c r="AH55" i="22"/>
  <c r="AI54" i="22"/>
  <c r="AH54" i="22"/>
  <c r="AI53" i="22"/>
  <c r="AH53" i="22"/>
  <c r="Z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G51" i="22"/>
  <c r="AG52" i="22" s="1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G2" i="22" s="1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C38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K4" i="22"/>
  <c r="B4" i="22"/>
  <c r="AG3" i="22"/>
  <c r="AF95" i="21"/>
  <c r="AE95" i="21"/>
  <c r="AC37" i="21"/>
  <c r="AB37" i="21"/>
  <c r="X38" i="21"/>
  <c r="X37" i="21"/>
  <c r="S37" i="21"/>
  <c r="R95" i="21"/>
  <c r="R37" i="21"/>
  <c r="Q95" i="21"/>
  <c r="Q37" i="21"/>
  <c r="P95" i="21"/>
  <c r="P37" i="21"/>
  <c r="E4" i="22"/>
  <c r="F198" i="22" l="1"/>
  <c r="AH37" i="22"/>
  <c r="Z82" i="22"/>
  <c r="J73" i="22"/>
  <c r="AC82" i="22"/>
  <c r="R82" i="22"/>
  <c r="R75" i="22"/>
  <c r="AJ213" i="22" s="1"/>
  <c r="M82" i="22"/>
  <c r="K75" i="22"/>
  <c r="AC213" i="22" s="1"/>
  <c r="J82" i="22"/>
  <c r="M73" i="22"/>
  <c r="P82" i="22"/>
  <c r="X82" i="22"/>
  <c r="AF82" i="22"/>
  <c r="N75" i="22"/>
  <c r="AH77" i="22"/>
  <c r="P73" i="22"/>
  <c r="U82" i="22"/>
  <c r="D93" i="22"/>
  <c r="I75" i="22"/>
  <c r="AA213" i="22" s="1"/>
  <c r="Q75" i="22"/>
  <c r="Q7" i="22" s="1"/>
  <c r="I73" i="22"/>
  <c r="Q73" i="22"/>
  <c r="AG73" i="22"/>
  <c r="AG83" i="22" s="1"/>
  <c r="N73" i="22"/>
  <c r="J75" i="22"/>
  <c r="AB213" i="22" s="1"/>
  <c r="R73" i="22"/>
  <c r="R83" i="22" s="1"/>
  <c r="Z75" i="22"/>
  <c r="AR213" i="22" s="1"/>
  <c r="Z73" i="22"/>
  <c r="O82" i="22"/>
  <c r="W82" i="22"/>
  <c r="AE82" i="22"/>
  <c r="L82" i="22"/>
  <c r="AB82" i="22"/>
  <c r="R7" i="22"/>
  <c r="T82" i="22"/>
  <c r="N82" i="22"/>
  <c r="V82" i="22"/>
  <c r="AD82" i="22"/>
  <c r="S75" i="22"/>
  <c r="S7" i="22" s="1"/>
  <c r="Y5" i="22"/>
  <c r="I82" i="22"/>
  <c r="Q82" i="22"/>
  <c r="Y82" i="22"/>
  <c r="H82" i="22"/>
  <c r="H73" i="22"/>
  <c r="G82" i="22"/>
  <c r="AI80" i="22"/>
  <c r="F82" i="22"/>
  <c r="F73" i="22"/>
  <c r="F75" i="22"/>
  <c r="E82" i="22"/>
  <c r="E73" i="22"/>
  <c r="AH80" i="22"/>
  <c r="AI78" i="22"/>
  <c r="AH78" i="22"/>
  <c r="C73" i="22"/>
  <c r="C75" i="22" s="1"/>
  <c r="C7" i="22" s="1"/>
  <c r="AI38" i="22"/>
  <c r="H4" i="22"/>
  <c r="AH79" i="22"/>
  <c r="AI79" i="22"/>
  <c r="G5" i="22"/>
  <c r="AI68" i="22"/>
  <c r="D75" i="22"/>
  <c r="L75" i="22"/>
  <c r="T75" i="22"/>
  <c r="AI77" i="22"/>
  <c r="AI76" i="22"/>
  <c r="M75" i="22"/>
  <c r="AE5" i="22"/>
  <c r="AI56" i="22"/>
  <c r="C5" i="22"/>
  <c r="D73" i="22"/>
  <c r="K5" i="22"/>
  <c r="L73" i="22"/>
  <c r="S5" i="22"/>
  <c r="T73" i="22"/>
  <c r="AA5" i="22"/>
  <c r="C82" i="22"/>
  <c r="K82" i="22"/>
  <c r="S82" i="22"/>
  <c r="AA82" i="22"/>
  <c r="F108" i="22"/>
  <c r="G108" i="22" s="1"/>
  <c r="H108" i="22" s="1"/>
  <c r="I108" i="22" s="1"/>
  <c r="J108" i="22" s="1"/>
  <c r="K108" i="22" s="1"/>
  <c r="L108" i="22" s="1"/>
  <c r="M108" i="22" s="1"/>
  <c r="N108" i="22" s="1"/>
  <c r="O108" i="22" s="1"/>
  <c r="P108" i="22" s="1"/>
  <c r="Q108" i="22" s="1"/>
  <c r="R108" i="22" s="1"/>
  <c r="S108" i="22" s="1"/>
  <c r="T108" i="22" s="1"/>
  <c r="U108" i="22" s="1"/>
  <c r="V108" i="22" s="1"/>
  <c r="W108" i="22" s="1"/>
  <c r="X108" i="22" s="1"/>
  <c r="Y108" i="22" s="1"/>
  <c r="Z108" i="22" s="1"/>
  <c r="AA108" i="22" s="1"/>
  <c r="AB108" i="22" s="1"/>
  <c r="AC108" i="22" s="1"/>
  <c r="AD108" i="22" s="1"/>
  <c r="AE108" i="22" s="1"/>
  <c r="AF108" i="22" s="1"/>
  <c r="B108" i="22" s="1"/>
  <c r="G75" i="22"/>
  <c r="O75" i="22"/>
  <c r="D82" i="22"/>
  <c r="AH76" i="22"/>
  <c r="E75" i="22"/>
  <c r="W5" i="22"/>
  <c r="H75" i="22"/>
  <c r="P75" i="22"/>
  <c r="AG6" i="22"/>
  <c r="G73" i="22"/>
  <c r="F5" i="22"/>
  <c r="O73" i="22"/>
  <c r="N5" i="22"/>
  <c r="V5" i="22"/>
  <c r="AD5" i="22"/>
  <c r="G102" i="22"/>
  <c r="K73" i="22"/>
  <c r="S73" i="22"/>
  <c r="D210" i="22"/>
  <c r="S210" i="22"/>
  <c r="AH38" i="22"/>
  <c r="B82" i="22"/>
  <c r="D191" i="22"/>
  <c r="AH56" i="22"/>
  <c r="AH68" i="22"/>
  <c r="AH72" i="22"/>
  <c r="E101" i="22"/>
  <c r="AI72" i="22"/>
  <c r="G198" i="22"/>
  <c r="E234" i="22"/>
  <c r="D199" i="22"/>
  <c r="E193" i="22"/>
  <c r="E93" i="22" s="1"/>
  <c r="O95" i="21"/>
  <c r="O37" i="21"/>
  <c r="Z7" i="22" l="1"/>
  <c r="Z83" i="22"/>
  <c r="AK213" i="22"/>
  <c r="AI213" i="22"/>
  <c r="Q83" i="22"/>
  <c r="O83" i="22"/>
  <c r="N83" i="22"/>
  <c r="M83" i="22"/>
  <c r="G83" i="22"/>
  <c r="K7" i="22"/>
  <c r="J7" i="22"/>
  <c r="J83" i="22"/>
  <c r="I7" i="22"/>
  <c r="I83" i="22"/>
  <c r="H83" i="22"/>
  <c r="F83" i="22"/>
  <c r="N7" i="22"/>
  <c r="L83" i="22"/>
  <c r="AF213" i="22"/>
  <c r="K83" i="22"/>
  <c r="T83" i="22"/>
  <c r="X213" i="22"/>
  <c r="F7" i="22"/>
  <c r="E83" i="22"/>
  <c r="D83" i="22"/>
  <c r="U213" i="22"/>
  <c r="C83" i="22"/>
  <c r="E191" i="22"/>
  <c r="F101" i="22"/>
  <c r="H102" i="22"/>
  <c r="AE213" i="22"/>
  <c r="M7" i="22"/>
  <c r="W213" i="22"/>
  <c r="E7" i="22"/>
  <c r="AG213" i="22"/>
  <c r="O7" i="22"/>
  <c r="AD213" i="22"/>
  <c r="L7" i="22"/>
  <c r="AL213" i="22"/>
  <c r="T7" i="22"/>
  <c r="E199" i="22"/>
  <c r="F193" i="22"/>
  <c r="AH213" i="22"/>
  <c r="P7" i="22"/>
  <c r="AI82" i="22"/>
  <c r="AH82" i="22"/>
  <c r="S83" i="22"/>
  <c r="P83" i="22"/>
  <c r="Y213" i="22"/>
  <c r="C208" i="22"/>
  <c r="B208" i="22"/>
  <c r="G7" i="22"/>
  <c r="V213" i="22"/>
  <c r="D7" i="22"/>
  <c r="F234" i="22"/>
  <c r="H198" i="22"/>
  <c r="Z213" i="22"/>
  <c r="H7" i="22"/>
  <c r="N95" i="21"/>
  <c r="N37" i="21"/>
  <c r="K6" i="22" l="1"/>
  <c r="I198" i="22"/>
  <c r="G234" i="22"/>
  <c r="I102" i="22"/>
  <c r="F191" i="22"/>
  <c r="G101" i="22"/>
  <c r="F199" i="22"/>
  <c r="G193" i="22"/>
  <c r="F93" i="22"/>
  <c r="M95" i="21"/>
  <c r="M37" i="21"/>
  <c r="AH99" i="21"/>
  <c r="AI99" i="21" s="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B234" i="21"/>
  <c r="S209" i="21"/>
  <c r="AG199" i="21"/>
  <c r="C199" i="21"/>
  <c r="D198" i="21"/>
  <c r="R197" i="2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D197" i="21"/>
  <c r="E197" i="21" s="1"/>
  <c r="F197" i="21" s="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F196" i="21"/>
  <c r="G196" i="21" s="1"/>
  <c r="H196" i="21" s="1"/>
  <c r="I196" i="21" s="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E196" i="21"/>
  <c r="D196" i="21"/>
  <c r="L195" i="2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B195" i="21" s="1"/>
  <c r="D195" i="21"/>
  <c r="E195" i="21" s="1"/>
  <c r="F195" i="21" s="1"/>
  <c r="G195" i="21" s="1"/>
  <c r="H195" i="21" s="1"/>
  <c r="I195" i="21" s="1"/>
  <c r="J195" i="21" s="1"/>
  <c r="K195" i="21" s="1"/>
  <c r="J194" i="21"/>
  <c r="K194" i="21" s="1"/>
  <c r="L194" i="21" s="1"/>
  <c r="M194" i="21" s="1"/>
  <c r="N194" i="21" s="1"/>
  <c r="O194" i="21" s="1"/>
  <c r="P194" i="21" s="1"/>
  <c r="Q194" i="21" s="1"/>
  <c r="R194" i="21" s="1"/>
  <c r="S194" i="21" s="1"/>
  <c r="T194" i="21" s="1"/>
  <c r="U194" i="21" s="1"/>
  <c r="V194" i="21" s="1"/>
  <c r="W194" i="21" s="1"/>
  <c r="X194" i="21" s="1"/>
  <c r="Y194" i="21" s="1"/>
  <c r="Z194" i="21" s="1"/>
  <c r="AA194" i="21" s="1"/>
  <c r="AB194" i="21" s="1"/>
  <c r="AC194" i="21" s="1"/>
  <c r="AD194" i="21" s="1"/>
  <c r="AE194" i="21" s="1"/>
  <c r="AF194" i="21" s="1"/>
  <c r="B194" i="21" s="1"/>
  <c r="D194" i="21"/>
  <c r="E194" i="21" s="1"/>
  <c r="F194" i="21" s="1"/>
  <c r="G194" i="21" s="1"/>
  <c r="H194" i="21" s="1"/>
  <c r="I194" i="21" s="1"/>
  <c r="D193" i="21"/>
  <c r="AG191" i="21"/>
  <c r="C191" i="21"/>
  <c r="V190" i="2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N190" i="21"/>
  <c r="O190" i="21" s="1"/>
  <c r="P190" i="21" s="1"/>
  <c r="Q190" i="21" s="1"/>
  <c r="R190" i="21" s="1"/>
  <c r="S190" i="21" s="1"/>
  <c r="T190" i="21" s="1"/>
  <c r="U190" i="21" s="1"/>
  <c r="F190" i="21"/>
  <c r="G190" i="21" s="1"/>
  <c r="H190" i="21" s="1"/>
  <c r="I190" i="21" s="1"/>
  <c r="J190" i="21" s="1"/>
  <c r="K190" i="21" s="1"/>
  <c r="L190" i="21" s="1"/>
  <c r="M190" i="21" s="1"/>
  <c r="D190" i="21"/>
  <c r="E190" i="21" s="1"/>
  <c r="L189" i="2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H189" i="21"/>
  <c r="I189" i="21" s="1"/>
  <c r="J189" i="21" s="1"/>
  <c r="K189" i="21" s="1"/>
  <c r="D189" i="21"/>
  <c r="E189" i="21" s="1"/>
  <c r="F189" i="21" s="1"/>
  <c r="G189" i="21" s="1"/>
  <c r="J188" i="2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B188" i="21" s="1"/>
  <c r="H188" i="21"/>
  <c r="I188" i="21" s="1"/>
  <c r="D188" i="21"/>
  <c r="E188" i="21" s="1"/>
  <c r="F188" i="21" s="1"/>
  <c r="G188" i="21" s="1"/>
  <c r="F187" i="2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D187" i="21"/>
  <c r="E187" i="21" s="1"/>
  <c r="AF186" i="21"/>
  <c r="B186" i="21" s="1"/>
  <c r="D186" i="2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K185" i="2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H185" i="21"/>
  <c r="I185" i="21" s="1"/>
  <c r="J185" i="21" s="1"/>
  <c r="D185" i="21"/>
  <c r="E185" i="21" s="1"/>
  <c r="F185" i="21" s="1"/>
  <c r="G185" i="21" s="1"/>
  <c r="F184" i="2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B184" i="21" s="1"/>
  <c r="D184" i="21"/>
  <c r="E184" i="21" s="1"/>
  <c r="W183" i="2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N183" i="21"/>
  <c r="O183" i="21" s="1"/>
  <c r="P183" i="21" s="1"/>
  <c r="Q183" i="21" s="1"/>
  <c r="R183" i="21" s="1"/>
  <c r="S183" i="21" s="1"/>
  <c r="T183" i="21" s="1"/>
  <c r="U183" i="21" s="1"/>
  <c r="V183" i="21" s="1"/>
  <c r="D183" i="21"/>
  <c r="E183" i="21" s="1"/>
  <c r="F183" i="21" s="1"/>
  <c r="G183" i="21" s="1"/>
  <c r="H183" i="21" s="1"/>
  <c r="I183" i="21" s="1"/>
  <c r="J183" i="21" s="1"/>
  <c r="K183" i="21" s="1"/>
  <c r="L183" i="21" s="1"/>
  <c r="M183" i="21" s="1"/>
  <c r="M182" i="2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H182" i="21"/>
  <c r="I182" i="21" s="1"/>
  <c r="J182" i="21" s="1"/>
  <c r="K182" i="21" s="1"/>
  <c r="L182" i="21" s="1"/>
  <c r="E182" i="21"/>
  <c r="F182" i="21" s="1"/>
  <c r="G182" i="21" s="1"/>
  <c r="D182" i="21"/>
  <c r="H181" i="2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B181" i="21" s="1"/>
  <c r="D181" i="21"/>
  <c r="E181" i="21" s="1"/>
  <c r="F181" i="21" s="1"/>
  <c r="G181" i="21" s="1"/>
  <c r="X180" i="2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D180" i="21"/>
  <c r="E180" i="21" s="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D179" i="21"/>
  <c r="E179" i="21" s="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B179" i="21" s="1"/>
  <c r="L178" i="21"/>
  <c r="M178" i="21" s="1"/>
  <c r="N178" i="21" s="1"/>
  <c r="O178" i="21" s="1"/>
  <c r="P178" i="21" s="1"/>
  <c r="Q178" i="21" s="1"/>
  <c r="R178" i="21" s="1"/>
  <c r="S178" i="21" s="1"/>
  <c r="T178" i="21" s="1"/>
  <c r="U178" i="21" s="1"/>
  <c r="V178" i="21" s="1"/>
  <c r="W178" i="21" s="1"/>
  <c r="X178" i="21" s="1"/>
  <c r="Y178" i="21" s="1"/>
  <c r="Z178" i="21" s="1"/>
  <c r="AA178" i="21" s="1"/>
  <c r="AB178" i="21" s="1"/>
  <c r="AC178" i="21" s="1"/>
  <c r="AD178" i="21" s="1"/>
  <c r="AE178" i="21" s="1"/>
  <c r="AF178" i="21" s="1"/>
  <c r="B178" i="21" s="1"/>
  <c r="D178" i="21"/>
  <c r="E178" i="21" s="1"/>
  <c r="F178" i="21" s="1"/>
  <c r="G178" i="21" s="1"/>
  <c r="H178" i="21" s="1"/>
  <c r="I178" i="21" s="1"/>
  <c r="J178" i="21" s="1"/>
  <c r="K178" i="21" s="1"/>
  <c r="L176" i="2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E176" i="21"/>
  <c r="F176" i="21" s="1"/>
  <c r="G176" i="21" s="1"/>
  <c r="H176" i="21" s="1"/>
  <c r="I176" i="21" s="1"/>
  <c r="J176" i="21" s="1"/>
  <c r="K176" i="21" s="1"/>
  <c r="D176" i="21"/>
  <c r="Q175" i="2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B175" i="21" s="1"/>
  <c r="F175" i="2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E175" i="21"/>
  <c r="D175" i="21"/>
  <c r="I174" i="2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D174" i="21"/>
  <c r="E174" i="21" s="1"/>
  <c r="F174" i="21" s="1"/>
  <c r="G174" i="21" s="1"/>
  <c r="H174" i="21" s="1"/>
  <c r="B174" i="21"/>
  <c r="AD173" i="21"/>
  <c r="AE173" i="21" s="1"/>
  <c r="AF173" i="21" s="1"/>
  <c r="B173" i="21" s="1"/>
  <c r="N173" i="2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D173" i="21"/>
  <c r="E173" i="21" s="1"/>
  <c r="F173" i="21" s="1"/>
  <c r="G173" i="21" s="1"/>
  <c r="H173" i="21" s="1"/>
  <c r="I173" i="21" s="1"/>
  <c r="J173" i="21" s="1"/>
  <c r="K173" i="21" s="1"/>
  <c r="L173" i="21" s="1"/>
  <c r="M173" i="21" s="1"/>
  <c r="I172" i="2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E172" i="21"/>
  <c r="F172" i="21" s="1"/>
  <c r="G172" i="21" s="1"/>
  <c r="H172" i="21" s="1"/>
  <c r="D172" i="21"/>
  <c r="E171" i="2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D171" i="21"/>
  <c r="B171" i="21"/>
  <c r="AE170" i="21"/>
  <c r="AF170" i="21" s="1"/>
  <c r="B170" i="21" s="1"/>
  <c r="O170" i="2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E170" i="21"/>
  <c r="F170" i="21" s="1"/>
  <c r="G170" i="21" s="1"/>
  <c r="H170" i="21" s="1"/>
  <c r="I170" i="21" s="1"/>
  <c r="J170" i="21" s="1"/>
  <c r="K170" i="21" s="1"/>
  <c r="L170" i="21" s="1"/>
  <c r="M170" i="21" s="1"/>
  <c r="N170" i="21" s="1"/>
  <c r="D170" i="21"/>
  <c r="F169" i="21"/>
  <c r="G169" i="21" s="1"/>
  <c r="H169" i="21" s="1"/>
  <c r="I169" i="21" s="1"/>
  <c r="J169" i="21" s="1"/>
  <c r="K169" i="21" s="1"/>
  <c r="L169" i="21" s="1"/>
  <c r="M169" i="21" s="1"/>
  <c r="N169" i="21" s="1"/>
  <c r="O169" i="21" s="1"/>
  <c r="P169" i="21" s="1"/>
  <c r="Q169" i="21" s="1"/>
  <c r="R169" i="21" s="1"/>
  <c r="S169" i="21" s="1"/>
  <c r="T169" i="21" s="1"/>
  <c r="U169" i="21" s="1"/>
  <c r="V169" i="21" s="1"/>
  <c r="W169" i="21" s="1"/>
  <c r="X169" i="21" s="1"/>
  <c r="Y169" i="21" s="1"/>
  <c r="Z169" i="21" s="1"/>
  <c r="AA169" i="21" s="1"/>
  <c r="AB169" i="21" s="1"/>
  <c r="AC169" i="21" s="1"/>
  <c r="AD169" i="21" s="1"/>
  <c r="AE169" i="21" s="1"/>
  <c r="AF169" i="21" s="1"/>
  <c r="B169" i="21" s="1"/>
  <c r="E169" i="21"/>
  <c r="D169" i="21"/>
  <c r="D167" i="2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B167" i="21" s="1"/>
  <c r="J166" i="2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E166" i="21"/>
  <c r="F166" i="21" s="1"/>
  <c r="G166" i="21" s="1"/>
  <c r="H166" i="21" s="1"/>
  <c r="I166" i="21" s="1"/>
  <c r="D166" i="21"/>
  <c r="H165" i="2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B165" i="21" s="1"/>
  <c r="D165" i="21"/>
  <c r="E165" i="21" s="1"/>
  <c r="F165" i="21" s="1"/>
  <c r="G165" i="21" s="1"/>
  <c r="J164" i="2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D164" i="21"/>
  <c r="E164" i="21" s="1"/>
  <c r="F164" i="21" s="1"/>
  <c r="G164" i="21" s="1"/>
  <c r="H164" i="21" s="1"/>
  <c r="I164" i="21" s="1"/>
  <c r="P163" i="2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E163" i="2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D163" i="2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D161" i="21"/>
  <c r="E161" i="21" s="1"/>
  <c r="F161" i="21" s="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B161" i="21" s="1"/>
  <c r="D160" i="21"/>
  <c r="E160" i="21" s="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B160" i="21" s="1"/>
  <c r="D159" i="2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T158" i="2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D158" i="21"/>
  <c r="E158" i="21" s="1"/>
  <c r="F158" i="21" s="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E157" i="2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7" i="21"/>
  <c r="G156" i="2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B156" i="21" s="1"/>
  <c r="E156" i="21"/>
  <c r="F156" i="21" s="1"/>
  <c r="D156" i="21"/>
  <c r="E155" i="21"/>
  <c r="F155" i="21" s="1"/>
  <c r="G155" i="21" s="1"/>
  <c r="H155" i="21" s="1"/>
  <c r="I155" i="21" s="1"/>
  <c r="J155" i="21" s="1"/>
  <c r="K155" i="21" s="1"/>
  <c r="L155" i="21" s="1"/>
  <c r="M155" i="21" s="1"/>
  <c r="N155" i="21" s="1"/>
  <c r="O155" i="21" s="1"/>
  <c r="P155" i="21" s="1"/>
  <c r="Q155" i="21" s="1"/>
  <c r="R155" i="21" s="1"/>
  <c r="S155" i="21" s="1"/>
  <c r="T155" i="21" s="1"/>
  <c r="U155" i="21" s="1"/>
  <c r="V155" i="21" s="1"/>
  <c r="W155" i="21" s="1"/>
  <c r="X155" i="21" s="1"/>
  <c r="Y155" i="21" s="1"/>
  <c r="Z155" i="21" s="1"/>
  <c r="AA155" i="21" s="1"/>
  <c r="AB155" i="21" s="1"/>
  <c r="AC155" i="21" s="1"/>
  <c r="AD155" i="21" s="1"/>
  <c r="AE155" i="21" s="1"/>
  <c r="AF155" i="21" s="1"/>
  <c r="B155" i="21" s="1"/>
  <c r="D155" i="21"/>
  <c r="I153" i="2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B153" i="21" s="1"/>
  <c r="E153" i="21"/>
  <c r="F153" i="21" s="1"/>
  <c r="G153" i="21" s="1"/>
  <c r="H153" i="21" s="1"/>
  <c r="D153" i="21"/>
  <c r="D152" i="21"/>
  <c r="E152" i="21" s="1"/>
  <c r="F152" i="21" s="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E151" i="21"/>
  <c r="F151" i="21" s="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B151" i="21" s="1"/>
  <c r="D151" i="21"/>
  <c r="E150" i="21"/>
  <c r="F150" i="21" s="1"/>
  <c r="G150" i="21" s="1"/>
  <c r="H150" i="21" s="1"/>
  <c r="I150" i="21" s="1"/>
  <c r="J150" i="21" s="1"/>
  <c r="K150" i="21" s="1"/>
  <c r="L150" i="21" s="1"/>
  <c r="M150" i="21" s="1"/>
  <c r="N150" i="21" s="1"/>
  <c r="O150" i="21" s="1"/>
  <c r="P150" i="21" s="1"/>
  <c r="Q150" i="21" s="1"/>
  <c r="R150" i="21" s="1"/>
  <c r="S150" i="21" s="1"/>
  <c r="T150" i="21" s="1"/>
  <c r="U150" i="21" s="1"/>
  <c r="V150" i="21" s="1"/>
  <c r="W150" i="21" s="1"/>
  <c r="X150" i="21" s="1"/>
  <c r="Y150" i="21" s="1"/>
  <c r="Z150" i="21" s="1"/>
  <c r="AA150" i="21" s="1"/>
  <c r="AB150" i="21" s="1"/>
  <c r="AC150" i="21" s="1"/>
  <c r="AD150" i="21" s="1"/>
  <c r="AE150" i="21" s="1"/>
  <c r="AF150" i="21" s="1"/>
  <c r="B150" i="21" s="1"/>
  <c r="D150" i="21"/>
  <c r="D148" i="21"/>
  <c r="E148" i="21" s="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B148" i="21" s="1"/>
  <c r="R147" i="21"/>
  <c r="S147" i="21" s="1"/>
  <c r="T147" i="21" s="1"/>
  <c r="U147" i="21" s="1"/>
  <c r="V147" i="21" s="1"/>
  <c r="W147" i="21" s="1"/>
  <c r="X147" i="21" s="1"/>
  <c r="Y147" i="21" s="1"/>
  <c r="Z147" i="21" s="1"/>
  <c r="AA147" i="21" s="1"/>
  <c r="AB147" i="21" s="1"/>
  <c r="AC147" i="21" s="1"/>
  <c r="AD147" i="21" s="1"/>
  <c r="AE147" i="21" s="1"/>
  <c r="AF147" i="21" s="1"/>
  <c r="B147" i="21" s="1"/>
  <c r="O147" i="21"/>
  <c r="P147" i="21" s="1"/>
  <c r="Q147" i="21" s="1"/>
  <c r="D147" i="21"/>
  <c r="E147" i="21" s="1"/>
  <c r="F147" i="21" s="1"/>
  <c r="G147" i="21" s="1"/>
  <c r="H147" i="21" s="1"/>
  <c r="I147" i="21" s="1"/>
  <c r="J147" i="21" s="1"/>
  <c r="K147" i="21" s="1"/>
  <c r="L147" i="21" s="1"/>
  <c r="M147" i="21" s="1"/>
  <c r="N147" i="21" s="1"/>
  <c r="R145" i="2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H145" i="21"/>
  <c r="I145" i="21" s="1"/>
  <c r="J145" i="21" s="1"/>
  <c r="K145" i="21" s="1"/>
  <c r="L145" i="21" s="1"/>
  <c r="M145" i="21" s="1"/>
  <c r="N145" i="21" s="1"/>
  <c r="O145" i="21" s="1"/>
  <c r="P145" i="21" s="1"/>
  <c r="Q145" i="21" s="1"/>
  <c r="G145" i="21"/>
  <c r="E145" i="21"/>
  <c r="F145" i="21" s="1"/>
  <c r="D145" i="21"/>
  <c r="E144" i="21"/>
  <c r="F144" i="21" s="1"/>
  <c r="G144" i="21" s="1"/>
  <c r="H144" i="21" s="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D144" i="21"/>
  <c r="E143" i="21"/>
  <c r="F143" i="21" s="1"/>
  <c r="G143" i="21" s="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B143" i="21" s="1"/>
  <c r="D143" i="21"/>
  <c r="Y142" i="21"/>
  <c r="Z142" i="21" s="1"/>
  <c r="AA142" i="21" s="1"/>
  <c r="AB142" i="21" s="1"/>
  <c r="AC142" i="21" s="1"/>
  <c r="AD142" i="21" s="1"/>
  <c r="AE142" i="21" s="1"/>
  <c r="AF142" i="21" s="1"/>
  <c r="B142" i="21" s="1"/>
  <c r="G142" i="2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D142" i="21"/>
  <c r="E142" i="21" s="1"/>
  <c r="F142" i="21" s="1"/>
  <c r="E141" i="2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D141" i="21"/>
  <c r="E140" i="21"/>
  <c r="F140" i="21" s="1"/>
  <c r="G140" i="21" s="1"/>
  <c r="H140" i="21" s="1"/>
  <c r="I140" i="21" s="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B140" i="21" s="1"/>
  <c r="D140" i="21"/>
  <c r="I139" i="21"/>
  <c r="J139" i="21" s="1"/>
  <c r="K139" i="21" s="1"/>
  <c r="L139" i="21" s="1"/>
  <c r="M139" i="21" s="1"/>
  <c r="N139" i="21" s="1"/>
  <c r="O139" i="21" s="1"/>
  <c r="P139" i="21" s="1"/>
  <c r="Q139" i="21" s="1"/>
  <c r="R139" i="21" s="1"/>
  <c r="S139" i="21" s="1"/>
  <c r="T139" i="21" s="1"/>
  <c r="U139" i="21" s="1"/>
  <c r="V139" i="21" s="1"/>
  <c r="W139" i="21" s="1"/>
  <c r="X139" i="21" s="1"/>
  <c r="Y139" i="21" s="1"/>
  <c r="Z139" i="21" s="1"/>
  <c r="AA139" i="21" s="1"/>
  <c r="AB139" i="21" s="1"/>
  <c r="AC139" i="21" s="1"/>
  <c r="AD139" i="21" s="1"/>
  <c r="AE139" i="21" s="1"/>
  <c r="AF139" i="21" s="1"/>
  <c r="B139" i="21" s="1"/>
  <c r="D139" i="21"/>
  <c r="E139" i="21" s="1"/>
  <c r="F139" i="21" s="1"/>
  <c r="G139" i="21" s="1"/>
  <c r="H139" i="21" s="1"/>
  <c r="G137" i="2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D137" i="21"/>
  <c r="E137" i="21" s="1"/>
  <c r="F137" i="21" s="1"/>
  <c r="Q136" i="2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B136" i="21" s="1"/>
  <c r="E136" i="21"/>
  <c r="F136" i="21" s="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D136" i="21"/>
  <c r="E135" i="2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D135" i="21"/>
  <c r="D134" i="21"/>
  <c r="E134" i="21" s="1"/>
  <c r="F134" i="21" s="1"/>
  <c r="G134" i="21" s="1"/>
  <c r="H134" i="21" s="1"/>
  <c r="I134" i="21" s="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B134" i="21" s="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J132" i="2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B132" i="21" s="1"/>
  <c r="E132" i="21"/>
  <c r="F132" i="21" s="1"/>
  <c r="G132" i="21" s="1"/>
  <c r="H132" i="21" s="1"/>
  <c r="I132" i="21" s="1"/>
  <c r="D132" i="21"/>
  <c r="E131" i="2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B131" i="21" s="1"/>
  <c r="D131" i="21"/>
  <c r="F130" i="21"/>
  <c r="G130" i="21" s="1"/>
  <c r="H130" i="21" s="1"/>
  <c r="I130" i="21" s="1"/>
  <c r="J130" i="21" s="1"/>
  <c r="K130" i="21" s="1"/>
  <c r="L130" i="21" s="1"/>
  <c r="M130" i="21" s="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B130" i="21" s="1"/>
  <c r="D130" i="21"/>
  <c r="E130" i="21" s="1"/>
  <c r="D128" i="21"/>
  <c r="E128" i="21" s="1"/>
  <c r="F128" i="21" s="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H127" i="2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E127" i="21"/>
  <c r="F127" i="21" s="1"/>
  <c r="G127" i="21" s="1"/>
  <c r="D127" i="21"/>
  <c r="E126" i="2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D126" i="21"/>
  <c r="D125" i="21"/>
  <c r="E125" i="21" s="1"/>
  <c r="F125" i="21" s="1"/>
  <c r="G125" i="21" s="1"/>
  <c r="H125" i="21" s="1"/>
  <c r="I125" i="21" s="1"/>
  <c r="J125" i="21" s="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B125" i="21" s="1"/>
  <c r="D124" i="21"/>
  <c r="E124" i="21" s="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E123" i="2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D123" i="21"/>
  <c r="F122" i="2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E122" i="21"/>
  <c r="D122" i="21"/>
  <c r="F121" i="2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D121" i="21"/>
  <c r="E121" i="21" s="1"/>
  <c r="D120" i="21"/>
  <c r="E120" i="21" s="1"/>
  <c r="F120" i="21" s="1"/>
  <c r="G120" i="21" s="1"/>
  <c r="H120" i="21" s="1"/>
  <c r="I120" i="21" s="1"/>
  <c r="J120" i="21" s="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B120" i="21" s="1"/>
  <c r="D119" i="21"/>
  <c r="E119" i="21" s="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F118" i="2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E118" i="21"/>
  <c r="D118" i="21"/>
  <c r="F117" i="2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D117" i="21"/>
  <c r="E117" i="21" s="1"/>
  <c r="F116" i="2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D116" i="21"/>
  <c r="E116" i="21" s="1"/>
  <c r="D115" i="21"/>
  <c r="E115" i="21" s="1"/>
  <c r="F115" i="21" s="1"/>
  <c r="G115" i="21" s="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D114" i="21"/>
  <c r="E114" i="21" s="1"/>
  <c r="F114" i="21" s="1"/>
  <c r="G114" i="21" s="1"/>
  <c r="H114" i="21" s="1"/>
  <c r="I114" i="21" s="1"/>
  <c r="J114" i="21" s="1"/>
  <c r="K114" i="21" s="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L113" i="2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K113" i="21"/>
  <c r="G113" i="21"/>
  <c r="H113" i="21" s="1"/>
  <c r="I113" i="21" s="1"/>
  <c r="E113" i="21"/>
  <c r="F113" i="21" s="1"/>
  <c r="D113" i="21"/>
  <c r="D112" i="21"/>
  <c r="E112" i="21" s="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B112" i="21" s="1"/>
  <c r="E111" i="21"/>
  <c r="F111" i="21" s="1"/>
  <c r="G111" i="21" s="1"/>
  <c r="H111" i="21" s="1"/>
  <c r="I111" i="21" s="1"/>
  <c r="J111" i="21" s="1"/>
  <c r="K111" i="21" s="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B111" i="21" s="1"/>
  <c r="D111" i="21"/>
  <c r="F109" i="2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B109" i="21" s="1"/>
  <c r="E109" i="21"/>
  <c r="D109" i="21"/>
  <c r="D108" i="21"/>
  <c r="E108" i="21" s="1"/>
  <c r="F108" i="21" s="1"/>
  <c r="G108" i="21" s="1"/>
  <c r="H108" i="21" s="1"/>
  <c r="I108" i="21" s="1"/>
  <c r="J108" i="21" s="1"/>
  <c r="K108" i="21" s="1"/>
  <c r="L108" i="21" s="1"/>
  <c r="M108" i="21" s="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B108" i="21" s="1"/>
  <c r="E106" i="2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D106" i="21"/>
  <c r="G105" i="2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E105" i="21"/>
  <c r="F105" i="21" s="1"/>
  <c r="D105" i="21"/>
  <c r="F104" i="2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B104" i="21" s="1"/>
  <c r="E104" i="21"/>
  <c r="D104" i="21"/>
  <c r="E103" i="21"/>
  <c r="F103" i="21" s="1"/>
  <c r="G103" i="21" s="1"/>
  <c r="H103" i="21" s="1"/>
  <c r="I103" i="21" s="1"/>
  <c r="J103" i="21" s="1"/>
  <c r="K103" i="21" s="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B103" i="21" s="1"/>
  <c r="D103" i="21"/>
  <c r="D102" i="21"/>
  <c r="E102" i="21" s="1"/>
  <c r="E101" i="21"/>
  <c r="D101" i="21"/>
  <c r="AH98" i="21"/>
  <c r="AI98" i="21" s="1"/>
  <c r="AH97" i="21"/>
  <c r="AI97" i="21" s="1"/>
  <c r="AH96" i="21"/>
  <c r="AI96" i="21" s="1"/>
  <c r="AH95" i="21"/>
  <c r="AI95" i="21" s="1"/>
  <c r="AH94" i="21"/>
  <c r="AI94" i="21" s="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G82" i="21"/>
  <c r="AI81" i="21"/>
  <c r="AH81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Q82" i="21" s="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F76" i="21"/>
  <c r="AE76" i="21"/>
  <c r="AD76" i="21"/>
  <c r="AC76" i="21"/>
  <c r="AB76" i="21"/>
  <c r="AA76" i="21"/>
  <c r="Z76" i="21"/>
  <c r="Z82" i="21" s="1"/>
  <c r="Y76" i="21"/>
  <c r="X76" i="21"/>
  <c r="W76" i="21"/>
  <c r="W82" i="21" s="1"/>
  <c r="V76" i="21"/>
  <c r="U76" i="21"/>
  <c r="T76" i="21"/>
  <c r="S76" i="21"/>
  <c r="R76" i="21"/>
  <c r="R82" i="21" s="1"/>
  <c r="Q76" i="21"/>
  <c r="P76" i="21"/>
  <c r="P82" i="21" s="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I74" i="21"/>
  <c r="AH74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H72" i="21" s="1"/>
  <c r="AI71" i="21"/>
  <c r="AH71" i="21"/>
  <c r="AI70" i="21"/>
  <c r="AH70" i="21"/>
  <c r="AI69" i="21"/>
  <c r="AH69" i="21"/>
  <c r="AG68" i="21"/>
  <c r="AF68" i="21"/>
  <c r="AE68" i="21"/>
  <c r="AD5" i="21" s="1"/>
  <c r="AD68" i="21"/>
  <c r="AC5" i="21" s="1"/>
  <c r="AC68" i="21"/>
  <c r="AB68" i="21"/>
  <c r="AA5" i="21" s="1"/>
  <c r="AA68" i="21"/>
  <c r="Z5" i="21" s="1"/>
  <c r="Z68" i="21"/>
  <c r="Y5" i="21" s="1"/>
  <c r="Y68" i="21"/>
  <c r="X5" i="21" s="1"/>
  <c r="X68" i="21"/>
  <c r="W68" i="21"/>
  <c r="V5" i="21" s="1"/>
  <c r="V68" i="21"/>
  <c r="U5" i="21" s="1"/>
  <c r="U68" i="21"/>
  <c r="T68" i="21"/>
  <c r="S68" i="21"/>
  <c r="R68" i="21"/>
  <c r="Q5" i="21" s="1"/>
  <c r="Q68" i="21"/>
  <c r="P5" i="21" s="1"/>
  <c r="P68" i="21"/>
  <c r="O68" i="21"/>
  <c r="N5" i="21" s="1"/>
  <c r="N68" i="21"/>
  <c r="M5" i="21" s="1"/>
  <c r="M68" i="21"/>
  <c r="L68" i="21"/>
  <c r="K5" i="21" s="1"/>
  <c r="K68" i="21"/>
  <c r="J5" i="21" s="1"/>
  <c r="J68" i="21"/>
  <c r="I5" i="21" s="1"/>
  <c r="I68" i="21"/>
  <c r="H5" i="21" s="1"/>
  <c r="H68" i="21"/>
  <c r="G68" i="21"/>
  <c r="F68" i="21"/>
  <c r="E5" i="21" s="1"/>
  <c r="E68" i="21"/>
  <c r="D68" i="21"/>
  <c r="C5" i="21" s="1"/>
  <c r="C68" i="21"/>
  <c r="B5" i="21" s="1"/>
  <c r="B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I55" i="21"/>
  <c r="AH55" i="21"/>
  <c r="AI54" i="21"/>
  <c r="AH54" i="21"/>
  <c r="AI53" i="21"/>
  <c r="AH53" i="21"/>
  <c r="Z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C73" i="21" s="1"/>
  <c r="C75" i="21" s="1"/>
  <c r="AG51" i="21"/>
  <c r="AG52" i="21" s="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G2" i="21" s="1"/>
  <c r="AF38" i="21"/>
  <c r="AE38" i="21"/>
  <c r="AD38" i="21"/>
  <c r="AC38" i="21"/>
  <c r="AB38" i="21"/>
  <c r="AA38" i="21"/>
  <c r="Z38" i="21"/>
  <c r="Z75" i="21" s="1"/>
  <c r="AR213" i="21" s="1"/>
  <c r="Y38" i="21"/>
  <c r="W38" i="21"/>
  <c r="V38" i="21"/>
  <c r="U38" i="21"/>
  <c r="T38" i="21"/>
  <c r="T75" i="21" s="1"/>
  <c r="S38" i="21"/>
  <c r="R38" i="21"/>
  <c r="Q38" i="21"/>
  <c r="P38" i="21"/>
  <c r="O38" i="21"/>
  <c r="N38" i="21"/>
  <c r="M38" i="21"/>
  <c r="L38" i="21"/>
  <c r="K38" i="21"/>
  <c r="J38" i="21"/>
  <c r="I38" i="21"/>
  <c r="I75" i="21" s="1"/>
  <c r="H38" i="21"/>
  <c r="G38" i="21"/>
  <c r="F38" i="21"/>
  <c r="F73" i="21" s="1"/>
  <c r="E38" i="21"/>
  <c r="D38" i="21"/>
  <c r="C38" i="21"/>
  <c r="B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S5" i="21"/>
  <c r="R5" i="21"/>
  <c r="F5" i="21"/>
  <c r="AG4" i="21"/>
  <c r="K4" i="21"/>
  <c r="B4" i="21"/>
  <c r="N37" i="20"/>
  <c r="M37" i="20"/>
  <c r="B93" i="20"/>
  <c r="B80" i="20"/>
  <c r="B79" i="20"/>
  <c r="B78" i="20"/>
  <c r="B77" i="20"/>
  <c r="B76" i="20"/>
  <c r="B72" i="20"/>
  <c r="B68" i="20"/>
  <c r="AF5" i="20" s="1"/>
  <c r="B56" i="20"/>
  <c r="B52" i="20"/>
  <c r="B51" i="20"/>
  <c r="B38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B234" i="20"/>
  <c r="S209" i="20"/>
  <c r="AG199" i="20"/>
  <c r="C199" i="20"/>
  <c r="D198" i="20"/>
  <c r="O197" i="20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D197" i="20"/>
  <c r="E197" i="20" s="1"/>
  <c r="F197" i="20" s="1"/>
  <c r="G197" i="20" s="1"/>
  <c r="H197" i="20" s="1"/>
  <c r="I197" i="20" s="1"/>
  <c r="J197" i="20" s="1"/>
  <c r="K197" i="20" s="1"/>
  <c r="L197" i="20" s="1"/>
  <c r="M197" i="20" s="1"/>
  <c r="N197" i="20" s="1"/>
  <c r="D196" i="20"/>
  <c r="E196" i="20" s="1"/>
  <c r="F196" i="20" s="1"/>
  <c r="G196" i="20" s="1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G195" i="20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F195" i="20"/>
  <c r="E195" i="20"/>
  <c r="D195" i="20"/>
  <c r="F194" i="20"/>
  <c r="G194" i="20" s="1"/>
  <c r="H194" i="20" s="1"/>
  <c r="I194" i="20" s="1"/>
  <c r="J194" i="20" s="1"/>
  <c r="K194" i="20" s="1"/>
  <c r="L194" i="20" s="1"/>
  <c r="M194" i="20" s="1"/>
  <c r="N194" i="20" s="1"/>
  <c r="O194" i="20" s="1"/>
  <c r="P194" i="20" s="1"/>
  <c r="Q194" i="20" s="1"/>
  <c r="R194" i="20" s="1"/>
  <c r="S194" i="20" s="1"/>
  <c r="T194" i="20" s="1"/>
  <c r="U194" i="20" s="1"/>
  <c r="V194" i="20" s="1"/>
  <c r="W194" i="20" s="1"/>
  <c r="X194" i="20" s="1"/>
  <c r="Y194" i="20" s="1"/>
  <c r="Z194" i="20" s="1"/>
  <c r="AA194" i="20" s="1"/>
  <c r="AB194" i="20" s="1"/>
  <c r="AC194" i="20" s="1"/>
  <c r="AD194" i="20" s="1"/>
  <c r="AE194" i="20" s="1"/>
  <c r="AF194" i="20" s="1"/>
  <c r="B194" i="20" s="1"/>
  <c r="D194" i="20"/>
  <c r="E194" i="20" s="1"/>
  <c r="D193" i="20"/>
  <c r="D199" i="20" s="1"/>
  <c r="AG191" i="20"/>
  <c r="C191" i="20"/>
  <c r="D190" i="20"/>
  <c r="E190" i="20" s="1"/>
  <c r="F190" i="20" s="1"/>
  <c r="G190" i="20" s="1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M189" i="20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E189" i="20"/>
  <c r="F189" i="20" s="1"/>
  <c r="G189" i="20" s="1"/>
  <c r="H189" i="20" s="1"/>
  <c r="I189" i="20" s="1"/>
  <c r="J189" i="20" s="1"/>
  <c r="K189" i="20" s="1"/>
  <c r="L189" i="20" s="1"/>
  <c r="D189" i="20"/>
  <c r="E188" i="20"/>
  <c r="F188" i="20" s="1"/>
  <c r="G188" i="20" s="1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D188" i="20"/>
  <c r="D187" i="20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D186" i="20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E185" i="20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D185" i="20"/>
  <c r="H184" i="20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D184" i="20"/>
  <c r="E184" i="20" s="1"/>
  <c r="F184" i="20" s="1"/>
  <c r="G184" i="20" s="1"/>
  <c r="F183" i="20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D183" i="20"/>
  <c r="E183" i="20" s="1"/>
  <c r="E182" i="20"/>
  <c r="F182" i="20" s="1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D182" i="20"/>
  <c r="E181" i="20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B181" i="20" s="1"/>
  <c r="D181" i="20"/>
  <c r="O180" i="20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H180" i="20"/>
  <c r="I180" i="20" s="1"/>
  <c r="J180" i="20" s="1"/>
  <c r="K180" i="20" s="1"/>
  <c r="L180" i="20" s="1"/>
  <c r="M180" i="20" s="1"/>
  <c r="N180" i="20" s="1"/>
  <c r="E180" i="20"/>
  <c r="F180" i="20" s="1"/>
  <c r="G180" i="20" s="1"/>
  <c r="D180" i="20"/>
  <c r="N179" i="20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G179" i="20"/>
  <c r="H179" i="20" s="1"/>
  <c r="I179" i="20" s="1"/>
  <c r="J179" i="20" s="1"/>
  <c r="K179" i="20" s="1"/>
  <c r="L179" i="20" s="1"/>
  <c r="M179" i="20" s="1"/>
  <c r="F179" i="20"/>
  <c r="D179" i="20"/>
  <c r="E179" i="20" s="1"/>
  <c r="Q178" i="20"/>
  <c r="R178" i="20" s="1"/>
  <c r="S178" i="20" s="1"/>
  <c r="T178" i="20" s="1"/>
  <c r="U178" i="20" s="1"/>
  <c r="V178" i="20" s="1"/>
  <c r="W178" i="20" s="1"/>
  <c r="X178" i="20" s="1"/>
  <c r="Y178" i="20" s="1"/>
  <c r="Z178" i="20" s="1"/>
  <c r="AA178" i="20" s="1"/>
  <c r="AB178" i="20" s="1"/>
  <c r="AC178" i="20" s="1"/>
  <c r="AD178" i="20" s="1"/>
  <c r="AE178" i="20" s="1"/>
  <c r="AF178" i="20" s="1"/>
  <c r="B178" i="20" s="1"/>
  <c r="G178" i="20"/>
  <c r="H178" i="20" s="1"/>
  <c r="I178" i="20" s="1"/>
  <c r="J178" i="20" s="1"/>
  <c r="K178" i="20" s="1"/>
  <c r="L178" i="20" s="1"/>
  <c r="M178" i="20" s="1"/>
  <c r="N178" i="20" s="1"/>
  <c r="O178" i="20" s="1"/>
  <c r="P178" i="20" s="1"/>
  <c r="E178" i="20"/>
  <c r="F178" i="20" s="1"/>
  <c r="D178" i="20"/>
  <c r="F176" i="20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E176" i="20"/>
  <c r="D176" i="20"/>
  <c r="F175" i="20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5" i="20"/>
  <c r="E175" i="20" s="1"/>
  <c r="J174" i="20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H174" i="20"/>
  <c r="I174" i="20" s="1"/>
  <c r="D174" i="20"/>
  <c r="E174" i="20" s="1"/>
  <c r="F174" i="20" s="1"/>
  <c r="G174" i="20" s="1"/>
  <c r="M173" i="20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D173" i="20"/>
  <c r="E173" i="20" s="1"/>
  <c r="F173" i="20" s="1"/>
  <c r="G173" i="20" s="1"/>
  <c r="H173" i="20" s="1"/>
  <c r="I173" i="20" s="1"/>
  <c r="J173" i="20" s="1"/>
  <c r="K173" i="20" s="1"/>
  <c r="L173" i="20" s="1"/>
  <c r="Y172" i="20"/>
  <c r="Z172" i="20" s="1"/>
  <c r="AA172" i="20" s="1"/>
  <c r="AB172" i="20" s="1"/>
  <c r="AC172" i="20" s="1"/>
  <c r="AD172" i="20" s="1"/>
  <c r="AE172" i="20" s="1"/>
  <c r="AF172" i="20" s="1"/>
  <c r="B172" i="20" s="1"/>
  <c r="D172" i="20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J171" i="20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D171" i="20"/>
  <c r="E171" i="20" s="1"/>
  <c r="F171" i="20" s="1"/>
  <c r="G171" i="20" s="1"/>
  <c r="H171" i="20" s="1"/>
  <c r="I171" i="20" s="1"/>
  <c r="T170" i="20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D170" i="20"/>
  <c r="E170" i="20" s="1"/>
  <c r="F170" i="20" s="1"/>
  <c r="G170" i="20" s="1"/>
  <c r="H170" i="20" s="1"/>
  <c r="I170" i="20" s="1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N169" i="20"/>
  <c r="O169" i="20" s="1"/>
  <c r="P169" i="20" s="1"/>
  <c r="Q169" i="20" s="1"/>
  <c r="R169" i="20" s="1"/>
  <c r="S169" i="20" s="1"/>
  <c r="T169" i="20" s="1"/>
  <c r="U169" i="20" s="1"/>
  <c r="V169" i="20" s="1"/>
  <c r="W169" i="20" s="1"/>
  <c r="X169" i="20" s="1"/>
  <c r="Y169" i="20" s="1"/>
  <c r="Z169" i="20" s="1"/>
  <c r="AA169" i="20" s="1"/>
  <c r="AB169" i="20" s="1"/>
  <c r="AC169" i="20" s="1"/>
  <c r="AD169" i="20" s="1"/>
  <c r="AE169" i="20" s="1"/>
  <c r="AF169" i="20" s="1"/>
  <c r="B169" i="20" s="1"/>
  <c r="F169" i="20"/>
  <c r="G169" i="20" s="1"/>
  <c r="H169" i="20" s="1"/>
  <c r="I169" i="20" s="1"/>
  <c r="J169" i="20" s="1"/>
  <c r="K169" i="20" s="1"/>
  <c r="L169" i="20" s="1"/>
  <c r="M169" i="20" s="1"/>
  <c r="E169" i="20"/>
  <c r="D169" i="20"/>
  <c r="F167" i="20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E167" i="20"/>
  <c r="D167" i="20"/>
  <c r="I166" i="20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H166" i="20"/>
  <c r="D166" i="20"/>
  <c r="E166" i="20" s="1"/>
  <c r="F166" i="20" s="1"/>
  <c r="G166" i="20" s="1"/>
  <c r="L165" i="20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E165" i="20"/>
  <c r="F165" i="20" s="1"/>
  <c r="G165" i="20" s="1"/>
  <c r="H165" i="20" s="1"/>
  <c r="I165" i="20" s="1"/>
  <c r="J165" i="20" s="1"/>
  <c r="K165" i="20" s="1"/>
  <c r="D165" i="20"/>
  <c r="G164" i="20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D164" i="20"/>
  <c r="E164" i="20" s="1"/>
  <c r="F164" i="20" s="1"/>
  <c r="R163" i="20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F163" i="20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E163" i="20"/>
  <c r="D163" i="20"/>
  <c r="D162" i="20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G161" i="20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D161" i="20"/>
  <c r="E161" i="20" s="1"/>
  <c r="F161" i="20" s="1"/>
  <c r="AB160" i="20"/>
  <c r="AC160" i="20" s="1"/>
  <c r="AD160" i="20" s="1"/>
  <c r="AE160" i="20" s="1"/>
  <c r="AF160" i="20" s="1"/>
  <c r="B160" i="20" s="1"/>
  <c r="E160" i="20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D160" i="20"/>
  <c r="V159" i="20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9" i="20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F158" i="20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D158" i="20"/>
  <c r="E158" i="20" s="1"/>
  <c r="R157" i="20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D157" i="20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L156" i="20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F156" i="20"/>
  <c r="G156" i="20" s="1"/>
  <c r="H156" i="20" s="1"/>
  <c r="I156" i="20" s="1"/>
  <c r="J156" i="20" s="1"/>
  <c r="K156" i="20" s="1"/>
  <c r="E156" i="20"/>
  <c r="D156" i="20"/>
  <c r="D155" i="20"/>
  <c r="E155" i="20" s="1"/>
  <c r="F155" i="20" s="1"/>
  <c r="G155" i="20" s="1"/>
  <c r="H155" i="20" s="1"/>
  <c r="I155" i="20" s="1"/>
  <c r="J155" i="20" s="1"/>
  <c r="K155" i="20" s="1"/>
  <c r="L155" i="20" s="1"/>
  <c r="M155" i="20" s="1"/>
  <c r="N155" i="20" s="1"/>
  <c r="O155" i="20" s="1"/>
  <c r="P155" i="20" s="1"/>
  <c r="Q155" i="20" s="1"/>
  <c r="R155" i="20" s="1"/>
  <c r="S155" i="20" s="1"/>
  <c r="T155" i="20" s="1"/>
  <c r="U155" i="20" s="1"/>
  <c r="V155" i="20" s="1"/>
  <c r="W155" i="20" s="1"/>
  <c r="X155" i="20" s="1"/>
  <c r="Y155" i="20" s="1"/>
  <c r="Z155" i="20" s="1"/>
  <c r="AA155" i="20" s="1"/>
  <c r="AB155" i="20" s="1"/>
  <c r="AC155" i="20" s="1"/>
  <c r="AD155" i="20" s="1"/>
  <c r="AE155" i="20" s="1"/>
  <c r="AF155" i="20" s="1"/>
  <c r="B155" i="20" s="1"/>
  <c r="G153" i="20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F153" i="20"/>
  <c r="D153" i="20"/>
  <c r="E153" i="20" s="1"/>
  <c r="I152" i="20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E152" i="20"/>
  <c r="F152" i="20" s="1"/>
  <c r="G152" i="20" s="1"/>
  <c r="H152" i="20" s="1"/>
  <c r="D152" i="20"/>
  <c r="H151" i="20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D151" i="20"/>
  <c r="E151" i="20" s="1"/>
  <c r="F151" i="20" s="1"/>
  <c r="G151" i="20" s="1"/>
  <c r="J150" i="20"/>
  <c r="K150" i="20" s="1"/>
  <c r="L150" i="20" s="1"/>
  <c r="M150" i="20" s="1"/>
  <c r="N150" i="20" s="1"/>
  <c r="O150" i="20" s="1"/>
  <c r="P150" i="20" s="1"/>
  <c r="Q150" i="20" s="1"/>
  <c r="R150" i="20" s="1"/>
  <c r="S150" i="20" s="1"/>
  <c r="T150" i="20" s="1"/>
  <c r="U150" i="20" s="1"/>
  <c r="V150" i="20" s="1"/>
  <c r="W150" i="20" s="1"/>
  <c r="X150" i="20" s="1"/>
  <c r="Y150" i="20" s="1"/>
  <c r="Z150" i="20" s="1"/>
  <c r="AA150" i="20" s="1"/>
  <c r="AB150" i="20" s="1"/>
  <c r="AC150" i="20" s="1"/>
  <c r="AD150" i="20" s="1"/>
  <c r="AE150" i="20" s="1"/>
  <c r="AF150" i="20" s="1"/>
  <c r="B150" i="20" s="1"/>
  <c r="D150" i="20"/>
  <c r="E150" i="20" s="1"/>
  <c r="F150" i="20" s="1"/>
  <c r="G150" i="20" s="1"/>
  <c r="H150" i="20" s="1"/>
  <c r="I150" i="20" s="1"/>
  <c r="D148" i="20"/>
  <c r="E148" i="20" s="1"/>
  <c r="F148" i="20" s="1"/>
  <c r="G148" i="20" s="1"/>
  <c r="H148" i="20" s="1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H147" i="20"/>
  <c r="I147" i="20" s="1"/>
  <c r="J147" i="20" s="1"/>
  <c r="K147" i="20" s="1"/>
  <c r="L147" i="20" s="1"/>
  <c r="M147" i="20" s="1"/>
  <c r="N147" i="20" s="1"/>
  <c r="O147" i="20" s="1"/>
  <c r="P147" i="20" s="1"/>
  <c r="Q147" i="20" s="1"/>
  <c r="R147" i="20" s="1"/>
  <c r="S147" i="20" s="1"/>
  <c r="T147" i="20" s="1"/>
  <c r="U147" i="20" s="1"/>
  <c r="V147" i="20" s="1"/>
  <c r="W147" i="20" s="1"/>
  <c r="X147" i="20" s="1"/>
  <c r="Y147" i="20" s="1"/>
  <c r="Z147" i="20" s="1"/>
  <c r="AA147" i="20" s="1"/>
  <c r="AB147" i="20" s="1"/>
  <c r="AC147" i="20" s="1"/>
  <c r="AD147" i="20" s="1"/>
  <c r="AE147" i="20" s="1"/>
  <c r="AF147" i="20" s="1"/>
  <c r="B147" i="20" s="1"/>
  <c r="E147" i="20"/>
  <c r="F147" i="20" s="1"/>
  <c r="G147" i="20" s="1"/>
  <c r="D147" i="20"/>
  <c r="AE145" i="20"/>
  <c r="AF145" i="20" s="1"/>
  <c r="B145" i="20" s="1"/>
  <c r="F145" i="20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D145" i="20"/>
  <c r="E145" i="20" s="1"/>
  <c r="L144" i="20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D144" i="20"/>
  <c r="E144" i="20" s="1"/>
  <c r="F144" i="20" s="1"/>
  <c r="G144" i="20" s="1"/>
  <c r="H144" i="20" s="1"/>
  <c r="I144" i="20" s="1"/>
  <c r="J144" i="20" s="1"/>
  <c r="K144" i="20" s="1"/>
  <c r="D143" i="20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AD142" i="20"/>
  <c r="AE142" i="20" s="1"/>
  <c r="AF142" i="20" s="1"/>
  <c r="B142" i="20" s="1"/>
  <c r="H142" i="20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E142" i="20"/>
  <c r="F142" i="20" s="1"/>
  <c r="G142" i="20" s="1"/>
  <c r="D142" i="20"/>
  <c r="U141" i="20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F141" i="20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D141" i="20"/>
  <c r="E141" i="20" s="1"/>
  <c r="B141" i="20"/>
  <c r="K140" i="20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D140" i="20"/>
  <c r="E140" i="20" s="1"/>
  <c r="F140" i="20" s="1"/>
  <c r="G140" i="20" s="1"/>
  <c r="H140" i="20" s="1"/>
  <c r="I140" i="20" s="1"/>
  <c r="J140" i="20" s="1"/>
  <c r="S139" i="20"/>
  <c r="T139" i="20" s="1"/>
  <c r="U139" i="20" s="1"/>
  <c r="V139" i="20" s="1"/>
  <c r="W139" i="20" s="1"/>
  <c r="X139" i="20" s="1"/>
  <c r="Y139" i="20" s="1"/>
  <c r="Z139" i="20" s="1"/>
  <c r="AA139" i="20" s="1"/>
  <c r="AB139" i="20" s="1"/>
  <c r="AC139" i="20" s="1"/>
  <c r="AD139" i="20" s="1"/>
  <c r="AE139" i="20" s="1"/>
  <c r="AF139" i="20" s="1"/>
  <c r="B139" i="20" s="1"/>
  <c r="I139" i="20"/>
  <c r="J139" i="20" s="1"/>
  <c r="K139" i="20" s="1"/>
  <c r="L139" i="20" s="1"/>
  <c r="M139" i="20" s="1"/>
  <c r="N139" i="20" s="1"/>
  <c r="O139" i="20" s="1"/>
  <c r="P139" i="20" s="1"/>
  <c r="Q139" i="20" s="1"/>
  <c r="R139" i="20" s="1"/>
  <c r="G139" i="20"/>
  <c r="H139" i="20" s="1"/>
  <c r="D139" i="20"/>
  <c r="E139" i="20" s="1"/>
  <c r="F139" i="20" s="1"/>
  <c r="J137" i="20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E137" i="20"/>
  <c r="F137" i="20" s="1"/>
  <c r="G137" i="20" s="1"/>
  <c r="H137" i="20" s="1"/>
  <c r="I137" i="20" s="1"/>
  <c r="D137" i="20"/>
  <c r="F136" i="20"/>
  <c r="G136" i="20" s="1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D136" i="20"/>
  <c r="E136" i="20" s="1"/>
  <c r="N135" i="20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J135" i="20"/>
  <c r="K135" i="20" s="1"/>
  <c r="L135" i="20" s="1"/>
  <c r="M135" i="20" s="1"/>
  <c r="D135" i="20"/>
  <c r="E135" i="20" s="1"/>
  <c r="F135" i="20" s="1"/>
  <c r="G135" i="20" s="1"/>
  <c r="H135" i="20" s="1"/>
  <c r="I135" i="20" s="1"/>
  <c r="H134" i="20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G134" i="20"/>
  <c r="D134" i="20"/>
  <c r="E134" i="20" s="1"/>
  <c r="F134" i="20" s="1"/>
  <c r="AD133" i="20"/>
  <c r="AE133" i="20" s="1"/>
  <c r="AF133" i="20" s="1"/>
  <c r="B133" i="20" s="1"/>
  <c r="O133" i="20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H133" i="20"/>
  <c r="I133" i="20" s="1"/>
  <c r="J133" i="20" s="1"/>
  <c r="K133" i="20" s="1"/>
  <c r="L133" i="20" s="1"/>
  <c r="M133" i="20" s="1"/>
  <c r="N133" i="20" s="1"/>
  <c r="E133" i="20"/>
  <c r="F133" i="20" s="1"/>
  <c r="G133" i="20" s="1"/>
  <c r="D133" i="20"/>
  <c r="E132" i="20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D132" i="20"/>
  <c r="AC131" i="20"/>
  <c r="AD131" i="20" s="1"/>
  <c r="AE131" i="20" s="1"/>
  <c r="AF131" i="20" s="1"/>
  <c r="B131" i="20" s="1"/>
  <c r="M131" i="20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I131" i="20"/>
  <c r="J131" i="20" s="1"/>
  <c r="K131" i="20" s="1"/>
  <c r="L131" i="20" s="1"/>
  <c r="E131" i="20"/>
  <c r="F131" i="20" s="1"/>
  <c r="G131" i="20" s="1"/>
  <c r="H131" i="20" s="1"/>
  <c r="D131" i="20"/>
  <c r="J130" i="20"/>
  <c r="K130" i="20" s="1"/>
  <c r="L130" i="20" s="1"/>
  <c r="M130" i="20" s="1"/>
  <c r="N130" i="20" s="1"/>
  <c r="O130" i="20" s="1"/>
  <c r="P130" i="20" s="1"/>
  <c r="Q130" i="20" s="1"/>
  <c r="R130" i="20" s="1"/>
  <c r="S130" i="20" s="1"/>
  <c r="T130" i="20" s="1"/>
  <c r="U130" i="20" s="1"/>
  <c r="V130" i="20" s="1"/>
  <c r="W130" i="20" s="1"/>
  <c r="X130" i="20" s="1"/>
  <c r="Y130" i="20" s="1"/>
  <c r="Z130" i="20" s="1"/>
  <c r="AA130" i="20" s="1"/>
  <c r="AB130" i="20" s="1"/>
  <c r="AC130" i="20" s="1"/>
  <c r="AD130" i="20" s="1"/>
  <c r="AE130" i="20" s="1"/>
  <c r="AF130" i="20" s="1"/>
  <c r="B130" i="20" s="1"/>
  <c r="G130" i="20"/>
  <c r="H130" i="20" s="1"/>
  <c r="I130" i="20" s="1"/>
  <c r="D130" i="20"/>
  <c r="E130" i="20" s="1"/>
  <c r="F130" i="20" s="1"/>
  <c r="I128" i="20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E128" i="20"/>
  <c r="F128" i="20" s="1"/>
  <c r="G128" i="20" s="1"/>
  <c r="H128" i="20" s="1"/>
  <c r="D128" i="20"/>
  <c r="AC127" i="20"/>
  <c r="AD127" i="20" s="1"/>
  <c r="AE127" i="20" s="1"/>
  <c r="AF127" i="20" s="1"/>
  <c r="B127" i="20" s="1"/>
  <c r="V127" i="20"/>
  <c r="W127" i="20" s="1"/>
  <c r="X127" i="20" s="1"/>
  <c r="Y127" i="20" s="1"/>
  <c r="Z127" i="20" s="1"/>
  <c r="AA127" i="20" s="1"/>
  <c r="AB127" i="20" s="1"/>
  <c r="G127" i="20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D127" i="20"/>
  <c r="E127" i="20" s="1"/>
  <c r="F127" i="20" s="1"/>
  <c r="E126" i="20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Z125" i="20"/>
  <c r="AA125" i="20" s="1"/>
  <c r="AB125" i="20" s="1"/>
  <c r="AC125" i="20" s="1"/>
  <c r="AD125" i="20" s="1"/>
  <c r="AE125" i="20" s="1"/>
  <c r="AF125" i="20" s="1"/>
  <c r="B125" i="20" s="1"/>
  <c r="T125" i="20"/>
  <c r="U125" i="20" s="1"/>
  <c r="V125" i="20" s="1"/>
  <c r="W125" i="20" s="1"/>
  <c r="X125" i="20" s="1"/>
  <c r="Y125" i="20" s="1"/>
  <c r="D125" i="20"/>
  <c r="E125" i="20" s="1"/>
  <c r="F125" i="20" s="1"/>
  <c r="G125" i="20" s="1"/>
  <c r="H125" i="20" s="1"/>
  <c r="I125" i="20" s="1"/>
  <c r="J125" i="20" s="1"/>
  <c r="K125" i="20" s="1"/>
  <c r="L125" i="20" s="1"/>
  <c r="M125" i="20" s="1"/>
  <c r="N125" i="20" s="1"/>
  <c r="O125" i="20" s="1"/>
  <c r="P125" i="20" s="1"/>
  <c r="Q125" i="20" s="1"/>
  <c r="R125" i="20" s="1"/>
  <c r="S125" i="20" s="1"/>
  <c r="F124" i="20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E124" i="20"/>
  <c r="D124" i="20"/>
  <c r="E123" i="20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D123" i="20"/>
  <c r="AB122" i="20"/>
  <c r="AC122" i="20" s="1"/>
  <c r="AD122" i="20" s="1"/>
  <c r="AE122" i="20" s="1"/>
  <c r="AF122" i="20" s="1"/>
  <c r="B122" i="20" s="1"/>
  <c r="S122" i="20"/>
  <c r="T122" i="20" s="1"/>
  <c r="U122" i="20" s="1"/>
  <c r="V122" i="20" s="1"/>
  <c r="W122" i="20" s="1"/>
  <c r="X122" i="20" s="1"/>
  <c r="Y122" i="20" s="1"/>
  <c r="Z122" i="20" s="1"/>
  <c r="AA122" i="20" s="1"/>
  <c r="P122" i="20"/>
  <c r="Q122" i="20" s="1"/>
  <c r="R122" i="20" s="1"/>
  <c r="G122" i="20"/>
  <c r="H122" i="20" s="1"/>
  <c r="I122" i="20" s="1"/>
  <c r="J122" i="20" s="1"/>
  <c r="K122" i="20" s="1"/>
  <c r="L122" i="20" s="1"/>
  <c r="M122" i="20" s="1"/>
  <c r="N122" i="20" s="1"/>
  <c r="O122" i="20" s="1"/>
  <c r="D122" i="20"/>
  <c r="E122" i="20" s="1"/>
  <c r="F122" i="20" s="1"/>
  <c r="N121" i="20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K121" i="20"/>
  <c r="L121" i="20" s="1"/>
  <c r="M121" i="20" s="1"/>
  <c r="F121" i="20"/>
  <c r="G121" i="20" s="1"/>
  <c r="H121" i="20" s="1"/>
  <c r="I121" i="20" s="1"/>
  <c r="J121" i="20" s="1"/>
  <c r="E121" i="20"/>
  <c r="D121" i="20"/>
  <c r="N120" i="20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L120" i="20"/>
  <c r="M120" i="20" s="1"/>
  <c r="E120" i="20"/>
  <c r="F120" i="20" s="1"/>
  <c r="G120" i="20" s="1"/>
  <c r="H120" i="20" s="1"/>
  <c r="I120" i="20" s="1"/>
  <c r="J120" i="20" s="1"/>
  <c r="K120" i="20" s="1"/>
  <c r="D120" i="20"/>
  <c r="N119" i="20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G119" i="20"/>
  <c r="H119" i="20" s="1"/>
  <c r="I119" i="20" s="1"/>
  <c r="J119" i="20" s="1"/>
  <c r="K119" i="20" s="1"/>
  <c r="L119" i="20" s="1"/>
  <c r="M119" i="20" s="1"/>
  <c r="E119" i="20"/>
  <c r="F119" i="20" s="1"/>
  <c r="D119" i="20"/>
  <c r="J118" i="20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H118" i="20"/>
  <c r="I118" i="20" s="1"/>
  <c r="D118" i="20"/>
  <c r="E118" i="20" s="1"/>
  <c r="F118" i="20" s="1"/>
  <c r="G118" i="20" s="1"/>
  <c r="J117" i="20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G117" i="20"/>
  <c r="H117" i="20" s="1"/>
  <c r="I117" i="20" s="1"/>
  <c r="F117" i="20"/>
  <c r="E117" i="20"/>
  <c r="D117" i="20"/>
  <c r="G116" i="20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E116" i="20"/>
  <c r="F116" i="20" s="1"/>
  <c r="D116" i="20"/>
  <c r="J115" i="20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G115" i="20"/>
  <c r="H115" i="20" s="1"/>
  <c r="I115" i="20" s="1"/>
  <c r="D115" i="20"/>
  <c r="E115" i="20" s="1"/>
  <c r="F115" i="20" s="1"/>
  <c r="E114" i="20"/>
  <c r="F114" i="20" s="1"/>
  <c r="G114" i="20" s="1"/>
  <c r="H114" i="20" s="1"/>
  <c r="I114" i="20" s="1"/>
  <c r="J114" i="20" s="1"/>
  <c r="K114" i="20" s="1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D114" i="20"/>
  <c r="M113" i="20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K113" i="20"/>
  <c r="L113" i="20" s="1"/>
  <c r="H113" i="20"/>
  <c r="I113" i="20" s="1"/>
  <c r="E113" i="20"/>
  <c r="F113" i="20" s="1"/>
  <c r="G113" i="20" s="1"/>
  <c r="D113" i="20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E111" i="20"/>
  <c r="F111" i="20" s="1"/>
  <c r="G111" i="20" s="1"/>
  <c r="H111" i="20" s="1"/>
  <c r="I111" i="20" s="1"/>
  <c r="J111" i="20" s="1"/>
  <c r="K111" i="20" s="1"/>
  <c r="L111" i="20" s="1"/>
  <c r="M111" i="20" s="1"/>
  <c r="N111" i="20" s="1"/>
  <c r="O111" i="20" s="1"/>
  <c r="P111" i="20" s="1"/>
  <c r="Q111" i="20" s="1"/>
  <c r="R111" i="20" s="1"/>
  <c r="S111" i="20" s="1"/>
  <c r="T111" i="20" s="1"/>
  <c r="U111" i="20" s="1"/>
  <c r="V111" i="20" s="1"/>
  <c r="W111" i="20" s="1"/>
  <c r="X111" i="20" s="1"/>
  <c r="Y111" i="20" s="1"/>
  <c r="Z111" i="20" s="1"/>
  <c r="AA111" i="20" s="1"/>
  <c r="AB111" i="20" s="1"/>
  <c r="AC111" i="20" s="1"/>
  <c r="AD111" i="20" s="1"/>
  <c r="AE111" i="20" s="1"/>
  <c r="AF111" i="20" s="1"/>
  <c r="B111" i="20" s="1"/>
  <c r="D111" i="20"/>
  <c r="J109" i="20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G109" i="20"/>
  <c r="H109" i="20" s="1"/>
  <c r="I109" i="20" s="1"/>
  <c r="F109" i="20"/>
  <c r="D109" i="20"/>
  <c r="E109" i="20" s="1"/>
  <c r="D108" i="20"/>
  <c r="E108" i="20" s="1"/>
  <c r="D106" i="20"/>
  <c r="E106" i="20" s="1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D105" i="20"/>
  <c r="E105" i="20" s="1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I103" i="20"/>
  <c r="J103" i="20" s="1"/>
  <c r="K103" i="20" s="1"/>
  <c r="L103" i="20" s="1"/>
  <c r="M103" i="20" s="1"/>
  <c r="N103" i="20" s="1"/>
  <c r="O103" i="20" s="1"/>
  <c r="P103" i="20" s="1"/>
  <c r="Q103" i="20" s="1"/>
  <c r="R103" i="20" s="1"/>
  <c r="S103" i="20" s="1"/>
  <c r="T103" i="20" s="1"/>
  <c r="U103" i="20" s="1"/>
  <c r="V103" i="20" s="1"/>
  <c r="W103" i="20" s="1"/>
  <c r="X103" i="20" s="1"/>
  <c r="Y103" i="20" s="1"/>
  <c r="Z103" i="20" s="1"/>
  <c r="AA103" i="20" s="1"/>
  <c r="AB103" i="20" s="1"/>
  <c r="AC103" i="20" s="1"/>
  <c r="AD103" i="20" s="1"/>
  <c r="AE103" i="20" s="1"/>
  <c r="AF103" i="20" s="1"/>
  <c r="B103" i="20" s="1"/>
  <c r="H103" i="20"/>
  <c r="E103" i="20"/>
  <c r="F103" i="20" s="1"/>
  <c r="G103" i="20" s="1"/>
  <c r="D103" i="20"/>
  <c r="G102" i="20"/>
  <c r="H102" i="20" s="1"/>
  <c r="F102" i="20"/>
  <c r="D102" i="20"/>
  <c r="E102" i="20" s="1"/>
  <c r="F101" i="20"/>
  <c r="E101" i="20"/>
  <c r="D101" i="20"/>
  <c r="AH99" i="20"/>
  <c r="AI99" i="20" s="1"/>
  <c r="AH98" i="20"/>
  <c r="AI98" i="20" s="1"/>
  <c r="AH97" i="20"/>
  <c r="AI97" i="20" s="1"/>
  <c r="AH96" i="20"/>
  <c r="AI96" i="20" s="1"/>
  <c r="AH95" i="20"/>
  <c r="AI95" i="20" s="1"/>
  <c r="AH94" i="20"/>
  <c r="AI94" i="20" s="1"/>
  <c r="D93" i="20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G82" i="20"/>
  <c r="AI81" i="20"/>
  <c r="AH81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AF76" i="20"/>
  <c r="AE76" i="20"/>
  <c r="AD76" i="20"/>
  <c r="AD82" i="20" s="1"/>
  <c r="AC76" i="20"/>
  <c r="AB76" i="20"/>
  <c r="AA76" i="20"/>
  <c r="Z76" i="20"/>
  <c r="Y76" i="20"/>
  <c r="X76" i="20"/>
  <c r="W76" i="20"/>
  <c r="W82" i="20" s="1"/>
  <c r="V76" i="20"/>
  <c r="U76" i="20"/>
  <c r="T76" i="20"/>
  <c r="T82" i="20" s="1"/>
  <c r="S76" i="20"/>
  <c r="R76" i="20"/>
  <c r="Q76" i="20"/>
  <c r="P76" i="20"/>
  <c r="O76" i="20"/>
  <c r="O82" i="20" s="1"/>
  <c r="N76" i="20"/>
  <c r="N82" i="20" s="1"/>
  <c r="M76" i="20"/>
  <c r="L76" i="20"/>
  <c r="K76" i="20"/>
  <c r="J76" i="20"/>
  <c r="I76" i="20"/>
  <c r="H76" i="20"/>
  <c r="G76" i="20"/>
  <c r="F76" i="20"/>
  <c r="E76" i="20"/>
  <c r="D76" i="20"/>
  <c r="C76" i="20"/>
  <c r="AI74" i="20"/>
  <c r="AH74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I71" i="20"/>
  <c r="AH71" i="20"/>
  <c r="AI70" i="20"/>
  <c r="AH70" i="20"/>
  <c r="AI69" i="20"/>
  <c r="AH69" i="20"/>
  <c r="AG68" i="20"/>
  <c r="AF68" i="20"/>
  <c r="AE5" i="20" s="1"/>
  <c r="AE68" i="20"/>
  <c r="AD68" i="20"/>
  <c r="AC68" i="20"/>
  <c r="AB5" i="20" s="1"/>
  <c r="AB68" i="20"/>
  <c r="AA68" i="20"/>
  <c r="Z68" i="20"/>
  <c r="Y5" i="20" s="1"/>
  <c r="Y68" i="20"/>
  <c r="X68" i="20"/>
  <c r="W5" i="20" s="1"/>
  <c r="W68" i="20"/>
  <c r="V5" i="20" s="1"/>
  <c r="V68" i="20"/>
  <c r="U5" i="20" s="1"/>
  <c r="U68" i="20"/>
  <c r="T5" i="20" s="1"/>
  <c r="T68" i="20"/>
  <c r="S68" i="20"/>
  <c r="R68" i="20"/>
  <c r="Q5" i="20" s="1"/>
  <c r="Q68" i="20"/>
  <c r="P68" i="20"/>
  <c r="O5" i="20" s="1"/>
  <c r="O68" i="20"/>
  <c r="N68" i="20"/>
  <c r="M5" i="20" s="1"/>
  <c r="M68" i="20"/>
  <c r="L5" i="20" s="1"/>
  <c r="L68" i="20"/>
  <c r="K68" i="20"/>
  <c r="J68" i="20"/>
  <c r="I5" i="20" s="1"/>
  <c r="I68" i="20"/>
  <c r="H68" i="20"/>
  <c r="G68" i="20"/>
  <c r="F68" i="20"/>
  <c r="E5" i="20" s="1"/>
  <c r="E68" i="20"/>
  <c r="D5" i="20" s="1"/>
  <c r="D68" i="20"/>
  <c r="C68" i="20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AI55" i="20"/>
  <c r="AH55" i="20"/>
  <c r="AI54" i="20"/>
  <c r="AH54" i="20"/>
  <c r="AI53" i="20"/>
  <c r="AH53" i="20"/>
  <c r="AG52" i="20"/>
  <c r="Z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G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G2" i="20" s="1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I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D5" i="20"/>
  <c r="AC5" i="20"/>
  <c r="N5" i="20"/>
  <c r="G5" i="20"/>
  <c r="F5" i="20"/>
  <c r="AG4" i="20"/>
  <c r="K4" i="20"/>
  <c r="B4" i="20"/>
  <c r="AG3" i="20"/>
  <c r="E4" i="20"/>
  <c r="E4" i="21"/>
  <c r="H193" i="22" l="1"/>
  <c r="G199" i="22"/>
  <c r="G93" i="22"/>
  <c r="G191" i="22"/>
  <c r="H101" i="22"/>
  <c r="J102" i="22"/>
  <c r="H234" i="22"/>
  <c r="J198" i="22"/>
  <c r="AF82" i="21"/>
  <c r="AE82" i="21"/>
  <c r="AD82" i="21"/>
  <c r="AC82" i="21"/>
  <c r="AB82" i="21"/>
  <c r="AA82" i="21"/>
  <c r="Y82" i="21"/>
  <c r="X82" i="21"/>
  <c r="V82" i="21"/>
  <c r="U82" i="21"/>
  <c r="T82" i="21"/>
  <c r="T73" i="21"/>
  <c r="T83" i="21" s="1"/>
  <c r="S82" i="21"/>
  <c r="S73" i="21"/>
  <c r="S75" i="21"/>
  <c r="AK213" i="21" s="1"/>
  <c r="R75" i="21"/>
  <c r="AJ213" i="21" s="1"/>
  <c r="Q75" i="21"/>
  <c r="Q7" i="21" s="1"/>
  <c r="P73" i="21"/>
  <c r="O82" i="21"/>
  <c r="O75" i="21"/>
  <c r="AG213" i="21" s="1"/>
  <c r="O73" i="21"/>
  <c r="N73" i="21"/>
  <c r="N82" i="21"/>
  <c r="M82" i="21"/>
  <c r="M73" i="21"/>
  <c r="L75" i="21"/>
  <c r="L7" i="21" s="1"/>
  <c r="L73" i="21"/>
  <c r="K82" i="21"/>
  <c r="K73" i="21"/>
  <c r="H82" i="21"/>
  <c r="H73" i="21"/>
  <c r="G73" i="21"/>
  <c r="F82" i="21"/>
  <c r="E82" i="21"/>
  <c r="AI80" i="21"/>
  <c r="E73" i="21"/>
  <c r="AI79" i="21"/>
  <c r="D82" i="21"/>
  <c r="D75" i="21"/>
  <c r="V213" i="21" s="1"/>
  <c r="AH56" i="21"/>
  <c r="AI56" i="21"/>
  <c r="D73" i="21"/>
  <c r="D83" i="21" s="1"/>
  <c r="AH38" i="21"/>
  <c r="G82" i="21"/>
  <c r="I82" i="21"/>
  <c r="AI78" i="21"/>
  <c r="AH78" i="21"/>
  <c r="K75" i="21"/>
  <c r="K7" i="21" s="1"/>
  <c r="AI76" i="21"/>
  <c r="J82" i="21"/>
  <c r="L82" i="21"/>
  <c r="G75" i="21"/>
  <c r="Y213" i="21" s="1"/>
  <c r="J75" i="21"/>
  <c r="AB213" i="21" s="1"/>
  <c r="AH77" i="21"/>
  <c r="AH68" i="21"/>
  <c r="C82" i="21"/>
  <c r="C83" i="21"/>
  <c r="AF5" i="21"/>
  <c r="AI68" i="21"/>
  <c r="AH80" i="21"/>
  <c r="AI38" i="21"/>
  <c r="H4" i="21"/>
  <c r="U213" i="21"/>
  <c r="C7" i="21"/>
  <c r="AA213" i="21"/>
  <c r="I7" i="21"/>
  <c r="AG75" i="21"/>
  <c r="AG3" i="21"/>
  <c r="AG6" i="21" s="1"/>
  <c r="AG73" i="21"/>
  <c r="AG83" i="21" s="1"/>
  <c r="D7" i="21"/>
  <c r="AD213" i="21"/>
  <c r="AL213" i="21"/>
  <c r="T7" i="21"/>
  <c r="F102" i="21"/>
  <c r="S210" i="21"/>
  <c r="D210" i="21"/>
  <c r="AI72" i="21"/>
  <c r="I73" i="21"/>
  <c r="Q73" i="21"/>
  <c r="E75" i="21"/>
  <c r="M75" i="21"/>
  <c r="AI77" i="21"/>
  <c r="D5" i="21"/>
  <c r="L5" i="21"/>
  <c r="T5" i="21"/>
  <c r="AB5" i="21"/>
  <c r="Z7" i="21"/>
  <c r="J73" i="21"/>
  <c r="R73" i="21"/>
  <c r="Z73" i="21"/>
  <c r="Z83" i="21" s="1"/>
  <c r="F75" i="21"/>
  <c r="N75" i="21"/>
  <c r="AH79" i="21"/>
  <c r="H75" i="21"/>
  <c r="P75" i="21"/>
  <c r="E191" i="21"/>
  <c r="G5" i="21"/>
  <c r="O5" i="21"/>
  <c r="W5" i="21"/>
  <c r="AE5" i="21"/>
  <c r="D93" i="21"/>
  <c r="F101" i="21"/>
  <c r="AH76" i="21"/>
  <c r="B82" i="21"/>
  <c r="D191" i="21"/>
  <c r="C234" i="21"/>
  <c r="E198" i="21"/>
  <c r="D199" i="21"/>
  <c r="E193" i="21"/>
  <c r="AE82" i="20"/>
  <c r="AC82" i="20"/>
  <c r="AB82" i="20"/>
  <c r="AA82" i="20"/>
  <c r="V82" i="20"/>
  <c r="U82" i="20"/>
  <c r="S82" i="20"/>
  <c r="Q75" i="20"/>
  <c r="M82" i="20"/>
  <c r="L82" i="20"/>
  <c r="K82" i="20"/>
  <c r="I75" i="20"/>
  <c r="AA213" i="20" s="1"/>
  <c r="G82" i="20"/>
  <c r="AI56" i="20"/>
  <c r="F82" i="20"/>
  <c r="E82" i="20"/>
  <c r="D82" i="20"/>
  <c r="C82" i="20"/>
  <c r="B82" i="20"/>
  <c r="I82" i="20"/>
  <c r="Q82" i="20"/>
  <c r="Y82" i="20"/>
  <c r="Z82" i="20"/>
  <c r="J82" i="20"/>
  <c r="R82" i="20"/>
  <c r="AH56" i="20"/>
  <c r="B75" i="20"/>
  <c r="B7" i="20" s="1"/>
  <c r="G73" i="20"/>
  <c r="P73" i="20"/>
  <c r="J75" i="20"/>
  <c r="R75" i="20"/>
  <c r="AJ213" i="20" s="1"/>
  <c r="L73" i="20"/>
  <c r="T73" i="20"/>
  <c r="G75" i="20"/>
  <c r="Y213" i="20" s="1"/>
  <c r="O75" i="20"/>
  <c r="AG213" i="20" s="1"/>
  <c r="Z75" i="20"/>
  <c r="K75" i="20"/>
  <c r="S75" i="20"/>
  <c r="E73" i="20"/>
  <c r="M73" i="20"/>
  <c r="H75" i="20"/>
  <c r="P75" i="20"/>
  <c r="AH213" i="20" s="1"/>
  <c r="F73" i="20"/>
  <c r="N73" i="20"/>
  <c r="O73" i="20"/>
  <c r="H73" i="20"/>
  <c r="B73" i="20"/>
  <c r="H4" i="20"/>
  <c r="AI213" i="20"/>
  <c r="Q7" i="20"/>
  <c r="C5" i="20"/>
  <c r="D75" i="20"/>
  <c r="AA5" i="20"/>
  <c r="AH38" i="20"/>
  <c r="AG75" i="20"/>
  <c r="AH79" i="20"/>
  <c r="AI79" i="20"/>
  <c r="I102" i="20"/>
  <c r="F108" i="20"/>
  <c r="E93" i="20"/>
  <c r="S210" i="20"/>
  <c r="D210" i="20"/>
  <c r="I73" i="20"/>
  <c r="Q73" i="20"/>
  <c r="Q83" i="20" s="1"/>
  <c r="AG73" i="20"/>
  <c r="AG83" i="20" s="1"/>
  <c r="AH77" i="20"/>
  <c r="AI77" i="20"/>
  <c r="J73" i="20"/>
  <c r="R73" i="20"/>
  <c r="Z73" i="20"/>
  <c r="AH72" i="20"/>
  <c r="E75" i="20"/>
  <c r="M75" i="20"/>
  <c r="AH78" i="20"/>
  <c r="AI78" i="20"/>
  <c r="C73" i="20"/>
  <c r="K73" i="20"/>
  <c r="S73" i="20"/>
  <c r="S5" i="20"/>
  <c r="T75" i="20"/>
  <c r="K5" i="20"/>
  <c r="L75" i="20"/>
  <c r="AG6" i="20"/>
  <c r="AH76" i="20"/>
  <c r="H82" i="20"/>
  <c r="AI76" i="20"/>
  <c r="P82" i="20"/>
  <c r="X82" i="20"/>
  <c r="AF82" i="20"/>
  <c r="AH80" i="20"/>
  <c r="AI80" i="20"/>
  <c r="AH37" i="20"/>
  <c r="D73" i="20"/>
  <c r="G101" i="20"/>
  <c r="H5" i="20"/>
  <c r="P5" i="20"/>
  <c r="X5" i="20"/>
  <c r="F75" i="20"/>
  <c r="N75" i="20"/>
  <c r="B5" i="20"/>
  <c r="J5" i="20"/>
  <c r="R5" i="20"/>
  <c r="Z5" i="20"/>
  <c r="AH68" i="20"/>
  <c r="AI72" i="20"/>
  <c r="AI38" i="20"/>
  <c r="AI68" i="20"/>
  <c r="D191" i="20"/>
  <c r="E191" i="20"/>
  <c r="E193" i="20"/>
  <c r="C234" i="20"/>
  <c r="E198" i="20"/>
  <c r="K102" i="22" l="1"/>
  <c r="H191" i="22"/>
  <c r="I101" i="22"/>
  <c r="K198" i="22"/>
  <c r="I234" i="22"/>
  <c r="I193" i="22"/>
  <c r="H199" i="22"/>
  <c r="H93" i="22"/>
  <c r="S7" i="21"/>
  <c r="S83" i="21"/>
  <c r="R7" i="21"/>
  <c r="R83" i="21"/>
  <c r="AI213" i="21"/>
  <c r="Q83" i="21"/>
  <c r="O7" i="21"/>
  <c r="O83" i="21"/>
  <c r="M83" i="21"/>
  <c r="L83" i="21"/>
  <c r="AC213" i="21"/>
  <c r="K83" i="21"/>
  <c r="I83" i="21"/>
  <c r="G83" i="21"/>
  <c r="G7" i="21"/>
  <c r="E83" i="21"/>
  <c r="J83" i="21"/>
  <c r="J7" i="21"/>
  <c r="D234" i="21"/>
  <c r="F198" i="21"/>
  <c r="AH213" i="21"/>
  <c r="P7" i="21"/>
  <c r="AF213" i="21"/>
  <c r="N7" i="21"/>
  <c r="G102" i="21"/>
  <c r="Z213" i="21"/>
  <c r="H7" i="21"/>
  <c r="X213" i="21"/>
  <c r="F7" i="21"/>
  <c r="F83" i="21"/>
  <c r="AI82" i="21"/>
  <c r="AH82" i="21"/>
  <c r="AE213" i="21"/>
  <c r="M7" i="21"/>
  <c r="N83" i="21"/>
  <c r="B208" i="21"/>
  <c r="W213" i="21"/>
  <c r="E7" i="21"/>
  <c r="P83" i="21"/>
  <c r="F193" i="21"/>
  <c r="E199" i="21"/>
  <c r="C208" i="21"/>
  <c r="H83" i="21"/>
  <c r="F191" i="21"/>
  <c r="G101" i="21"/>
  <c r="E93" i="21"/>
  <c r="N83" i="20"/>
  <c r="L83" i="20"/>
  <c r="K83" i="20"/>
  <c r="I83" i="20"/>
  <c r="I7" i="20"/>
  <c r="AI82" i="20"/>
  <c r="R83" i="20"/>
  <c r="G7" i="20"/>
  <c r="J83" i="20"/>
  <c r="AH82" i="20"/>
  <c r="P83" i="20"/>
  <c r="P7" i="20"/>
  <c r="G83" i="20"/>
  <c r="S83" i="20"/>
  <c r="R7" i="20"/>
  <c r="D83" i="20"/>
  <c r="O7" i="20"/>
  <c r="T213" i="20"/>
  <c r="B83" i="20"/>
  <c r="C208" i="20"/>
  <c r="K6" i="20" s="1"/>
  <c r="T83" i="20"/>
  <c r="E83" i="20"/>
  <c r="O83" i="20"/>
  <c r="B208" i="20"/>
  <c r="Z83" i="20"/>
  <c r="H7" i="20"/>
  <c r="AK213" i="20"/>
  <c r="S7" i="20"/>
  <c r="AB213" i="20"/>
  <c r="J7" i="20"/>
  <c r="Z213" i="20"/>
  <c r="AC213" i="20"/>
  <c r="K7" i="20"/>
  <c r="AR213" i="20"/>
  <c r="Z7" i="20"/>
  <c r="G108" i="20"/>
  <c r="V213" i="20"/>
  <c r="D7" i="20"/>
  <c r="C75" i="20"/>
  <c r="AE213" i="20"/>
  <c r="M7" i="20"/>
  <c r="M83" i="20"/>
  <c r="J102" i="20"/>
  <c r="D234" i="20"/>
  <c r="F198" i="20"/>
  <c r="F191" i="20"/>
  <c r="AL213" i="20"/>
  <c r="T7" i="20"/>
  <c r="W213" i="20"/>
  <c r="E7" i="20"/>
  <c r="H83" i="20"/>
  <c r="AF213" i="20"/>
  <c r="N7" i="20"/>
  <c r="F193" i="20"/>
  <c r="E199" i="20"/>
  <c r="X213" i="20"/>
  <c r="F7" i="20"/>
  <c r="G191" i="20"/>
  <c r="H101" i="20"/>
  <c r="AD213" i="20"/>
  <c r="L7" i="20"/>
  <c r="F83" i="20"/>
  <c r="I191" i="22" l="1"/>
  <c r="J101" i="22"/>
  <c r="L102" i="22"/>
  <c r="I199" i="22"/>
  <c r="J193" i="22"/>
  <c r="I93" i="22"/>
  <c r="J234" i="22"/>
  <c r="L198" i="22"/>
  <c r="K6" i="21"/>
  <c r="H102" i="21"/>
  <c r="E234" i="21"/>
  <c r="G198" i="21"/>
  <c r="G191" i="21"/>
  <c r="H101" i="21"/>
  <c r="G193" i="21"/>
  <c r="F199" i="21"/>
  <c r="F93" i="21"/>
  <c r="E234" i="20"/>
  <c r="G198" i="20"/>
  <c r="F93" i="20"/>
  <c r="U213" i="20"/>
  <c r="C7" i="20"/>
  <c r="H108" i="20"/>
  <c r="I101" i="20"/>
  <c r="C83" i="20"/>
  <c r="K102" i="20"/>
  <c r="G193" i="20"/>
  <c r="F199" i="20"/>
  <c r="J199" i="22" l="1"/>
  <c r="K193" i="22"/>
  <c r="J93" i="22"/>
  <c r="M102" i="22"/>
  <c r="M198" i="22"/>
  <c r="K234" i="22"/>
  <c r="J191" i="22"/>
  <c r="K101" i="22"/>
  <c r="H191" i="21"/>
  <c r="I101" i="21"/>
  <c r="F234" i="21"/>
  <c r="H198" i="21"/>
  <c r="I102" i="21"/>
  <c r="H93" i="21"/>
  <c r="G93" i="21"/>
  <c r="G199" i="21"/>
  <c r="H193" i="21"/>
  <c r="I108" i="20"/>
  <c r="H193" i="20"/>
  <c r="G199" i="20"/>
  <c r="L102" i="20"/>
  <c r="I191" i="20"/>
  <c r="J101" i="20"/>
  <c r="H191" i="20"/>
  <c r="H198" i="20"/>
  <c r="F234" i="20"/>
  <c r="G93" i="20"/>
  <c r="Q37" i="19"/>
  <c r="P37" i="19"/>
  <c r="O37" i="19"/>
  <c r="N37" i="19"/>
  <c r="M37" i="19"/>
  <c r="L37" i="19"/>
  <c r="K37" i="19"/>
  <c r="J37" i="19"/>
  <c r="I37" i="19"/>
  <c r="H37" i="19"/>
  <c r="AI37" i="19" s="1"/>
  <c r="G37" i="19"/>
  <c r="F37" i="19"/>
  <c r="AH99" i="19"/>
  <c r="AI99" i="19" s="1"/>
  <c r="E37" i="19"/>
  <c r="D95" i="19"/>
  <c r="C95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D235" i="19"/>
  <c r="C235" i="19"/>
  <c r="B235" i="19"/>
  <c r="A235" i="19"/>
  <c r="B234" i="19"/>
  <c r="S209" i="19"/>
  <c r="AG199" i="19"/>
  <c r="C199" i="19"/>
  <c r="D198" i="19"/>
  <c r="H197" i="19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B197" i="19" s="1"/>
  <c r="D197" i="19"/>
  <c r="E197" i="19" s="1"/>
  <c r="F197" i="19" s="1"/>
  <c r="G197" i="19" s="1"/>
  <c r="D196" i="19"/>
  <c r="E196" i="19" s="1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D194" i="19"/>
  <c r="E194" i="19" s="1"/>
  <c r="F194" i="19" s="1"/>
  <c r="G194" i="19" s="1"/>
  <c r="H194" i="19" s="1"/>
  <c r="I194" i="19" s="1"/>
  <c r="J194" i="19" s="1"/>
  <c r="K194" i="19" s="1"/>
  <c r="L194" i="19" s="1"/>
  <c r="M194" i="19" s="1"/>
  <c r="N194" i="19" s="1"/>
  <c r="O194" i="19" s="1"/>
  <c r="P194" i="19" s="1"/>
  <c r="Q194" i="19" s="1"/>
  <c r="R194" i="19" s="1"/>
  <c r="S194" i="19" s="1"/>
  <c r="T194" i="19" s="1"/>
  <c r="U194" i="19" s="1"/>
  <c r="V194" i="19" s="1"/>
  <c r="W194" i="19" s="1"/>
  <c r="X194" i="19" s="1"/>
  <c r="Y194" i="19" s="1"/>
  <c r="Z194" i="19" s="1"/>
  <c r="AA194" i="19" s="1"/>
  <c r="AB194" i="19" s="1"/>
  <c r="AC194" i="19" s="1"/>
  <c r="AD194" i="19" s="1"/>
  <c r="AE194" i="19" s="1"/>
  <c r="AF194" i="19" s="1"/>
  <c r="B194" i="19" s="1"/>
  <c r="D193" i="19"/>
  <c r="AG191" i="19"/>
  <c r="C191" i="19"/>
  <c r="E190" i="19"/>
  <c r="F190" i="19" s="1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D190" i="19"/>
  <c r="D189" i="19"/>
  <c r="E189" i="19" s="1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H187" i="19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D187" i="19"/>
  <c r="E187" i="19" s="1"/>
  <c r="F187" i="19" s="1"/>
  <c r="G187" i="19" s="1"/>
  <c r="D186" i="19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D185" i="19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B185" i="19" s="1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E183" i="19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D183" i="19"/>
  <c r="D182" i="19"/>
  <c r="E182" i="19" s="1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B182" i="19" s="1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J180" i="19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D180" i="19"/>
  <c r="E180" i="19" s="1"/>
  <c r="F180" i="19" s="1"/>
  <c r="G180" i="19" s="1"/>
  <c r="H180" i="19" s="1"/>
  <c r="I180" i="19" s="1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D178" i="19"/>
  <c r="E178" i="19" s="1"/>
  <c r="F178" i="19" s="1"/>
  <c r="G178" i="19" s="1"/>
  <c r="H178" i="19" s="1"/>
  <c r="I178" i="19" s="1"/>
  <c r="J178" i="19" s="1"/>
  <c r="K178" i="19" s="1"/>
  <c r="L178" i="19" s="1"/>
  <c r="M178" i="19" s="1"/>
  <c r="N178" i="19" s="1"/>
  <c r="O178" i="19" s="1"/>
  <c r="P178" i="19" s="1"/>
  <c r="Q178" i="19" s="1"/>
  <c r="R178" i="19" s="1"/>
  <c r="S178" i="19" s="1"/>
  <c r="T178" i="19" s="1"/>
  <c r="U178" i="19" s="1"/>
  <c r="V178" i="19" s="1"/>
  <c r="W178" i="19" s="1"/>
  <c r="X178" i="19" s="1"/>
  <c r="Y178" i="19" s="1"/>
  <c r="Z178" i="19" s="1"/>
  <c r="AA178" i="19" s="1"/>
  <c r="AB178" i="19" s="1"/>
  <c r="AC178" i="19" s="1"/>
  <c r="AD178" i="19" s="1"/>
  <c r="AE178" i="19" s="1"/>
  <c r="AF178" i="19" s="1"/>
  <c r="B178" i="19" s="1"/>
  <c r="S176" i="19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D176" i="19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D175" i="19"/>
  <c r="E175" i="19" s="1"/>
  <c r="F175" i="19" s="1"/>
  <c r="G175" i="19" s="1"/>
  <c r="H175" i="19" s="1"/>
  <c r="I175" i="19" s="1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B175" i="19" s="1"/>
  <c r="F174" i="19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D174" i="19"/>
  <c r="E174" i="19" s="1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E172" i="19"/>
  <c r="F172" i="19" s="1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D172" i="19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B170" i="19" s="1"/>
  <c r="G169" i="19"/>
  <c r="H169" i="19" s="1"/>
  <c r="I169" i="19" s="1"/>
  <c r="J169" i="19" s="1"/>
  <c r="K169" i="19" s="1"/>
  <c r="L169" i="19" s="1"/>
  <c r="M169" i="19" s="1"/>
  <c r="N169" i="19" s="1"/>
  <c r="O169" i="19" s="1"/>
  <c r="P169" i="19" s="1"/>
  <c r="Q169" i="19" s="1"/>
  <c r="R169" i="19" s="1"/>
  <c r="S169" i="19" s="1"/>
  <c r="T169" i="19" s="1"/>
  <c r="U169" i="19" s="1"/>
  <c r="V169" i="19" s="1"/>
  <c r="W169" i="19" s="1"/>
  <c r="X169" i="19" s="1"/>
  <c r="Y169" i="19" s="1"/>
  <c r="Z169" i="19" s="1"/>
  <c r="AA169" i="19" s="1"/>
  <c r="AB169" i="19" s="1"/>
  <c r="AC169" i="19" s="1"/>
  <c r="AD169" i="19" s="1"/>
  <c r="AE169" i="19" s="1"/>
  <c r="AF169" i="19" s="1"/>
  <c r="B169" i="19" s="1"/>
  <c r="D169" i="19"/>
  <c r="E169" i="19" s="1"/>
  <c r="F169" i="19" s="1"/>
  <c r="D167" i="19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B167" i="19" s="1"/>
  <c r="D166" i="19"/>
  <c r="E166" i="19" s="1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D165" i="19"/>
  <c r="E165" i="19" s="1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B164" i="19" s="1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D161" i="19"/>
  <c r="E161" i="19" s="1"/>
  <c r="F161" i="19" s="1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B161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B159" i="19" s="1"/>
  <c r="D158" i="19"/>
  <c r="E158" i="19" s="1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B158" i="19" s="1"/>
  <c r="E157" i="19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Y157" i="19" s="1"/>
  <c r="Z157" i="19" s="1"/>
  <c r="AA157" i="19" s="1"/>
  <c r="AB157" i="19" s="1"/>
  <c r="AC157" i="19" s="1"/>
  <c r="AD157" i="19" s="1"/>
  <c r="AE157" i="19" s="1"/>
  <c r="AF157" i="19" s="1"/>
  <c r="B157" i="19" s="1"/>
  <c r="D157" i="19"/>
  <c r="D156" i="19"/>
  <c r="E156" i="19" s="1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E155" i="19"/>
  <c r="F155" i="19" s="1"/>
  <c r="G155" i="19" s="1"/>
  <c r="H155" i="19" s="1"/>
  <c r="I155" i="19" s="1"/>
  <c r="J155" i="19" s="1"/>
  <c r="K155" i="19" s="1"/>
  <c r="L155" i="19" s="1"/>
  <c r="M155" i="19" s="1"/>
  <c r="N155" i="19" s="1"/>
  <c r="O155" i="19" s="1"/>
  <c r="P155" i="19" s="1"/>
  <c r="Q155" i="19" s="1"/>
  <c r="R155" i="19" s="1"/>
  <c r="S155" i="19" s="1"/>
  <c r="T155" i="19" s="1"/>
  <c r="U155" i="19" s="1"/>
  <c r="V155" i="19" s="1"/>
  <c r="W155" i="19" s="1"/>
  <c r="X155" i="19" s="1"/>
  <c r="Y155" i="19" s="1"/>
  <c r="Z155" i="19" s="1"/>
  <c r="AA155" i="19" s="1"/>
  <c r="AB155" i="19" s="1"/>
  <c r="AC155" i="19" s="1"/>
  <c r="AD155" i="19" s="1"/>
  <c r="AE155" i="19" s="1"/>
  <c r="AF155" i="19" s="1"/>
  <c r="B155" i="19" s="1"/>
  <c r="D155" i="19"/>
  <c r="D153" i="19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B153" i="19" s="1"/>
  <c r="D152" i="19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D150" i="19"/>
  <c r="E150" i="19" s="1"/>
  <c r="F150" i="19" s="1"/>
  <c r="G150" i="19" s="1"/>
  <c r="H150" i="19" s="1"/>
  <c r="I150" i="19" s="1"/>
  <c r="J150" i="19" s="1"/>
  <c r="K150" i="19" s="1"/>
  <c r="L150" i="19" s="1"/>
  <c r="M150" i="19" s="1"/>
  <c r="N150" i="19" s="1"/>
  <c r="O150" i="19" s="1"/>
  <c r="P150" i="19" s="1"/>
  <c r="Q150" i="19" s="1"/>
  <c r="R150" i="19" s="1"/>
  <c r="S150" i="19" s="1"/>
  <c r="T150" i="19" s="1"/>
  <c r="U150" i="19" s="1"/>
  <c r="V150" i="19" s="1"/>
  <c r="W150" i="19" s="1"/>
  <c r="X150" i="19" s="1"/>
  <c r="Y150" i="19" s="1"/>
  <c r="Z150" i="19" s="1"/>
  <c r="AA150" i="19" s="1"/>
  <c r="AB150" i="19" s="1"/>
  <c r="AC150" i="19" s="1"/>
  <c r="AD150" i="19" s="1"/>
  <c r="AE150" i="19" s="1"/>
  <c r="AF150" i="19" s="1"/>
  <c r="B150" i="19" s="1"/>
  <c r="D148" i="19"/>
  <c r="E148" i="19" s="1"/>
  <c r="F148" i="19" s="1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B148" i="19" s="1"/>
  <c r="E147" i="19"/>
  <c r="F147" i="19" s="1"/>
  <c r="G147" i="19" s="1"/>
  <c r="H147" i="19" s="1"/>
  <c r="I147" i="19" s="1"/>
  <c r="J147" i="19" s="1"/>
  <c r="K147" i="19" s="1"/>
  <c r="L147" i="19" s="1"/>
  <c r="M147" i="19" s="1"/>
  <c r="N147" i="19" s="1"/>
  <c r="O147" i="19" s="1"/>
  <c r="P147" i="19" s="1"/>
  <c r="Q147" i="19" s="1"/>
  <c r="R147" i="19" s="1"/>
  <c r="S147" i="19" s="1"/>
  <c r="T147" i="19" s="1"/>
  <c r="U147" i="19" s="1"/>
  <c r="V147" i="19" s="1"/>
  <c r="W147" i="19" s="1"/>
  <c r="X147" i="19" s="1"/>
  <c r="Y147" i="19" s="1"/>
  <c r="Z147" i="19" s="1"/>
  <c r="AA147" i="19" s="1"/>
  <c r="AB147" i="19" s="1"/>
  <c r="AC147" i="19" s="1"/>
  <c r="AD147" i="19" s="1"/>
  <c r="AE147" i="19" s="1"/>
  <c r="AF147" i="19" s="1"/>
  <c r="B147" i="19" s="1"/>
  <c r="D147" i="19"/>
  <c r="D145" i="19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E144" i="19"/>
  <c r="F144" i="19" s="1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D144" i="19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B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B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E140" i="19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D140" i="19"/>
  <c r="D139" i="19"/>
  <c r="E139" i="19" s="1"/>
  <c r="F139" i="19" s="1"/>
  <c r="G139" i="19" s="1"/>
  <c r="H139" i="19" s="1"/>
  <c r="I139" i="19" s="1"/>
  <c r="J139" i="19" s="1"/>
  <c r="K139" i="19" s="1"/>
  <c r="L139" i="19" s="1"/>
  <c r="M139" i="19" s="1"/>
  <c r="N139" i="19" s="1"/>
  <c r="O139" i="19" s="1"/>
  <c r="P139" i="19" s="1"/>
  <c r="Q139" i="19" s="1"/>
  <c r="R139" i="19" s="1"/>
  <c r="S139" i="19" s="1"/>
  <c r="T139" i="19" s="1"/>
  <c r="U139" i="19" s="1"/>
  <c r="V139" i="19" s="1"/>
  <c r="W139" i="19" s="1"/>
  <c r="X139" i="19" s="1"/>
  <c r="Y139" i="19" s="1"/>
  <c r="Z139" i="19" s="1"/>
  <c r="AA139" i="19" s="1"/>
  <c r="AB139" i="19" s="1"/>
  <c r="AC139" i="19" s="1"/>
  <c r="AD139" i="19" s="1"/>
  <c r="AE139" i="19" s="1"/>
  <c r="AF139" i="19" s="1"/>
  <c r="B139" i="19" s="1"/>
  <c r="D137" i="19"/>
  <c r="F136" i="19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B136" i="19" s="1"/>
  <c r="D136" i="19"/>
  <c r="E136" i="19" s="1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D134" i="19"/>
  <c r="E134" i="19" s="1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B134" i="19" s="1"/>
  <c r="D133" i="19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E132" i="19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D132" i="19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D130" i="19"/>
  <c r="E130" i="19" s="1"/>
  <c r="F130" i="19" s="1"/>
  <c r="G130" i="19" s="1"/>
  <c r="H130" i="19" s="1"/>
  <c r="I130" i="19" s="1"/>
  <c r="J130" i="19" s="1"/>
  <c r="K130" i="19" s="1"/>
  <c r="L130" i="19" s="1"/>
  <c r="M130" i="19" s="1"/>
  <c r="N130" i="19" s="1"/>
  <c r="O130" i="19" s="1"/>
  <c r="P130" i="19" s="1"/>
  <c r="Q130" i="19" s="1"/>
  <c r="R130" i="19" s="1"/>
  <c r="S130" i="19" s="1"/>
  <c r="T130" i="19" s="1"/>
  <c r="U130" i="19" s="1"/>
  <c r="V130" i="19" s="1"/>
  <c r="W130" i="19" s="1"/>
  <c r="X130" i="19" s="1"/>
  <c r="Y130" i="19" s="1"/>
  <c r="Z130" i="19" s="1"/>
  <c r="AA130" i="19" s="1"/>
  <c r="AB130" i="19" s="1"/>
  <c r="AC130" i="19" s="1"/>
  <c r="AD130" i="19" s="1"/>
  <c r="AE130" i="19" s="1"/>
  <c r="AF130" i="19" s="1"/>
  <c r="B130" i="19" s="1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B128" i="19" s="1"/>
  <c r="D127" i="19"/>
  <c r="E127" i="19" s="1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F126" i="19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D126" i="19"/>
  <c r="E126" i="19" s="1"/>
  <c r="F125" i="19"/>
  <c r="G125" i="19" s="1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D125" i="19"/>
  <c r="E125" i="19" s="1"/>
  <c r="G124" i="19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D124" i="19"/>
  <c r="E124" i="19" s="1"/>
  <c r="F124" i="19" s="1"/>
  <c r="D123" i="19"/>
  <c r="E123" i="19" s="1"/>
  <c r="F123" i="19" s="1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D122" i="19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O121" i="19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D121" i="19"/>
  <c r="E121" i="19" s="1"/>
  <c r="F121" i="19" s="1"/>
  <c r="G121" i="19" s="1"/>
  <c r="H121" i="19" s="1"/>
  <c r="I121" i="19" s="1"/>
  <c r="J121" i="19" s="1"/>
  <c r="K121" i="19" s="1"/>
  <c r="L121" i="19" s="1"/>
  <c r="M121" i="19" s="1"/>
  <c r="N121" i="19" s="1"/>
  <c r="E120" i="19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D120" i="19"/>
  <c r="D119" i="19"/>
  <c r="E119" i="19" s="1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D117" i="19"/>
  <c r="E117" i="19" s="1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D115" i="19"/>
  <c r="E115" i="19" s="1"/>
  <c r="F115" i="19" s="1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E114" i="19"/>
  <c r="F114" i="19" s="1"/>
  <c r="G114" i="19" s="1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D114" i="19"/>
  <c r="L113" i="19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K113" i="19"/>
  <c r="E113" i="19"/>
  <c r="F113" i="19" s="1"/>
  <c r="G113" i="19" s="1"/>
  <c r="H113" i="19" s="1"/>
  <c r="I113" i="19" s="1"/>
  <c r="D113" i="19"/>
  <c r="D112" i="19"/>
  <c r="E112" i="19" s="1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B112" i="19" s="1"/>
  <c r="D111" i="19"/>
  <c r="E111" i="19" s="1"/>
  <c r="F111" i="19" s="1"/>
  <c r="G111" i="19" s="1"/>
  <c r="H111" i="19" s="1"/>
  <c r="I111" i="19" s="1"/>
  <c r="J111" i="19" s="1"/>
  <c r="K111" i="19" s="1"/>
  <c r="L111" i="19" s="1"/>
  <c r="M111" i="19" s="1"/>
  <c r="N111" i="19" s="1"/>
  <c r="O111" i="19" s="1"/>
  <c r="P111" i="19" s="1"/>
  <c r="Q111" i="19" s="1"/>
  <c r="R111" i="19" s="1"/>
  <c r="S111" i="19" s="1"/>
  <c r="T111" i="19" s="1"/>
  <c r="U111" i="19" s="1"/>
  <c r="V111" i="19" s="1"/>
  <c r="W111" i="19" s="1"/>
  <c r="X111" i="19" s="1"/>
  <c r="Y111" i="19" s="1"/>
  <c r="Z111" i="19" s="1"/>
  <c r="AA111" i="19" s="1"/>
  <c r="AB111" i="19" s="1"/>
  <c r="AC111" i="19" s="1"/>
  <c r="AD111" i="19" s="1"/>
  <c r="AE111" i="19" s="1"/>
  <c r="AF111" i="19" s="1"/>
  <c r="B111" i="19" s="1"/>
  <c r="D109" i="19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D108" i="19"/>
  <c r="E108" i="19" s="1"/>
  <c r="F108" i="19" s="1"/>
  <c r="G108" i="19" s="1"/>
  <c r="H108" i="19" s="1"/>
  <c r="I108" i="19" s="1"/>
  <c r="J108" i="19" s="1"/>
  <c r="K108" i="19" s="1"/>
  <c r="L108" i="19" s="1"/>
  <c r="M108" i="19" s="1"/>
  <c r="N108" i="19" s="1"/>
  <c r="O108" i="19" s="1"/>
  <c r="P108" i="19" s="1"/>
  <c r="Q108" i="19" s="1"/>
  <c r="R108" i="19" s="1"/>
  <c r="S108" i="19" s="1"/>
  <c r="T108" i="19" s="1"/>
  <c r="U108" i="19" s="1"/>
  <c r="V108" i="19" s="1"/>
  <c r="W108" i="19" s="1"/>
  <c r="X108" i="19" s="1"/>
  <c r="Y108" i="19" s="1"/>
  <c r="Z108" i="19" s="1"/>
  <c r="AA108" i="19" s="1"/>
  <c r="AB108" i="19" s="1"/>
  <c r="AC108" i="19" s="1"/>
  <c r="AD108" i="19" s="1"/>
  <c r="AE108" i="19" s="1"/>
  <c r="AF108" i="19" s="1"/>
  <c r="B108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L105" i="19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D105" i="19"/>
  <c r="E105" i="19" s="1"/>
  <c r="F105" i="19" s="1"/>
  <c r="G105" i="19" s="1"/>
  <c r="H105" i="19" s="1"/>
  <c r="I105" i="19" s="1"/>
  <c r="J105" i="19" s="1"/>
  <c r="K105" i="19" s="1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E103" i="19"/>
  <c r="F103" i="19" s="1"/>
  <c r="G103" i="19" s="1"/>
  <c r="H103" i="19" s="1"/>
  <c r="I103" i="19" s="1"/>
  <c r="J103" i="19" s="1"/>
  <c r="K103" i="19" s="1"/>
  <c r="L103" i="19" s="1"/>
  <c r="M103" i="19" s="1"/>
  <c r="N103" i="19" s="1"/>
  <c r="O103" i="19" s="1"/>
  <c r="P103" i="19" s="1"/>
  <c r="Q103" i="19" s="1"/>
  <c r="R103" i="19" s="1"/>
  <c r="S103" i="19" s="1"/>
  <c r="T103" i="19" s="1"/>
  <c r="U103" i="19" s="1"/>
  <c r="V103" i="19" s="1"/>
  <c r="W103" i="19" s="1"/>
  <c r="X103" i="19" s="1"/>
  <c r="Y103" i="19" s="1"/>
  <c r="Z103" i="19" s="1"/>
  <c r="AA103" i="19" s="1"/>
  <c r="AB103" i="19" s="1"/>
  <c r="AC103" i="19" s="1"/>
  <c r="AD103" i="19" s="1"/>
  <c r="AE103" i="19" s="1"/>
  <c r="AF103" i="19" s="1"/>
  <c r="B103" i="19" s="1"/>
  <c r="D103" i="19"/>
  <c r="F102" i="19"/>
  <c r="G102" i="19" s="1"/>
  <c r="D102" i="19"/>
  <c r="E102" i="19" s="1"/>
  <c r="D101" i="19"/>
  <c r="AH98" i="19"/>
  <c r="AI98" i="19" s="1"/>
  <c r="AH97" i="19"/>
  <c r="AI97" i="19" s="1"/>
  <c r="AH96" i="19"/>
  <c r="AI96" i="19" s="1"/>
  <c r="AH95" i="19"/>
  <c r="AI95" i="19" s="1"/>
  <c r="AH94" i="19"/>
  <c r="AI94" i="19" s="1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F80" i="19"/>
  <c r="AE80" i="19"/>
  <c r="AD80" i="19"/>
  <c r="AC80" i="19"/>
  <c r="AB80" i="19"/>
  <c r="AA80" i="19"/>
  <c r="Z80" i="19"/>
  <c r="Y80" i="19"/>
  <c r="X80" i="19"/>
  <c r="W80" i="19"/>
  <c r="V80" i="19"/>
  <c r="U80" i="19"/>
  <c r="T80" i="19"/>
  <c r="S80" i="19"/>
  <c r="R80" i="19"/>
  <c r="Q80" i="19"/>
  <c r="P80" i="19"/>
  <c r="O80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D79" i="19"/>
  <c r="C79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AI74" i="19"/>
  <c r="AH74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AI72" i="19" s="1"/>
  <c r="AI71" i="19"/>
  <c r="AH71" i="19"/>
  <c r="AI70" i="19"/>
  <c r="AH70" i="19"/>
  <c r="AI69" i="19"/>
  <c r="AH69" i="19"/>
  <c r="AG68" i="19"/>
  <c r="AF68" i="19"/>
  <c r="AE68" i="19"/>
  <c r="AD5" i="19" s="1"/>
  <c r="AD68" i="19"/>
  <c r="AC68" i="19"/>
  <c r="AB5" i="19" s="1"/>
  <c r="AB68" i="19"/>
  <c r="AA5" i="19" s="1"/>
  <c r="AA68" i="19"/>
  <c r="Z68" i="19"/>
  <c r="Y68" i="19"/>
  <c r="X68" i="19"/>
  <c r="W5" i="19" s="1"/>
  <c r="W68" i="19"/>
  <c r="V5" i="19" s="1"/>
  <c r="V68" i="19"/>
  <c r="U68" i="19"/>
  <c r="T68" i="19"/>
  <c r="S68" i="19"/>
  <c r="R5" i="19" s="1"/>
  <c r="R68" i="19"/>
  <c r="Q5" i="19" s="1"/>
  <c r="Q68" i="19"/>
  <c r="P68" i="19"/>
  <c r="O5" i="19" s="1"/>
  <c r="O68" i="19"/>
  <c r="N5" i="19" s="1"/>
  <c r="N68" i="19"/>
  <c r="M68" i="19"/>
  <c r="L5" i="19" s="1"/>
  <c r="L68" i="19"/>
  <c r="K5" i="19" s="1"/>
  <c r="K68" i="19"/>
  <c r="J68" i="19"/>
  <c r="I5" i="19" s="1"/>
  <c r="I68" i="19"/>
  <c r="H68" i="19"/>
  <c r="G5" i="19" s="1"/>
  <c r="G68" i="19"/>
  <c r="F5" i="19" s="1"/>
  <c r="F68" i="19"/>
  <c r="E68" i="19"/>
  <c r="D5" i="19" s="1"/>
  <c r="D68" i="19"/>
  <c r="C5" i="19" s="1"/>
  <c r="C68" i="19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AI55" i="19"/>
  <c r="AH55" i="19"/>
  <c r="AI54" i="19"/>
  <c r="AH54" i="19"/>
  <c r="AI53" i="19"/>
  <c r="AH53" i="19"/>
  <c r="Z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AG51" i="19"/>
  <c r="AG52" i="19" s="1"/>
  <c r="AG3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F5" i="19"/>
  <c r="AE5" i="19"/>
  <c r="Y5" i="19"/>
  <c r="T5" i="19"/>
  <c r="S5" i="19"/>
  <c r="AG4" i="19"/>
  <c r="K4" i="19"/>
  <c r="B4" i="19"/>
  <c r="AG2" i="19"/>
  <c r="AF95" i="18"/>
  <c r="AF37" i="18"/>
  <c r="E4" i="19"/>
  <c r="L234" i="22" l="1"/>
  <c r="N198" i="22"/>
  <c r="N102" i="22"/>
  <c r="K199" i="22"/>
  <c r="L193" i="22"/>
  <c r="K93" i="22"/>
  <c r="K191" i="22"/>
  <c r="L101" i="22"/>
  <c r="J102" i="21"/>
  <c r="G234" i="21"/>
  <c r="I198" i="21"/>
  <c r="I191" i="21"/>
  <c r="J101" i="21"/>
  <c r="I193" i="21"/>
  <c r="H199" i="21"/>
  <c r="M102" i="20"/>
  <c r="H199" i="20"/>
  <c r="I193" i="20"/>
  <c r="G234" i="20"/>
  <c r="I198" i="20"/>
  <c r="H93" i="20"/>
  <c r="J191" i="20"/>
  <c r="K101" i="20"/>
  <c r="J108" i="20"/>
  <c r="I93" i="20"/>
  <c r="W82" i="19"/>
  <c r="AE82" i="19"/>
  <c r="AF82" i="19"/>
  <c r="S82" i="19"/>
  <c r="AA82" i="19"/>
  <c r="AG73" i="19"/>
  <c r="Z82" i="19"/>
  <c r="AB82" i="19"/>
  <c r="AD82" i="19"/>
  <c r="X82" i="19"/>
  <c r="AC82" i="19"/>
  <c r="AG6" i="19"/>
  <c r="Z73" i="19"/>
  <c r="V82" i="19"/>
  <c r="U82" i="19"/>
  <c r="T82" i="19"/>
  <c r="T75" i="19"/>
  <c r="T73" i="19"/>
  <c r="S73" i="19"/>
  <c r="R82" i="19"/>
  <c r="R73" i="19"/>
  <c r="Q75" i="19"/>
  <c r="AI213" i="19" s="1"/>
  <c r="Q73" i="19"/>
  <c r="P73" i="19"/>
  <c r="P75" i="19"/>
  <c r="O82" i="19"/>
  <c r="O73" i="19"/>
  <c r="O75" i="19"/>
  <c r="N82" i="19"/>
  <c r="M82" i="19"/>
  <c r="M73" i="19"/>
  <c r="M75" i="19"/>
  <c r="AE213" i="19" s="1"/>
  <c r="L82" i="19"/>
  <c r="L73" i="19"/>
  <c r="J82" i="19"/>
  <c r="AH78" i="19"/>
  <c r="AI77" i="19"/>
  <c r="H82" i="19"/>
  <c r="H73" i="19"/>
  <c r="AI78" i="19"/>
  <c r="I75" i="19"/>
  <c r="AA213" i="19" s="1"/>
  <c r="J73" i="19"/>
  <c r="G82" i="19"/>
  <c r="G73" i="19"/>
  <c r="F82" i="19"/>
  <c r="E82" i="19"/>
  <c r="I73" i="19"/>
  <c r="F75" i="19"/>
  <c r="X213" i="19" s="1"/>
  <c r="E75" i="19"/>
  <c r="W213" i="19" s="1"/>
  <c r="E73" i="19"/>
  <c r="H75" i="19"/>
  <c r="Z213" i="19" s="1"/>
  <c r="D82" i="19"/>
  <c r="AH80" i="19"/>
  <c r="AI76" i="19"/>
  <c r="AI56" i="19"/>
  <c r="AH79" i="19"/>
  <c r="H4" i="19"/>
  <c r="AL213" i="19"/>
  <c r="T7" i="19"/>
  <c r="AI38" i="19"/>
  <c r="F73" i="19"/>
  <c r="E5" i="19"/>
  <c r="N73" i="19"/>
  <c r="M5" i="19"/>
  <c r="AC5" i="19"/>
  <c r="AG213" i="19"/>
  <c r="O7" i="19"/>
  <c r="K82" i="19"/>
  <c r="C82" i="19"/>
  <c r="AH77" i="19"/>
  <c r="D73" i="19"/>
  <c r="U5" i="19"/>
  <c r="I7" i="19"/>
  <c r="AH213" i="19"/>
  <c r="P7" i="19"/>
  <c r="H102" i="19"/>
  <c r="P82" i="19"/>
  <c r="P83" i="19" s="1"/>
  <c r="D93" i="19"/>
  <c r="E137" i="19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Q7" i="19"/>
  <c r="AH68" i="19"/>
  <c r="AI68" i="19"/>
  <c r="S75" i="19"/>
  <c r="S83" i="19" s="1"/>
  <c r="K75" i="19"/>
  <c r="AH56" i="19"/>
  <c r="B5" i="19"/>
  <c r="C73" i="19"/>
  <c r="C75" i="19" s="1"/>
  <c r="J5" i="19"/>
  <c r="K73" i="19"/>
  <c r="Z5" i="19"/>
  <c r="T83" i="19"/>
  <c r="AI79" i="19"/>
  <c r="AI80" i="19"/>
  <c r="L75" i="19"/>
  <c r="S210" i="19"/>
  <c r="D210" i="19"/>
  <c r="D75" i="19"/>
  <c r="E93" i="19"/>
  <c r="O83" i="19"/>
  <c r="AG75" i="19"/>
  <c r="AG83" i="19" s="1"/>
  <c r="H5" i="19"/>
  <c r="P5" i="19"/>
  <c r="X5" i="19"/>
  <c r="G75" i="19"/>
  <c r="I82" i="19"/>
  <c r="Q82" i="19"/>
  <c r="Q83" i="19" s="1"/>
  <c r="Y82" i="19"/>
  <c r="AH76" i="19"/>
  <c r="N75" i="19"/>
  <c r="AH38" i="19"/>
  <c r="D191" i="19"/>
  <c r="J75" i="19"/>
  <c r="R75" i="19"/>
  <c r="Z75" i="19"/>
  <c r="Z83" i="19" s="1"/>
  <c r="AH72" i="19"/>
  <c r="E101" i="19"/>
  <c r="D199" i="19"/>
  <c r="E193" i="19"/>
  <c r="C234" i="19"/>
  <c r="E198" i="19"/>
  <c r="AE95" i="18"/>
  <c r="AE37" i="18"/>
  <c r="AD95" i="18"/>
  <c r="AD37" i="18"/>
  <c r="AC95" i="18"/>
  <c r="AC37" i="18"/>
  <c r="L199" i="22" l="1"/>
  <c r="M193" i="22"/>
  <c r="L93" i="22"/>
  <c r="O102" i="22"/>
  <c r="O198" i="22"/>
  <c r="M234" i="22"/>
  <c r="L191" i="22"/>
  <c r="M101" i="22"/>
  <c r="I199" i="21"/>
  <c r="J193" i="21"/>
  <c r="J191" i="21"/>
  <c r="K101" i="21"/>
  <c r="H234" i="21"/>
  <c r="J198" i="21"/>
  <c r="I93" i="21"/>
  <c r="K102" i="21"/>
  <c r="J93" i="21"/>
  <c r="J198" i="20"/>
  <c r="H234" i="20"/>
  <c r="I199" i="20"/>
  <c r="J193" i="20"/>
  <c r="K108" i="20"/>
  <c r="J93" i="20"/>
  <c r="K191" i="20"/>
  <c r="L101" i="20"/>
  <c r="N102" i="20"/>
  <c r="G83" i="19"/>
  <c r="E7" i="19"/>
  <c r="N83" i="19"/>
  <c r="M83" i="19"/>
  <c r="M7" i="19"/>
  <c r="I83" i="19"/>
  <c r="H7" i="19"/>
  <c r="H83" i="19"/>
  <c r="K83" i="19"/>
  <c r="F7" i="19"/>
  <c r="F83" i="19"/>
  <c r="E83" i="19"/>
  <c r="D83" i="19"/>
  <c r="C83" i="19"/>
  <c r="AJ213" i="19"/>
  <c r="R7" i="19"/>
  <c r="AB213" i="19"/>
  <c r="J7" i="19"/>
  <c r="R83" i="19"/>
  <c r="F193" i="19"/>
  <c r="E199" i="19"/>
  <c r="V213" i="19"/>
  <c r="D7" i="19"/>
  <c r="J83" i="19"/>
  <c r="I102" i="19"/>
  <c r="AI82" i="19"/>
  <c r="AH82" i="19"/>
  <c r="AD213" i="19"/>
  <c r="L7" i="19"/>
  <c r="D234" i="19"/>
  <c r="F198" i="19"/>
  <c r="E191" i="19"/>
  <c r="F101" i="19"/>
  <c r="U213" i="19"/>
  <c r="C7" i="19"/>
  <c r="C208" i="19"/>
  <c r="B208" i="19"/>
  <c r="Y213" i="19"/>
  <c r="G7" i="19"/>
  <c r="AK213" i="19"/>
  <c r="S7" i="19"/>
  <c r="AF213" i="19"/>
  <c r="N7" i="19"/>
  <c r="AR213" i="19"/>
  <c r="Z7" i="19"/>
  <c r="L83" i="19"/>
  <c r="AC213" i="19"/>
  <c r="K7" i="19"/>
  <c r="P102" i="22" l="1"/>
  <c r="M199" i="22"/>
  <c r="N193" i="22"/>
  <c r="M93" i="22"/>
  <c r="P198" i="22"/>
  <c r="N234" i="22"/>
  <c r="M191" i="22"/>
  <c r="N101" i="22"/>
  <c r="L102" i="21"/>
  <c r="K198" i="21"/>
  <c r="I234" i="21"/>
  <c r="K191" i="21"/>
  <c r="L101" i="21"/>
  <c r="J199" i="21"/>
  <c r="K193" i="21"/>
  <c r="J199" i="20"/>
  <c r="K193" i="20"/>
  <c r="O102" i="20"/>
  <c r="L108" i="20"/>
  <c r="K93" i="20"/>
  <c r="K198" i="20"/>
  <c r="I234" i="20"/>
  <c r="M101" i="20"/>
  <c r="F191" i="19"/>
  <c r="G101" i="19"/>
  <c r="G193" i="19"/>
  <c r="F199" i="19"/>
  <c r="F93" i="19"/>
  <c r="E234" i="19"/>
  <c r="G198" i="19"/>
  <c r="J102" i="19"/>
  <c r="K6" i="19"/>
  <c r="O234" i="22" l="1"/>
  <c r="Q198" i="22"/>
  <c r="N199" i="22"/>
  <c r="O193" i="22"/>
  <c r="N93" i="22"/>
  <c r="N191" i="22"/>
  <c r="O101" i="22"/>
  <c r="Q102" i="22"/>
  <c r="L193" i="21"/>
  <c r="K199" i="21"/>
  <c r="L191" i="21"/>
  <c r="M101" i="21"/>
  <c r="J234" i="21"/>
  <c r="L198" i="21"/>
  <c r="K93" i="21"/>
  <c r="M102" i="21"/>
  <c r="L198" i="20"/>
  <c r="J234" i="20"/>
  <c r="M108" i="20"/>
  <c r="L93" i="20"/>
  <c r="P102" i="20"/>
  <c r="M191" i="20"/>
  <c r="N101" i="20"/>
  <c r="K199" i="20"/>
  <c r="L193" i="20"/>
  <c r="L191" i="20"/>
  <c r="K102" i="19"/>
  <c r="F234" i="19"/>
  <c r="H198" i="19"/>
  <c r="G199" i="19"/>
  <c r="H193" i="19"/>
  <c r="G93" i="19"/>
  <c r="G191" i="19"/>
  <c r="H101" i="19"/>
  <c r="O191" i="22" l="1"/>
  <c r="P101" i="22"/>
  <c r="P234" i="22"/>
  <c r="R198" i="22"/>
  <c r="O199" i="22"/>
  <c r="P193" i="22"/>
  <c r="O93" i="22"/>
  <c r="R102" i="22"/>
  <c r="N102" i="21"/>
  <c r="K234" i="21"/>
  <c r="M198" i="21"/>
  <c r="M191" i="21"/>
  <c r="N101" i="21"/>
  <c r="L93" i="21"/>
  <c r="L199" i="21"/>
  <c r="M193" i="21"/>
  <c r="Q102" i="20"/>
  <c r="O101" i="20"/>
  <c r="N108" i="20"/>
  <c r="M93" i="20"/>
  <c r="M193" i="20"/>
  <c r="L199" i="20"/>
  <c r="K234" i="20"/>
  <c r="M198" i="20"/>
  <c r="G234" i="19"/>
  <c r="I198" i="19"/>
  <c r="H191" i="19"/>
  <c r="I101" i="19"/>
  <c r="H199" i="19"/>
  <c r="I193" i="19"/>
  <c r="H93" i="19"/>
  <c r="L102" i="19"/>
  <c r="S102" i="22" l="1"/>
  <c r="Q193" i="22"/>
  <c r="P199" i="22"/>
  <c r="P93" i="22"/>
  <c r="S198" i="22"/>
  <c r="Q234" i="22"/>
  <c r="P191" i="22"/>
  <c r="Q101" i="22"/>
  <c r="L234" i="21"/>
  <c r="N198" i="21"/>
  <c r="N191" i="21"/>
  <c r="O101" i="21"/>
  <c r="M93" i="21"/>
  <c r="N193" i="21"/>
  <c r="M199" i="21"/>
  <c r="N93" i="21"/>
  <c r="O102" i="21"/>
  <c r="M199" i="20"/>
  <c r="N193" i="20"/>
  <c r="O108" i="20"/>
  <c r="N93" i="20"/>
  <c r="N191" i="20"/>
  <c r="L234" i="20"/>
  <c r="N198" i="20"/>
  <c r="R102" i="20"/>
  <c r="O191" i="20"/>
  <c r="P101" i="20"/>
  <c r="M102" i="19"/>
  <c r="I191" i="19"/>
  <c r="J101" i="19"/>
  <c r="I199" i="19"/>
  <c r="J193" i="19"/>
  <c r="I93" i="19"/>
  <c r="H234" i="19"/>
  <c r="J198" i="19"/>
  <c r="R234" i="22" l="1"/>
  <c r="T198" i="22"/>
  <c r="Q199" i="22"/>
  <c r="R193" i="22"/>
  <c r="Q93" i="22"/>
  <c r="Q191" i="22"/>
  <c r="R101" i="22"/>
  <c r="T102" i="22"/>
  <c r="O193" i="21"/>
  <c r="N199" i="21"/>
  <c r="O191" i="21"/>
  <c r="P101" i="21"/>
  <c r="M234" i="21"/>
  <c r="O198" i="21"/>
  <c r="P102" i="21"/>
  <c r="O93" i="21"/>
  <c r="M234" i="20"/>
  <c r="O198" i="20"/>
  <c r="P191" i="20"/>
  <c r="Q101" i="20"/>
  <c r="P108" i="20"/>
  <c r="O193" i="20"/>
  <c r="N199" i="20"/>
  <c r="S102" i="20"/>
  <c r="J199" i="19"/>
  <c r="K193" i="19"/>
  <c r="J93" i="19"/>
  <c r="J191" i="19"/>
  <c r="K101" i="19"/>
  <c r="I234" i="19"/>
  <c r="K198" i="19"/>
  <c r="N102" i="19"/>
  <c r="L37" i="18"/>
  <c r="K37" i="18"/>
  <c r="J37" i="18"/>
  <c r="I37" i="18"/>
  <c r="H37" i="18"/>
  <c r="G37" i="18"/>
  <c r="F37" i="18"/>
  <c r="AH99" i="18"/>
  <c r="AI99" i="18" s="1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B235" i="18"/>
  <c r="A235" i="18"/>
  <c r="C234" i="18"/>
  <c r="B234" i="18"/>
  <c r="S209" i="18"/>
  <c r="AG199" i="18"/>
  <c r="C199" i="18"/>
  <c r="D198" i="18"/>
  <c r="E198" i="18" s="1"/>
  <c r="D197" i="18"/>
  <c r="E197" i="18" s="1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D196" i="18"/>
  <c r="E196" i="18" s="1"/>
  <c r="F196" i="18" s="1"/>
  <c r="G196" i="18" s="1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L195" i="18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D195" i="18"/>
  <c r="E195" i="18" s="1"/>
  <c r="F195" i="18" s="1"/>
  <c r="G195" i="18" s="1"/>
  <c r="H195" i="18" s="1"/>
  <c r="I195" i="18" s="1"/>
  <c r="J195" i="18" s="1"/>
  <c r="K195" i="18" s="1"/>
  <c r="D194" i="18"/>
  <c r="E194" i="18" s="1"/>
  <c r="F194" i="18" s="1"/>
  <c r="G194" i="18" s="1"/>
  <c r="H194" i="18" s="1"/>
  <c r="I194" i="18" s="1"/>
  <c r="J194" i="18" s="1"/>
  <c r="K194" i="18" s="1"/>
  <c r="L194" i="18" s="1"/>
  <c r="M194" i="18" s="1"/>
  <c r="N194" i="18" s="1"/>
  <c r="O194" i="18" s="1"/>
  <c r="P194" i="18" s="1"/>
  <c r="Q194" i="18" s="1"/>
  <c r="R194" i="18" s="1"/>
  <c r="S194" i="18" s="1"/>
  <c r="T194" i="18" s="1"/>
  <c r="U194" i="18" s="1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B194" i="18" s="1"/>
  <c r="E193" i="18"/>
  <c r="D193" i="18"/>
  <c r="D199" i="18" s="1"/>
  <c r="AG191" i="18"/>
  <c r="C191" i="18"/>
  <c r="D190" i="18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B190" i="18" s="1"/>
  <c r="D189" i="18"/>
  <c r="E189" i="18" s="1"/>
  <c r="F189" i="18" s="1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E188" i="18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D188" i="18"/>
  <c r="D187" i="18"/>
  <c r="E187" i="18" s="1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B187" i="18" s="1"/>
  <c r="D186" i="18"/>
  <c r="E186" i="18" s="1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D185" i="18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D184" i="18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D183" i="18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B183" i="18" s="1"/>
  <c r="E182" i="18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D182" i="18"/>
  <c r="D181" i="18"/>
  <c r="E181" i="18" s="1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D180" i="18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D179" i="18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D178" i="18"/>
  <c r="E178" i="18" s="1"/>
  <c r="F178" i="18" s="1"/>
  <c r="G178" i="18" s="1"/>
  <c r="H178" i="18" s="1"/>
  <c r="I178" i="18" s="1"/>
  <c r="J178" i="18" s="1"/>
  <c r="K178" i="18" s="1"/>
  <c r="L178" i="18" s="1"/>
  <c r="M178" i="18" s="1"/>
  <c r="N178" i="18" s="1"/>
  <c r="O178" i="18" s="1"/>
  <c r="P178" i="18" s="1"/>
  <c r="Q178" i="18" s="1"/>
  <c r="R178" i="18" s="1"/>
  <c r="S178" i="18" s="1"/>
  <c r="T178" i="18" s="1"/>
  <c r="U178" i="18" s="1"/>
  <c r="V178" i="18" s="1"/>
  <c r="W178" i="18" s="1"/>
  <c r="X178" i="18" s="1"/>
  <c r="Y178" i="18" s="1"/>
  <c r="Z178" i="18" s="1"/>
  <c r="AA178" i="18" s="1"/>
  <c r="AB178" i="18" s="1"/>
  <c r="AC178" i="18" s="1"/>
  <c r="AD178" i="18" s="1"/>
  <c r="AE178" i="18" s="1"/>
  <c r="AF178" i="18" s="1"/>
  <c r="B178" i="18" s="1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D175" i="18"/>
  <c r="E175" i="18" s="1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D174" i="18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B174" i="18" s="1"/>
  <c r="D173" i="18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B173" i="18" s="1"/>
  <c r="E172" i="18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D172" i="18"/>
  <c r="D171" i="18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D169" i="18"/>
  <c r="E169" i="18" s="1"/>
  <c r="F169" i="18" s="1"/>
  <c r="G169" i="18" s="1"/>
  <c r="H169" i="18" s="1"/>
  <c r="I169" i="18" s="1"/>
  <c r="J169" i="18" s="1"/>
  <c r="K169" i="18" s="1"/>
  <c r="L169" i="18" s="1"/>
  <c r="M169" i="18" s="1"/>
  <c r="N169" i="18" s="1"/>
  <c r="O169" i="18" s="1"/>
  <c r="P169" i="18" s="1"/>
  <c r="Q169" i="18" s="1"/>
  <c r="R169" i="18" s="1"/>
  <c r="S169" i="18" s="1"/>
  <c r="T169" i="18" s="1"/>
  <c r="U169" i="18" s="1"/>
  <c r="V169" i="18" s="1"/>
  <c r="W169" i="18" s="1"/>
  <c r="X169" i="18" s="1"/>
  <c r="Y169" i="18" s="1"/>
  <c r="Z169" i="18" s="1"/>
  <c r="AA169" i="18" s="1"/>
  <c r="AB169" i="18" s="1"/>
  <c r="AC169" i="18" s="1"/>
  <c r="AD169" i="18" s="1"/>
  <c r="AE169" i="18" s="1"/>
  <c r="AF169" i="18" s="1"/>
  <c r="B169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G166" i="18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D166" i="18"/>
  <c r="E166" i="18" s="1"/>
  <c r="F166" i="18" s="1"/>
  <c r="D165" i="18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D164" i="18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E162" i="18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B162" i="18" s="1"/>
  <c r="D162" i="18"/>
  <c r="E161" i="18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D161" i="18"/>
  <c r="E160" i="18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D160" i="18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B159" i="18" s="1"/>
  <c r="D158" i="18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D157" i="18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B157" i="18" s="1"/>
  <c r="D156" i="18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B156" i="18" s="1"/>
  <c r="E155" i="18"/>
  <c r="F155" i="18" s="1"/>
  <c r="G155" i="18" s="1"/>
  <c r="H155" i="18" s="1"/>
  <c r="I155" i="18" s="1"/>
  <c r="J155" i="18" s="1"/>
  <c r="K155" i="18" s="1"/>
  <c r="L155" i="18" s="1"/>
  <c r="M155" i="18" s="1"/>
  <c r="N155" i="18" s="1"/>
  <c r="O155" i="18" s="1"/>
  <c r="P155" i="18" s="1"/>
  <c r="Q155" i="18" s="1"/>
  <c r="R155" i="18" s="1"/>
  <c r="S155" i="18" s="1"/>
  <c r="T155" i="18" s="1"/>
  <c r="U155" i="18" s="1"/>
  <c r="V155" i="18" s="1"/>
  <c r="W155" i="18" s="1"/>
  <c r="X155" i="18" s="1"/>
  <c r="Y155" i="18" s="1"/>
  <c r="Z155" i="18" s="1"/>
  <c r="AA155" i="18" s="1"/>
  <c r="AB155" i="18" s="1"/>
  <c r="AC155" i="18" s="1"/>
  <c r="AD155" i="18" s="1"/>
  <c r="AE155" i="18" s="1"/>
  <c r="AF155" i="18" s="1"/>
  <c r="B155" i="18" s="1"/>
  <c r="D155" i="18"/>
  <c r="E153" i="18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B153" i="18" s="1"/>
  <c r="D153" i="18"/>
  <c r="D152" i="18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B152" i="18" s="1"/>
  <c r="D151" i="18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B151" i="18" s="1"/>
  <c r="D150" i="18"/>
  <c r="E150" i="18" s="1"/>
  <c r="F150" i="18" s="1"/>
  <c r="G150" i="18" s="1"/>
  <c r="H150" i="18" s="1"/>
  <c r="I150" i="18" s="1"/>
  <c r="J150" i="18" s="1"/>
  <c r="K150" i="18" s="1"/>
  <c r="L150" i="18" s="1"/>
  <c r="M150" i="18" s="1"/>
  <c r="N150" i="18" s="1"/>
  <c r="O150" i="18" s="1"/>
  <c r="P150" i="18" s="1"/>
  <c r="Q150" i="18" s="1"/>
  <c r="R150" i="18" s="1"/>
  <c r="S150" i="18" s="1"/>
  <c r="T150" i="18" s="1"/>
  <c r="U150" i="18" s="1"/>
  <c r="V150" i="18" s="1"/>
  <c r="W150" i="18" s="1"/>
  <c r="X150" i="18" s="1"/>
  <c r="Y150" i="18" s="1"/>
  <c r="Z150" i="18" s="1"/>
  <c r="AA150" i="18" s="1"/>
  <c r="AB150" i="18" s="1"/>
  <c r="AC150" i="18" s="1"/>
  <c r="AD150" i="18" s="1"/>
  <c r="AE150" i="18" s="1"/>
  <c r="AF150" i="18" s="1"/>
  <c r="B150" i="18" s="1"/>
  <c r="D148" i="18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B148" i="18" s="1"/>
  <c r="D147" i="18"/>
  <c r="E147" i="18" s="1"/>
  <c r="F147" i="18" s="1"/>
  <c r="G147" i="18" s="1"/>
  <c r="H147" i="18" s="1"/>
  <c r="I147" i="18" s="1"/>
  <c r="J147" i="18" s="1"/>
  <c r="K147" i="18" s="1"/>
  <c r="L147" i="18" s="1"/>
  <c r="M147" i="18" s="1"/>
  <c r="N147" i="18" s="1"/>
  <c r="O147" i="18" s="1"/>
  <c r="P147" i="18" s="1"/>
  <c r="Q147" i="18" s="1"/>
  <c r="R147" i="18" s="1"/>
  <c r="S147" i="18" s="1"/>
  <c r="T147" i="18" s="1"/>
  <c r="U147" i="18" s="1"/>
  <c r="V147" i="18" s="1"/>
  <c r="W147" i="18" s="1"/>
  <c r="X147" i="18" s="1"/>
  <c r="Y147" i="18" s="1"/>
  <c r="Z147" i="18" s="1"/>
  <c r="AA147" i="18" s="1"/>
  <c r="AB147" i="18" s="1"/>
  <c r="AC147" i="18" s="1"/>
  <c r="AD147" i="18" s="1"/>
  <c r="AE147" i="18" s="1"/>
  <c r="AF147" i="18" s="1"/>
  <c r="B147" i="18" s="1"/>
  <c r="I145" i="18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B145" i="18" s="1"/>
  <c r="D145" i="18"/>
  <c r="E145" i="18" s="1"/>
  <c r="F145" i="18" s="1"/>
  <c r="G145" i="18" s="1"/>
  <c r="H145" i="18" s="1"/>
  <c r="D144" i="18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B144" i="18" s="1"/>
  <c r="D143" i="18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B143" i="18" s="1"/>
  <c r="D142" i="18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B142" i="18" s="1"/>
  <c r="D141" i="18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B141" i="18" s="1"/>
  <c r="E140" i="18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B140" i="18" s="1"/>
  <c r="D140" i="18"/>
  <c r="D139" i="18"/>
  <c r="E139" i="18" s="1"/>
  <c r="F139" i="18" s="1"/>
  <c r="G139" i="18" s="1"/>
  <c r="H139" i="18" s="1"/>
  <c r="I139" i="18" s="1"/>
  <c r="J139" i="18" s="1"/>
  <c r="K139" i="18" s="1"/>
  <c r="L139" i="18" s="1"/>
  <c r="M139" i="18" s="1"/>
  <c r="N139" i="18" s="1"/>
  <c r="O139" i="18" s="1"/>
  <c r="P139" i="18" s="1"/>
  <c r="Q139" i="18" s="1"/>
  <c r="R139" i="18" s="1"/>
  <c r="S139" i="18" s="1"/>
  <c r="T139" i="18" s="1"/>
  <c r="U139" i="18" s="1"/>
  <c r="V139" i="18" s="1"/>
  <c r="W139" i="18" s="1"/>
  <c r="X139" i="18" s="1"/>
  <c r="Y139" i="18" s="1"/>
  <c r="Z139" i="18" s="1"/>
  <c r="AA139" i="18" s="1"/>
  <c r="AB139" i="18" s="1"/>
  <c r="AC139" i="18" s="1"/>
  <c r="AD139" i="18" s="1"/>
  <c r="AE139" i="18" s="1"/>
  <c r="AF139" i="18" s="1"/>
  <c r="B139" i="18" s="1"/>
  <c r="D137" i="18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B137" i="18" s="1"/>
  <c r="D136" i="18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B136" i="18" s="1"/>
  <c r="D135" i="18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B135" i="18" s="1"/>
  <c r="D134" i="18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B134" i="18" s="1"/>
  <c r="D133" i="18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B133" i="18" s="1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B132" i="18" s="1"/>
  <c r="D131" i="18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B131" i="18" s="1"/>
  <c r="D130" i="18"/>
  <c r="E130" i="18" s="1"/>
  <c r="F130" i="18" s="1"/>
  <c r="G130" i="18" s="1"/>
  <c r="H130" i="18" s="1"/>
  <c r="I130" i="18" s="1"/>
  <c r="J130" i="18" s="1"/>
  <c r="K130" i="18" s="1"/>
  <c r="L130" i="18" s="1"/>
  <c r="M130" i="18" s="1"/>
  <c r="N130" i="18" s="1"/>
  <c r="O130" i="18" s="1"/>
  <c r="P130" i="18" s="1"/>
  <c r="Q130" i="18" s="1"/>
  <c r="R130" i="18" s="1"/>
  <c r="S130" i="18" s="1"/>
  <c r="T130" i="18" s="1"/>
  <c r="U130" i="18" s="1"/>
  <c r="V130" i="18" s="1"/>
  <c r="W130" i="18" s="1"/>
  <c r="X130" i="18" s="1"/>
  <c r="Y130" i="18" s="1"/>
  <c r="Z130" i="18" s="1"/>
  <c r="AA130" i="18" s="1"/>
  <c r="AB130" i="18" s="1"/>
  <c r="AC130" i="18" s="1"/>
  <c r="AD130" i="18" s="1"/>
  <c r="AE130" i="18" s="1"/>
  <c r="AF130" i="18" s="1"/>
  <c r="B130" i="18" s="1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B128" i="18" s="1"/>
  <c r="I127" i="18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B127" i="18" s="1"/>
  <c r="D127" i="18"/>
  <c r="E127" i="18" s="1"/>
  <c r="F127" i="18" s="1"/>
  <c r="G127" i="18" s="1"/>
  <c r="H127" i="18" s="1"/>
  <c r="D126" i="18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B126" i="18" s="1"/>
  <c r="E125" i="18"/>
  <c r="F125" i="18" s="1"/>
  <c r="G125" i="18" s="1"/>
  <c r="H125" i="18" s="1"/>
  <c r="I125" i="18" s="1"/>
  <c r="J125" i="18" s="1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B125" i="18" s="1"/>
  <c r="D125" i="18"/>
  <c r="D124" i="18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B124" i="18" s="1"/>
  <c r="D123" i="18"/>
  <c r="E123" i="18" s="1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B123" i="18" s="1"/>
  <c r="D122" i="18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B122" i="18" s="1"/>
  <c r="E121" i="18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B121" i="18" s="1"/>
  <c r="D121" i="18"/>
  <c r="E120" i="18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B120" i="18" s="1"/>
  <c r="D120" i="18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B119" i="18" s="1"/>
  <c r="E118" i="18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B118" i="18" s="1"/>
  <c r="D118" i="18"/>
  <c r="D117" i="18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B117" i="18" s="1"/>
  <c r="D116" i="18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B116" i="18" s="1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B115" i="18" s="1"/>
  <c r="D114" i="18"/>
  <c r="E114" i="18" s="1"/>
  <c r="F114" i="18" s="1"/>
  <c r="G114" i="18" s="1"/>
  <c r="H114" i="18" s="1"/>
  <c r="I114" i="18" s="1"/>
  <c r="J114" i="18" s="1"/>
  <c r="K114" i="18" s="1"/>
  <c r="L114" i="18" s="1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B114" i="18" s="1"/>
  <c r="M113" i="18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B113" i="18" s="1"/>
  <c r="K113" i="18"/>
  <c r="L113" i="18" s="1"/>
  <c r="D113" i="18"/>
  <c r="E113" i="18" s="1"/>
  <c r="F113" i="18" s="1"/>
  <c r="G113" i="18" s="1"/>
  <c r="H113" i="18" s="1"/>
  <c r="I113" i="18" s="1"/>
  <c r="F112" i="18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B112" i="18" s="1"/>
  <c r="D112" i="18"/>
  <c r="E112" i="18" s="1"/>
  <c r="D111" i="18"/>
  <c r="E111" i="18" s="1"/>
  <c r="F111" i="18" s="1"/>
  <c r="G111" i="18" s="1"/>
  <c r="H111" i="18" s="1"/>
  <c r="I111" i="18" s="1"/>
  <c r="J111" i="18" s="1"/>
  <c r="K111" i="18" s="1"/>
  <c r="L111" i="18" s="1"/>
  <c r="M111" i="18" s="1"/>
  <c r="N111" i="18" s="1"/>
  <c r="O111" i="18" s="1"/>
  <c r="P111" i="18" s="1"/>
  <c r="Q111" i="18" s="1"/>
  <c r="R111" i="18" s="1"/>
  <c r="S111" i="18" s="1"/>
  <c r="T111" i="18" s="1"/>
  <c r="U111" i="18" s="1"/>
  <c r="V111" i="18" s="1"/>
  <c r="W111" i="18" s="1"/>
  <c r="X111" i="18" s="1"/>
  <c r="Y111" i="18" s="1"/>
  <c r="Z111" i="18" s="1"/>
  <c r="AA111" i="18" s="1"/>
  <c r="AB111" i="18" s="1"/>
  <c r="AC111" i="18" s="1"/>
  <c r="AD111" i="18" s="1"/>
  <c r="AE111" i="18" s="1"/>
  <c r="AF111" i="18" s="1"/>
  <c r="B111" i="18" s="1"/>
  <c r="H109" i="18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B109" i="18" s="1"/>
  <c r="D109" i="18"/>
  <c r="E109" i="18" s="1"/>
  <c r="F109" i="18" s="1"/>
  <c r="G109" i="18" s="1"/>
  <c r="F108" i="18"/>
  <c r="G108" i="18" s="1"/>
  <c r="H108" i="18" s="1"/>
  <c r="I108" i="18" s="1"/>
  <c r="J108" i="18" s="1"/>
  <c r="K108" i="18" s="1"/>
  <c r="L108" i="18" s="1"/>
  <c r="M108" i="18" s="1"/>
  <c r="N108" i="18" s="1"/>
  <c r="O108" i="18" s="1"/>
  <c r="P108" i="18" s="1"/>
  <c r="Q108" i="18" s="1"/>
  <c r="R108" i="18" s="1"/>
  <c r="S108" i="18" s="1"/>
  <c r="T108" i="18" s="1"/>
  <c r="U108" i="18" s="1"/>
  <c r="V108" i="18" s="1"/>
  <c r="W108" i="18" s="1"/>
  <c r="X108" i="18" s="1"/>
  <c r="Y108" i="18" s="1"/>
  <c r="Z108" i="18" s="1"/>
  <c r="AA108" i="18" s="1"/>
  <c r="AB108" i="18" s="1"/>
  <c r="AC108" i="18" s="1"/>
  <c r="AD108" i="18" s="1"/>
  <c r="AE108" i="18" s="1"/>
  <c r="AF108" i="18" s="1"/>
  <c r="B108" i="18" s="1"/>
  <c r="D108" i="18"/>
  <c r="E108" i="18" s="1"/>
  <c r="H106" i="18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B106" i="18" s="1"/>
  <c r="D106" i="18"/>
  <c r="E106" i="18" s="1"/>
  <c r="F106" i="18" s="1"/>
  <c r="G106" i="18" s="1"/>
  <c r="D105" i="18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B105" i="18" s="1"/>
  <c r="E104" i="18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B104" i="18" s="1"/>
  <c r="D104" i="18"/>
  <c r="E103" i="18"/>
  <c r="F103" i="18" s="1"/>
  <c r="G103" i="18" s="1"/>
  <c r="H103" i="18" s="1"/>
  <c r="I103" i="18" s="1"/>
  <c r="J103" i="18" s="1"/>
  <c r="K103" i="18" s="1"/>
  <c r="L103" i="18" s="1"/>
  <c r="M103" i="18" s="1"/>
  <c r="N103" i="18" s="1"/>
  <c r="O103" i="18" s="1"/>
  <c r="P103" i="18" s="1"/>
  <c r="Q103" i="18" s="1"/>
  <c r="R103" i="18" s="1"/>
  <c r="S103" i="18" s="1"/>
  <c r="T103" i="18" s="1"/>
  <c r="U103" i="18" s="1"/>
  <c r="V103" i="18" s="1"/>
  <c r="W103" i="18" s="1"/>
  <c r="X103" i="18" s="1"/>
  <c r="Y103" i="18" s="1"/>
  <c r="Z103" i="18" s="1"/>
  <c r="AA103" i="18" s="1"/>
  <c r="AB103" i="18" s="1"/>
  <c r="AC103" i="18" s="1"/>
  <c r="AD103" i="18" s="1"/>
  <c r="AE103" i="18" s="1"/>
  <c r="AF103" i="18" s="1"/>
  <c r="B103" i="18" s="1"/>
  <c r="D103" i="18"/>
  <c r="D102" i="18"/>
  <c r="E102" i="18" s="1"/>
  <c r="F102" i="18" s="1"/>
  <c r="D101" i="18"/>
  <c r="E101" i="18" s="1"/>
  <c r="AH98" i="18"/>
  <c r="AI98" i="18" s="1"/>
  <c r="AH97" i="18"/>
  <c r="AI97" i="18" s="1"/>
  <c r="AH96" i="18"/>
  <c r="AI96" i="18" s="1"/>
  <c r="AH95" i="18"/>
  <c r="AI95" i="18" s="1"/>
  <c r="AH94" i="18"/>
  <c r="AI94" i="18" s="1"/>
  <c r="D93" i="18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G82" i="18"/>
  <c r="AI81" i="18"/>
  <c r="AH81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B80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B79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O82" i="18" s="1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K82" i="18" s="1"/>
  <c r="J76" i="18"/>
  <c r="I76" i="18"/>
  <c r="H76" i="18"/>
  <c r="G76" i="18"/>
  <c r="F76" i="18"/>
  <c r="E76" i="18"/>
  <c r="D76" i="18"/>
  <c r="C76" i="18"/>
  <c r="B76" i="18"/>
  <c r="AI74" i="18"/>
  <c r="AH74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AI71" i="18"/>
  <c r="AH71" i="18"/>
  <c r="AI70" i="18"/>
  <c r="AH70" i="18"/>
  <c r="AI69" i="18"/>
  <c r="AH69" i="18"/>
  <c r="AG68" i="18"/>
  <c r="AF68" i="18"/>
  <c r="AE68" i="18"/>
  <c r="AD5" i="18" s="1"/>
  <c r="AD68" i="18"/>
  <c r="AC5" i="18" s="1"/>
  <c r="AC68" i="18"/>
  <c r="AB5" i="18" s="1"/>
  <c r="AB68" i="18"/>
  <c r="AA5" i="18" s="1"/>
  <c r="AA68" i="18"/>
  <c r="Z5" i="18" s="1"/>
  <c r="Z68" i="18"/>
  <c r="Y68" i="18"/>
  <c r="X5" i="18" s="1"/>
  <c r="X68" i="18"/>
  <c r="W68" i="18"/>
  <c r="V5" i="18" s="1"/>
  <c r="V68" i="18"/>
  <c r="U68" i="18"/>
  <c r="T5" i="18" s="1"/>
  <c r="T68" i="18"/>
  <c r="S5" i="18" s="1"/>
  <c r="S68" i="18"/>
  <c r="R5" i="18" s="1"/>
  <c r="R68" i="18"/>
  <c r="Q5" i="18" s="1"/>
  <c r="Q68" i="18"/>
  <c r="P68" i="18"/>
  <c r="O68" i="18"/>
  <c r="N5" i="18" s="1"/>
  <c r="N68" i="18"/>
  <c r="M5" i="18" s="1"/>
  <c r="M68" i="18"/>
  <c r="L5" i="18" s="1"/>
  <c r="L68" i="18"/>
  <c r="K5" i="18" s="1"/>
  <c r="K68" i="18"/>
  <c r="J5" i="18" s="1"/>
  <c r="J68" i="18"/>
  <c r="I68" i="18"/>
  <c r="H68" i="18"/>
  <c r="G68" i="18"/>
  <c r="F5" i="18" s="1"/>
  <c r="F68" i="18"/>
  <c r="E5" i="18" s="1"/>
  <c r="E68" i="18"/>
  <c r="D68" i="18"/>
  <c r="C5" i="18" s="1"/>
  <c r="C68" i="18"/>
  <c r="B68" i="18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AG52" i="18"/>
  <c r="Z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AG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G2" i="18" s="1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Y5" i="18"/>
  <c r="U5" i="18"/>
  <c r="P5" i="18"/>
  <c r="I5" i="18"/>
  <c r="D5" i="18"/>
  <c r="B5" i="18"/>
  <c r="AG4" i="18"/>
  <c r="K4" i="18"/>
  <c r="B4" i="18"/>
  <c r="AG3" i="18"/>
  <c r="M37" i="17"/>
  <c r="L37" i="17"/>
  <c r="K37" i="17"/>
  <c r="J37" i="17"/>
  <c r="I37" i="17"/>
  <c r="H37" i="17"/>
  <c r="G37" i="17"/>
  <c r="F37" i="17"/>
  <c r="E37" i="17"/>
  <c r="D95" i="17"/>
  <c r="D37" i="17"/>
  <c r="AH99" i="17"/>
  <c r="AI99" i="17" s="1"/>
  <c r="C95" i="17"/>
  <c r="C37" i="17"/>
  <c r="B95" i="17"/>
  <c r="B37" i="17"/>
  <c r="B93" i="17"/>
  <c r="B80" i="17"/>
  <c r="B79" i="17"/>
  <c r="B78" i="17"/>
  <c r="B77" i="17"/>
  <c r="B76" i="17"/>
  <c r="B82" i="17" s="1"/>
  <c r="B72" i="17"/>
  <c r="B68" i="17"/>
  <c r="B56" i="17"/>
  <c r="B51" i="17"/>
  <c r="B52" i="17" s="1"/>
  <c r="B38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B235" i="17"/>
  <c r="A235" i="17"/>
  <c r="B234" i="17"/>
  <c r="S209" i="17"/>
  <c r="AG199" i="17"/>
  <c r="C199" i="17"/>
  <c r="E198" i="17"/>
  <c r="D198" i="17"/>
  <c r="C234" i="17" s="1"/>
  <c r="F197" i="17"/>
  <c r="G197" i="17" s="1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D197" i="17"/>
  <c r="E197" i="17" s="1"/>
  <c r="F196" i="17"/>
  <c r="G196" i="17" s="1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E196" i="17" s="1"/>
  <c r="AD195" i="17"/>
  <c r="AE195" i="17" s="1"/>
  <c r="AF195" i="17" s="1"/>
  <c r="B195" i="17" s="1"/>
  <c r="D195" i="17"/>
  <c r="E195" i="17" s="1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D194" i="17"/>
  <c r="E194" i="17" s="1"/>
  <c r="F194" i="17" s="1"/>
  <c r="G194" i="17" s="1"/>
  <c r="H194" i="17" s="1"/>
  <c r="I194" i="17" s="1"/>
  <c r="J194" i="17" s="1"/>
  <c r="K194" i="17" s="1"/>
  <c r="L194" i="17" s="1"/>
  <c r="M194" i="17" s="1"/>
  <c r="N194" i="17" s="1"/>
  <c r="O194" i="17" s="1"/>
  <c r="P194" i="17" s="1"/>
  <c r="Q194" i="17" s="1"/>
  <c r="R194" i="17" s="1"/>
  <c r="S194" i="17" s="1"/>
  <c r="T194" i="17" s="1"/>
  <c r="U194" i="17" s="1"/>
  <c r="V194" i="17" s="1"/>
  <c r="W194" i="17" s="1"/>
  <c r="X194" i="17" s="1"/>
  <c r="Y194" i="17" s="1"/>
  <c r="Z194" i="17" s="1"/>
  <c r="AA194" i="17" s="1"/>
  <c r="AB194" i="17" s="1"/>
  <c r="AC194" i="17" s="1"/>
  <c r="AD194" i="17" s="1"/>
  <c r="AE194" i="17" s="1"/>
  <c r="AF194" i="17" s="1"/>
  <c r="B194" i="17" s="1"/>
  <c r="D193" i="17"/>
  <c r="AG191" i="17"/>
  <c r="C191" i="17"/>
  <c r="N190" i="17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D190" i="17"/>
  <c r="E190" i="17" s="1"/>
  <c r="F190" i="17" s="1"/>
  <c r="G190" i="17" s="1"/>
  <c r="H190" i="17" s="1"/>
  <c r="I190" i="17" s="1"/>
  <c r="J190" i="17" s="1"/>
  <c r="K190" i="17" s="1"/>
  <c r="L190" i="17" s="1"/>
  <c r="M190" i="17" s="1"/>
  <c r="R189" i="17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9" i="17"/>
  <c r="E189" i="17" s="1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E188" i="17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D188" i="17"/>
  <c r="S187" i="17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D187" i="17"/>
  <c r="E187" i="17" s="1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Q186" i="17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F186" i="17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E186" i="17"/>
  <c r="D186" i="17"/>
  <c r="O185" i="17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D185" i="17"/>
  <c r="E185" i="17" s="1"/>
  <c r="F185" i="17" s="1"/>
  <c r="G185" i="17" s="1"/>
  <c r="H185" i="17" s="1"/>
  <c r="I185" i="17" s="1"/>
  <c r="J185" i="17" s="1"/>
  <c r="K185" i="17" s="1"/>
  <c r="L185" i="17" s="1"/>
  <c r="M185" i="17" s="1"/>
  <c r="N185" i="17" s="1"/>
  <c r="L184" i="17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D184" i="17"/>
  <c r="E184" i="17" s="1"/>
  <c r="F184" i="17" s="1"/>
  <c r="G184" i="17" s="1"/>
  <c r="H184" i="17" s="1"/>
  <c r="I184" i="17" s="1"/>
  <c r="J184" i="17" s="1"/>
  <c r="K184" i="17" s="1"/>
  <c r="F183" i="17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D183" i="17"/>
  <c r="E183" i="17" s="1"/>
  <c r="U182" i="17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D182" i="17"/>
  <c r="E182" i="17" s="1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F181" i="17"/>
  <c r="G181" i="17" s="1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D181" i="17"/>
  <c r="E181" i="17" s="1"/>
  <c r="F180" i="17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E180" i="17"/>
  <c r="D180" i="17"/>
  <c r="W179" i="17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H179" i="17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F179" i="17"/>
  <c r="G179" i="17" s="1"/>
  <c r="D179" i="17"/>
  <c r="E179" i="17" s="1"/>
  <c r="M178" i="17"/>
  <c r="N178" i="17" s="1"/>
  <c r="O178" i="17" s="1"/>
  <c r="P178" i="17" s="1"/>
  <c r="Q178" i="17" s="1"/>
  <c r="R178" i="17" s="1"/>
  <c r="S178" i="17" s="1"/>
  <c r="T178" i="17" s="1"/>
  <c r="U178" i="17" s="1"/>
  <c r="V178" i="17" s="1"/>
  <c r="W178" i="17" s="1"/>
  <c r="X178" i="17" s="1"/>
  <c r="Y178" i="17" s="1"/>
  <c r="Z178" i="17" s="1"/>
  <c r="AA178" i="17" s="1"/>
  <c r="AB178" i="17" s="1"/>
  <c r="AC178" i="17" s="1"/>
  <c r="AD178" i="17" s="1"/>
  <c r="AE178" i="17" s="1"/>
  <c r="AF178" i="17" s="1"/>
  <c r="B178" i="17" s="1"/>
  <c r="F178" i="17"/>
  <c r="G178" i="17" s="1"/>
  <c r="H178" i="17" s="1"/>
  <c r="I178" i="17" s="1"/>
  <c r="J178" i="17" s="1"/>
  <c r="K178" i="17" s="1"/>
  <c r="L178" i="17" s="1"/>
  <c r="E178" i="17"/>
  <c r="D178" i="17"/>
  <c r="E176" i="17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D176" i="17"/>
  <c r="T175" i="17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J175" i="17"/>
  <c r="K175" i="17" s="1"/>
  <c r="L175" i="17" s="1"/>
  <c r="M175" i="17" s="1"/>
  <c r="N175" i="17" s="1"/>
  <c r="O175" i="17" s="1"/>
  <c r="P175" i="17" s="1"/>
  <c r="Q175" i="17" s="1"/>
  <c r="R175" i="17" s="1"/>
  <c r="S175" i="17" s="1"/>
  <c r="D175" i="17"/>
  <c r="E175" i="17" s="1"/>
  <c r="F175" i="17" s="1"/>
  <c r="G175" i="17" s="1"/>
  <c r="H175" i="17" s="1"/>
  <c r="I175" i="17" s="1"/>
  <c r="D174" i="17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P173" i="17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F173" i="17"/>
  <c r="G173" i="17" s="1"/>
  <c r="H173" i="17" s="1"/>
  <c r="I173" i="17" s="1"/>
  <c r="J173" i="17" s="1"/>
  <c r="K173" i="17" s="1"/>
  <c r="L173" i="17" s="1"/>
  <c r="M173" i="17" s="1"/>
  <c r="N173" i="17" s="1"/>
  <c r="O173" i="17" s="1"/>
  <c r="E173" i="17"/>
  <c r="D173" i="17"/>
  <c r="G172" i="17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D172" i="17"/>
  <c r="E172" i="17" s="1"/>
  <c r="F172" i="17" s="1"/>
  <c r="D171" i="17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I170" i="17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F170" i="17"/>
  <c r="G170" i="17" s="1"/>
  <c r="H170" i="17" s="1"/>
  <c r="E170" i="17"/>
  <c r="D170" i="17"/>
  <c r="D169" i="17"/>
  <c r="E169" i="17" s="1"/>
  <c r="F169" i="17" s="1"/>
  <c r="G169" i="17" s="1"/>
  <c r="H169" i="17" s="1"/>
  <c r="I169" i="17" s="1"/>
  <c r="J169" i="17" s="1"/>
  <c r="K169" i="17" s="1"/>
  <c r="L169" i="17" s="1"/>
  <c r="M169" i="17" s="1"/>
  <c r="N169" i="17" s="1"/>
  <c r="O169" i="17" s="1"/>
  <c r="P169" i="17" s="1"/>
  <c r="Q169" i="17" s="1"/>
  <c r="R169" i="17" s="1"/>
  <c r="S169" i="17" s="1"/>
  <c r="T169" i="17" s="1"/>
  <c r="U169" i="17" s="1"/>
  <c r="V169" i="17" s="1"/>
  <c r="W169" i="17" s="1"/>
  <c r="X169" i="17" s="1"/>
  <c r="Y169" i="17" s="1"/>
  <c r="Z169" i="17" s="1"/>
  <c r="AA169" i="17" s="1"/>
  <c r="AB169" i="17" s="1"/>
  <c r="AC169" i="17" s="1"/>
  <c r="AD169" i="17" s="1"/>
  <c r="AE169" i="17" s="1"/>
  <c r="AF169" i="17" s="1"/>
  <c r="B169" i="17" s="1"/>
  <c r="Z167" i="17"/>
  <c r="AA167" i="17" s="1"/>
  <c r="AB167" i="17" s="1"/>
  <c r="AC167" i="17" s="1"/>
  <c r="AD167" i="17" s="1"/>
  <c r="AE167" i="17" s="1"/>
  <c r="AF167" i="17" s="1"/>
  <c r="B167" i="17" s="1"/>
  <c r="F167" i="17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E167" i="17"/>
  <c r="D167" i="17"/>
  <c r="H166" i="17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D166" i="17"/>
  <c r="E166" i="17" s="1"/>
  <c r="F166" i="17" s="1"/>
  <c r="G166" i="17" s="1"/>
  <c r="F165" i="17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E165" i="17"/>
  <c r="D165" i="17"/>
  <c r="W164" i="17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G164" i="17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E164" i="17"/>
  <c r="F164" i="17" s="1"/>
  <c r="D164" i="17"/>
  <c r="K163" i="17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F163" i="17"/>
  <c r="G163" i="17" s="1"/>
  <c r="H163" i="17" s="1"/>
  <c r="I163" i="17" s="1"/>
  <c r="J163" i="17" s="1"/>
  <c r="E163" i="17"/>
  <c r="D163" i="17"/>
  <c r="Q162" i="17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D162" i="17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I161" i="17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E161" i="17"/>
  <c r="F161" i="17" s="1"/>
  <c r="G161" i="17" s="1"/>
  <c r="H161" i="17" s="1"/>
  <c r="D161" i="17"/>
  <c r="E160" i="17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D160" i="17"/>
  <c r="S159" i="17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G159" i="17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F159" i="17"/>
  <c r="E159" i="17"/>
  <c r="D159" i="17"/>
  <c r="D158" i="17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P157" i="17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N156" i="17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F156" i="17"/>
  <c r="G156" i="17" s="1"/>
  <c r="H156" i="17" s="1"/>
  <c r="I156" i="17" s="1"/>
  <c r="J156" i="17" s="1"/>
  <c r="K156" i="17" s="1"/>
  <c r="L156" i="17" s="1"/>
  <c r="M156" i="17" s="1"/>
  <c r="E156" i="17"/>
  <c r="D156" i="17"/>
  <c r="D155" i="17"/>
  <c r="E155" i="17" s="1"/>
  <c r="F155" i="17" s="1"/>
  <c r="G155" i="17" s="1"/>
  <c r="H155" i="17" s="1"/>
  <c r="I155" i="17" s="1"/>
  <c r="J155" i="17" s="1"/>
  <c r="K155" i="17" s="1"/>
  <c r="L155" i="17" s="1"/>
  <c r="M155" i="17" s="1"/>
  <c r="N155" i="17" s="1"/>
  <c r="O155" i="17" s="1"/>
  <c r="P155" i="17" s="1"/>
  <c r="Q155" i="17" s="1"/>
  <c r="R155" i="17" s="1"/>
  <c r="S155" i="17" s="1"/>
  <c r="T155" i="17" s="1"/>
  <c r="U155" i="17" s="1"/>
  <c r="V155" i="17" s="1"/>
  <c r="W155" i="17" s="1"/>
  <c r="X155" i="17" s="1"/>
  <c r="Y155" i="17" s="1"/>
  <c r="Z155" i="17" s="1"/>
  <c r="AA155" i="17" s="1"/>
  <c r="AB155" i="17" s="1"/>
  <c r="AC155" i="17" s="1"/>
  <c r="AD155" i="17" s="1"/>
  <c r="AE155" i="17" s="1"/>
  <c r="AF155" i="17" s="1"/>
  <c r="B155" i="17" s="1"/>
  <c r="F153" i="17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E153" i="17"/>
  <c r="D153" i="17"/>
  <c r="D152" i="17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N151" i="17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F151" i="17"/>
  <c r="G151" i="17" s="1"/>
  <c r="H151" i="17" s="1"/>
  <c r="I151" i="17" s="1"/>
  <c r="J151" i="17" s="1"/>
  <c r="K151" i="17" s="1"/>
  <c r="L151" i="17" s="1"/>
  <c r="M151" i="17" s="1"/>
  <c r="E151" i="17"/>
  <c r="D151" i="17"/>
  <c r="D150" i="17"/>
  <c r="E150" i="17" s="1"/>
  <c r="F150" i="17" s="1"/>
  <c r="G150" i="17" s="1"/>
  <c r="H150" i="17" s="1"/>
  <c r="I150" i="17" s="1"/>
  <c r="J150" i="17" s="1"/>
  <c r="K150" i="17" s="1"/>
  <c r="L150" i="17" s="1"/>
  <c r="M150" i="17" s="1"/>
  <c r="N150" i="17" s="1"/>
  <c r="O150" i="17" s="1"/>
  <c r="P150" i="17" s="1"/>
  <c r="Q150" i="17" s="1"/>
  <c r="R150" i="17" s="1"/>
  <c r="S150" i="17" s="1"/>
  <c r="T150" i="17" s="1"/>
  <c r="U150" i="17" s="1"/>
  <c r="V150" i="17" s="1"/>
  <c r="W150" i="17" s="1"/>
  <c r="X150" i="17" s="1"/>
  <c r="Y150" i="17" s="1"/>
  <c r="Z150" i="17" s="1"/>
  <c r="AA150" i="17" s="1"/>
  <c r="AB150" i="17" s="1"/>
  <c r="AC150" i="17" s="1"/>
  <c r="AD150" i="17" s="1"/>
  <c r="AE150" i="17" s="1"/>
  <c r="AF150" i="17" s="1"/>
  <c r="B150" i="17" s="1"/>
  <c r="F148" i="17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E148" i="17"/>
  <c r="D148" i="17"/>
  <c r="H147" i="17"/>
  <c r="I147" i="17" s="1"/>
  <c r="J147" i="17" s="1"/>
  <c r="K147" i="17" s="1"/>
  <c r="L147" i="17" s="1"/>
  <c r="M147" i="17" s="1"/>
  <c r="N147" i="17" s="1"/>
  <c r="O147" i="17" s="1"/>
  <c r="P147" i="17" s="1"/>
  <c r="Q147" i="17" s="1"/>
  <c r="R147" i="17" s="1"/>
  <c r="S147" i="17" s="1"/>
  <c r="T147" i="17" s="1"/>
  <c r="U147" i="17" s="1"/>
  <c r="V147" i="17" s="1"/>
  <c r="W147" i="17" s="1"/>
  <c r="X147" i="17" s="1"/>
  <c r="Y147" i="17" s="1"/>
  <c r="Z147" i="17" s="1"/>
  <c r="AA147" i="17" s="1"/>
  <c r="AB147" i="17" s="1"/>
  <c r="AC147" i="17" s="1"/>
  <c r="AD147" i="17" s="1"/>
  <c r="AE147" i="17" s="1"/>
  <c r="AF147" i="17" s="1"/>
  <c r="B147" i="17" s="1"/>
  <c r="D147" i="17"/>
  <c r="E147" i="17" s="1"/>
  <c r="F147" i="17" s="1"/>
  <c r="G147" i="17" s="1"/>
  <c r="Z145" i="17"/>
  <c r="AA145" i="17" s="1"/>
  <c r="AB145" i="17" s="1"/>
  <c r="AC145" i="17" s="1"/>
  <c r="AD145" i="17" s="1"/>
  <c r="AE145" i="17" s="1"/>
  <c r="AF145" i="17" s="1"/>
  <c r="B145" i="17" s="1"/>
  <c r="F145" i="17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E145" i="17"/>
  <c r="D145" i="17"/>
  <c r="L144" i="17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D144" i="17"/>
  <c r="E144" i="17" s="1"/>
  <c r="F144" i="17" s="1"/>
  <c r="G144" i="17" s="1"/>
  <c r="H144" i="17" s="1"/>
  <c r="I144" i="17" s="1"/>
  <c r="J144" i="17" s="1"/>
  <c r="K144" i="17" s="1"/>
  <c r="E143" i="17"/>
  <c r="F143" i="17" s="1"/>
  <c r="G143" i="17" s="1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D143" i="17"/>
  <c r="G142" i="17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B142" i="17" s="1"/>
  <c r="D142" i="17"/>
  <c r="E142" i="17" s="1"/>
  <c r="F142" i="17" s="1"/>
  <c r="I141" i="17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E141" i="17"/>
  <c r="F141" i="17" s="1"/>
  <c r="G141" i="17" s="1"/>
  <c r="H141" i="17" s="1"/>
  <c r="D141" i="17"/>
  <c r="H140" i="17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G140" i="17"/>
  <c r="E140" i="17"/>
  <c r="F140" i="17" s="1"/>
  <c r="D140" i="17"/>
  <c r="J139" i="17"/>
  <c r="K139" i="17" s="1"/>
  <c r="L139" i="17" s="1"/>
  <c r="M139" i="17" s="1"/>
  <c r="N139" i="17" s="1"/>
  <c r="O139" i="17" s="1"/>
  <c r="P139" i="17" s="1"/>
  <c r="Q139" i="17" s="1"/>
  <c r="R139" i="17" s="1"/>
  <c r="S139" i="17" s="1"/>
  <c r="T139" i="17" s="1"/>
  <c r="U139" i="17" s="1"/>
  <c r="V139" i="17" s="1"/>
  <c r="W139" i="17" s="1"/>
  <c r="X139" i="17" s="1"/>
  <c r="Y139" i="17" s="1"/>
  <c r="Z139" i="17" s="1"/>
  <c r="AA139" i="17" s="1"/>
  <c r="AB139" i="17" s="1"/>
  <c r="AC139" i="17" s="1"/>
  <c r="AD139" i="17" s="1"/>
  <c r="AE139" i="17" s="1"/>
  <c r="AF139" i="17" s="1"/>
  <c r="B139" i="17" s="1"/>
  <c r="F139" i="17"/>
  <c r="G139" i="17" s="1"/>
  <c r="H139" i="17" s="1"/>
  <c r="I139" i="17" s="1"/>
  <c r="E139" i="17"/>
  <c r="D139" i="17"/>
  <c r="AA137" i="17"/>
  <c r="AB137" i="17" s="1"/>
  <c r="AC137" i="17" s="1"/>
  <c r="AD137" i="17" s="1"/>
  <c r="AE137" i="17" s="1"/>
  <c r="AF137" i="17" s="1"/>
  <c r="B137" i="17" s="1"/>
  <c r="E137" i="17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D137" i="17"/>
  <c r="F136" i="17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E136" i="17"/>
  <c r="D136" i="17"/>
  <c r="P135" i="17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D135" i="17"/>
  <c r="E135" i="17" s="1"/>
  <c r="F135" i="17" s="1"/>
  <c r="G135" i="17" s="1"/>
  <c r="H135" i="17" s="1"/>
  <c r="I135" i="17" s="1"/>
  <c r="J135" i="17" s="1"/>
  <c r="K135" i="17" s="1"/>
  <c r="L135" i="17" s="1"/>
  <c r="M135" i="17" s="1"/>
  <c r="N135" i="17" s="1"/>
  <c r="O135" i="17" s="1"/>
  <c r="E134" i="17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D134" i="17"/>
  <c r="D133" i="17"/>
  <c r="E133" i="17" s="1"/>
  <c r="F133" i="17" s="1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N132" i="17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G132" i="17"/>
  <c r="H132" i="17" s="1"/>
  <c r="I132" i="17" s="1"/>
  <c r="J132" i="17" s="1"/>
  <c r="K132" i="17" s="1"/>
  <c r="L132" i="17" s="1"/>
  <c r="M132" i="17" s="1"/>
  <c r="F132" i="17"/>
  <c r="E132" i="17"/>
  <c r="D132" i="17"/>
  <c r="O131" i="17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E131" i="17"/>
  <c r="F131" i="17" s="1"/>
  <c r="G131" i="17" s="1"/>
  <c r="H131" i="17" s="1"/>
  <c r="I131" i="17" s="1"/>
  <c r="J131" i="17" s="1"/>
  <c r="K131" i="17" s="1"/>
  <c r="L131" i="17" s="1"/>
  <c r="M131" i="17" s="1"/>
  <c r="N131" i="17" s="1"/>
  <c r="D131" i="17"/>
  <c r="M130" i="17"/>
  <c r="N130" i="17" s="1"/>
  <c r="O130" i="17" s="1"/>
  <c r="P130" i="17" s="1"/>
  <c r="Q130" i="17" s="1"/>
  <c r="R130" i="17" s="1"/>
  <c r="S130" i="17" s="1"/>
  <c r="T130" i="17" s="1"/>
  <c r="U130" i="17" s="1"/>
  <c r="V130" i="17" s="1"/>
  <c r="W130" i="17" s="1"/>
  <c r="X130" i="17" s="1"/>
  <c r="Y130" i="17" s="1"/>
  <c r="Z130" i="17" s="1"/>
  <c r="AA130" i="17" s="1"/>
  <c r="AB130" i="17" s="1"/>
  <c r="AC130" i="17" s="1"/>
  <c r="AD130" i="17" s="1"/>
  <c r="AE130" i="17" s="1"/>
  <c r="AF130" i="17" s="1"/>
  <c r="B130" i="17" s="1"/>
  <c r="F130" i="17"/>
  <c r="G130" i="17" s="1"/>
  <c r="H130" i="17" s="1"/>
  <c r="I130" i="17" s="1"/>
  <c r="J130" i="17" s="1"/>
  <c r="K130" i="17" s="1"/>
  <c r="L130" i="17" s="1"/>
  <c r="E130" i="17"/>
  <c r="D130" i="17"/>
  <c r="H128" i="17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D128" i="17"/>
  <c r="E128" i="17" s="1"/>
  <c r="F128" i="17" s="1"/>
  <c r="G128" i="17" s="1"/>
  <c r="F127" i="17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E127" i="17"/>
  <c r="D127" i="17"/>
  <c r="M126" i="17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E126" i="17" s="1"/>
  <c r="F126" i="17" s="1"/>
  <c r="G126" i="17" s="1"/>
  <c r="H126" i="17" s="1"/>
  <c r="I126" i="17" s="1"/>
  <c r="J126" i="17" s="1"/>
  <c r="K126" i="17" s="1"/>
  <c r="L126" i="17" s="1"/>
  <c r="E125" i="17"/>
  <c r="F125" i="17" s="1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D125" i="17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I123" i="17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F123" i="17"/>
  <c r="G123" i="17" s="1"/>
  <c r="H123" i="17" s="1"/>
  <c r="E123" i="17"/>
  <c r="D123" i="17"/>
  <c r="E122" i="17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D122" i="17"/>
  <c r="E121" i="17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D121" i="17"/>
  <c r="D120" i="17"/>
  <c r="E120" i="17" s="1"/>
  <c r="F120" i="17" s="1"/>
  <c r="G120" i="17" s="1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G119" i="17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F119" i="17"/>
  <c r="E119" i="17"/>
  <c r="D119" i="17"/>
  <c r="D118" i="17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I117" i="17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E117" i="17"/>
  <c r="F117" i="17" s="1"/>
  <c r="G117" i="17" s="1"/>
  <c r="H117" i="17" s="1"/>
  <c r="D117" i="17"/>
  <c r="O116" i="17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D116" i="17"/>
  <c r="E116" i="17" s="1"/>
  <c r="F116" i="17" s="1"/>
  <c r="G116" i="17" s="1"/>
  <c r="H116" i="17" s="1"/>
  <c r="I116" i="17" s="1"/>
  <c r="J116" i="17" s="1"/>
  <c r="K116" i="17" s="1"/>
  <c r="L116" i="17" s="1"/>
  <c r="M116" i="17" s="1"/>
  <c r="N116" i="17" s="1"/>
  <c r="F115" i="17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E115" i="17"/>
  <c r="D115" i="17"/>
  <c r="D114" i="17"/>
  <c r="E114" i="17" s="1"/>
  <c r="F114" i="17" s="1"/>
  <c r="G114" i="17" s="1"/>
  <c r="H114" i="17" s="1"/>
  <c r="I114" i="17" s="1"/>
  <c r="J114" i="17" s="1"/>
  <c r="K114" i="17" s="1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M113" i="17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L113" i="17"/>
  <c r="K113" i="17"/>
  <c r="D113" i="17"/>
  <c r="E113" i="17" s="1"/>
  <c r="F113" i="17" s="1"/>
  <c r="G113" i="17" s="1"/>
  <c r="H113" i="17" s="1"/>
  <c r="I113" i="17" s="1"/>
  <c r="J112" i="17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E112" i="17"/>
  <c r="F112" i="17" s="1"/>
  <c r="G112" i="17" s="1"/>
  <c r="H112" i="17" s="1"/>
  <c r="I112" i="17" s="1"/>
  <c r="D112" i="17"/>
  <c r="D111" i="17"/>
  <c r="E111" i="17" s="1"/>
  <c r="F111" i="17" s="1"/>
  <c r="G111" i="17" s="1"/>
  <c r="H111" i="17" s="1"/>
  <c r="I111" i="17" s="1"/>
  <c r="J111" i="17" s="1"/>
  <c r="K111" i="17" s="1"/>
  <c r="L111" i="17" s="1"/>
  <c r="M111" i="17" s="1"/>
  <c r="N111" i="17" s="1"/>
  <c r="O111" i="17" s="1"/>
  <c r="P111" i="17" s="1"/>
  <c r="Q111" i="17" s="1"/>
  <c r="R111" i="17" s="1"/>
  <c r="S111" i="17" s="1"/>
  <c r="T111" i="17" s="1"/>
  <c r="U111" i="17" s="1"/>
  <c r="V111" i="17" s="1"/>
  <c r="W111" i="17" s="1"/>
  <c r="X111" i="17" s="1"/>
  <c r="Y111" i="17" s="1"/>
  <c r="Z111" i="17" s="1"/>
  <c r="AA111" i="17" s="1"/>
  <c r="AB111" i="17" s="1"/>
  <c r="AC111" i="17" s="1"/>
  <c r="AD111" i="17" s="1"/>
  <c r="AE111" i="17" s="1"/>
  <c r="AF111" i="17" s="1"/>
  <c r="B111" i="17" s="1"/>
  <c r="F109" i="17"/>
  <c r="G109" i="17" s="1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E109" i="17"/>
  <c r="D109" i="17"/>
  <c r="D108" i="17"/>
  <c r="E108" i="17" s="1"/>
  <c r="F108" i="17" s="1"/>
  <c r="G108" i="17" s="1"/>
  <c r="J106" i="17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E106" i="17"/>
  <c r="F106" i="17" s="1"/>
  <c r="G106" i="17" s="1"/>
  <c r="H106" i="17" s="1"/>
  <c r="I106" i="17" s="1"/>
  <c r="D106" i="17"/>
  <c r="D105" i="17"/>
  <c r="E105" i="17" s="1"/>
  <c r="F105" i="17" s="1"/>
  <c r="G105" i="17" s="1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F104" i="17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E104" i="17"/>
  <c r="D104" i="17"/>
  <c r="D103" i="17"/>
  <c r="E103" i="17" s="1"/>
  <c r="F103" i="17" s="1"/>
  <c r="G103" i="17" s="1"/>
  <c r="H103" i="17" s="1"/>
  <c r="I103" i="17" s="1"/>
  <c r="J103" i="17" s="1"/>
  <c r="K103" i="17" s="1"/>
  <c r="L103" i="17" s="1"/>
  <c r="M103" i="17" s="1"/>
  <c r="N103" i="17" s="1"/>
  <c r="O103" i="17" s="1"/>
  <c r="P103" i="17" s="1"/>
  <c r="Q103" i="17" s="1"/>
  <c r="R103" i="17" s="1"/>
  <c r="S103" i="17" s="1"/>
  <c r="T103" i="17" s="1"/>
  <c r="U103" i="17" s="1"/>
  <c r="V103" i="17" s="1"/>
  <c r="W103" i="17" s="1"/>
  <c r="X103" i="17" s="1"/>
  <c r="Y103" i="17" s="1"/>
  <c r="Z103" i="17" s="1"/>
  <c r="AA103" i="17" s="1"/>
  <c r="AB103" i="17" s="1"/>
  <c r="AC103" i="17" s="1"/>
  <c r="AD103" i="17" s="1"/>
  <c r="AE103" i="17" s="1"/>
  <c r="AF103" i="17" s="1"/>
  <c r="B103" i="17" s="1"/>
  <c r="F102" i="17"/>
  <c r="G102" i="17" s="1"/>
  <c r="H102" i="17" s="1"/>
  <c r="I102" i="17" s="1"/>
  <c r="E102" i="17"/>
  <c r="D102" i="17"/>
  <c r="D101" i="17"/>
  <c r="AH98" i="17"/>
  <c r="AI98" i="17" s="1"/>
  <c r="AH97" i="17"/>
  <c r="AI97" i="17" s="1"/>
  <c r="AH96" i="17"/>
  <c r="AI96" i="17" s="1"/>
  <c r="AH95" i="17"/>
  <c r="AI95" i="17" s="1"/>
  <c r="AH94" i="17"/>
  <c r="AI94" i="17" s="1"/>
  <c r="D93" i="17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G82" i="17"/>
  <c r="AI81" i="17"/>
  <c r="AH81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F76" i="17"/>
  <c r="AF82" i="17" s="1"/>
  <c r="AE76" i="17"/>
  <c r="AD76" i="17"/>
  <c r="AC76" i="17"/>
  <c r="AB76" i="17"/>
  <c r="AA76" i="17"/>
  <c r="Z76" i="17"/>
  <c r="Y76" i="17"/>
  <c r="X76" i="17"/>
  <c r="X82" i="17" s="1"/>
  <c r="W76" i="17"/>
  <c r="V76" i="17"/>
  <c r="U76" i="17"/>
  <c r="T76" i="17"/>
  <c r="S76" i="17"/>
  <c r="R76" i="17"/>
  <c r="Q76" i="17"/>
  <c r="Q82" i="17" s="1"/>
  <c r="P76" i="17"/>
  <c r="P82" i="17" s="1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I74" i="17"/>
  <c r="AH74" i="17"/>
  <c r="AG72" i="17"/>
  <c r="AG75" i="17" s="1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H72" i="17"/>
  <c r="AI71" i="17"/>
  <c r="AH71" i="17"/>
  <c r="AI70" i="17"/>
  <c r="AH70" i="17"/>
  <c r="AI69" i="17"/>
  <c r="AH69" i="17"/>
  <c r="AG68" i="17"/>
  <c r="AG73" i="17" s="1"/>
  <c r="AF68" i="17"/>
  <c r="AE5" i="17" s="1"/>
  <c r="AE68" i="17"/>
  <c r="AD5" i="17" s="1"/>
  <c r="AD68" i="17"/>
  <c r="AC5" i="17" s="1"/>
  <c r="AC68" i="17"/>
  <c r="AB68" i="17"/>
  <c r="AA5" i="17" s="1"/>
  <c r="AA68" i="17"/>
  <c r="Z5" i="17" s="1"/>
  <c r="Z68" i="17"/>
  <c r="Y68" i="17"/>
  <c r="X68" i="17"/>
  <c r="W5" i="17" s="1"/>
  <c r="W68" i="17"/>
  <c r="V5" i="17" s="1"/>
  <c r="V68" i="17"/>
  <c r="U68" i="17"/>
  <c r="T68" i="17"/>
  <c r="S68" i="17"/>
  <c r="R5" i="17" s="1"/>
  <c r="R68" i="17"/>
  <c r="Q5" i="17" s="1"/>
  <c r="Q68" i="17"/>
  <c r="P68" i="17"/>
  <c r="O5" i="17" s="1"/>
  <c r="O68" i="17"/>
  <c r="N5" i="17" s="1"/>
  <c r="N68" i="17"/>
  <c r="M68" i="17"/>
  <c r="L68" i="17"/>
  <c r="K5" i="17" s="1"/>
  <c r="K68" i="17"/>
  <c r="J68" i="17"/>
  <c r="I5" i="17" s="1"/>
  <c r="I68" i="17"/>
  <c r="H68" i="17"/>
  <c r="G5" i="17" s="1"/>
  <c r="G68" i="17"/>
  <c r="F68" i="17"/>
  <c r="E5" i="17" s="1"/>
  <c r="E68" i="17"/>
  <c r="D68" i="17"/>
  <c r="C5" i="17" s="1"/>
  <c r="C68" i="17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I55" i="17"/>
  <c r="AH55" i="17"/>
  <c r="AI54" i="17"/>
  <c r="AH54" i="17"/>
  <c r="AI53" i="17"/>
  <c r="AH53" i="17"/>
  <c r="AG52" i="17"/>
  <c r="AG3" i="17" s="1"/>
  <c r="Z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G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G2" i="17" s="1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Y5" i="17"/>
  <c r="U5" i="17"/>
  <c r="S5" i="17"/>
  <c r="J5" i="17"/>
  <c r="F5" i="17"/>
  <c r="AG4" i="17"/>
  <c r="K4" i="17"/>
  <c r="B4" i="17"/>
  <c r="AF95" i="16"/>
  <c r="AF37" i="16"/>
  <c r="AE95" i="16"/>
  <c r="AE37" i="16"/>
  <c r="AD95" i="16"/>
  <c r="AD37" i="16"/>
  <c r="AC37" i="16"/>
  <c r="AB37" i="16"/>
  <c r="Z58" i="16"/>
  <c r="Z37" i="16"/>
  <c r="Y37" i="16"/>
  <c r="X37" i="16"/>
  <c r="W37" i="16"/>
  <c r="E4" i="17"/>
  <c r="E4" i="18"/>
  <c r="U102" i="22" l="1"/>
  <c r="R191" i="22"/>
  <c r="S101" i="22"/>
  <c r="S193" i="22"/>
  <c r="R199" i="22"/>
  <c r="R93" i="22"/>
  <c r="S234" i="22"/>
  <c r="U198" i="22"/>
  <c r="P93" i="21"/>
  <c r="Q102" i="21"/>
  <c r="N234" i="21"/>
  <c r="P198" i="21"/>
  <c r="P191" i="21"/>
  <c r="Q101" i="21"/>
  <c r="O199" i="21"/>
  <c r="P193" i="21"/>
  <c r="P193" i="20"/>
  <c r="O199" i="20"/>
  <c r="O93" i="20"/>
  <c r="Q108" i="20"/>
  <c r="Q191" i="20"/>
  <c r="R101" i="20"/>
  <c r="T102" i="20"/>
  <c r="N234" i="20"/>
  <c r="P198" i="20"/>
  <c r="P93" i="20" s="1"/>
  <c r="J234" i="19"/>
  <c r="L198" i="19"/>
  <c r="K191" i="19"/>
  <c r="L101" i="19"/>
  <c r="K199" i="19"/>
  <c r="L193" i="19"/>
  <c r="K93" i="19"/>
  <c r="O102" i="19"/>
  <c r="AE82" i="18"/>
  <c r="AD82" i="18"/>
  <c r="Z73" i="18"/>
  <c r="Y82" i="18"/>
  <c r="V82" i="18"/>
  <c r="P82" i="18"/>
  <c r="Z75" i="18"/>
  <c r="S75" i="18"/>
  <c r="AK213" i="18" s="1"/>
  <c r="X82" i="18"/>
  <c r="T82" i="18"/>
  <c r="AB82" i="18"/>
  <c r="U82" i="18"/>
  <c r="AC82" i="18"/>
  <c r="AG75" i="18"/>
  <c r="AG6" i="18"/>
  <c r="AG73" i="18"/>
  <c r="W82" i="18"/>
  <c r="AF82" i="18"/>
  <c r="S82" i="18"/>
  <c r="AA82" i="18"/>
  <c r="S73" i="18"/>
  <c r="R75" i="18"/>
  <c r="R7" i="18" s="1"/>
  <c r="R73" i="18"/>
  <c r="Q82" i="18"/>
  <c r="Q75" i="18"/>
  <c r="Q73" i="18"/>
  <c r="P75" i="18"/>
  <c r="AH213" i="18" s="1"/>
  <c r="P73" i="18"/>
  <c r="O73" i="18"/>
  <c r="O75" i="18"/>
  <c r="AG213" i="18" s="1"/>
  <c r="N82" i="18"/>
  <c r="N75" i="18"/>
  <c r="AF213" i="18" s="1"/>
  <c r="N73" i="18"/>
  <c r="M82" i="18"/>
  <c r="M75" i="18"/>
  <c r="AE213" i="18" s="1"/>
  <c r="M73" i="18"/>
  <c r="L82" i="18"/>
  <c r="J75" i="18"/>
  <c r="J7" i="18" s="1"/>
  <c r="I82" i="18"/>
  <c r="I73" i="18"/>
  <c r="H82" i="18"/>
  <c r="AH77" i="18"/>
  <c r="AI77" i="18"/>
  <c r="H75" i="18"/>
  <c r="Z213" i="18" s="1"/>
  <c r="H5" i="18"/>
  <c r="K75" i="18"/>
  <c r="K7" i="18" s="1"/>
  <c r="G82" i="18"/>
  <c r="G73" i="18"/>
  <c r="G75" i="18"/>
  <c r="G7" i="18" s="1"/>
  <c r="F82" i="18"/>
  <c r="F75" i="18"/>
  <c r="X213" i="18" s="1"/>
  <c r="H73" i="18"/>
  <c r="J73" i="18"/>
  <c r="K73" i="18"/>
  <c r="F73" i="18"/>
  <c r="AI76" i="18"/>
  <c r="E73" i="18"/>
  <c r="E75" i="18"/>
  <c r="W213" i="18" s="1"/>
  <c r="AI56" i="18"/>
  <c r="D75" i="18"/>
  <c r="V213" i="18" s="1"/>
  <c r="AI78" i="18"/>
  <c r="AI79" i="18"/>
  <c r="AI68" i="18"/>
  <c r="C73" i="18"/>
  <c r="C75" i="18" s="1"/>
  <c r="C7" i="18" s="1"/>
  <c r="AI38" i="18"/>
  <c r="AF5" i="18"/>
  <c r="AH79" i="18"/>
  <c r="H4" i="18"/>
  <c r="O83" i="18"/>
  <c r="AI213" i="18"/>
  <c r="Q7" i="18"/>
  <c r="Q83" i="18"/>
  <c r="AG83" i="18"/>
  <c r="D73" i="18"/>
  <c r="L73" i="18"/>
  <c r="T73" i="18"/>
  <c r="C82" i="18"/>
  <c r="G5" i="18"/>
  <c r="O5" i="18"/>
  <c r="W5" i="18"/>
  <c r="AE5" i="18"/>
  <c r="I75" i="18"/>
  <c r="D82" i="18"/>
  <c r="P83" i="18"/>
  <c r="E82" i="18"/>
  <c r="O7" i="18"/>
  <c r="AH38" i="18"/>
  <c r="E93" i="18"/>
  <c r="AH80" i="18"/>
  <c r="D210" i="18"/>
  <c r="S210" i="18"/>
  <c r="P7" i="18"/>
  <c r="AH56" i="18"/>
  <c r="AH68" i="18"/>
  <c r="AH72" i="18"/>
  <c r="L75" i="18"/>
  <c r="T75" i="18"/>
  <c r="B82" i="18"/>
  <c r="AH76" i="18"/>
  <c r="J82" i="18"/>
  <c r="R82" i="18"/>
  <c r="R83" i="18" s="1"/>
  <c r="Z82" i="18"/>
  <c r="Z83" i="18" s="1"/>
  <c r="AH78" i="18"/>
  <c r="G102" i="18"/>
  <c r="AI72" i="18"/>
  <c r="AI80" i="18"/>
  <c r="D191" i="18"/>
  <c r="E191" i="18"/>
  <c r="F101" i="18"/>
  <c r="D234" i="18"/>
  <c r="F198" i="18"/>
  <c r="E199" i="18"/>
  <c r="F193" i="18"/>
  <c r="AE82" i="17"/>
  <c r="AD82" i="17"/>
  <c r="AC82" i="17"/>
  <c r="AB82" i="17"/>
  <c r="AA82" i="17"/>
  <c r="Z82" i="17"/>
  <c r="Z73" i="17"/>
  <c r="Y82" i="17"/>
  <c r="W82" i="17"/>
  <c r="V82" i="17"/>
  <c r="U82" i="17"/>
  <c r="T82" i="17"/>
  <c r="T73" i="17"/>
  <c r="T75" i="17"/>
  <c r="AL213" i="17" s="1"/>
  <c r="S75" i="17"/>
  <c r="AK213" i="17" s="1"/>
  <c r="S82" i="17"/>
  <c r="S73" i="17"/>
  <c r="R82" i="17"/>
  <c r="R73" i="17"/>
  <c r="Q75" i="17"/>
  <c r="Q73" i="17"/>
  <c r="P73" i="17"/>
  <c r="P75" i="17"/>
  <c r="O82" i="17"/>
  <c r="O75" i="17"/>
  <c r="O73" i="17"/>
  <c r="N82" i="17"/>
  <c r="N73" i="17"/>
  <c r="M5" i="17"/>
  <c r="M82" i="17"/>
  <c r="M73" i="17"/>
  <c r="L82" i="17"/>
  <c r="L73" i="17"/>
  <c r="L75" i="17"/>
  <c r="AD213" i="17" s="1"/>
  <c r="K82" i="17"/>
  <c r="K75" i="17"/>
  <c r="AC213" i="17" s="1"/>
  <c r="K73" i="17"/>
  <c r="J82" i="17"/>
  <c r="J73" i="17"/>
  <c r="I82" i="17"/>
  <c r="I75" i="17"/>
  <c r="AA213" i="17" s="1"/>
  <c r="I73" i="17"/>
  <c r="H82" i="17"/>
  <c r="H73" i="17"/>
  <c r="H75" i="17"/>
  <c r="H7" i="17" s="1"/>
  <c r="G82" i="17"/>
  <c r="G75" i="17"/>
  <c r="Y213" i="17" s="1"/>
  <c r="G73" i="17"/>
  <c r="AH76" i="17"/>
  <c r="F82" i="17"/>
  <c r="F73" i="17"/>
  <c r="AI79" i="17"/>
  <c r="AI78" i="17"/>
  <c r="AI76" i="17"/>
  <c r="E82" i="17"/>
  <c r="AI77" i="17"/>
  <c r="AI56" i="17"/>
  <c r="E73" i="17"/>
  <c r="AH78" i="17"/>
  <c r="AH68" i="17"/>
  <c r="D82" i="17"/>
  <c r="D73" i="17"/>
  <c r="AI38" i="17"/>
  <c r="D75" i="17"/>
  <c r="V213" i="17" s="1"/>
  <c r="C82" i="17"/>
  <c r="B5" i="17"/>
  <c r="AI80" i="17"/>
  <c r="C73" i="17"/>
  <c r="C75" i="17" s="1"/>
  <c r="C7" i="17" s="1"/>
  <c r="B75" i="17"/>
  <c r="B73" i="17"/>
  <c r="AH77" i="17"/>
  <c r="H4" i="17"/>
  <c r="O83" i="17"/>
  <c r="H108" i="17"/>
  <c r="I108" i="17" s="1"/>
  <c r="J108" i="17" s="1"/>
  <c r="K108" i="17" s="1"/>
  <c r="L108" i="17" s="1"/>
  <c r="M108" i="17" s="1"/>
  <c r="N108" i="17" s="1"/>
  <c r="O108" i="17" s="1"/>
  <c r="P108" i="17" s="1"/>
  <c r="Q108" i="17" s="1"/>
  <c r="R108" i="17" s="1"/>
  <c r="S108" i="17" s="1"/>
  <c r="T108" i="17" s="1"/>
  <c r="U108" i="17" s="1"/>
  <c r="V108" i="17" s="1"/>
  <c r="W108" i="17" s="1"/>
  <c r="X108" i="17" s="1"/>
  <c r="Y108" i="17" s="1"/>
  <c r="Z108" i="17" s="1"/>
  <c r="AA108" i="17" s="1"/>
  <c r="AB108" i="17" s="1"/>
  <c r="AC108" i="17" s="1"/>
  <c r="AD108" i="17" s="1"/>
  <c r="AE108" i="17" s="1"/>
  <c r="AF108" i="17" s="1"/>
  <c r="B108" i="17" s="1"/>
  <c r="AG213" i="17"/>
  <c r="O7" i="17"/>
  <c r="AH213" i="17"/>
  <c r="P7" i="17"/>
  <c r="AI213" i="17"/>
  <c r="Q7" i="17"/>
  <c r="AG6" i="17"/>
  <c r="S83" i="17"/>
  <c r="T83" i="17"/>
  <c r="H5" i="17"/>
  <c r="P5" i="17"/>
  <c r="X5" i="17"/>
  <c r="AF5" i="17"/>
  <c r="J75" i="17"/>
  <c r="R75" i="17"/>
  <c r="R83" i="17" s="1"/>
  <c r="Z75" i="17"/>
  <c r="Z83" i="17" s="1"/>
  <c r="P83" i="17"/>
  <c r="AH38" i="17"/>
  <c r="AH56" i="17"/>
  <c r="AI68" i="17"/>
  <c r="AI72" i="17"/>
  <c r="E75" i="17"/>
  <c r="M75" i="17"/>
  <c r="J102" i="17"/>
  <c r="D5" i="17"/>
  <c r="L5" i="17"/>
  <c r="T5" i="17"/>
  <c r="AB5" i="17"/>
  <c r="F75" i="17"/>
  <c r="N75" i="17"/>
  <c r="N83" i="17" s="1"/>
  <c r="AH79" i="17"/>
  <c r="Q83" i="17"/>
  <c r="AG83" i="17"/>
  <c r="AH80" i="17"/>
  <c r="D191" i="17"/>
  <c r="E101" i="17"/>
  <c r="T7" i="17"/>
  <c r="S210" i="17"/>
  <c r="D210" i="17"/>
  <c r="K7" i="17"/>
  <c r="S7" i="17"/>
  <c r="D234" i="17"/>
  <c r="F198" i="17"/>
  <c r="D199" i="17"/>
  <c r="E193" i="17"/>
  <c r="S199" i="22" l="1"/>
  <c r="T193" i="22"/>
  <c r="S93" i="22"/>
  <c r="S191" i="22"/>
  <c r="T101" i="22"/>
  <c r="T234" i="22"/>
  <c r="V198" i="22"/>
  <c r="V102" i="22"/>
  <c r="Q193" i="21"/>
  <c r="P199" i="21"/>
  <c r="Q191" i="21"/>
  <c r="R101" i="21"/>
  <c r="O234" i="21"/>
  <c r="Q198" i="21"/>
  <c r="R102" i="21"/>
  <c r="Q93" i="21"/>
  <c r="U102" i="20"/>
  <c r="S101" i="20"/>
  <c r="R108" i="20"/>
  <c r="O234" i="20"/>
  <c r="Q198" i="20"/>
  <c r="P199" i="20"/>
  <c r="Q193" i="20"/>
  <c r="L199" i="19"/>
  <c r="M193" i="19"/>
  <c r="L93" i="19"/>
  <c r="L191" i="19"/>
  <c r="M101" i="19"/>
  <c r="K234" i="19"/>
  <c r="M198" i="19"/>
  <c r="P102" i="19"/>
  <c r="S7" i="18"/>
  <c r="S83" i="18"/>
  <c r="M83" i="18"/>
  <c r="AR213" i="18"/>
  <c r="Z7" i="18"/>
  <c r="T83" i="18"/>
  <c r="G83" i="18"/>
  <c r="N7" i="18"/>
  <c r="AJ213" i="18"/>
  <c r="N83" i="18"/>
  <c r="M7" i="18"/>
  <c r="H83" i="18"/>
  <c r="AB213" i="18"/>
  <c r="F7" i="18"/>
  <c r="F83" i="18"/>
  <c r="I83" i="18"/>
  <c r="AC213" i="18"/>
  <c r="K83" i="18"/>
  <c r="J83" i="18"/>
  <c r="H7" i="18"/>
  <c r="Y213" i="18"/>
  <c r="U213" i="18"/>
  <c r="D83" i="18"/>
  <c r="E83" i="18"/>
  <c r="E7" i="18"/>
  <c r="D7" i="18"/>
  <c r="C83" i="18"/>
  <c r="H102" i="18"/>
  <c r="AH82" i="18"/>
  <c r="AI82" i="18"/>
  <c r="C208" i="18"/>
  <c r="F191" i="18"/>
  <c r="G101" i="18"/>
  <c r="AL213" i="18"/>
  <c r="T7" i="18"/>
  <c r="AD213" i="18"/>
  <c r="L7" i="18"/>
  <c r="F199" i="18"/>
  <c r="G193" i="18"/>
  <c r="L83" i="18"/>
  <c r="E234" i="18"/>
  <c r="G198" i="18"/>
  <c r="F93" i="18"/>
  <c r="AA213" i="18"/>
  <c r="I7" i="18"/>
  <c r="B208" i="18"/>
  <c r="L7" i="17"/>
  <c r="L83" i="17"/>
  <c r="K83" i="17"/>
  <c r="I83" i="17"/>
  <c r="I7" i="17"/>
  <c r="H83" i="17"/>
  <c r="Z213" i="17"/>
  <c r="G83" i="17"/>
  <c r="G7" i="17"/>
  <c r="F83" i="17"/>
  <c r="E83" i="17"/>
  <c r="D83" i="17"/>
  <c r="D7" i="17"/>
  <c r="C83" i="17"/>
  <c r="U213" i="17"/>
  <c r="B83" i="17"/>
  <c r="AE213" i="17"/>
  <c r="M7" i="17"/>
  <c r="E199" i="17"/>
  <c r="F193" i="17"/>
  <c r="E93" i="17"/>
  <c r="AB213" i="17"/>
  <c r="J7" i="17"/>
  <c r="C208" i="17"/>
  <c r="M83" i="17"/>
  <c r="W213" i="17"/>
  <c r="E7" i="17"/>
  <c r="E191" i="17"/>
  <c r="F101" i="17"/>
  <c r="K102" i="17"/>
  <c r="AF213" i="17"/>
  <c r="N7" i="17"/>
  <c r="AI82" i="17"/>
  <c r="AH82" i="17"/>
  <c r="J83" i="17"/>
  <c r="X213" i="17"/>
  <c r="F7" i="17"/>
  <c r="AR213" i="17"/>
  <c r="Z7" i="17"/>
  <c r="G198" i="17"/>
  <c r="E234" i="17"/>
  <c r="AJ213" i="17"/>
  <c r="R7" i="17"/>
  <c r="B208" i="17"/>
  <c r="W198" i="22" l="1"/>
  <c r="U234" i="22"/>
  <c r="T191" i="22"/>
  <c r="U101" i="22"/>
  <c r="T199" i="22"/>
  <c r="U193" i="22"/>
  <c r="T93" i="22"/>
  <c r="W102" i="22"/>
  <c r="S102" i="21"/>
  <c r="P234" i="21"/>
  <c r="R198" i="21"/>
  <c r="R191" i="21"/>
  <c r="S101" i="21"/>
  <c r="Q199" i="21"/>
  <c r="R193" i="21"/>
  <c r="R198" i="20"/>
  <c r="P234" i="20"/>
  <c r="Q93" i="20"/>
  <c r="S108" i="20"/>
  <c r="R93" i="20"/>
  <c r="S191" i="20"/>
  <c r="T101" i="20"/>
  <c r="R191" i="20"/>
  <c r="Q199" i="20"/>
  <c r="R193" i="20"/>
  <c r="V102" i="20"/>
  <c r="Q102" i="19"/>
  <c r="L234" i="19"/>
  <c r="N198" i="19"/>
  <c r="M191" i="19"/>
  <c r="N101" i="19"/>
  <c r="N193" i="19"/>
  <c r="M199" i="19"/>
  <c r="M93" i="19"/>
  <c r="K6" i="18"/>
  <c r="G191" i="18"/>
  <c r="H101" i="18"/>
  <c r="H193" i="18"/>
  <c r="G199" i="18"/>
  <c r="G93" i="18"/>
  <c r="F234" i="18"/>
  <c r="H198" i="18"/>
  <c r="H93" i="18"/>
  <c r="I102" i="18"/>
  <c r="K6" i="17"/>
  <c r="L102" i="17"/>
  <c r="F191" i="17"/>
  <c r="G101" i="17"/>
  <c r="G193" i="17"/>
  <c r="F199" i="17"/>
  <c r="F93" i="17"/>
  <c r="H198" i="17"/>
  <c r="F234" i="17"/>
  <c r="U191" i="22" l="1"/>
  <c r="V101" i="22"/>
  <c r="X102" i="22"/>
  <c r="U199" i="22"/>
  <c r="U51" i="22" s="1"/>
  <c r="U52" i="22" s="1"/>
  <c r="V193" i="22"/>
  <c r="U93" i="22"/>
  <c r="X198" i="22"/>
  <c r="V234" i="22"/>
  <c r="R199" i="21"/>
  <c r="S193" i="21"/>
  <c r="S191" i="21"/>
  <c r="T101" i="21"/>
  <c r="R93" i="21"/>
  <c r="S198" i="21"/>
  <c r="Q234" i="21"/>
  <c r="S93" i="21"/>
  <c r="T102" i="21"/>
  <c r="T108" i="20"/>
  <c r="T191" i="20"/>
  <c r="U101" i="20"/>
  <c r="W102" i="20"/>
  <c r="R199" i="20"/>
  <c r="S193" i="20"/>
  <c r="S198" i="20"/>
  <c r="Q234" i="20"/>
  <c r="M234" i="19"/>
  <c r="O198" i="19"/>
  <c r="N191" i="19"/>
  <c r="O101" i="19"/>
  <c r="O193" i="19"/>
  <c r="N199" i="19"/>
  <c r="N93" i="19"/>
  <c r="R102" i="19"/>
  <c r="H199" i="18"/>
  <c r="I193" i="18"/>
  <c r="J102" i="18"/>
  <c r="H191" i="18"/>
  <c r="I101" i="18"/>
  <c r="I198" i="18"/>
  <c r="G234" i="18"/>
  <c r="H193" i="17"/>
  <c r="G199" i="17"/>
  <c r="G93" i="17"/>
  <c r="G191" i="17"/>
  <c r="H101" i="17"/>
  <c r="G234" i="17"/>
  <c r="I198" i="17"/>
  <c r="M102" i="17"/>
  <c r="Y198" i="22" l="1"/>
  <c r="W234" i="22"/>
  <c r="V199" i="22"/>
  <c r="V51" i="22" s="1"/>
  <c r="V52" i="22" s="1"/>
  <c r="W193" i="22"/>
  <c r="V93" i="22"/>
  <c r="Y102" i="22"/>
  <c r="U73" i="22"/>
  <c r="U75" i="22"/>
  <c r="V191" i="22"/>
  <c r="W101" i="22"/>
  <c r="R234" i="21"/>
  <c r="T198" i="21"/>
  <c r="T191" i="21"/>
  <c r="U101" i="21"/>
  <c r="T193" i="21"/>
  <c r="S199" i="21"/>
  <c r="U102" i="21"/>
  <c r="T93" i="21"/>
  <c r="X102" i="20"/>
  <c r="V101" i="20"/>
  <c r="S199" i="20"/>
  <c r="T193" i="20"/>
  <c r="S93" i="20"/>
  <c r="T198" i="20"/>
  <c r="R234" i="20"/>
  <c r="U108" i="20"/>
  <c r="U191" i="20" s="1"/>
  <c r="S102" i="19"/>
  <c r="O199" i="19"/>
  <c r="P193" i="19"/>
  <c r="O93" i="19"/>
  <c r="O191" i="19"/>
  <c r="P101" i="19"/>
  <c r="N234" i="19"/>
  <c r="P198" i="19"/>
  <c r="H234" i="18"/>
  <c r="J198" i="18"/>
  <c r="I93" i="18"/>
  <c r="K102" i="18"/>
  <c r="J93" i="18"/>
  <c r="J193" i="18"/>
  <c r="I199" i="18"/>
  <c r="I191" i="18"/>
  <c r="J101" i="18"/>
  <c r="H234" i="17"/>
  <c r="J198" i="17"/>
  <c r="H191" i="17"/>
  <c r="I101" i="17"/>
  <c r="N102" i="17"/>
  <c r="I193" i="17"/>
  <c r="H199" i="17"/>
  <c r="H93" i="17"/>
  <c r="U83" i="22" l="1"/>
  <c r="V75" i="22"/>
  <c r="V73" i="22"/>
  <c r="Z102" i="22"/>
  <c r="X193" i="22"/>
  <c r="W199" i="22"/>
  <c r="W51" i="22" s="1"/>
  <c r="W52" i="22" s="1"/>
  <c r="W93" i="22"/>
  <c r="W191" i="22"/>
  <c r="X101" i="22"/>
  <c r="AM213" i="22"/>
  <c r="U7" i="22"/>
  <c r="X234" i="22"/>
  <c r="Z198" i="22"/>
  <c r="T199" i="21"/>
  <c r="U193" i="21"/>
  <c r="V102" i="21"/>
  <c r="U191" i="21"/>
  <c r="V101" i="21"/>
  <c r="S234" i="21"/>
  <c r="U198" i="21"/>
  <c r="U93" i="21" s="1"/>
  <c r="T199" i="20"/>
  <c r="U193" i="20"/>
  <c r="W101" i="20"/>
  <c r="U198" i="20"/>
  <c r="S234" i="20"/>
  <c r="T93" i="20"/>
  <c r="V108" i="20"/>
  <c r="Y102" i="20"/>
  <c r="P191" i="19"/>
  <c r="Q101" i="19"/>
  <c r="P199" i="19"/>
  <c r="Q193" i="19"/>
  <c r="P93" i="19"/>
  <c r="T102" i="19"/>
  <c r="O234" i="19"/>
  <c r="Q198" i="19"/>
  <c r="J199" i="18"/>
  <c r="K193" i="18"/>
  <c r="L102" i="18"/>
  <c r="K93" i="18"/>
  <c r="I234" i="18"/>
  <c r="K198" i="18"/>
  <c r="J191" i="18"/>
  <c r="K101" i="18"/>
  <c r="I191" i="17"/>
  <c r="J101" i="17"/>
  <c r="O102" i="17"/>
  <c r="K198" i="17"/>
  <c r="I234" i="17"/>
  <c r="J193" i="17"/>
  <c r="I199" i="17"/>
  <c r="I93" i="17"/>
  <c r="V83" i="22" l="1"/>
  <c r="W75" i="22"/>
  <c r="W73" i="22"/>
  <c r="Y193" i="22"/>
  <c r="X199" i="22"/>
  <c r="X51" i="22" s="1"/>
  <c r="X52" i="22" s="1"/>
  <c r="X93" i="22"/>
  <c r="AA102" i="22"/>
  <c r="AA198" i="22"/>
  <c r="Y234" i="22"/>
  <c r="X191" i="22"/>
  <c r="Y101" i="22"/>
  <c r="AN213" i="22"/>
  <c r="V7" i="22"/>
  <c r="V191" i="21"/>
  <c r="W101" i="21"/>
  <c r="W102" i="21"/>
  <c r="V193" i="21"/>
  <c r="U199" i="21"/>
  <c r="U51" i="21" s="1"/>
  <c r="U52" i="21" s="1"/>
  <c r="T234" i="21"/>
  <c r="V198" i="21"/>
  <c r="V93" i="21" s="1"/>
  <c r="W108" i="20"/>
  <c r="V93" i="20"/>
  <c r="T234" i="20"/>
  <c r="V198" i="20"/>
  <c r="W191" i="20"/>
  <c r="X101" i="20"/>
  <c r="V191" i="20"/>
  <c r="Z102" i="20"/>
  <c r="U199" i="20"/>
  <c r="U51" i="20" s="1"/>
  <c r="V193" i="20"/>
  <c r="U93" i="20"/>
  <c r="Q199" i="19"/>
  <c r="R193" i="19"/>
  <c r="Q93" i="19"/>
  <c r="U102" i="19"/>
  <c r="Q191" i="19"/>
  <c r="R101" i="19"/>
  <c r="P234" i="19"/>
  <c r="R198" i="19"/>
  <c r="K191" i="18"/>
  <c r="L101" i="18"/>
  <c r="L198" i="18"/>
  <c r="J234" i="18"/>
  <c r="K199" i="18"/>
  <c r="L193" i="18"/>
  <c r="L93" i="18"/>
  <c r="M102" i="18"/>
  <c r="J234" i="17"/>
  <c r="L198" i="17"/>
  <c r="P102" i="17"/>
  <c r="J191" i="17"/>
  <c r="K101" i="17"/>
  <c r="J199" i="17"/>
  <c r="K193" i="17"/>
  <c r="J93" i="17"/>
  <c r="W83" i="22" l="1"/>
  <c r="X75" i="22"/>
  <c r="X73" i="22"/>
  <c r="AB198" i="22"/>
  <c r="Z234" i="22"/>
  <c r="AB102" i="22"/>
  <c r="Y191" i="22"/>
  <c r="Z101" i="22"/>
  <c r="Y199" i="22"/>
  <c r="Y51" i="22" s="1"/>
  <c r="Y52" i="22" s="1"/>
  <c r="Z193" i="22"/>
  <c r="Y93" i="22"/>
  <c r="AO213" i="22"/>
  <c r="W7" i="22"/>
  <c r="X102" i="21"/>
  <c r="U75" i="21"/>
  <c r="U73" i="21"/>
  <c r="U83" i="21" s="1"/>
  <c r="W193" i="21"/>
  <c r="V199" i="21"/>
  <c r="V51" i="21" s="1"/>
  <c r="V52" i="21" s="1"/>
  <c r="W191" i="21"/>
  <c r="X101" i="21"/>
  <c r="U234" i="21"/>
  <c r="W198" i="21"/>
  <c r="Y101" i="20"/>
  <c r="V199" i="20"/>
  <c r="V51" i="20" s="1"/>
  <c r="V52" i="20" s="1"/>
  <c r="W193" i="20"/>
  <c r="U234" i="20"/>
  <c r="W198" i="20"/>
  <c r="U52" i="20"/>
  <c r="AA102" i="20"/>
  <c r="X108" i="20"/>
  <c r="W93" i="20"/>
  <c r="R191" i="19"/>
  <c r="S101" i="19"/>
  <c r="V102" i="19"/>
  <c r="R199" i="19"/>
  <c r="S193" i="19"/>
  <c r="R93" i="19"/>
  <c r="Q234" i="19"/>
  <c r="S198" i="19"/>
  <c r="L199" i="18"/>
  <c r="M193" i="18"/>
  <c r="M93" i="18" s="1"/>
  <c r="K234" i="18"/>
  <c r="M198" i="18"/>
  <c r="N102" i="18"/>
  <c r="L191" i="18"/>
  <c r="M101" i="18"/>
  <c r="Q102" i="17"/>
  <c r="L193" i="17"/>
  <c r="K199" i="17"/>
  <c r="K93" i="17"/>
  <c r="K191" i="17"/>
  <c r="L101" i="17"/>
  <c r="M198" i="17"/>
  <c r="K234" i="17"/>
  <c r="X83" i="22" l="1"/>
  <c r="Z191" i="22"/>
  <c r="AA101" i="22"/>
  <c r="AA234" i="22"/>
  <c r="AC198" i="22"/>
  <c r="AC102" i="22"/>
  <c r="AA193" i="22"/>
  <c r="Z199" i="22"/>
  <c r="Z93" i="22"/>
  <c r="Y75" i="22"/>
  <c r="Y73" i="22"/>
  <c r="AP213" i="22"/>
  <c r="X7" i="22"/>
  <c r="V73" i="21"/>
  <c r="V75" i="21"/>
  <c r="W199" i="21"/>
  <c r="W51" i="21" s="1"/>
  <c r="W52" i="21" s="1"/>
  <c r="X193" i="21"/>
  <c r="X191" i="21"/>
  <c r="Y101" i="21"/>
  <c r="AM213" i="21"/>
  <c r="U7" i="21"/>
  <c r="W93" i="21"/>
  <c r="V234" i="21"/>
  <c r="X198" i="21"/>
  <c r="Y102" i="21"/>
  <c r="X93" i="21"/>
  <c r="X193" i="20"/>
  <c r="W199" i="20"/>
  <c r="W51" i="20" s="1"/>
  <c r="U73" i="20"/>
  <c r="U75" i="20"/>
  <c r="V234" i="20"/>
  <c r="X198" i="20"/>
  <c r="AB102" i="20"/>
  <c r="V73" i="20"/>
  <c r="V75" i="20"/>
  <c r="Z101" i="20"/>
  <c r="Y108" i="20"/>
  <c r="X93" i="20"/>
  <c r="X191" i="20"/>
  <c r="S199" i="19"/>
  <c r="T193" i="19"/>
  <c r="S93" i="19"/>
  <c r="W102" i="19"/>
  <c r="S191" i="19"/>
  <c r="T101" i="19"/>
  <c r="R234" i="19"/>
  <c r="T198" i="19"/>
  <c r="M191" i="18"/>
  <c r="N101" i="18"/>
  <c r="M199" i="18"/>
  <c r="N193" i="18"/>
  <c r="O102" i="18"/>
  <c r="N93" i="18"/>
  <c r="L234" i="18"/>
  <c r="N198" i="18"/>
  <c r="L199" i="17"/>
  <c r="M193" i="17"/>
  <c r="L93" i="17"/>
  <c r="L234" i="17"/>
  <c r="N198" i="17"/>
  <c r="L191" i="17"/>
  <c r="M101" i="17"/>
  <c r="R102" i="17"/>
  <c r="Y83" i="22" l="1"/>
  <c r="AA199" i="22"/>
  <c r="AA51" i="22" s="1"/>
  <c r="AA52" i="22" s="1"/>
  <c r="AB193" i="22"/>
  <c r="AA93" i="22"/>
  <c r="AD102" i="22"/>
  <c r="AB234" i="22"/>
  <c r="AD198" i="22"/>
  <c r="AQ213" i="22"/>
  <c r="Y7" i="22"/>
  <c r="AA191" i="22"/>
  <c r="AB101" i="22"/>
  <c r="Z102" i="21"/>
  <c r="Y193" i="21"/>
  <c r="X199" i="21"/>
  <c r="X51" i="21" s="1"/>
  <c r="X52" i="21" s="1"/>
  <c r="Y191" i="21"/>
  <c r="Z101" i="21"/>
  <c r="W234" i="21"/>
  <c r="Y198" i="21"/>
  <c r="Y93" i="21" s="1"/>
  <c r="W75" i="21"/>
  <c r="W73" i="21"/>
  <c r="AN213" i="21"/>
  <c r="V7" i="21"/>
  <c r="V83" i="21"/>
  <c r="W234" i="20"/>
  <c r="Y198" i="20"/>
  <c r="AM213" i="20"/>
  <c r="U7" i="20"/>
  <c r="Z108" i="20"/>
  <c r="Y93" i="20"/>
  <c r="AN213" i="20"/>
  <c r="V7" i="20"/>
  <c r="Y191" i="20"/>
  <c r="V83" i="20"/>
  <c r="U83" i="20"/>
  <c r="Z191" i="20"/>
  <c r="AA101" i="20"/>
  <c r="W52" i="20"/>
  <c r="AC102" i="20"/>
  <c r="X199" i="20"/>
  <c r="X51" i="20" s="1"/>
  <c r="X52" i="20" s="1"/>
  <c r="Y193" i="20"/>
  <c r="T191" i="19"/>
  <c r="U101" i="19"/>
  <c r="X102" i="19"/>
  <c r="U193" i="19"/>
  <c r="T199" i="19"/>
  <c r="T93" i="19"/>
  <c r="U198" i="19"/>
  <c r="S234" i="19"/>
  <c r="M234" i="18"/>
  <c r="O198" i="18"/>
  <c r="P102" i="18"/>
  <c r="N191" i="18"/>
  <c r="O101" i="18"/>
  <c r="O193" i="18"/>
  <c r="O93" i="18" s="1"/>
  <c r="N199" i="18"/>
  <c r="S102" i="17"/>
  <c r="M191" i="17"/>
  <c r="N101" i="17"/>
  <c r="O198" i="17"/>
  <c r="M234" i="17"/>
  <c r="N193" i="17"/>
  <c r="M199" i="17"/>
  <c r="M93" i="17"/>
  <c r="AE198" i="22" l="1"/>
  <c r="AC234" i="22"/>
  <c r="AE102" i="22"/>
  <c r="AB199" i="22"/>
  <c r="AB51" i="22" s="1"/>
  <c r="AB52" i="22" s="1"/>
  <c r="AC193" i="22"/>
  <c r="AB93" i="22"/>
  <c r="AB191" i="22"/>
  <c r="AC101" i="22"/>
  <c r="AA75" i="22"/>
  <c r="AA73" i="22"/>
  <c r="W83" i="21"/>
  <c r="Z191" i="21"/>
  <c r="AA101" i="21"/>
  <c r="X75" i="21"/>
  <c r="X73" i="21"/>
  <c r="X83" i="21" s="1"/>
  <c r="Y199" i="21"/>
  <c r="Y51" i="21" s="1"/>
  <c r="Y52" i="21" s="1"/>
  <c r="Z193" i="21"/>
  <c r="X234" i="21"/>
  <c r="Z198" i="21"/>
  <c r="AO213" i="21"/>
  <c r="W7" i="21"/>
  <c r="AA102" i="21"/>
  <c r="Z93" i="21"/>
  <c r="Y199" i="20"/>
  <c r="Y51" i="20" s="1"/>
  <c r="Y52" i="20" s="1"/>
  <c r="Z193" i="20"/>
  <c r="W75" i="20"/>
  <c r="W73" i="20"/>
  <c r="Z198" i="20"/>
  <c r="X234" i="20"/>
  <c r="X73" i="20"/>
  <c r="X75" i="20"/>
  <c r="AA108" i="20"/>
  <c r="AA191" i="20" s="1"/>
  <c r="Z93" i="20"/>
  <c r="AD102" i="20"/>
  <c r="AB101" i="20"/>
  <c r="V198" i="19"/>
  <c r="T234" i="19"/>
  <c r="V193" i="19"/>
  <c r="U199" i="19"/>
  <c r="U51" i="19" s="1"/>
  <c r="U52" i="19" s="1"/>
  <c r="U93" i="19"/>
  <c r="Y102" i="19"/>
  <c r="U191" i="19"/>
  <c r="V101" i="19"/>
  <c r="O199" i="18"/>
  <c r="P193" i="18"/>
  <c r="P93" i="18" s="1"/>
  <c r="O191" i="18"/>
  <c r="P101" i="18"/>
  <c r="Q102" i="18"/>
  <c r="N234" i="18"/>
  <c r="P198" i="18"/>
  <c r="N199" i="17"/>
  <c r="O193" i="17"/>
  <c r="N93" i="17"/>
  <c r="N234" i="17"/>
  <c r="P198" i="17"/>
  <c r="N191" i="17"/>
  <c r="O101" i="17"/>
  <c r="T102" i="17"/>
  <c r="AA83" i="22" l="1"/>
  <c r="AB73" i="22"/>
  <c r="AB75" i="22"/>
  <c r="AF102" i="22"/>
  <c r="AS213" i="22"/>
  <c r="AA7" i="22"/>
  <c r="AC199" i="22"/>
  <c r="AC51" i="22" s="1"/>
  <c r="AC52" i="22" s="1"/>
  <c r="AD193" i="22"/>
  <c r="AC93" i="22"/>
  <c r="AC191" i="22"/>
  <c r="AD101" i="22"/>
  <c r="AD234" i="22"/>
  <c r="AF198" i="22"/>
  <c r="Y75" i="21"/>
  <c r="Y73" i="21"/>
  <c r="AA198" i="21"/>
  <c r="Y234" i="21"/>
  <c r="Z199" i="21"/>
  <c r="AA193" i="21"/>
  <c r="AB102" i="21"/>
  <c r="AA93" i="21"/>
  <c r="AP213" i="21"/>
  <c r="X7" i="21"/>
  <c r="AA191" i="21"/>
  <c r="AB101" i="21"/>
  <c r="AO213" i="20"/>
  <c r="W7" i="20"/>
  <c r="AC101" i="20"/>
  <c r="AB108" i="20"/>
  <c r="AB191" i="20" s="1"/>
  <c r="AA93" i="20"/>
  <c r="AP213" i="20"/>
  <c r="X7" i="20"/>
  <c r="AA198" i="20"/>
  <c r="Y234" i="20"/>
  <c r="Z199" i="20"/>
  <c r="AA193" i="20"/>
  <c r="W83" i="20"/>
  <c r="X83" i="20"/>
  <c r="AE102" i="20"/>
  <c r="Y75" i="20"/>
  <c r="Y73" i="20"/>
  <c r="Z102" i="19"/>
  <c r="U75" i="19"/>
  <c r="U73" i="19"/>
  <c r="U83" i="19" s="1"/>
  <c r="W193" i="19"/>
  <c r="V199" i="19"/>
  <c r="V51" i="19" s="1"/>
  <c r="V52" i="19" s="1"/>
  <c r="V93" i="19"/>
  <c r="V191" i="19"/>
  <c r="W101" i="19"/>
  <c r="U234" i="19"/>
  <c r="W198" i="19"/>
  <c r="Q198" i="18"/>
  <c r="O234" i="18"/>
  <c r="R102" i="18"/>
  <c r="P191" i="18"/>
  <c r="Q101" i="18"/>
  <c r="Q193" i="18"/>
  <c r="Q93" i="18" s="1"/>
  <c r="P199" i="18"/>
  <c r="U102" i="17"/>
  <c r="O191" i="17"/>
  <c r="P101" i="17"/>
  <c r="O199" i="17"/>
  <c r="P193" i="17"/>
  <c r="O93" i="17"/>
  <c r="O234" i="17"/>
  <c r="Q198" i="17"/>
  <c r="AE193" i="22" l="1"/>
  <c r="AD199" i="22"/>
  <c r="AD51" i="22" s="1"/>
  <c r="AD52" i="22" s="1"/>
  <c r="AD93" i="22"/>
  <c r="AC73" i="22"/>
  <c r="AC75" i="22"/>
  <c r="AD191" i="22"/>
  <c r="AE101" i="22"/>
  <c r="B102" i="22"/>
  <c r="AT213" i="22"/>
  <c r="AB7" i="22"/>
  <c r="B198" i="22"/>
  <c r="AF234" i="22" s="1"/>
  <c r="AE234" i="22"/>
  <c r="AB83" i="22"/>
  <c r="Y83" i="21"/>
  <c r="AB191" i="21"/>
  <c r="AC101" i="21"/>
  <c r="Z234" i="21"/>
  <c r="AB198" i="21"/>
  <c r="AC102" i="21"/>
  <c r="AB93" i="21"/>
  <c r="AB193" i="21"/>
  <c r="AA199" i="21"/>
  <c r="AA51" i="21" s="1"/>
  <c r="AA52" i="21" s="1"/>
  <c r="AQ213" i="21"/>
  <c r="Y7" i="21"/>
  <c r="Y83" i="20"/>
  <c r="AA199" i="20"/>
  <c r="AA51" i="20" s="1"/>
  <c r="AB193" i="20"/>
  <c r="AC191" i="20"/>
  <c r="AD101" i="20"/>
  <c r="AC108" i="20"/>
  <c r="AQ213" i="20"/>
  <c r="Y7" i="20"/>
  <c r="AF102" i="20"/>
  <c r="AB198" i="20"/>
  <c r="Z234" i="20"/>
  <c r="V234" i="19"/>
  <c r="X198" i="19"/>
  <c r="V75" i="19"/>
  <c r="V73" i="19"/>
  <c r="V83" i="19" s="1"/>
  <c r="W199" i="19"/>
  <c r="W51" i="19" s="1"/>
  <c r="W52" i="19" s="1"/>
  <c r="X193" i="19"/>
  <c r="W93" i="19"/>
  <c r="AM213" i="19"/>
  <c r="U7" i="19"/>
  <c r="W191" i="19"/>
  <c r="X101" i="19"/>
  <c r="AA102" i="19"/>
  <c r="R193" i="18"/>
  <c r="Q199" i="18"/>
  <c r="Q191" i="18"/>
  <c r="R101" i="18"/>
  <c r="S102" i="18"/>
  <c r="R198" i="18"/>
  <c r="R93" i="18" s="1"/>
  <c r="P234" i="18"/>
  <c r="Q193" i="17"/>
  <c r="P199" i="17"/>
  <c r="P93" i="17"/>
  <c r="P191" i="17"/>
  <c r="Q101" i="17"/>
  <c r="P234" i="17"/>
  <c r="R198" i="17"/>
  <c r="V102" i="17"/>
  <c r="AE191" i="22" l="1"/>
  <c r="AF101" i="22"/>
  <c r="AU213" i="22"/>
  <c r="AC7" i="22"/>
  <c r="AC83" i="22"/>
  <c r="AD73" i="22"/>
  <c r="AD75" i="22"/>
  <c r="AE199" i="22"/>
  <c r="AE51" i="22" s="1"/>
  <c r="AE52" i="22" s="1"/>
  <c r="AF193" i="22"/>
  <c r="AE93" i="22"/>
  <c r="AB199" i="21"/>
  <c r="AB51" i="21" s="1"/>
  <c r="AB52" i="21" s="1"/>
  <c r="AC193" i="21"/>
  <c r="AA234" i="21"/>
  <c r="AC198" i="21"/>
  <c r="AC93" i="21"/>
  <c r="AD102" i="21"/>
  <c r="AA73" i="21"/>
  <c r="AA75" i="21"/>
  <c r="AC191" i="21"/>
  <c r="AD101" i="21"/>
  <c r="AC198" i="20"/>
  <c r="AA234" i="20"/>
  <c r="AA52" i="20"/>
  <c r="AC193" i="20"/>
  <c r="AB199" i="20"/>
  <c r="AB51" i="20" s="1"/>
  <c r="AB52" i="20" s="1"/>
  <c r="AB93" i="20"/>
  <c r="AE101" i="20"/>
  <c r="B102" i="20"/>
  <c r="AD108" i="20"/>
  <c r="AC93" i="20"/>
  <c r="AB102" i="19"/>
  <c r="W75" i="19"/>
  <c r="W73" i="19"/>
  <c r="W83" i="19" s="1"/>
  <c r="X191" i="19"/>
  <c r="Y101" i="19"/>
  <c r="W234" i="19"/>
  <c r="Y198" i="19"/>
  <c r="X199" i="19"/>
  <c r="X51" i="19" s="1"/>
  <c r="X52" i="19" s="1"/>
  <c r="Y193" i="19"/>
  <c r="X93" i="19"/>
  <c r="AN213" i="19"/>
  <c r="V7" i="19"/>
  <c r="Q234" i="18"/>
  <c r="S198" i="18"/>
  <c r="T102" i="18"/>
  <c r="R191" i="18"/>
  <c r="S101" i="18"/>
  <c r="R199" i="18"/>
  <c r="S193" i="18"/>
  <c r="W102" i="17"/>
  <c r="S198" i="17"/>
  <c r="Q234" i="17"/>
  <c r="Q191" i="17"/>
  <c r="R101" i="17"/>
  <c r="R193" i="17"/>
  <c r="Q199" i="17"/>
  <c r="Q93" i="17"/>
  <c r="AV213" i="22" l="1"/>
  <c r="AD7" i="22"/>
  <c r="AD83" i="22"/>
  <c r="AF199" i="22"/>
  <c r="AF51" i="22" s="1"/>
  <c r="AF52" i="22" s="1"/>
  <c r="B193" i="22"/>
  <c r="AF93" i="22"/>
  <c r="AF191" i="22"/>
  <c r="B101" i="22"/>
  <c r="B191" i="22" s="1"/>
  <c r="AE73" i="22"/>
  <c r="AE75" i="22"/>
  <c r="AA83" i="21"/>
  <c r="AS213" i="21"/>
  <c r="AA7" i="21"/>
  <c r="AB234" i="21"/>
  <c r="AD198" i="21"/>
  <c r="AE102" i="21"/>
  <c r="AD93" i="21"/>
  <c r="AD191" i="21"/>
  <c r="AE101" i="21"/>
  <c r="AD193" i="21"/>
  <c r="AC199" i="21"/>
  <c r="AC51" i="21" s="1"/>
  <c r="AC52" i="21" s="1"/>
  <c r="AB75" i="21"/>
  <c r="AB73" i="21"/>
  <c r="AC199" i="20"/>
  <c r="AC51" i="20" s="1"/>
  <c r="AC52" i="20" s="1"/>
  <c r="AD193" i="20"/>
  <c r="AE108" i="20"/>
  <c r="AD93" i="20"/>
  <c r="AA73" i="20"/>
  <c r="AA75" i="20"/>
  <c r="AB75" i="20"/>
  <c r="AB73" i="20"/>
  <c r="AE191" i="20"/>
  <c r="AF101" i="20"/>
  <c r="AD191" i="20"/>
  <c r="AD198" i="20"/>
  <c r="AB234" i="20"/>
  <c r="X234" i="19"/>
  <c r="Z198" i="19"/>
  <c r="Y191" i="19"/>
  <c r="Z101" i="19"/>
  <c r="AO213" i="19"/>
  <c r="W7" i="19"/>
  <c r="Y199" i="19"/>
  <c r="Y51" i="19" s="1"/>
  <c r="Y52" i="19" s="1"/>
  <c r="Z193" i="19"/>
  <c r="Y93" i="19"/>
  <c r="X75" i="19"/>
  <c r="X73" i="19"/>
  <c r="AC102" i="19"/>
  <c r="S199" i="18"/>
  <c r="T193" i="18"/>
  <c r="S191" i="18"/>
  <c r="T101" i="18"/>
  <c r="S93" i="18"/>
  <c r="T93" i="18"/>
  <c r="U102" i="18"/>
  <c r="T198" i="18"/>
  <c r="R234" i="18"/>
  <c r="S193" i="17"/>
  <c r="R199" i="17"/>
  <c r="R93" i="17"/>
  <c r="R191" i="17"/>
  <c r="S101" i="17"/>
  <c r="R234" i="17"/>
  <c r="T198" i="17"/>
  <c r="X102" i="17"/>
  <c r="AI93" i="22" l="1"/>
  <c r="AH93" i="22"/>
  <c r="B199" i="22"/>
  <c r="B51" i="22" s="1"/>
  <c r="B52" i="22" s="1"/>
  <c r="B93" i="22"/>
  <c r="AW213" i="22"/>
  <c r="AE7" i="22"/>
  <c r="AF73" i="22"/>
  <c r="AF75" i="22"/>
  <c r="AE83" i="22"/>
  <c r="AB83" i="21"/>
  <c r="AT213" i="21"/>
  <c r="AB7" i="21"/>
  <c r="AC75" i="21"/>
  <c r="AC73" i="21"/>
  <c r="AC234" i="21"/>
  <c r="AE198" i="21"/>
  <c r="AE193" i="21"/>
  <c r="AE93" i="21" s="1"/>
  <c r="AD199" i="21"/>
  <c r="AD51" i="21" s="1"/>
  <c r="AD52" i="21" s="1"/>
  <c r="AF102" i="21"/>
  <c r="AE191" i="21"/>
  <c r="AF101" i="21"/>
  <c r="AB83" i="20"/>
  <c r="AS213" i="20"/>
  <c r="AA7" i="20"/>
  <c r="B101" i="20"/>
  <c r="AA83" i="20"/>
  <c r="AT213" i="20"/>
  <c r="AB7" i="20"/>
  <c r="AC75" i="20"/>
  <c r="AC73" i="20"/>
  <c r="AE198" i="20"/>
  <c r="AC234" i="20"/>
  <c r="AF108" i="20"/>
  <c r="AF191" i="20" s="1"/>
  <c r="AE93" i="20"/>
  <c r="AE193" i="20"/>
  <c r="AD199" i="20"/>
  <c r="AD51" i="20" s="1"/>
  <c r="AD52" i="20" s="1"/>
  <c r="X83" i="19"/>
  <c r="Z199" i="19"/>
  <c r="AA193" i="19"/>
  <c r="Z93" i="19"/>
  <c r="Y73" i="19"/>
  <c r="Y75" i="19"/>
  <c r="Z191" i="19"/>
  <c r="AA101" i="19"/>
  <c r="AD102" i="19"/>
  <c r="AP213" i="19"/>
  <c r="X7" i="19"/>
  <c r="AA198" i="19"/>
  <c r="Y234" i="19"/>
  <c r="U198" i="18"/>
  <c r="S234" i="18"/>
  <c r="V102" i="18"/>
  <c r="T191" i="18"/>
  <c r="U101" i="18"/>
  <c r="T199" i="18"/>
  <c r="U193" i="18"/>
  <c r="U93" i="18" s="1"/>
  <c r="S234" i="17"/>
  <c r="U198" i="17"/>
  <c r="Y102" i="17"/>
  <c r="S191" i="17"/>
  <c r="T101" i="17"/>
  <c r="T193" i="17"/>
  <c r="S199" i="17"/>
  <c r="S93" i="17"/>
  <c r="AF83" i="22" l="1"/>
  <c r="AI51" i="22"/>
  <c r="AH51" i="22"/>
  <c r="AX213" i="22"/>
  <c r="AF7" i="22"/>
  <c r="AC83" i="21"/>
  <c r="AD73" i="21"/>
  <c r="AD75" i="21"/>
  <c r="AU213" i="21"/>
  <c r="AC7" i="21"/>
  <c r="AE199" i="21"/>
  <c r="AE51" i="21" s="1"/>
  <c r="AE52" i="21" s="1"/>
  <c r="AF193" i="21"/>
  <c r="AF93" i="21" s="1"/>
  <c r="AD234" i="21"/>
  <c r="AF198" i="21"/>
  <c r="AF191" i="21"/>
  <c r="B101" i="21"/>
  <c r="B102" i="21"/>
  <c r="AC83" i="20"/>
  <c r="AD234" i="20"/>
  <c r="AF198" i="20"/>
  <c r="AU213" i="20"/>
  <c r="AC7" i="20"/>
  <c r="B108" i="20"/>
  <c r="B191" i="20" s="1"/>
  <c r="AF93" i="20"/>
  <c r="AD75" i="20"/>
  <c r="AD73" i="20"/>
  <c r="AF193" i="20"/>
  <c r="AE199" i="20"/>
  <c r="AE51" i="20" s="1"/>
  <c r="AE52" i="20" s="1"/>
  <c r="AA191" i="19"/>
  <c r="AB101" i="19"/>
  <c r="AQ213" i="19"/>
  <c r="Y7" i="19"/>
  <c r="AB198" i="19"/>
  <c r="Z234" i="19"/>
  <c r="AA199" i="19"/>
  <c r="AA51" i="19" s="1"/>
  <c r="AA52" i="19" s="1"/>
  <c r="AB193" i="19"/>
  <c r="AA93" i="19"/>
  <c r="Y83" i="19"/>
  <c r="AE102" i="19"/>
  <c r="U199" i="18"/>
  <c r="U51" i="18" s="1"/>
  <c r="U52" i="18" s="1"/>
  <c r="V193" i="18"/>
  <c r="V93" i="18" s="1"/>
  <c r="U191" i="18"/>
  <c r="V101" i="18"/>
  <c r="W102" i="18"/>
  <c r="T234" i="18"/>
  <c r="V198" i="18"/>
  <c r="T199" i="17"/>
  <c r="U193" i="17"/>
  <c r="T93" i="17"/>
  <c r="T191" i="17"/>
  <c r="U101" i="17"/>
  <c r="Z102" i="17"/>
  <c r="T234" i="17"/>
  <c r="V198" i="17"/>
  <c r="AI52" i="22" l="1"/>
  <c r="AH52" i="22"/>
  <c r="B75" i="22"/>
  <c r="B73" i="22"/>
  <c r="AH93" i="21"/>
  <c r="AI93" i="21"/>
  <c r="AE75" i="21"/>
  <c r="AE73" i="21"/>
  <c r="AE83" i="21" s="1"/>
  <c r="B93" i="21"/>
  <c r="B198" i="21"/>
  <c r="AF234" i="21" s="1"/>
  <c r="AE234" i="21"/>
  <c r="B191" i="21"/>
  <c r="AV213" i="21"/>
  <c r="AD7" i="21"/>
  <c r="AF199" i="21"/>
  <c r="AF51" i="21" s="1"/>
  <c r="AF52" i="21" s="1"/>
  <c r="B193" i="21"/>
  <c r="AD83" i="21"/>
  <c r="AE75" i="20"/>
  <c r="AE73" i="20"/>
  <c r="AE234" i="20"/>
  <c r="B198" i="20"/>
  <c r="AF234" i="20" s="1"/>
  <c r="AD83" i="20"/>
  <c r="AI93" i="20"/>
  <c r="AH93" i="20"/>
  <c r="AV213" i="20"/>
  <c r="AD7" i="20"/>
  <c r="AF199" i="20"/>
  <c r="AF51" i="20" s="1"/>
  <c r="B193" i="20"/>
  <c r="B199" i="20" s="1"/>
  <c r="AC193" i="19"/>
  <c r="AB199" i="19"/>
  <c r="AB51" i="19" s="1"/>
  <c r="AB52" i="19" s="1"/>
  <c r="AB93" i="19"/>
  <c r="AF102" i="19"/>
  <c r="AA75" i="19"/>
  <c r="AA73" i="19"/>
  <c r="AC198" i="19"/>
  <c r="AA234" i="19"/>
  <c r="AB191" i="19"/>
  <c r="AC101" i="19"/>
  <c r="U234" i="18"/>
  <c r="W198" i="18"/>
  <c r="X102" i="18"/>
  <c r="V191" i="18"/>
  <c r="W101" i="18"/>
  <c r="V199" i="18"/>
  <c r="V51" i="18" s="1"/>
  <c r="V52" i="18" s="1"/>
  <c r="W193" i="18"/>
  <c r="W93" i="18" s="1"/>
  <c r="U75" i="18"/>
  <c r="U73" i="18"/>
  <c r="AA102" i="17"/>
  <c r="U191" i="17"/>
  <c r="V101" i="17"/>
  <c r="U199" i="17"/>
  <c r="U51" i="17" s="1"/>
  <c r="U52" i="17" s="1"/>
  <c r="V193" i="17"/>
  <c r="U93" i="17"/>
  <c r="W198" i="17"/>
  <c r="U234" i="17"/>
  <c r="T213" i="22" l="1"/>
  <c r="AI75" i="22"/>
  <c r="AH75" i="22"/>
  <c r="B7" i="22"/>
  <c r="A7" i="22" s="1"/>
  <c r="AI73" i="22"/>
  <c r="AH73" i="22"/>
  <c r="B83" i="22"/>
  <c r="B199" i="21"/>
  <c r="B51" i="21" s="1"/>
  <c r="AF75" i="21"/>
  <c r="AF73" i="21"/>
  <c r="AW213" i="21"/>
  <c r="AE7" i="21"/>
  <c r="AE83" i="20"/>
  <c r="AF52" i="20"/>
  <c r="AI51" i="20"/>
  <c r="AH51" i="20"/>
  <c r="AW213" i="20"/>
  <c r="AE7" i="20"/>
  <c r="AA83" i="19"/>
  <c r="AB234" i="19"/>
  <c r="AD198" i="19"/>
  <c r="B102" i="19"/>
  <c r="AC191" i="19"/>
  <c r="AD101" i="19"/>
  <c r="AB73" i="19"/>
  <c r="AB75" i="19"/>
  <c r="AS213" i="19"/>
  <c r="AA7" i="19"/>
  <c r="AD193" i="19"/>
  <c r="AC199" i="19"/>
  <c r="AC51" i="19" s="1"/>
  <c r="AC52" i="19" s="1"/>
  <c r="AC93" i="19"/>
  <c r="U83" i="18"/>
  <c r="V75" i="18"/>
  <c r="V73" i="18"/>
  <c r="X193" i="18"/>
  <c r="W199" i="18"/>
  <c r="W51" i="18" s="1"/>
  <c r="W52" i="18" s="1"/>
  <c r="W191" i="18"/>
  <c r="X101" i="18"/>
  <c r="V234" i="18"/>
  <c r="X198" i="18"/>
  <c r="Y102" i="18"/>
  <c r="AM213" i="18"/>
  <c r="U7" i="18"/>
  <c r="X198" i="17"/>
  <c r="V234" i="17"/>
  <c r="W193" i="17"/>
  <c r="V199" i="17"/>
  <c r="V51" i="17" s="1"/>
  <c r="V52" i="17" s="1"/>
  <c r="V93" i="17"/>
  <c r="U73" i="17"/>
  <c r="U75" i="17"/>
  <c r="V191" i="17"/>
  <c r="W101" i="17"/>
  <c r="AB102" i="17"/>
  <c r="AH83" i="22" l="1"/>
  <c r="AI83" i="22"/>
  <c r="AF83" i="21"/>
  <c r="AX213" i="21"/>
  <c r="AF7" i="21"/>
  <c r="B52" i="21"/>
  <c r="AH51" i="21"/>
  <c r="AI51" i="21"/>
  <c r="AF73" i="20"/>
  <c r="AF75" i="20"/>
  <c r="AI52" i="20"/>
  <c r="AH52" i="20"/>
  <c r="AT213" i="19"/>
  <c r="AB7" i="19"/>
  <c r="AC73" i="19"/>
  <c r="AC75" i="19"/>
  <c r="AE193" i="19"/>
  <c r="AD199" i="19"/>
  <c r="AD51" i="19" s="1"/>
  <c r="AD52" i="19" s="1"/>
  <c r="AD93" i="19"/>
  <c r="AB83" i="19"/>
  <c r="AD191" i="19"/>
  <c r="AE101" i="19"/>
  <c r="AC234" i="19"/>
  <c r="AE198" i="19"/>
  <c r="V83" i="18"/>
  <c r="W73" i="18"/>
  <c r="W75" i="18"/>
  <c r="X199" i="18"/>
  <c r="X51" i="18" s="1"/>
  <c r="X52" i="18" s="1"/>
  <c r="Y193" i="18"/>
  <c r="W234" i="18"/>
  <c r="Y198" i="18"/>
  <c r="X191" i="18"/>
  <c r="Y101" i="18"/>
  <c r="Z102" i="18"/>
  <c r="X93" i="18"/>
  <c r="AN213" i="18"/>
  <c r="V7" i="18"/>
  <c r="U83" i="17"/>
  <c r="V73" i="17"/>
  <c r="V75" i="17"/>
  <c r="AM213" i="17"/>
  <c r="U7" i="17"/>
  <c r="X193" i="17"/>
  <c r="W199" i="17"/>
  <c r="W51" i="17" s="1"/>
  <c r="W52" i="17" s="1"/>
  <c r="W93" i="17"/>
  <c r="AC102" i="17"/>
  <c r="W191" i="17"/>
  <c r="X101" i="17"/>
  <c r="Y198" i="17"/>
  <c r="W234" i="17"/>
  <c r="AH52" i="21" l="1"/>
  <c r="B75" i="21"/>
  <c r="AI52" i="21"/>
  <c r="B73" i="21"/>
  <c r="AX213" i="20"/>
  <c r="AF7" i="20"/>
  <c r="A7" i="20" s="1"/>
  <c r="AH75" i="20"/>
  <c r="AI75" i="20"/>
  <c r="AF83" i="20"/>
  <c r="AI73" i="20"/>
  <c r="AH73" i="20"/>
  <c r="AD234" i="19"/>
  <c r="AF198" i="19"/>
  <c r="AC83" i="19"/>
  <c r="AF193" i="19"/>
  <c r="AE199" i="19"/>
  <c r="AE51" i="19" s="1"/>
  <c r="AE52" i="19" s="1"/>
  <c r="AE93" i="19"/>
  <c r="AD73" i="19"/>
  <c r="AD75" i="19"/>
  <c r="AU213" i="19"/>
  <c r="AC7" i="19"/>
  <c r="AE191" i="19"/>
  <c r="AF101" i="19"/>
  <c r="X234" i="18"/>
  <c r="Z198" i="18"/>
  <c r="Z193" i="18"/>
  <c r="Y199" i="18"/>
  <c r="Y51" i="18" s="1"/>
  <c r="Y52" i="18" s="1"/>
  <c r="Y93" i="18"/>
  <c r="AO213" i="18"/>
  <c r="W7" i="18"/>
  <c r="Y191" i="18"/>
  <c r="Z101" i="18"/>
  <c r="X75" i="18"/>
  <c r="X73" i="18"/>
  <c r="X83" i="18" s="1"/>
  <c r="AA102" i="18"/>
  <c r="Z93" i="18"/>
  <c r="W83" i="18"/>
  <c r="V83" i="17"/>
  <c r="W73" i="17"/>
  <c r="W75" i="17"/>
  <c r="X234" i="17"/>
  <c r="Z198" i="17"/>
  <c r="X191" i="17"/>
  <c r="Y101" i="17"/>
  <c r="Y193" i="17"/>
  <c r="X199" i="17"/>
  <c r="X51" i="17" s="1"/>
  <c r="X52" i="17" s="1"/>
  <c r="X93" i="17"/>
  <c r="AN213" i="17"/>
  <c r="V7" i="17"/>
  <c r="AD102" i="17"/>
  <c r="T213" i="21" l="1"/>
  <c r="AI75" i="21"/>
  <c r="AH75" i="21"/>
  <c r="B7" i="21"/>
  <c r="A7" i="21" s="1"/>
  <c r="AH73" i="21"/>
  <c r="AI73" i="21"/>
  <c r="B83" i="21"/>
  <c r="AI83" i="20"/>
  <c r="AH83" i="20"/>
  <c r="AD83" i="19"/>
  <c r="AV213" i="19"/>
  <c r="AD7" i="19"/>
  <c r="AF191" i="19"/>
  <c r="B101" i="19"/>
  <c r="B191" i="19" s="1"/>
  <c r="AE234" i="19"/>
  <c r="B198" i="19"/>
  <c r="AF234" i="19" s="1"/>
  <c r="AE75" i="19"/>
  <c r="AE73" i="19"/>
  <c r="AF199" i="19"/>
  <c r="AF51" i="19" s="1"/>
  <c r="AF52" i="19" s="1"/>
  <c r="B193" i="19"/>
  <c r="AF93" i="19"/>
  <c r="Z199" i="18"/>
  <c r="AA193" i="18"/>
  <c r="AB102" i="18"/>
  <c r="AP213" i="18"/>
  <c r="X7" i="18"/>
  <c r="Y234" i="18"/>
  <c r="AA198" i="18"/>
  <c r="Y73" i="18"/>
  <c r="Y75" i="18"/>
  <c r="Z191" i="18"/>
  <c r="AA101" i="18"/>
  <c r="Y191" i="17"/>
  <c r="Z101" i="17"/>
  <c r="AA198" i="17"/>
  <c r="Y234" i="17"/>
  <c r="AE102" i="17"/>
  <c r="AO213" i="17"/>
  <c r="W7" i="17"/>
  <c r="X73" i="17"/>
  <c r="X75" i="17"/>
  <c r="Y199" i="17"/>
  <c r="Y51" i="17" s="1"/>
  <c r="Y52" i="17" s="1"/>
  <c r="Z193" i="17"/>
  <c r="Y93" i="17"/>
  <c r="W83" i="17"/>
  <c r="AI83" i="21" l="1"/>
  <c r="AH83" i="21"/>
  <c r="AI93" i="19"/>
  <c r="AH93" i="19"/>
  <c r="AW213" i="19"/>
  <c r="AE7" i="19"/>
  <c r="AF75" i="19"/>
  <c r="AF73" i="19"/>
  <c r="B199" i="19"/>
  <c r="AE83" i="19"/>
  <c r="AB198" i="18"/>
  <c r="Z234" i="18"/>
  <c r="AB93" i="18"/>
  <c r="AC102" i="18"/>
  <c r="AA191" i="18"/>
  <c r="AB101" i="18"/>
  <c r="AQ213" i="18"/>
  <c r="Y7" i="18"/>
  <c r="AA199" i="18"/>
  <c r="AA51" i="18" s="1"/>
  <c r="AA52" i="18" s="1"/>
  <c r="AB193" i="18"/>
  <c r="AA93" i="18"/>
  <c r="Y83" i="18"/>
  <c r="AF102" i="17"/>
  <c r="Z199" i="17"/>
  <c r="AA193" i="17"/>
  <c r="Z93" i="17"/>
  <c r="Z234" i="17"/>
  <c r="AB198" i="17"/>
  <c r="Y73" i="17"/>
  <c r="Y75" i="17"/>
  <c r="AP213" i="17"/>
  <c r="X7" i="17"/>
  <c r="Z191" i="17"/>
  <c r="AA101" i="17"/>
  <c r="X83" i="17"/>
  <c r="AF83" i="19" l="1"/>
  <c r="AI51" i="19"/>
  <c r="AH51" i="19"/>
  <c r="AX213" i="19"/>
  <c r="AF7" i="19"/>
  <c r="AB191" i="18"/>
  <c r="AC101" i="18"/>
  <c r="AD102" i="18"/>
  <c r="AB199" i="18"/>
  <c r="AB51" i="18" s="1"/>
  <c r="AB52" i="18" s="1"/>
  <c r="AC193" i="18"/>
  <c r="AC93" i="18" s="1"/>
  <c r="AA73" i="18"/>
  <c r="AA75" i="18"/>
  <c r="AA234" i="18"/>
  <c r="AC198" i="18"/>
  <c r="Y83" i="17"/>
  <c r="AC198" i="17"/>
  <c r="AA234" i="17"/>
  <c r="AA191" i="17"/>
  <c r="AB101" i="17"/>
  <c r="AB193" i="17"/>
  <c r="AA199" i="17"/>
  <c r="AA51" i="17" s="1"/>
  <c r="AA52" i="17" s="1"/>
  <c r="AA93" i="17"/>
  <c r="AQ213" i="17"/>
  <c r="Y7" i="17"/>
  <c r="B102" i="17"/>
  <c r="AH52" i="19" l="1"/>
  <c r="AI52" i="19"/>
  <c r="AA83" i="18"/>
  <c r="AC199" i="18"/>
  <c r="AC51" i="18" s="1"/>
  <c r="AC52" i="18" s="1"/>
  <c r="AD193" i="18"/>
  <c r="AD93" i="18" s="1"/>
  <c r="AE102" i="18"/>
  <c r="AD198" i="18"/>
  <c r="AB234" i="18"/>
  <c r="AC191" i="18"/>
  <c r="AD101" i="18"/>
  <c r="AS213" i="18"/>
  <c r="AA7" i="18"/>
  <c r="AB73" i="18"/>
  <c r="AB75" i="18"/>
  <c r="AA75" i="17"/>
  <c r="AA73" i="17"/>
  <c r="AA83" i="17" s="1"/>
  <c r="AB199" i="17"/>
  <c r="AB51" i="17" s="1"/>
  <c r="AB52" i="17" s="1"/>
  <c r="AC193" i="17"/>
  <c r="AB93" i="17"/>
  <c r="AB191" i="17"/>
  <c r="AC101" i="17"/>
  <c r="AB234" i="17"/>
  <c r="AD198" i="17"/>
  <c r="AI73" i="19" l="1"/>
  <c r="AH73" i="19"/>
  <c r="T213" i="19"/>
  <c r="AH75" i="19"/>
  <c r="AI75" i="19"/>
  <c r="B7" i="19"/>
  <c r="A7" i="19" s="1"/>
  <c r="AD191" i="18"/>
  <c r="AE101" i="18"/>
  <c r="AC234" i="18"/>
  <c r="AE198" i="18"/>
  <c r="AF102" i="18"/>
  <c r="AT213" i="18"/>
  <c r="AB7" i="18"/>
  <c r="AE193" i="18"/>
  <c r="AE93" i="18" s="1"/>
  <c r="AD199" i="18"/>
  <c r="AD51" i="18" s="1"/>
  <c r="AD52" i="18" s="1"/>
  <c r="AB83" i="18"/>
  <c r="AC75" i="18"/>
  <c r="AC73" i="18"/>
  <c r="AC83" i="18" s="1"/>
  <c r="AC191" i="17"/>
  <c r="AD101" i="17"/>
  <c r="AD193" i="17"/>
  <c r="AC199" i="17"/>
  <c r="AC51" i="17" s="1"/>
  <c r="AC52" i="17" s="1"/>
  <c r="AC93" i="17"/>
  <c r="AB73" i="17"/>
  <c r="AB75" i="17"/>
  <c r="AE198" i="17"/>
  <c r="AC234" i="17"/>
  <c r="AS213" i="17"/>
  <c r="AA7" i="17"/>
  <c r="AI83" i="19" l="1"/>
  <c r="AH83" i="19"/>
  <c r="AD75" i="18"/>
  <c r="AD73" i="18"/>
  <c r="AE191" i="18"/>
  <c r="AF101" i="18"/>
  <c r="B102" i="18"/>
  <c r="AU213" i="18"/>
  <c r="AC7" i="18"/>
  <c r="AD234" i="18"/>
  <c r="AF198" i="18"/>
  <c r="AF93" i="18" s="1"/>
  <c r="AE199" i="18"/>
  <c r="AE51" i="18" s="1"/>
  <c r="AE52" i="18" s="1"/>
  <c r="AF193" i="18"/>
  <c r="AT213" i="17"/>
  <c r="AB7" i="17"/>
  <c r="AB83" i="17"/>
  <c r="AE193" i="17"/>
  <c r="AD199" i="17"/>
  <c r="AD51" i="17" s="1"/>
  <c r="AD52" i="17" s="1"/>
  <c r="AD93" i="17"/>
  <c r="AD234" i="17"/>
  <c r="AF198" i="17"/>
  <c r="AC73" i="17"/>
  <c r="AC75" i="17"/>
  <c r="AD191" i="17"/>
  <c r="AE101" i="17"/>
  <c r="AD83" i="18" l="1"/>
  <c r="AI93" i="18"/>
  <c r="AH93" i="18"/>
  <c r="AF199" i="18"/>
  <c r="AF51" i="18" s="1"/>
  <c r="AF52" i="18" s="1"/>
  <c r="B193" i="18"/>
  <c r="AF191" i="18"/>
  <c r="B101" i="18"/>
  <c r="B191" i="18" s="1"/>
  <c r="AE73" i="18"/>
  <c r="AE75" i="18"/>
  <c r="AE234" i="18"/>
  <c r="B198" i="18"/>
  <c r="AF234" i="18" s="1"/>
  <c r="AV213" i="18"/>
  <c r="AD7" i="18"/>
  <c r="B198" i="17"/>
  <c r="AF234" i="17" s="1"/>
  <c r="AE234" i="17"/>
  <c r="AD73" i="17"/>
  <c r="AD75" i="17"/>
  <c r="AE191" i="17"/>
  <c r="AF101" i="17"/>
  <c r="AU213" i="17"/>
  <c r="AC7" i="17"/>
  <c r="AE199" i="17"/>
  <c r="AE51" i="17" s="1"/>
  <c r="AE52" i="17" s="1"/>
  <c r="AF193" i="17"/>
  <c r="AE93" i="17"/>
  <c r="AC83" i="17"/>
  <c r="B199" i="18" l="1"/>
  <c r="AE83" i="18"/>
  <c r="AF75" i="18"/>
  <c r="AF73" i="18"/>
  <c r="B52" i="18"/>
  <c r="AI51" i="18"/>
  <c r="AH51" i="18"/>
  <c r="AW213" i="18"/>
  <c r="AE7" i="18"/>
  <c r="B93" i="18"/>
  <c r="AV213" i="17"/>
  <c r="AD7" i="17"/>
  <c r="AF199" i="17"/>
  <c r="AF51" i="17" s="1"/>
  <c r="AF52" i="17" s="1"/>
  <c r="B193" i="17"/>
  <c r="AF93" i="17"/>
  <c r="AF191" i="17"/>
  <c r="B101" i="17"/>
  <c r="B191" i="17" s="1"/>
  <c r="AD83" i="17"/>
  <c r="AE73" i="17"/>
  <c r="AE75" i="17"/>
  <c r="AF83" i="18" l="1"/>
  <c r="AI52" i="18"/>
  <c r="B73" i="18"/>
  <c r="AH52" i="18"/>
  <c r="B75" i="18"/>
  <c r="AX213" i="18"/>
  <c r="AF7" i="18"/>
  <c r="B199" i="17"/>
  <c r="AH93" i="17"/>
  <c r="AI93" i="17"/>
  <c r="AF73" i="17"/>
  <c r="AF75" i="17"/>
  <c r="AW213" i="17"/>
  <c r="AE7" i="17"/>
  <c r="AE83" i="17"/>
  <c r="AH73" i="18" l="1"/>
  <c r="AI73" i="18"/>
  <c r="B83" i="18"/>
  <c r="T213" i="18"/>
  <c r="B7" i="18"/>
  <c r="A7" i="18" s="1"/>
  <c r="AI75" i="18"/>
  <c r="AH75" i="18"/>
  <c r="AF83" i="17"/>
  <c r="AX213" i="17"/>
  <c r="AF7" i="17"/>
  <c r="AI51" i="17"/>
  <c r="AH51" i="17"/>
  <c r="AH83" i="18" l="1"/>
  <c r="AI83" i="18"/>
  <c r="AH52" i="17"/>
  <c r="AI52" i="17"/>
  <c r="AI73" i="17" l="1"/>
  <c r="AH73" i="17"/>
  <c r="T213" i="17"/>
  <c r="B7" i="17"/>
  <c r="A7" i="17" s="1"/>
  <c r="AI75" i="17"/>
  <c r="AH75" i="17"/>
  <c r="AI83" i="17" l="1"/>
  <c r="AH83" i="17"/>
  <c r="AH99" i="16" l="1"/>
  <c r="AI99" i="16" s="1"/>
  <c r="AF51" i="15"/>
  <c r="AF52" i="15"/>
  <c r="AF56" i="15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D235" i="16"/>
  <c r="C235" i="16"/>
  <c r="B235" i="16"/>
  <c r="A235" i="16"/>
  <c r="D234" i="16"/>
  <c r="C234" i="16"/>
  <c r="B234" i="16"/>
  <c r="S209" i="16"/>
  <c r="AG199" i="16"/>
  <c r="C199" i="16"/>
  <c r="G198" i="16"/>
  <c r="F198" i="16"/>
  <c r="E234" i="16" s="1"/>
  <c r="E198" i="16"/>
  <c r="D198" i="16"/>
  <c r="E197" i="16"/>
  <c r="F197" i="16" s="1"/>
  <c r="G197" i="16" s="1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D197" i="16"/>
  <c r="N196" i="16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E196" i="16"/>
  <c r="F196" i="16" s="1"/>
  <c r="G196" i="16" s="1"/>
  <c r="H196" i="16" s="1"/>
  <c r="I196" i="16" s="1"/>
  <c r="J196" i="16" s="1"/>
  <c r="K196" i="16" s="1"/>
  <c r="L196" i="16" s="1"/>
  <c r="M196" i="16" s="1"/>
  <c r="D196" i="16"/>
  <c r="K195" i="16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G195" i="16"/>
  <c r="H195" i="16" s="1"/>
  <c r="I195" i="16" s="1"/>
  <c r="J195" i="16" s="1"/>
  <c r="D195" i="16"/>
  <c r="E195" i="16" s="1"/>
  <c r="F195" i="16" s="1"/>
  <c r="E194" i="16"/>
  <c r="F194" i="16" s="1"/>
  <c r="G194" i="16" s="1"/>
  <c r="H194" i="16" s="1"/>
  <c r="I194" i="16" s="1"/>
  <c r="J194" i="16" s="1"/>
  <c r="K194" i="16" s="1"/>
  <c r="L194" i="16" s="1"/>
  <c r="M194" i="16" s="1"/>
  <c r="N194" i="16" s="1"/>
  <c r="O194" i="16" s="1"/>
  <c r="P194" i="16" s="1"/>
  <c r="Q194" i="16" s="1"/>
  <c r="R194" i="16" s="1"/>
  <c r="S194" i="16" s="1"/>
  <c r="T194" i="16" s="1"/>
  <c r="U194" i="16" s="1"/>
  <c r="V194" i="16" s="1"/>
  <c r="W194" i="16" s="1"/>
  <c r="X194" i="16" s="1"/>
  <c r="Y194" i="16" s="1"/>
  <c r="Z194" i="16" s="1"/>
  <c r="AA194" i="16" s="1"/>
  <c r="AB194" i="16" s="1"/>
  <c r="AC194" i="16" s="1"/>
  <c r="AD194" i="16" s="1"/>
  <c r="AE194" i="16" s="1"/>
  <c r="AF194" i="16" s="1"/>
  <c r="B194" i="16" s="1"/>
  <c r="D194" i="16"/>
  <c r="D193" i="16"/>
  <c r="AG191" i="16"/>
  <c r="C191" i="16"/>
  <c r="E190" i="16"/>
  <c r="F190" i="16" s="1"/>
  <c r="G190" i="16" s="1"/>
  <c r="H190" i="16" s="1"/>
  <c r="I190" i="16" s="1"/>
  <c r="J190" i="16" s="1"/>
  <c r="K190" i="16" s="1"/>
  <c r="L190" i="16" s="1"/>
  <c r="M190" i="16" s="1"/>
  <c r="N190" i="16" s="1"/>
  <c r="O190" i="16" s="1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Z190" i="16" s="1"/>
  <c r="AA190" i="16" s="1"/>
  <c r="AB190" i="16" s="1"/>
  <c r="AC190" i="16" s="1"/>
  <c r="AD190" i="16" s="1"/>
  <c r="AE190" i="16" s="1"/>
  <c r="AF190" i="16" s="1"/>
  <c r="B190" i="16" s="1"/>
  <c r="D190" i="16"/>
  <c r="G189" i="16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D189" i="16"/>
  <c r="E189" i="16" s="1"/>
  <c r="F189" i="16" s="1"/>
  <c r="Q188" i="16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B188" i="16" s="1"/>
  <c r="E188" i="16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D188" i="16"/>
  <c r="E187" i="16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D187" i="16"/>
  <c r="D186" i="16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B186" i="16" s="1"/>
  <c r="J185" i="16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B185" i="16" s="1"/>
  <c r="D185" i="16"/>
  <c r="E185" i="16" s="1"/>
  <c r="F185" i="16" s="1"/>
  <c r="G185" i="16" s="1"/>
  <c r="H185" i="16" s="1"/>
  <c r="I185" i="16" s="1"/>
  <c r="F184" i="16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B184" i="16" s="1"/>
  <c r="E184" i="16"/>
  <c r="D184" i="16"/>
  <c r="G183" i="16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E183" i="16"/>
  <c r="F183" i="16" s="1"/>
  <c r="D183" i="16"/>
  <c r="F182" i="16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B182" i="16" s="1"/>
  <c r="E182" i="16"/>
  <c r="D182" i="16"/>
  <c r="S181" i="16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Q181" i="16"/>
  <c r="R181" i="16" s="1"/>
  <c r="D181" i="16"/>
  <c r="E181" i="16" s="1"/>
  <c r="F181" i="16" s="1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E180" i="16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B180" i="16" s="1"/>
  <c r="D180" i="16"/>
  <c r="D179" i="16"/>
  <c r="E179" i="16" s="1"/>
  <c r="F179" i="16" s="1"/>
  <c r="G179" i="16" s="1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Y178" i="16"/>
  <c r="Z178" i="16" s="1"/>
  <c r="AA178" i="16" s="1"/>
  <c r="AB178" i="16" s="1"/>
  <c r="AC178" i="16" s="1"/>
  <c r="AD178" i="16" s="1"/>
  <c r="AE178" i="16" s="1"/>
  <c r="AF178" i="16" s="1"/>
  <c r="B178" i="16" s="1"/>
  <c r="L178" i="16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E178" i="16"/>
  <c r="F178" i="16" s="1"/>
  <c r="G178" i="16" s="1"/>
  <c r="H178" i="16" s="1"/>
  <c r="I178" i="16" s="1"/>
  <c r="J178" i="16" s="1"/>
  <c r="K178" i="16" s="1"/>
  <c r="D178" i="16"/>
  <c r="H176" i="16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E176" i="16"/>
  <c r="F176" i="16" s="1"/>
  <c r="G176" i="16" s="1"/>
  <c r="D176" i="16"/>
  <c r="U175" i="16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L175" i="16"/>
  <c r="M175" i="16" s="1"/>
  <c r="N175" i="16" s="1"/>
  <c r="O175" i="16" s="1"/>
  <c r="P175" i="16" s="1"/>
  <c r="Q175" i="16" s="1"/>
  <c r="R175" i="16" s="1"/>
  <c r="S175" i="16" s="1"/>
  <c r="T175" i="16" s="1"/>
  <c r="E175" i="16"/>
  <c r="F175" i="16" s="1"/>
  <c r="G175" i="16" s="1"/>
  <c r="H175" i="16" s="1"/>
  <c r="I175" i="16" s="1"/>
  <c r="J175" i="16" s="1"/>
  <c r="K175" i="16" s="1"/>
  <c r="D175" i="16"/>
  <c r="N174" i="16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E174" i="16"/>
  <c r="F174" i="16" s="1"/>
  <c r="G174" i="16" s="1"/>
  <c r="H174" i="16" s="1"/>
  <c r="I174" i="16" s="1"/>
  <c r="J174" i="16" s="1"/>
  <c r="K174" i="16" s="1"/>
  <c r="L174" i="16" s="1"/>
  <c r="M174" i="16" s="1"/>
  <c r="D174" i="16"/>
  <c r="G173" i="16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B173" i="16" s="1"/>
  <c r="D173" i="16"/>
  <c r="E173" i="16" s="1"/>
  <c r="F173" i="16" s="1"/>
  <c r="S172" i="16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B172" i="16" s="1"/>
  <c r="G172" i="16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F172" i="16"/>
  <c r="E172" i="16"/>
  <c r="D172" i="16"/>
  <c r="AF171" i="16"/>
  <c r="B171" i="16" s="1"/>
  <c r="E171" i="16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D171" i="16"/>
  <c r="M170" i="16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B170" i="16" s="1"/>
  <c r="D170" i="16"/>
  <c r="E170" i="16" s="1"/>
  <c r="F170" i="16" s="1"/>
  <c r="G170" i="16" s="1"/>
  <c r="H170" i="16" s="1"/>
  <c r="I170" i="16" s="1"/>
  <c r="J170" i="16" s="1"/>
  <c r="K170" i="16" s="1"/>
  <c r="L170" i="16" s="1"/>
  <c r="D169" i="16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AD169" i="16" s="1"/>
  <c r="AE169" i="16" s="1"/>
  <c r="AF169" i="16" s="1"/>
  <c r="B169" i="16" s="1"/>
  <c r="F167" i="16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E167" i="16"/>
  <c r="D167" i="16"/>
  <c r="K166" i="16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E166" i="16"/>
  <c r="F166" i="16" s="1"/>
  <c r="G166" i="16" s="1"/>
  <c r="H166" i="16" s="1"/>
  <c r="I166" i="16" s="1"/>
  <c r="J166" i="16" s="1"/>
  <c r="D166" i="16"/>
  <c r="B166" i="16"/>
  <c r="V165" i="16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B165" i="16" s="1"/>
  <c r="I165" i="16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D165" i="16"/>
  <c r="E165" i="16" s="1"/>
  <c r="F165" i="16" s="1"/>
  <c r="G165" i="16" s="1"/>
  <c r="H165" i="16" s="1"/>
  <c r="R164" i="16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H164" i="16"/>
  <c r="I164" i="16" s="1"/>
  <c r="J164" i="16" s="1"/>
  <c r="K164" i="16" s="1"/>
  <c r="L164" i="16" s="1"/>
  <c r="M164" i="16" s="1"/>
  <c r="N164" i="16" s="1"/>
  <c r="O164" i="16" s="1"/>
  <c r="P164" i="16" s="1"/>
  <c r="Q164" i="16" s="1"/>
  <c r="G164" i="16"/>
  <c r="E164" i="16"/>
  <c r="F164" i="16" s="1"/>
  <c r="D164" i="16"/>
  <c r="AE163" i="16"/>
  <c r="AF163" i="16" s="1"/>
  <c r="B163" i="16" s="1"/>
  <c r="H163" i="16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F163" i="16"/>
  <c r="G163" i="16" s="1"/>
  <c r="E163" i="16"/>
  <c r="D163" i="16"/>
  <c r="AB162" i="16"/>
  <c r="AC162" i="16" s="1"/>
  <c r="AD162" i="16" s="1"/>
  <c r="AE162" i="16" s="1"/>
  <c r="AF162" i="16" s="1"/>
  <c r="B162" i="16" s="1"/>
  <c r="D162" i="16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F161" i="16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B161" i="16" s="1"/>
  <c r="E161" i="16"/>
  <c r="D161" i="16"/>
  <c r="S160" i="16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E160" i="16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D160" i="16"/>
  <c r="O159" i="16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E159" i="16"/>
  <c r="F159" i="16" s="1"/>
  <c r="G159" i="16" s="1"/>
  <c r="H159" i="16" s="1"/>
  <c r="I159" i="16" s="1"/>
  <c r="J159" i="16" s="1"/>
  <c r="K159" i="16" s="1"/>
  <c r="L159" i="16" s="1"/>
  <c r="M159" i="16" s="1"/>
  <c r="N159" i="16" s="1"/>
  <c r="D159" i="16"/>
  <c r="Y158" i="16"/>
  <c r="Z158" i="16" s="1"/>
  <c r="AA158" i="16" s="1"/>
  <c r="AB158" i="16" s="1"/>
  <c r="AC158" i="16" s="1"/>
  <c r="AD158" i="16" s="1"/>
  <c r="AE158" i="16" s="1"/>
  <c r="AF158" i="16" s="1"/>
  <c r="B158" i="16" s="1"/>
  <c r="G158" i="16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E158" i="16"/>
  <c r="F158" i="16" s="1"/>
  <c r="D158" i="16"/>
  <c r="F157" i="16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B157" i="16" s="1"/>
  <c r="E157" i="16"/>
  <c r="D157" i="16"/>
  <c r="T156" i="16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I156" i="16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D156" i="16"/>
  <c r="E156" i="16" s="1"/>
  <c r="F156" i="16" s="1"/>
  <c r="G156" i="16" s="1"/>
  <c r="H156" i="16" s="1"/>
  <c r="N155" i="16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AD155" i="16" s="1"/>
  <c r="AE155" i="16" s="1"/>
  <c r="AF155" i="16" s="1"/>
  <c r="B155" i="16" s="1"/>
  <c r="E155" i="16"/>
  <c r="F155" i="16" s="1"/>
  <c r="G155" i="16" s="1"/>
  <c r="H155" i="16" s="1"/>
  <c r="I155" i="16" s="1"/>
  <c r="J155" i="16" s="1"/>
  <c r="K155" i="16" s="1"/>
  <c r="L155" i="16" s="1"/>
  <c r="M155" i="16" s="1"/>
  <c r="D155" i="16"/>
  <c r="T153" i="16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F153" i="16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E153" i="16"/>
  <c r="D153" i="16"/>
  <c r="V152" i="16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D152" i="16"/>
  <c r="E152" i="16" s="1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P151" i="16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K151" i="16"/>
  <c r="L151" i="16" s="1"/>
  <c r="M151" i="16" s="1"/>
  <c r="N151" i="16" s="1"/>
  <c r="O151" i="16" s="1"/>
  <c r="D151" i="16"/>
  <c r="E151" i="16" s="1"/>
  <c r="F151" i="16" s="1"/>
  <c r="G151" i="16" s="1"/>
  <c r="H151" i="16" s="1"/>
  <c r="I151" i="16" s="1"/>
  <c r="J151" i="16" s="1"/>
  <c r="E150" i="16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AD150" i="16" s="1"/>
  <c r="AE150" i="16" s="1"/>
  <c r="AF150" i="16" s="1"/>
  <c r="B150" i="16" s="1"/>
  <c r="D150" i="16"/>
  <c r="D148" i="16"/>
  <c r="E148" i="16" s="1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O147" i="16"/>
  <c r="P147" i="16" s="1"/>
  <c r="Q147" i="16" s="1"/>
  <c r="R147" i="16" s="1"/>
  <c r="S147" i="16" s="1"/>
  <c r="T147" i="16" s="1"/>
  <c r="U147" i="16" s="1"/>
  <c r="V147" i="16" s="1"/>
  <c r="W147" i="16" s="1"/>
  <c r="X147" i="16" s="1"/>
  <c r="Y147" i="16" s="1"/>
  <c r="Z147" i="16" s="1"/>
  <c r="AA147" i="16" s="1"/>
  <c r="AB147" i="16" s="1"/>
  <c r="AC147" i="16" s="1"/>
  <c r="AD147" i="16" s="1"/>
  <c r="AE147" i="16" s="1"/>
  <c r="AF147" i="16" s="1"/>
  <c r="B147" i="16" s="1"/>
  <c r="F147" i="16"/>
  <c r="G147" i="16" s="1"/>
  <c r="H147" i="16" s="1"/>
  <c r="I147" i="16" s="1"/>
  <c r="J147" i="16" s="1"/>
  <c r="K147" i="16" s="1"/>
  <c r="L147" i="16" s="1"/>
  <c r="M147" i="16" s="1"/>
  <c r="N147" i="16" s="1"/>
  <c r="D147" i="16"/>
  <c r="E147" i="16" s="1"/>
  <c r="AF145" i="16"/>
  <c r="B145" i="16" s="1"/>
  <c r="R145" i="16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L145" i="16"/>
  <c r="M145" i="16" s="1"/>
  <c r="N145" i="16" s="1"/>
  <c r="O145" i="16" s="1"/>
  <c r="P145" i="16" s="1"/>
  <c r="Q145" i="16" s="1"/>
  <c r="G145" i="16"/>
  <c r="H145" i="16" s="1"/>
  <c r="I145" i="16" s="1"/>
  <c r="J145" i="16" s="1"/>
  <c r="K145" i="16" s="1"/>
  <c r="D145" i="16"/>
  <c r="E145" i="16" s="1"/>
  <c r="F145" i="16" s="1"/>
  <c r="AA144" i="16"/>
  <c r="AB144" i="16" s="1"/>
  <c r="AC144" i="16" s="1"/>
  <c r="AD144" i="16" s="1"/>
  <c r="AE144" i="16" s="1"/>
  <c r="AF144" i="16" s="1"/>
  <c r="B144" i="16" s="1"/>
  <c r="G144" i="16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F144" i="16"/>
  <c r="E144" i="16"/>
  <c r="D144" i="16"/>
  <c r="X143" i="16"/>
  <c r="Y143" i="16" s="1"/>
  <c r="Z143" i="16" s="1"/>
  <c r="AA143" i="16" s="1"/>
  <c r="AB143" i="16" s="1"/>
  <c r="AC143" i="16" s="1"/>
  <c r="AD143" i="16" s="1"/>
  <c r="AE143" i="16" s="1"/>
  <c r="AF143" i="16" s="1"/>
  <c r="B143" i="16" s="1"/>
  <c r="D143" i="16"/>
  <c r="E143" i="16" s="1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G142" i="16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B142" i="16" s="1"/>
  <c r="F142" i="16"/>
  <c r="D142" i="16"/>
  <c r="E142" i="16" s="1"/>
  <c r="L141" i="16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E141" i="16"/>
  <c r="F141" i="16" s="1"/>
  <c r="G141" i="16" s="1"/>
  <c r="H141" i="16" s="1"/>
  <c r="I141" i="16" s="1"/>
  <c r="J141" i="16" s="1"/>
  <c r="K141" i="16" s="1"/>
  <c r="D141" i="16"/>
  <c r="L140" i="16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B140" i="16" s="1"/>
  <c r="E140" i="16"/>
  <c r="F140" i="16" s="1"/>
  <c r="G140" i="16" s="1"/>
  <c r="H140" i="16" s="1"/>
  <c r="I140" i="16" s="1"/>
  <c r="J140" i="16" s="1"/>
  <c r="K140" i="16" s="1"/>
  <c r="D140" i="16"/>
  <c r="E139" i="16"/>
  <c r="F139" i="16" s="1"/>
  <c r="G139" i="16" s="1"/>
  <c r="H139" i="16" s="1"/>
  <c r="I139" i="16" s="1"/>
  <c r="J139" i="16" s="1"/>
  <c r="K139" i="16" s="1"/>
  <c r="L139" i="16" s="1"/>
  <c r="M139" i="16" s="1"/>
  <c r="N139" i="16" s="1"/>
  <c r="O139" i="16" s="1"/>
  <c r="P139" i="16" s="1"/>
  <c r="Q139" i="16" s="1"/>
  <c r="R139" i="16" s="1"/>
  <c r="S139" i="16" s="1"/>
  <c r="T139" i="16" s="1"/>
  <c r="U139" i="16" s="1"/>
  <c r="V139" i="16" s="1"/>
  <c r="W139" i="16" s="1"/>
  <c r="X139" i="16" s="1"/>
  <c r="Y139" i="16" s="1"/>
  <c r="Z139" i="16" s="1"/>
  <c r="AA139" i="16" s="1"/>
  <c r="AB139" i="16" s="1"/>
  <c r="AC139" i="16" s="1"/>
  <c r="AD139" i="16" s="1"/>
  <c r="AE139" i="16" s="1"/>
  <c r="AF139" i="16" s="1"/>
  <c r="B139" i="16" s="1"/>
  <c r="D139" i="16"/>
  <c r="R137" i="16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B137" i="16" s="1"/>
  <c r="K137" i="16"/>
  <c r="L137" i="16" s="1"/>
  <c r="M137" i="16" s="1"/>
  <c r="N137" i="16" s="1"/>
  <c r="O137" i="16" s="1"/>
  <c r="P137" i="16" s="1"/>
  <c r="Q137" i="16" s="1"/>
  <c r="D137" i="16"/>
  <c r="E137" i="16" s="1"/>
  <c r="F137" i="16" s="1"/>
  <c r="G137" i="16" s="1"/>
  <c r="H137" i="16" s="1"/>
  <c r="I137" i="16" s="1"/>
  <c r="J137" i="16" s="1"/>
  <c r="G136" i="16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F136" i="16"/>
  <c r="D136" i="16"/>
  <c r="E136" i="16" s="1"/>
  <c r="L135" i="16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E135" i="16"/>
  <c r="F135" i="16" s="1"/>
  <c r="G135" i="16" s="1"/>
  <c r="H135" i="16" s="1"/>
  <c r="I135" i="16" s="1"/>
  <c r="J135" i="16" s="1"/>
  <c r="K135" i="16" s="1"/>
  <c r="D135" i="16"/>
  <c r="F134" i="16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B134" i="16" s="1"/>
  <c r="E134" i="16"/>
  <c r="D134" i="16"/>
  <c r="H133" i="16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D133" i="16"/>
  <c r="E133" i="16" s="1"/>
  <c r="F133" i="16" s="1"/>
  <c r="G133" i="16" s="1"/>
  <c r="I132" i="16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D132" i="16"/>
  <c r="E132" i="16" s="1"/>
  <c r="F132" i="16" s="1"/>
  <c r="G132" i="16" s="1"/>
  <c r="H132" i="16" s="1"/>
  <c r="F131" i="16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D131" i="16"/>
  <c r="E131" i="16" s="1"/>
  <c r="D130" i="16"/>
  <c r="E130" i="16" s="1"/>
  <c r="F130" i="16" s="1"/>
  <c r="G130" i="16" s="1"/>
  <c r="H130" i="16" s="1"/>
  <c r="I130" i="16" s="1"/>
  <c r="J130" i="16" s="1"/>
  <c r="K130" i="16" s="1"/>
  <c r="L130" i="16" s="1"/>
  <c r="M130" i="16" s="1"/>
  <c r="N130" i="16" s="1"/>
  <c r="O130" i="16" s="1"/>
  <c r="P130" i="16" s="1"/>
  <c r="Q130" i="16" s="1"/>
  <c r="R130" i="16" s="1"/>
  <c r="S130" i="16" s="1"/>
  <c r="T130" i="16" s="1"/>
  <c r="U130" i="16" s="1"/>
  <c r="V130" i="16" s="1"/>
  <c r="W130" i="16" s="1"/>
  <c r="X130" i="16" s="1"/>
  <c r="Y130" i="16" s="1"/>
  <c r="Z130" i="16" s="1"/>
  <c r="AA130" i="16" s="1"/>
  <c r="AB130" i="16" s="1"/>
  <c r="AC130" i="16" s="1"/>
  <c r="AD130" i="16" s="1"/>
  <c r="AE130" i="16" s="1"/>
  <c r="AF130" i="16" s="1"/>
  <c r="B130" i="16" s="1"/>
  <c r="F128" i="16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D128" i="16"/>
  <c r="E128" i="16" s="1"/>
  <c r="L127" i="16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D127" i="16"/>
  <c r="E127" i="16" s="1"/>
  <c r="F127" i="16" s="1"/>
  <c r="G127" i="16" s="1"/>
  <c r="H127" i="16" s="1"/>
  <c r="I127" i="16" s="1"/>
  <c r="J127" i="16" s="1"/>
  <c r="K127" i="16" s="1"/>
  <c r="E126" i="16"/>
  <c r="F126" i="16" s="1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D126" i="16"/>
  <c r="U125" i="16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B125" i="16" s="1"/>
  <c r="N125" i="16"/>
  <c r="O125" i="16" s="1"/>
  <c r="P125" i="16" s="1"/>
  <c r="Q125" i="16" s="1"/>
  <c r="R125" i="16" s="1"/>
  <c r="S125" i="16" s="1"/>
  <c r="T125" i="16" s="1"/>
  <c r="F125" i="16"/>
  <c r="G125" i="16" s="1"/>
  <c r="H125" i="16" s="1"/>
  <c r="I125" i="16" s="1"/>
  <c r="J125" i="16" s="1"/>
  <c r="K125" i="16" s="1"/>
  <c r="L125" i="16" s="1"/>
  <c r="M125" i="16" s="1"/>
  <c r="D125" i="16"/>
  <c r="E125" i="16" s="1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B124" i="16" s="1"/>
  <c r="D123" i="16"/>
  <c r="E123" i="16" s="1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B123" i="16" s="1"/>
  <c r="L122" i="16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F122" i="16"/>
  <c r="G122" i="16" s="1"/>
  <c r="H122" i="16" s="1"/>
  <c r="I122" i="16" s="1"/>
  <c r="J122" i="16" s="1"/>
  <c r="K122" i="16" s="1"/>
  <c r="E122" i="16"/>
  <c r="D122" i="16"/>
  <c r="E121" i="16"/>
  <c r="F121" i="16" s="1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B121" i="16" s="1"/>
  <c r="D121" i="16"/>
  <c r="H120" i="16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D120" i="16"/>
  <c r="E120" i="16" s="1"/>
  <c r="F120" i="16" s="1"/>
  <c r="G120" i="16" s="1"/>
  <c r="L119" i="16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B119" i="16" s="1"/>
  <c r="I119" i="16"/>
  <c r="J119" i="16" s="1"/>
  <c r="K119" i="16" s="1"/>
  <c r="G119" i="16"/>
  <c r="H119" i="16" s="1"/>
  <c r="F119" i="16"/>
  <c r="D119" i="16"/>
  <c r="E119" i="16" s="1"/>
  <c r="G118" i="16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B118" i="16" s="1"/>
  <c r="D118" i="16"/>
  <c r="E118" i="16" s="1"/>
  <c r="F118" i="16" s="1"/>
  <c r="H117" i="16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E117" i="16"/>
  <c r="F117" i="16" s="1"/>
  <c r="G117" i="16" s="1"/>
  <c r="D117" i="16"/>
  <c r="F116" i="16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D116" i="16"/>
  <c r="E116" i="16" s="1"/>
  <c r="H115" i="16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F115" i="16"/>
  <c r="G115" i="16" s="1"/>
  <c r="D115" i="16"/>
  <c r="E115" i="16" s="1"/>
  <c r="N114" i="16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J114" i="16"/>
  <c r="K114" i="16" s="1"/>
  <c r="L114" i="16" s="1"/>
  <c r="M114" i="16" s="1"/>
  <c r="G114" i="16"/>
  <c r="H114" i="16" s="1"/>
  <c r="I114" i="16" s="1"/>
  <c r="F114" i="16"/>
  <c r="D114" i="16"/>
  <c r="E114" i="16" s="1"/>
  <c r="K113" i="16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I113" i="16"/>
  <c r="G113" i="16"/>
  <c r="H113" i="16" s="1"/>
  <c r="D113" i="16"/>
  <c r="E113" i="16" s="1"/>
  <c r="F113" i="16" s="1"/>
  <c r="Q112" i="16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K112" i="16"/>
  <c r="L112" i="16" s="1"/>
  <c r="M112" i="16" s="1"/>
  <c r="N112" i="16" s="1"/>
  <c r="O112" i="16" s="1"/>
  <c r="P112" i="16" s="1"/>
  <c r="I112" i="16"/>
  <c r="J112" i="16" s="1"/>
  <c r="H112" i="16"/>
  <c r="G112" i="16"/>
  <c r="E112" i="16"/>
  <c r="F112" i="16" s="1"/>
  <c r="D112" i="16"/>
  <c r="K111" i="16"/>
  <c r="L111" i="16" s="1"/>
  <c r="M111" i="16" s="1"/>
  <c r="N111" i="16" s="1"/>
  <c r="O111" i="16" s="1"/>
  <c r="P111" i="16" s="1"/>
  <c r="Q111" i="16" s="1"/>
  <c r="R111" i="16" s="1"/>
  <c r="S111" i="16" s="1"/>
  <c r="T111" i="16" s="1"/>
  <c r="U111" i="16" s="1"/>
  <c r="V111" i="16" s="1"/>
  <c r="W111" i="16" s="1"/>
  <c r="X111" i="16" s="1"/>
  <c r="Y111" i="16" s="1"/>
  <c r="Z111" i="16" s="1"/>
  <c r="AA111" i="16" s="1"/>
  <c r="AB111" i="16" s="1"/>
  <c r="AC111" i="16" s="1"/>
  <c r="AD111" i="16" s="1"/>
  <c r="AE111" i="16" s="1"/>
  <c r="AF111" i="16" s="1"/>
  <c r="B111" i="16" s="1"/>
  <c r="F111" i="16"/>
  <c r="G111" i="16" s="1"/>
  <c r="H111" i="16" s="1"/>
  <c r="I111" i="16" s="1"/>
  <c r="J111" i="16" s="1"/>
  <c r="E111" i="16"/>
  <c r="D111" i="16"/>
  <c r="E109" i="16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D109" i="16"/>
  <c r="E108" i="16"/>
  <c r="D108" i="16"/>
  <c r="G106" i="16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E106" i="16"/>
  <c r="F106" i="16" s="1"/>
  <c r="D106" i="16"/>
  <c r="G105" i="16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F105" i="16"/>
  <c r="E105" i="16"/>
  <c r="D105" i="16"/>
  <c r="F104" i="16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E104" i="16"/>
  <c r="D104" i="16"/>
  <c r="E103" i="16"/>
  <c r="F103" i="16" s="1"/>
  <c r="G103" i="16" s="1"/>
  <c r="H103" i="16" s="1"/>
  <c r="I103" i="16" s="1"/>
  <c r="J103" i="16" s="1"/>
  <c r="K103" i="16" s="1"/>
  <c r="L103" i="16" s="1"/>
  <c r="M103" i="16" s="1"/>
  <c r="N103" i="16" s="1"/>
  <c r="O103" i="16" s="1"/>
  <c r="P103" i="16" s="1"/>
  <c r="Q103" i="16" s="1"/>
  <c r="R103" i="16" s="1"/>
  <c r="S103" i="16" s="1"/>
  <c r="T103" i="16" s="1"/>
  <c r="U103" i="16" s="1"/>
  <c r="V103" i="16" s="1"/>
  <c r="W103" i="16" s="1"/>
  <c r="X103" i="16" s="1"/>
  <c r="Y103" i="16" s="1"/>
  <c r="Z103" i="16" s="1"/>
  <c r="AA103" i="16" s="1"/>
  <c r="AB103" i="16" s="1"/>
  <c r="AC103" i="16" s="1"/>
  <c r="AD103" i="16" s="1"/>
  <c r="AE103" i="16" s="1"/>
  <c r="AF103" i="16" s="1"/>
  <c r="B103" i="16" s="1"/>
  <c r="D103" i="16"/>
  <c r="H102" i="16"/>
  <c r="I102" i="16" s="1"/>
  <c r="E102" i="16"/>
  <c r="F102" i="16" s="1"/>
  <c r="G102" i="16" s="1"/>
  <c r="D102" i="16"/>
  <c r="E101" i="16"/>
  <c r="D101" i="16"/>
  <c r="AH98" i="16"/>
  <c r="AI98" i="16" s="1"/>
  <c r="AH97" i="16"/>
  <c r="AI97" i="16" s="1"/>
  <c r="AH96" i="16"/>
  <c r="AI96" i="16" s="1"/>
  <c r="AH95" i="16"/>
  <c r="AI95" i="16" s="1"/>
  <c r="AH94" i="16"/>
  <c r="AI94" i="16" s="1"/>
  <c r="C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G82" i="16"/>
  <c r="AI81" i="16"/>
  <c r="AH81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B79" i="16"/>
  <c r="B82" i="16" s="1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T82" i="16" s="1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AF76" i="16"/>
  <c r="AE76" i="16"/>
  <c r="AD76" i="16"/>
  <c r="AD82" i="16" s="1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AI74" i="16"/>
  <c r="AH74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AH72" i="16" s="1"/>
  <c r="AI71" i="16"/>
  <c r="AH71" i="16"/>
  <c r="AI70" i="16"/>
  <c r="AH70" i="16"/>
  <c r="AI69" i="16"/>
  <c r="AH69" i="16"/>
  <c r="AG68" i="16"/>
  <c r="AF68" i="16"/>
  <c r="AE5" i="16" s="1"/>
  <c r="AE68" i="16"/>
  <c r="AD68" i="16"/>
  <c r="AC5" i="16" s="1"/>
  <c r="AC68" i="16"/>
  <c r="AB68" i="16"/>
  <c r="AA5" i="16" s="1"/>
  <c r="AA68" i="16"/>
  <c r="Z68" i="16"/>
  <c r="Y5" i="16" s="1"/>
  <c r="Y68" i="16"/>
  <c r="X5" i="16" s="1"/>
  <c r="X68" i="16"/>
  <c r="W5" i="16" s="1"/>
  <c r="W68" i="16"/>
  <c r="V68" i="16"/>
  <c r="U5" i="16" s="1"/>
  <c r="U68" i="16"/>
  <c r="T5" i="16" s="1"/>
  <c r="T68" i="16"/>
  <c r="S68" i="16"/>
  <c r="R68" i="16"/>
  <c r="Q5" i="16" s="1"/>
  <c r="Q68" i="16"/>
  <c r="P5" i="16" s="1"/>
  <c r="P68" i="16"/>
  <c r="O68" i="16"/>
  <c r="N68" i="16"/>
  <c r="M5" i="16" s="1"/>
  <c r="M68" i="16"/>
  <c r="L5" i="16" s="1"/>
  <c r="L68" i="16"/>
  <c r="K5" i="16" s="1"/>
  <c r="K68" i="16"/>
  <c r="J5" i="16" s="1"/>
  <c r="J68" i="16"/>
  <c r="I68" i="16"/>
  <c r="H5" i="16" s="1"/>
  <c r="H68" i="16"/>
  <c r="G5" i="16" s="1"/>
  <c r="G68" i="16"/>
  <c r="F68" i="16"/>
  <c r="E5" i="16" s="1"/>
  <c r="E68" i="16"/>
  <c r="D5" i="16" s="1"/>
  <c r="D68" i="16"/>
  <c r="C5" i="16" s="1"/>
  <c r="C68" i="16"/>
  <c r="B5" i="16" s="1"/>
  <c r="B68" i="16"/>
  <c r="AF5" i="16" s="1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AI55" i="16"/>
  <c r="AH55" i="16"/>
  <c r="AI54" i="16"/>
  <c r="AH54" i="16"/>
  <c r="AI53" i="16"/>
  <c r="AH53" i="16"/>
  <c r="Z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G51" i="16"/>
  <c r="AG52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G2" i="16" s="1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S73" i="16" s="1"/>
  <c r="R38" i="16"/>
  <c r="Q38" i="16"/>
  <c r="P38" i="16"/>
  <c r="O38" i="16"/>
  <c r="N38" i="16"/>
  <c r="M38" i="16"/>
  <c r="L38" i="16"/>
  <c r="K38" i="16"/>
  <c r="J38" i="16"/>
  <c r="I38" i="16"/>
  <c r="H38" i="16"/>
  <c r="H75" i="16" s="1"/>
  <c r="G38" i="16"/>
  <c r="F38" i="16"/>
  <c r="E38" i="16"/>
  <c r="D38" i="16"/>
  <c r="D75" i="16" s="1"/>
  <c r="V213" i="16" s="1"/>
  <c r="C38" i="16"/>
  <c r="B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Z5" i="16"/>
  <c r="S5" i="16"/>
  <c r="O5" i="16"/>
  <c r="AG4" i="16"/>
  <c r="K4" i="16"/>
  <c r="B4" i="16"/>
  <c r="E4" i="16"/>
  <c r="AF82" i="16" l="1"/>
  <c r="AE82" i="16"/>
  <c r="AC82" i="16"/>
  <c r="AB82" i="16"/>
  <c r="AA82" i="16"/>
  <c r="Z82" i="16"/>
  <c r="Z75" i="16"/>
  <c r="AR213" i="16" s="1"/>
  <c r="X82" i="16"/>
  <c r="W82" i="16"/>
  <c r="V82" i="16"/>
  <c r="T73" i="16"/>
  <c r="S75" i="16"/>
  <c r="AK213" i="16" s="1"/>
  <c r="S82" i="16"/>
  <c r="R5" i="16"/>
  <c r="U82" i="16"/>
  <c r="R82" i="16"/>
  <c r="R75" i="16"/>
  <c r="AJ213" i="16" s="1"/>
  <c r="P82" i="16"/>
  <c r="P75" i="16"/>
  <c r="O82" i="16"/>
  <c r="N82" i="16"/>
  <c r="N73" i="16"/>
  <c r="M82" i="16"/>
  <c r="M73" i="16"/>
  <c r="L82" i="16"/>
  <c r="L73" i="16"/>
  <c r="K82" i="16"/>
  <c r="K75" i="16"/>
  <c r="AC213" i="16" s="1"/>
  <c r="J82" i="16"/>
  <c r="I75" i="16"/>
  <c r="AA213" i="16" s="1"/>
  <c r="AI56" i="16"/>
  <c r="H82" i="16"/>
  <c r="G82" i="16"/>
  <c r="F73" i="16"/>
  <c r="F82" i="16"/>
  <c r="AH80" i="16"/>
  <c r="AH78" i="16"/>
  <c r="E82" i="16"/>
  <c r="E73" i="16"/>
  <c r="G73" i="16"/>
  <c r="O73" i="16"/>
  <c r="Q75" i="16"/>
  <c r="AI213" i="16" s="1"/>
  <c r="H73" i="16"/>
  <c r="I73" i="16"/>
  <c r="Q73" i="16"/>
  <c r="K73" i="16"/>
  <c r="T75" i="16"/>
  <c r="T83" i="16" s="1"/>
  <c r="J73" i="16"/>
  <c r="L75" i="16"/>
  <c r="L7" i="16" s="1"/>
  <c r="P73" i="16"/>
  <c r="P83" i="16" s="1"/>
  <c r="E75" i="16"/>
  <c r="AH77" i="16"/>
  <c r="D82" i="16"/>
  <c r="D73" i="16"/>
  <c r="AI76" i="16"/>
  <c r="C82" i="16"/>
  <c r="C73" i="16"/>
  <c r="C75" i="16" s="1"/>
  <c r="C7" i="16" s="1"/>
  <c r="AH38" i="16"/>
  <c r="AH79" i="16"/>
  <c r="AI38" i="16"/>
  <c r="H4" i="16"/>
  <c r="AG83" i="16"/>
  <c r="AH213" i="16"/>
  <c r="P7" i="16"/>
  <c r="AG3" i="16"/>
  <c r="AG75" i="16"/>
  <c r="AG73" i="16"/>
  <c r="J102" i="16"/>
  <c r="Z213" i="16"/>
  <c r="H7" i="16"/>
  <c r="AG6" i="16"/>
  <c r="D210" i="16"/>
  <c r="S210" i="16"/>
  <c r="AI77" i="16"/>
  <c r="F5" i="16"/>
  <c r="N5" i="16"/>
  <c r="V5" i="16"/>
  <c r="AD5" i="16"/>
  <c r="D7" i="16"/>
  <c r="F75" i="16"/>
  <c r="N75" i="16"/>
  <c r="N83" i="16" s="1"/>
  <c r="AI78" i="16"/>
  <c r="AI79" i="16"/>
  <c r="G75" i="16"/>
  <c r="F108" i="16"/>
  <c r="E93" i="16"/>
  <c r="E191" i="16"/>
  <c r="I5" i="16"/>
  <c r="J75" i="16"/>
  <c r="F101" i="16"/>
  <c r="O75" i="16"/>
  <c r="AH56" i="16"/>
  <c r="R73" i="16"/>
  <c r="R83" i="16" s="1"/>
  <c r="AH68" i="16"/>
  <c r="AI68" i="16"/>
  <c r="S83" i="16"/>
  <c r="AI72" i="16"/>
  <c r="I82" i="16"/>
  <c r="Q82" i="16"/>
  <c r="Y82" i="16"/>
  <c r="AH76" i="16"/>
  <c r="Z73" i="16"/>
  <c r="Z83" i="16" s="1"/>
  <c r="AB5" i="16"/>
  <c r="R7" i="16"/>
  <c r="Z7" i="16"/>
  <c r="M75" i="16"/>
  <c r="AI80" i="16"/>
  <c r="D93" i="16"/>
  <c r="D191" i="16"/>
  <c r="F234" i="16"/>
  <c r="H198" i="16"/>
  <c r="D199" i="16"/>
  <c r="E193" i="16"/>
  <c r="S7" i="16" l="1"/>
  <c r="Q7" i="16"/>
  <c r="M83" i="16"/>
  <c r="L83" i="16"/>
  <c r="AD213" i="16"/>
  <c r="K7" i="16"/>
  <c r="K83" i="16"/>
  <c r="I83" i="16"/>
  <c r="I7" i="16"/>
  <c r="H83" i="16"/>
  <c r="O83" i="16"/>
  <c r="G83" i="16"/>
  <c r="F83" i="16"/>
  <c r="AI82" i="16"/>
  <c r="E83" i="16"/>
  <c r="E7" i="16"/>
  <c r="Q83" i="16"/>
  <c r="W213" i="16"/>
  <c r="AL213" i="16"/>
  <c r="T7" i="16"/>
  <c r="AH82" i="16"/>
  <c r="D83" i="16"/>
  <c r="U213" i="16"/>
  <c r="C83" i="16"/>
  <c r="AB213" i="16"/>
  <c r="J7" i="16"/>
  <c r="Y213" i="16"/>
  <c r="C208" i="16"/>
  <c r="B208" i="16"/>
  <c r="G7" i="16"/>
  <c r="AF213" i="16"/>
  <c r="N7" i="16"/>
  <c r="J83" i="16"/>
  <c r="X213" i="16"/>
  <c r="F7" i="16"/>
  <c r="AG213" i="16"/>
  <c r="O7" i="16"/>
  <c r="G108" i="16"/>
  <c r="F191" i="16"/>
  <c r="G101" i="16"/>
  <c r="G234" i="16"/>
  <c r="I198" i="16"/>
  <c r="E199" i="16"/>
  <c r="F193" i="16"/>
  <c r="AE213" i="16"/>
  <c r="M7" i="16"/>
  <c r="K102" i="16"/>
  <c r="K6" i="16" l="1"/>
  <c r="H234" i="16"/>
  <c r="J198" i="16"/>
  <c r="H108" i="16"/>
  <c r="G93" i="16"/>
  <c r="F199" i="16"/>
  <c r="G193" i="16"/>
  <c r="L102" i="16"/>
  <c r="G191" i="16"/>
  <c r="H101" i="16"/>
  <c r="F93" i="16"/>
  <c r="M102" i="16" l="1"/>
  <c r="H193" i="16"/>
  <c r="G199" i="16"/>
  <c r="I108" i="16"/>
  <c r="H93" i="16"/>
  <c r="H191" i="16"/>
  <c r="I101" i="16"/>
  <c r="K198" i="16"/>
  <c r="I234" i="16"/>
  <c r="I191" i="16" l="1"/>
  <c r="J101" i="16"/>
  <c r="J108" i="16"/>
  <c r="I93" i="16"/>
  <c r="L198" i="16"/>
  <c r="J234" i="16"/>
  <c r="I193" i="16"/>
  <c r="H199" i="16"/>
  <c r="N102" i="16"/>
  <c r="K234" i="16" l="1"/>
  <c r="M198" i="16"/>
  <c r="J191" i="16"/>
  <c r="K101" i="16"/>
  <c r="K108" i="16"/>
  <c r="J93" i="16"/>
  <c r="O102" i="16"/>
  <c r="J193" i="16"/>
  <c r="I199" i="16"/>
  <c r="K191" i="16" l="1"/>
  <c r="L101" i="16"/>
  <c r="N198" i="16"/>
  <c r="L234" i="16"/>
  <c r="J199" i="16"/>
  <c r="K193" i="16"/>
  <c r="P102" i="16"/>
  <c r="L108" i="16"/>
  <c r="K199" i="16" l="1"/>
  <c r="L193" i="16"/>
  <c r="O198" i="16"/>
  <c r="M234" i="16"/>
  <c r="Q102" i="16"/>
  <c r="K93" i="16"/>
  <c r="L191" i="16"/>
  <c r="M101" i="16"/>
  <c r="M108" i="16"/>
  <c r="L93" i="16"/>
  <c r="N108" i="16" l="1"/>
  <c r="R102" i="16"/>
  <c r="N234" i="16"/>
  <c r="P198" i="16"/>
  <c r="L199" i="16"/>
  <c r="M193" i="16"/>
  <c r="M93" i="16" s="1"/>
  <c r="M191" i="16"/>
  <c r="N101" i="16"/>
  <c r="M199" i="16" l="1"/>
  <c r="N193" i="16"/>
  <c r="O234" i="16"/>
  <c r="Q198" i="16"/>
  <c r="S102" i="16"/>
  <c r="N191" i="16"/>
  <c r="O101" i="16"/>
  <c r="O108" i="16"/>
  <c r="N93" i="16"/>
  <c r="O191" i="16" l="1"/>
  <c r="P101" i="16"/>
  <c r="T102" i="16"/>
  <c r="N199" i="16"/>
  <c r="O193" i="16"/>
  <c r="P234" i="16"/>
  <c r="R198" i="16"/>
  <c r="P108" i="16"/>
  <c r="O93" i="16"/>
  <c r="U102" i="16" l="1"/>
  <c r="P191" i="16"/>
  <c r="Q101" i="16"/>
  <c r="S198" i="16"/>
  <c r="Q234" i="16"/>
  <c r="O199" i="16"/>
  <c r="P193" i="16"/>
  <c r="Q108" i="16"/>
  <c r="Q193" i="16" l="1"/>
  <c r="P199" i="16"/>
  <c r="P93" i="16"/>
  <c r="T198" i="16"/>
  <c r="R234" i="16"/>
  <c r="Q191" i="16"/>
  <c r="R101" i="16"/>
  <c r="R108" i="16"/>
  <c r="Q93" i="16"/>
  <c r="V102" i="16"/>
  <c r="S108" i="16" l="1"/>
  <c r="R93" i="16"/>
  <c r="R191" i="16"/>
  <c r="S101" i="16"/>
  <c r="S234" i="16"/>
  <c r="U198" i="16"/>
  <c r="W102" i="16"/>
  <c r="R193" i="16"/>
  <c r="Q199" i="16"/>
  <c r="X102" i="16" l="1"/>
  <c r="S191" i="16"/>
  <c r="T101" i="16"/>
  <c r="T234" i="16"/>
  <c r="V198" i="16"/>
  <c r="S193" i="16"/>
  <c r="R199" i="16"/>
  <c r="T108" i="16"/>
  <c r="S93" i="16"/>
  <c r="Y102" i="16" l="1"/>
  <c r="T193" i="16"/>
  <c r="S199" i="16"/>
  <c r="U234" i="16"/>
  <c r="W198" i="16"/>
  <c r="T191" i="16"/>
  <c r="U101" i="16"/>
  <c r="U108" i="16"/>
  <c r="T93" i="16"/>
  <c r="X198" i="16" l="1"/>
  <c r="V234" i="16"/>
  <c r="T199" i="16"/>
  <c r="U193" i="16"/>
  <c r="Z102" i="16"/>
  <c r="U191" i="16"/>
  <c r="V101" i="16"/>
  <c r="V108" i="16"/>
  <c r="AA102" i="16" l="1"/>
  <c r="U199" i="16"/>
  <c r="U51" i="16" s="1"/>
  <c r="U52" i="16" s="1"/>
  <c r="V193" i="16"/>
  <c r="U93" i="16"/>
  <c r="V191" i="16"/>
  <c r="W101" i="16"/>
  <c r="W108" i="16"/>
  <c r="Y198" i="16"/>
  <c r="W234" i="16"/>
  <c r="X108" i="16" l="1"/>
  <c r="W191" i="16"/>
  <c r="X101" i="16"/>
  <c r="V199" i="16"/>
  <c r="V51" i="16" s="1"/>
  <c r="V52" i="16" s="1"/>
  <c r="W193" i="16"/>
  <c r="U73" i="16"/>
  <c r="U75" i="16"/>
  <c r="X234" i="16"/>
  <c r="Z198" i="16"/>
  <c r="V93" i="16"/>
  <c r="AB102" i="16"/>
  <c r="U83" i="16" l="1"/>
  <c r="AM213" i="16"/>
  <c r="U7" i="16"/>
  <c r="W199" i="16"/>
  <c r="W51" i="16" s="1"/>
  <c r="W52" i="16" s="1"/>
  <c r="X193" i="16"/>
  <c r="V73" i="16"/>
  <c r="V75" i="16"/>
  <c r="AC102" i="16"/>
  <c r="X191" i="16"/>
  <c r="Y101" i="16"/>
  <c r="AA198" i="16"/>
  <c r="Y234" i="16"/>
  <c r="W93" i="16"/>
  <c r="Y108" i="16"/>
  <c r="X93" i="16"/>
  <c r="AN213" i="16" l="1"/>
  <c r="V7" i="16"/>
  <c r="AD102" i="16"/>
  <c r="V83" i="16"/>
  <c r="Z108" i="16"/>
  <c r="Y93" i="16"/>
  <c r="Y193" i="16"/>
  <c r="X199" i="16"/>
  <c r="X51" i="16" s="1"/>
  <c r="X52" i="16" s="1"/>
  <c r="W75" i="16"/>
  <c r="W73" i="16"/>
  <c r="Y191" i="16"/>
  <c r="Z101" i="16"/>
  <c r="AB198" i="16"/>
  <c r="Z234" i="16"/>
  <c r="W83" i="16" l="1"/>
  <c r="AA234" i="16"/>
  <c r="AC198" i="16"/>
  <c r="AA108" i="16"/>
  <c r="Z93" i="16"/>
  <c r="Z191" i="16"/>
  <c r="AA101" i="16"/>
  <c r="AE102" i="16"/>
  <c r="AO213" i="16"/>
  <c r="W7" i="16"/>
  <c r="Z193" i="16"/>
  <c r="Y199" i="16"/>
  <c r="Y51" i="16" s="1"/>
  <c r="Y52" i="16" s="1"/>
  <c r="X73" i="16"/>
  <c r="X75" i="16"/>
  <c r="AF102" i="16" l="1"/>
  <c r="AP213" i="16"/>
  <c r="X7" i="16"/>
  <c r="AA191" i="16"/>
  <c r="AB101" i="16"/>
  <c r="X83" i="16"/>
  <c r="Y73" i="16"/>
  <c r="Y75" i="16"/>
  <c r="Z199" i="16"/>
  <c r="AA193" i="16"/>
  <c r="AB108" i="16"/>
  <c r="AA93" i="16"/>
  <c r="AB234" i="16"/>
  <c r="AD198" i="16"/>
  <c r="Y83" i="16" l="1"/>
  <c r="AC234" i="16"/>
  <c r="AE198" i="16"/>
  <c r="AB191" i="16"/>
  <c r="AC101" i="16"/>
  <c r="AC108" i="16"/>
  <c r="AB93" i="16"/>
  <c r="AB193" i="16"/>
  <c r="AA199" i="16"/>
  <c r="AA51" i="16" s="1"/>
  <c r="AA52" i="16" s="1"/>
  <c r="AQ213" i="16"/>
  <c r="Y7" i="16"/>
  <c r="B102" i="16"/>
  <c r="AA75" i="16" l="1"/>
  <c r="AA73" i="16"/>
  <c r="AB199" i="16"/>
  <c r="AB51" i="16" s="1"/>
  <c r="AB52" i="16" s="1"/>
  <c r="AC193" i="16"/>
  <c r="AC191" i="16"/>
  <c r="AD101" i="16"/>
  <c r="AD108" i="16"/>
  <c r="AD234" i="16"/>
  <c r="AF198" i="16"/>
  <c r="AA83" i="16" l="1"/>
  <c r="AB75" i="16"/>
  <c r="AB73" i="16"/>
  <c r="AD191" i="16"/>
  <c r="AE101" i="16"/>
  <c r="AC199" i="16"/>
  <c r="AC51" i="16" s="1"/>
  <c r="AC52" i="16" s="1"/>
  <c r="AD193" i="16"/>
  <c r="B198" i="16"/>
  <c r="AF234" i="16" s="1"/>
  <c r="AE234" i="16"/>
  <c r="AS213" i="16"/>
  <c r="AA7" i="16"/>
  <c r="AE108" i="16"/>
  <c r="AD93" i="16"/>
  <c r="AC93" i="16"/>
  <c r="AB83" i="16" l="1"/>
  <c r="AE193" i="16"/>
  <c r="AD199" i="16"/>
  <c r="AD51" i="16" s="1"/>
  <c r="AD52" i="16" s="1"/>
  <c r="AC75" i="16"/>
  <c r="AC73" i="16"/>
  <c r="AF108" i="16"/>
  <c r="AE93" i="16"/>
  <c r="AE191" i="16"/>
  <c r="AF101" i="16"/>
  <c r="AT213" i="16"/>
  <c r="AB7" i="16"/>
  <c r="AC83" i="16" l="1"/>
  <c r="B108" i="16"/>
  <c r="AU213" i="16"/>
  <c r="AC7" i="16"/>
  <c r="AD73" i="16"/>
  <c r="AD75" i="16"/>
  <c r="AF191" i="16"/>
  <c r="B101" i="16"/>
  <c r="B191" i="16" s="1"/>
  <c r="AE199" i="16"/>
  <c r="AE51" i="16" s="1"/>
  <c r="AE52" i="16" s="1"/>
  <c r="AF193" i="16"/>
  <c r="AV213" i="16" l="1"/>
  <c r="AD7" i="16"/>
  <c r="AD83" i="16"/>
  <c r="AF199" i="16"/>
  <c r="AF51" i="16" s="1"/>
  <c r="AF52" i="16" s="1"/>
  <c r="B193" i="16"/>
  <c r="B199" i="16" s="1"/>
  <c r="B51" i="16" s="1"/>
  <c r="AF93" i="16"/>
  <c r="AE75" i="16"/>
  <c r="AE73" i="16"/>
  <c r="AE83" i="16" s="1"/>
  <c r="AI93" i="16" l="1"/>
  <c r="AH93" i="16"/>
  <c r="B52" i="16"/>
  <c r="AI51" i="16"/>
  <c r="AH51" i="16"/>
  <c r="AW213" i="16"/>
  <c r="AE7" i="16"/>
  <c r="AF73" i="16"/>
  <c r="AF83" i="16" s="1"/>
  <c r="AF75" i="16"/>
  <c r="B93" i="16"/>
  <c r="AI52" i="16" l="1"/>
  <c r="AH52" i="16"/>
  <c r="B73" i="16"/>
  <c r="B75" i="16"/>
  <c r="AX213" i="16"/>
  <c r="AF7" i="16"/>
  <c r="T213" i="16" l="1"/>
  <c r="AH75" i="16"/>
  <c r="B7" i="16"/>
  <c r="A7" i="16" s="1"/>
  <c r="AI75" i="16"/>
  <c r="AI73" i="16"/>
  <c r="AH73" i="16"/>
  <c r="B83" i="16"/>
  <c r="AI83" i="16" l="1"/>
  <c r="AH83" i="16"/>
  <c r="W37" i="15" l="1"/>
  <c r="R37" i="15"/>
  <c r="Q37" i="15"/>
  <c r="P37" i="15" l="1"/>
  <c r="O37" i="15"/>
  <c r="N37" i="15"/>
  <c r="M37" i="15"/>
  <c r="B93" i="15"/>
  <c r="B80" i="15"/>
  <c r="B79" i="15"/>
  <c r="B78" i="15"/>
  <c r="B77" i="15"/>
  <c r="B76" i="15"/>
  <c r="B72" i="15"/>
  <c r="B68" i="15"/>
  <c r="B73" i="15" s="1"/>
  <c r="B56" i="15"/>
  <c r="B52" i="15"/>
  <c r="B51" i="15"/>
  <c r="B38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C234" i="15"/>
  <c r="B234" i="15"/>
  <c r="S209" i="15"/>
  <c r="AG199" i="15"/>
  <c r="C199" i="15"/>
  <c r="F198" i="15"/>
  <c r="D198" i="15"/>
  <c r="E198" i="15" s="1"/>
  <c r="D234" i="15" s="1"/>
  <c r="E197" i="15"/>
  <c r="F197" i="15" s="1"/>
  <c r="G197" i="15" s="1"/>
  <c r="H197" i="15" s="1"/>
  <c r="I197" i="15" s="1"/>
  <c r="J197" i="15" s="1"/>
  <c r="K197" i="15" s="1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B197" i="15" s="1"/>
  <c r="D197" i="15"/>
  <c r="D196" i="15"/>
  <c r="E196" i="15" s="1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D195" i="15"/>
  <c r="R194" i="15"/>
  <c r="S194" i="15" s="1"/>
  <c r="T194" i="15" s="1"/>
  <c r="U194" i="15" s="1"/>
  <c r="V194" i="15" s="1"/>
  <c r="W194" i="15" s="1"/>
  <c r="X194" i="15" s="1"/>
  <c r="Y194" i="15" s="1"/>
  <c r="Z194" i="15" s="1"/>
  <c r="AA194" i="15" s="1"/>
  <c r="AB194" i="15" s="1"/>
  <c r="AC194" i="15" s="1"/>
  <c r="AD194" i="15" s="1"/>
  <c r="AE194" i="15" s="1"/>
  <c r="AF194" i="15" s="1"/>
  <c r="B194" i="15" s="1"/>
  <c r="F194" i="15"/>
  <c r="G194" i="15" s="1"/>
  <c r="H194" i="15" s="1"/>
  <c r="I194" i="15" s="1"/>
  <c r="J194" i="15" s="1"/>
  <c r="K194" i="15" s="1"/>
  <c r="L194" i="15" s="1"/>
  <c r="M194" i="15" s="1"/>
  <c r="N194" i="15" s="1"/>
  <c r="O194" i="15" s="1"/>
  <c r="P194" i="15" s="1"/>
  <c r="Q194" i="15" s="1"/>
  <c r="D194" i="15"/>
  <c r="E194" i="15" s="1"/>
  <c r="E193" i="15"/>
  <c r="D193" i="15"/>
  <c r="AG191" i="15"/>
  <c r="C191" i="15"/>
  <c r="D190" i="15"/>
  <c r="E190" i="15" s="1"/>
  <c r="F190" i="15" s="1"/>
  <c r="G190" i="15" s="1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D189" i="15"/>
  <c r="E189" i="15" s="1"/>
  <c r="F189" i="15" s="1"/>
  <c r="G189" i="15" s="1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F188" i="15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B188" i="15" s="1"/>
  <c r="D188" i="15"/>
  <c r="E188" i="15" s="1"/>
  <c r="E187" i="15"/>
  <c r="F187" i="15" s="1"/>
  <c r="G187" i="15" s="1"/>
  <c r="H187" i="15" s="1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D187" i="15"/>
  <c r="J186" i="15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G186" i="15"/>
  <c r="H186" i="15" s="1"/>
  <c r="I186" i="15" s="1"/>
  <c r="F186" i="15"/>
  <c r="D186" i="15"/>
  <c r="E186" i="15" s="1"/>
  <c r="E185" i="15"/>
  <c r="F185" i="15" s="1"/>
  <c r="G185" i="15" s="1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D185" i="15"/>
  <c r="I184" i="15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F184" i="15"/>
  <c r="G184" i="15" s="1"/>
  <c r="H184" i="15" s="1"/>
  <c r="D184" i="15"/>
  <c r="E184" i="15" s="1"/>
  <c r="I183" i="15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E183" i="15"/>
  <c r="F183" i="15" s="1"/>
  <c r="G183" i="15" s="1"/>
  <c r="H183" i="15" s="1"/>
  <c r="D183" i="15"/>
  <c r="D182" i="15"/>
  <c r="E182" i="15" s="1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J181" i="15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D181" i="15"/>
  <c r="E181" i="15" s="1"/>
  <c r="F181" i="15" s="1"/>
  <c r="G181" i="15" s="1"/>
  <c r="H181" i="15" s="1"/>
  <c r="I181" i="15" s="1"/>
  <c r="I180" i="15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H180" i="15"/>
  <c r="G180" i="15"/>
  <c r="D180" i="15"/>
  <c r="E180" i="15" s="1"/>
  <c r="F180" i="15" s="1"/>
  <c r="I179" i="15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D179" i="15"/>
  <c r="E179" i="15" s="1"/>
  <c r="F179" i="15" s="1"/>
  <c r="G179" i="15" s="1"/>
  <c r="H179" i="15" s="1"/>
  <c r="I178" i="15"/>
  <c r="J178" i="15" s="1"/>
  <c r="K178" i="15" s="1"/>
  <c r="L178" i="15" s="1"/>
  <c r="M178" i="15" s="1"/>
  <c r="N178" i="15" s="1"/>
  <c r="O178" i="15" s="1"/>
  <c r="P178" i="15" s="1"/>
  <c r="Q178" i="15" s="1"/>
  <c r="R178" i="15" s="1"/>
  <c r="S178" i="15" s="1"/>
  <c r="T178" i="15" s="1"/>
  <c r="U178" i="15" s="1"/>
  <c r="V178" i="15" s="1"/>
  <c r="W178" i="15" s="1"/>
  <c r="X178" i="15" s="1"/>
  <c r="Y178" i="15" s="1"/>
  <c r="Z178" i="15" s="1"/>
  <c r="AA178" i="15" s="1"/>
  <c r="AB178" i="15" s="1"/>
  <c r="AC178" i="15" s="1"/>
  <c r="AD178" i="15" s="1"/>
  <c r="AE178" i="15" s="1"/>
  <c r="AF178" i="15" s="1"/>
  <c r="B178" i="15" s="1"/>
  <c r="G178" i="15"/>
  <c r="H178" i="15" s="1"/>
  <c r="D178" i="15"/>
  <c r="E178" i="15" s="1"/>
  <c r="F178" i="15" s="1"/>
  <c r="E176" i="15"/>
  <c r="F176" i="15" s="1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D176" i="15"/>
  <c r="J175" i="15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F175" i="15"/>
  <c r="G175" i="15" s="1"/>
  <c r="H175" i="15" s="1"/>
  <c r="I175" i="15" s="1"/>
  <c r="E175" i="15"/>
  <c r="D175" i="15"/>
  <c r="N174" i="15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F174" i="15"/>
  <c r="G174" i="15" s="1"/>
  <c r="H174" i="15" s="1"/>
  <c r="I174" i="15" s="1"/>
  <c r="J174" i="15" s="1"/>
  <c r="K174" i="15" s="1"/>
  <c r="L174" i="15" s="1"/>
  <c r="M174" i="15" s="1"/>
  <c r="D174" i="15"/>
  <c r="E174" i="15" s="1"/>
  <c r="G173" i="15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F173" i="15"/>
  <c r="D173" i="15"/>
  <c r="E173" i="15" s="1"/>
  <c r="S172" i="15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L172" i="15"/>
  <c r="M172" i="15" s="1"/>
  <c r="N172" i="15" s="1"/>
  <c r="O172" i="15" s="1"/>
  <c r="P172" i="15" s="1"/>
  <c r="Q172" i="15" s="1"/>
  <c r="R172" i="15" s="1"/>
  <c r="D172" i="15"/>
  <c r="E172" i="15" s="1"/>
  <c r="F172" i="15" s="1"/>
  <c r="G172" i="15" s="1"/>
  <c r="H172" i="15" s="1"/>
  <c r="I172" i="15" s="1"/>
  <c r="J172" i="15" s="1"/>
  <c r="K172" i="15" s="1"/>
  <c r="F171" i="15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E171" i="15"/>
  <c r="D171" i="15"/>
  <c r="W170" i="15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G170" i="15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D170" i="15"/>
  <c r="E170" i="15" s="1"/>
  <c r="F170" i="15" s="1"/>
  <c r="D169" i="15"/>
  <c r="E169" i="15" s="1"/>
  <c r="F169" i="15" s="1"/>
  <c r="G169" i="15" s="1"/>
  <c r="H169" i="15" s="1"/>
  <c r="I169" i="15" s="1"/>
  <c r="J169" i="15" s="1"/>
  <c r="K169" i="15" s="1"/>
  <c r="L169" i="15" s="1"/>
  <c r="M169" i="15" s="1"/>
  <c r="N169" i="15" s="1"/>
  <c r="O169" i="15" s="1"/>
  <c r="P169" i="15" s="1"/>
  <c r="Q169" i="15" s="1"/>
  <c r="R169" i="15" s="1"/>
  <c r="S169" i="15" s="1"/>
  <c r="T169" i="15" s="1"/>
  <c r="U169" i="15" s="1"/>
  <c r="V169" i="15" s="1"/>
  <c r="W169" i="15" s="1"/>
  <c r="X169" i="15" s="1"/>
  <c r="Y169" i="15" s="1"/>
  <c r="Z169" i="15" s="1"/>
  <c r="AA169" i="15" s="1"/>
  <c r="AB169" i="15" s="1"/>
  <c r="AC169" i="15" s="1"/>
  <c r="AD169" i="15" s="1"/>
  <c r="AE169" i="15" s="1"/>
  <c r="AF169" i="15" s="1"/>
  <c r="B169" i="15" s="1"/>
  <c r="M167" i="15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I167" i="15"/>
  <c r="J167" i="15" s="1"/>
  <c r="K167" i="15" s="1"/>
  <c r="L167" i="15" s="1"/>
  <c r="G167" i="15"/>
  <c r="H167" i="15" s="1"/>
  <c r="E167" i="15"/>
  <c r="F167" i="15" s="1"/>
  <c r="D167" i="15"/>
  <c r="AC166" i="15"/>
  <c r="AD166" i="15" s="1"/>
  <c r="AE166" i="15" s="1"/>
  <c r="AF166" i="15" s="1"/>
  <c r="B166" i="15" s="1"/>
  <c r="G166" i="15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E166" i="15"/>
  <c r="F166" i="15" s="1"/>
  <c r="D166" i="15"/>
  <c r="T165" i="15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F165" i="15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D165" i="15"/>
  <c r="E165" i="15" s="1"/>
  <c r="AB164" i="15"/>
  <c r="AC164" i="15" s="1"/>
  <c r="AD164" i="15" s="1"/>
  <c r="AE164" i="15" s="1"/>
  <c r="AF164" i="15" s="1"/>
  <c r="B164" i="15" s="1"/>
  <c r="G164" i="15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D164" i="15"/>
  <c r="E164" i="15" s="1"/>
  <c r="F164" i="15" s="1"/>
  <c r="J163" i="15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G163" i="15"/>
  <c r="H163" i="15" s="1"/>
  <c r="I163" i="15" s="1"/>
  <c r="E163" i="15"/>
  <c r="F163" i="15" s="1"/>
  <c r="D163" i="15"/>
  <c r="Z162" i="15"/>
  <c r="AA162" i="15" s="1"/>
  <c r="AB162" i="15" s="1"/>
  <c r="AC162" i="15" s="1"/>
  <c r="AD162" i="15" s="1"/>
  <c r="AE162" i="15" s="1"/>
  <c r="AF162" i="15" s="1"/>
  <c r="B162" i="15" s="1"/>
  <c r="E162" i="15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D162" i="15"/>
  <c r="E161" i="15"/>
  <c r="F161" i="15" s="1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D161" i="15"/>
  <c r="L160" i="15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G160" i="15"/>
  <c r="H160" i="15" s="1"/>
  <c r="I160" i="15" s="1"/>
  <c r="J160" i="15" s="1"/>
  <c r="K160" i="15" s="1"/>
  <c r="E160" i="15"/>
  <c r="F160" i="15" s="1"/>
  <c r="D160" i="15"/>
  <c r="H159" i="15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D159" i="15"/>
  <c r="E159" i="15" s="1"/>
  <c r="F159" i="15" s="1"/>
  <c r="G159" i="15" s="1"/>
  <c r="N158" i="15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H158" i="15"/>
  <c r="I158" i="15" s="1"/>
  <c r="J158" i="15" s="1"/>
  <c r="K158" i="15" s="1"/>
  <c r="L158" i="15" s="1"/>
  <c r="M158" i="15" s="1"/>
  <c r="E158" i="15"/>
  <c r="F158" i="15" s="1"/>
  <c r="G158" i="15" s="1"/>
  <c r="D158" i="15"/>
  <c r="K157" i="15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G157" i="15"/>
  <c r="H157" i="15" s="1"/>
  <c r="I157" i="15" s="1"/>
  <c r="J157" i="15" s="1"/>
  <c r="E157" i="15"/>
  <c r="F157" i="15" s="1"/>
  <c r="D157" i="15"/>
  <c r="M156" i="15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B156" i="15" s="1"/>
  <c r="J156" i="15"/>
  <c r="K156" i="15" s="1"/>
  <c r="L156" i="15" s="1"/>
  <c r="D156" i="15"/>
  <c r="E156" i="15" s="1"/>
  <c r="F156" i="15" s="1"/>
  <c r="G156" i="15" s="1"/>
  <c r="H156" i="15" s="1"/>
  <c r="I156" i="15" s="1"/>
  <c r="F155" i="15"/>
  <c r="G155" i="15" s="1"/>
  <c r="H155" i="15" s="1"/>
  <c r="I155" i="15" s="1"/>
  <c r="J155" i="15" s="1"/>
  <c r="K155" i="15" s="1"/>
  <c r="L155" i="15" s="1"/>
  <c r="M155" i="15" s="1"/>
  <c r="N155" i="15" s="1"/>
  <c r="O155" i="15" s="1"/>
  <c r="P155" i="15" s="1"/>
  <c r="Q155" i="15" s="1"/>
  <c r="R155" i="15" s="1"/>
  <c r="S155" i="15" s="1"/>
  <c r="T155" i="15" s="1"/>
  <c r="U155" i="15" s="1"/>
  <c r="V155" i="15" s="1"/>
  <c r="W155" i="15" s="1"/>
  <c r="X155" i="15" s="1"/>
  <c r="Y155" i="15" s="1"/>
  <c r="Z155" i="15" s="1"/>
  <c r="AA155" i="15" s="1"/>
  <c r="AB155" i="15" s="1"/>
  <c r="AC155" i="15" s="1"/>
  <c r="AD155" i="15" s="1"/>
  <c r="AE155" i="15" s="1"/>
  <c r="AF155" i="15" s="1"/>
  <c r="B155" i="15" s="1"/>
  <c r="D155" i="15"/>
  <c r="E155" i="15" s="1"/>
  <c r="O153" i="15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D153" i="15"/>
  <c r="E153" i="15" s="1"/>
  <c r="F153" i="15" s="1"/>
  <c r="G153" i="15" s="1"/>
  <c r="H153" i="15" s="1"/>
  <c r="I153" i="15" s="1"/>
  <c r="J153" i="15" s="1"/>
  <c r="K153" i="15" s="1"/>
  <c r="L153" i="15" s="1"/>
  <c r="M153" i="15" s="1"/>
  <c r="N153" i="15" s="1"/>
  <c r="X152" i="15"/>
  <c r="Y152" i="15" s="1"/>
  <c r="Z152" i="15" s="1"/>
  <c r="AA152" i="15" s="1"/>
  <c r="AB152" i="15" s="1"/>
  <c r="AC152" i="15" s="1"/>
  <c r="AD152" i="15" s="1"/>
  <c r="AE152" i="15" s="1"/>
  <c r="AF152" i="15" s="1"/>
  <c r="B152" i="15" s="1"/>
  <c r="J152" i="15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F152" i="15"/>
  <c r="G152" i="15" s="1"/>
  <c r="H152" i="15" s="1"/>
  <c r="I152" i="15" s="1"/>
  <c r="E152" i="15"/>
  <c r="D152" i="15"/>
  <c r="W151" i="15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O151" i="15"/>
  <c r="P151" i="15" s="1"/>
  <c r="Q151" i="15" s="1"/>
  <c r="R151" i="15" s="1"/>
  <c r="S151" i="15" s="1"/>
  <c r="T151" i="15" s="1"/>
  <c r="U151" i="15" s="1"/>
  <c r="V151" i="15" s="1"/>
  <c r="D151" i="15"/>
  <c r="E151" i="15" s="1"/>
  <c r="F151" i="15" s="1"/>
  <c r="G151" i="15" s="1"/>
  <c r="H151" i="15" s="1"/>
  <c r="I151" i="15" s="1"/>
  <c r="J151" i="15" s="1"/>
  <c r="K151" i="15" s="1"/>
  <c r="L151" i="15" s="1"/>
  <c r="M151" i="15" s="1"/>
  <c r="N151" i="15" s="1"/>
  <c r="J150" i="15"/>
  <c r="K150" i="15" s="1"/>
  <c r="L150" i="15" s="1"/>
  <c r="M150" i="15" s="1"/>
  <c r="N150" i="15" s="1"/>
  <c r="O150" i="15" s="1"/>
  <c r="P150" i="15" s="1"/>
  <c r="Q150" i="15" s="1"/>
  <c r="R150" i="15" s="1"/>
  <c r="S150" i="15" s="1"/>
  <c r="T150" i="15" s="1"/>
  <c r="U150" i="15" s="1"/>
  <c r="V150" i="15" s="1"/>
  <c r="W150" i="15" s="1"/>
  <c r="X150" i="15" s="1"/>
  <c r="Y150" i="15" s="1"/>
  <c r="Z150" i="15" s="1"/>
  <c r="AA150" i="15" s="1"/>
  <c r="AB150" i="15" s="1"/>
  <c r="AC150" i="15" s="1"/>
  <c r="AD150" i="15" s="1"/>
  <c r="AE150" i="15" s="1"/>
  <c r="AF150" i="15" s="1"/>
  <c r="B150" i="15" s="1"/>
  <c r="G150" i="15"/>
  <c r="H150" i="15" s="1"/>
  <c r="I150" i="15" s="1"/>
  <c r="D150" i="15"/>
  <c r="E150" i="15" s="1"/>
  <c r="F150" i="15" s="1"/>
  <c r="AF148" i="15"/>
  <c r="B148" i="15" s="1"/>
  <c r="S148" i="15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K148" i="15"/>
  <c r="L148" i="15" s="1"/>
  <c r="M148" i="15" s="1"/>
  <c r="N148" i="15" s="1"/>
  <c r="O148" i="15" s="1"/>
  <c r="P148" i="15" s="1"/>
  <c r="Q148" i="15" s="1"/>
  <c r="R148" i="15" s="1"/>
  <c r="H148" i="15"/>
  <c r="I148" i="15" s="1"/>
  <c r="J148" i="15" s="1"/>
  <c r="E148" i="15"/>
  <c r="F148" i="15" s="1"/>
  <c r="G148" i="15" s="1"/>
  <c r="D148" i="15"/>
  <c r="I147" i="15"/>
  <c r="J147" i="15" s="1"/>
  <c r="K147" i="15" s="1"/>
  <c r="L147" i="15" s="1"/>
  <c r="M147" i="15" s="1"/>
  <c r="N147" i="15" s="1"/>
  <c r="O147" i="15" s="1"/>
  <c r="P147" i="15" s="1"/>
  <c r="Q147" i="15" s="1"/>
  <c r="R147" i="15" s="1"/>
  <c r="S147" i="15" s="1"/>
  <c r="T147" i="15" s="1"/>
  <c r="U147" i="15" s="1"/>
  <c r="V147" i="15" s="1"/>
  <c r="W147" i="15" s="1"/>
  <c r="X147" i="15" s="1"/>
  <c r="Y147" i="15" s="1"/>
  <c r="Z147" i="15" s="1"/>
  <c r="AA147" i="15" s="1"/>
  <c r="AB147" i="15" s="1"/>
  <c r="AC147" i="15" s="1"/>
  <c r="AD147" i="15" s="1"/>
  <c r="AE147" i="15" s="1"/>
  <c r="AF147" i="15" s="1"/>
  <c r="B147" i="15" s="1"/>
  <c r="F147" i="15"/>
  <c r="G147" i="15" s="1"/>
  <c r="H147" i="15" s="1"/>
  <c r="E147" i="15"/>
  <c r="D147" i="15"/>
  <c r="N145" i="15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I145" i="15"/>
  <c r="J145" i="15" s="1"/>
  <c r="K145" i="15" s="1"/>
  <c r="L145" i="15" s="1"/>
  <c r="M145" i="15" s="1"/>
  <c r="H145" i="15"/>
  <c r="F145" i="15"/>
  <c r="G145" i="15" s="1"/>
  <c r="D145" i="15"/>
  <c r="E145" i="15" s="1"/>
  <c r="D144" i="15"/>
  <c r="E144" i="15" s="1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T143" i="15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B143" i="15" s="1"/>
  <c r="L143" i="15"/>
  <c r="M143" i="15" s="1"/>
  <c r="N143" i="15" s="1"/>
  <c r="O143" i="15" s="1"/>
  <c r="P143" i="15" s="1"/>
  <c r="Q143" i="15" s="1"/>
  <c r="R143" i="15" s="1"/>
  <c r="S143" i="15" s="1"/>
  <c r="J143" i="15"/>
  <c r="K143" i="15" s="1"/>
  <c r="E143" i="15"/>
  <c r="F143" i="15" s="1"/>
  <c r="G143" i="15" s="1"/>
  <c r="H143" i="15" s="1"/>
  <c r="I143" i="15" s="1"/>
  <c r="D143" i="15"/>
  <c r="H142" i="15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F142" i="15"/>
  <c r="G142" i="15" s="1"/>
  <c r="E142" i="15"/>
  <c r="D142" i="15"/>
  <c r="W141" i="15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N141" i="15"/>
  <c r="O141" i="15" s="1"/>
  <c r="P141" i="15" s="1"/>
  <c r="Q141" i="15" s="1"/>
  <c r="R141" i="15" s="1"/>
  <c r="S141" i="15" s="1"/>
  <c r="T141" i="15" s="1"/>
  <c r="U141" i="15" s="1"/>
  <c r="V141" i="15" s="1"/>
  <c r="L141" i="15"/>
  <c r="M141" i="15" s="1"/>
  <c r="I141" i="15"/>
  <c r="J141" i="15" s="1"/>
  <c r="K141" i="15" s="1"/>
  <c r="G141" i="15"/>
  <c r="H141" i="15" s="1"/>
  <c r="F141" i="15"/>
  <c r="D141" i="15"/>
  <c r="E141" i="15" s="1"/>
  <c r="AC140" i="15"/>
  <c r="AD140" i="15" s="1"/>
  <c r="AE140" i="15" s="1"/>
  <c r="AF140" i="15" s="1"/>
  <c r="B140" i="15" s="1"/>
  <c r="O140" i="15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G140" i="15"/>
  <c r="H140" i="15" s="1"/>
  <c r="I140" i="15" s="1"/>
  <c r="J140" i="15" s="1"/>
  <c r="K140" i="15" s="1"/>
  <c r="L140" i="15" s="1"/>
  <c r="M140" i="15" s="1"/>
  <c r="N140" i="15" s="1"/>
  <c r="E140" i="15"/>
  <c r="F140" i="15" s="1"/>
  <c r="D140" i="15"/>
  <c r="AA139" i="15"/>
  <c r="AB139" i="15" s="1"/>
  <c r="AC139" i="15" s="1"/>
  <c r="AD139" i="15" s="1"/>
  <c r="AE139" i="15" s="1"/>
  <c r="AF139" i="15" s="1"/>
  <c r="B139" i="15" s="1"/>
  <c r="S139" i="15"/>
  <c r="T139" i="15" s="1"/>
  <c r="U139" i="15" s="1"/>
  <c r="V139" i="15" s="1"/>
  <c r="W139" i="15" s="1"/>
  <c r="X139" i="15" s="1"/>
  <c r="Y139" i="15" s="1"/>
  <c r="Z139" i="15" s="1"/>
  <c r="E139" i="15"/>
  <c r="F139" i="15" s="1"/>
  <c r="G139" i="15" s="1"/>
  <c r="H139" i="15" s="1"/>
  <c r="I139" i="15" s="1"/>
  <c r="J139" i="15" s="1"/>
  <c r="K139" i="15" s="1"/>
  <c r="L139" i="15" s="1"/>
  <c r="M139" i="15" s="1"/>
  <c r="N139" i="15" s="1"/>
  <c r="O139" i="15" s="1"/>
  <c r="P139" i="15" s="1"/>
  <c r="Q139" i="15" s="1"/>
  <c r="R139" i="15" s="1"/>
  <c r="D139" i="15"/>
  <c r="J137" i="15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I137" i="15"/>
  <c r="F137" i="15"/>
  <c r="G137" i="15" s="1"/>
  <c r="H137" i="15" s="1"/>
  <c r="D137" i="15"/>
  <c r="E137" i="15" s="1"/>
  <c r="V136" i="15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K136" i="15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I136" i="15"/>
  <c r="J136" i="15" s="1"/>
  <c r="G136" i="15"/>
  <c r="H136" i="15" s="1"/>
  <c r="F136" i="15"/>
  <c r="D136" i="15"/>
  <c r="E136" i="15" s="1"/>
  <c r="I135" i="15"/>
  <c r="J135" i="15" s="1"/>
  <c r="K135" i="15" s="1"/>
  <c r="L135" i="15" s="1"/>
  <c r="M135" i="15" s="1"/>
  <c r="N135" i="15" s="1"/>
  <c r="O135" i="15" s="1"/>
  <c r="P135" i="15" s="1"/>
  <c r="Q135" i="15" s="1"/>
  <c r="R135" i="15" s="1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F135" i="15"/>
  <c r="G135" i="15" s="1"/>
  <c r="H135" i="15" s="1"/>
  <c r="E135" i="15"/>
  <c r="D135" i="15"/>
  <c r="P134" i="15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E134" i="15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D134" i="15"/>
  <c r="AC133" i="15"/>
  <c r="AD133" i="15" s="1"/>
  <c r="AE133" i="15" s="1"/>
  <c r="AF133" i="15" s="1"/>
  <c r="B133" i="15" s="1"/>
  <c r="S133" i="15"/>
  <c r="T133" i="15" s="1"/>
  <c r="U133" i="15" s="1"/>
  <c r="V133" i="15" s="1"/>
  <c r="W133" i="15" s="1"/>
  <c r="X133" i="15" s="1"/>
  <c r="Y133" i="15" s="1"/>
  <c r="Z133" i="15" s="1"/>
  <c r="AA133" i="15" s="1"/>
  <c r="AB133" i="15" s="1"/>
  <c r="K133" i="15"/>
  <c r="L133" i="15" s="1"/>
  <c r="M133" i="15" s="1"/>
  <c r="N133" i="15" s="1"/>
  <c r="O133" i="15" s="1"/>
  <c r="P133" i="15" s="1"/>
  <c r="Q133" i="15" s="1"/>
  <c r="R133" i="15" s="1"/>
  <c r="J133" i="15"/>
  <c r="H133" i="15"/>
  <c r="I133" i="15" s="1"/>
  <c r="E133" i="15"/>
  <c r="F133" i="15" s="1"/>
  <c r="G133" i="15" s="1"/>
  <c r="D133" i="15"/>
  <c r="H132" i="15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D132" i="15"/>
  <c r="E132" i="15" s="1"/>
  <c r="F132" i="15" s="1"/>
  <c r="G132" i="15" s="1"/>
  <c r="P131" i="15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G131" i="15"/>
  <c r="H131" i="15" s="1"/>
  <c r="I131" i="15" s="1"/>
  <c r="J131" i="15" s="1"/>
  <c r="K131" i="15" s="1"/>
  <c r="L131" i="15" s="1"/>
  <c r="M131" i="15" s="1"/>
  <c r="N131" i="15" s="1"/>
  <c r="O131" i="15" s="1"/>
  <c r="F131" i="15"/>
  <c r="D131" i="15"/>
  <c r="E131" i="15" s="1"/>
  <c r="M130" i="15"/>
  <c r="N130" i="15" s="1"/>
  <c r="O130" i="15" s="1"/>
  <c r="P130" i="15" s="1"/>
  <c r="Q130" i="15" s="1"/>
  <c r="R130" i="15" s="1"/>
  <c r="S130" i="15" s="1"/>
  <c r="T130" i="15" s="1"/>
  <c r="U130" i="15" s="1"/>
  <c r="V130" i="15" s="1"/>
  <c r="W130" i="15" s="1"/>
  <c r="X130" i="15" s="1"/>
  <c r="Y130" i="15" s="1"/>
  <c r="Z130" i="15" s="1"/>
  <c r="AA130" i="15" s="1"/>
  <c r="AB130" i="15" s="1"/>
  <c r="AC130" i="15" s="1"/>
  <c r="AD130" i="15" s="1"/>
  <c r="AE130" i="15" s="1"/>
  <c r="AF130" i="15" s="1"/>
  <c r="B130" i="15" s="1"/>
  <c r="J130" i="15"/>
  <c r="K130" i="15" s="1"/>
  <c r="L130" i="15" s="1"/>
  <c r="D130" i="15"/>
  <c r="E130" i="15" s="1"/>
  <c r="F130" i="15" s="1"/>
  <c r="G130" i="15" s="1"/>
  <c r="H130" i="15" s="1"/>
  <c r="I130" i="15" s="1"/>
  <c r="L128" i="15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I128" i="15"/>
  <c r="J128" i="15" s="1"/>
  <c r="K128" i="15" s="1"/>
  <c r="F128" i="15"/>
  <c r="G128" i="15" s="1"/>
  <c r="H128" i="15" s="1"/>
  <c r="E128" i="15"/>
  <c r="D128" i="15"/>
  <c r="D127" i="15"/>
  <c r="E127" i="15" s="1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E126" i="15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D126" i="15"/>
  <c r="K125" i="15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J125" i="15"/>
  <c r="D125" i="15"/>
  <c r="E125" i="15" s="1"/>
  <c r="F125" i="15" s="1"/>
  <c r="G125" i="15" s="1"/>
  <c r="H125" i="15" s="1"/>
  <c r="I125" i="15" s="1"/>
  <c r="H124" i="15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D124" i="15"/>
  <c r="E124" i="15" s="1"/>
  <c r="F124" i="15" s="1"/>
  <c r="G124" i="15" s="1"/>
  <c r="I123" i="15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D123" i="15"/>
  <c r="E123" i="15" s="1"/>
  <c r="F123" i="15" s="1"/>
  <c r="G123" i="15" s="1"/>
  <c r="H123" i="15" s="1"/>
  <c r="J122" i="15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G122" i="15"/>
  <c r="H122" i="15" s="1"/>
  <c r="I122" i="15" s="1"/>
  <c r="F122" i="15"/>
  <c r="D122" i="15"/>
  <c r="E122" i="15" s="1"/>
  <c r="H121" i="15"/>
  <c r="I121" i="15" s="1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E121" i="15"/>
  <c r="F121" i="15" s="1"/>
  <c r="G121" i="15" s="1"/>
  <c r="D121" i="15"/>
  <c r="G120" i="15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F120" i="15"/>
  <c r="E120" i="15"/>
  <c r="D120" i="15"/>
  <c r="F119" i="15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E119" i="15"/>
  <c r="D119" i="15"/>
  <c r="E118" i="15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D118" i="15"/>
  <c r="H117" i="15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E117" i="15"/>
  <c r="F117" i="15" s="1"/>
  <c r="G117" i="15" s="1"/>
  <c r="D117" i="15"/>
  <c r="H116" i="15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G116" i="15"/>
  <c r="F116" i="15"/>
  <c r="E116" i="15"/>
  <c r="D116" i="15"/>
  <c r="K115" i="15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F115" i="15"/>
  <c r="G115" i="15" s="1"/>
  <c r="H115" i="15" s="1"/>
  <c r="I115" i="15" s="1"/>
  <c r="J115" i="15" s="1"/>
  <c r="E115" i="15"/>
  <c r="D115" i="15"/>
  <c r="E114" i="15"/>
  <c r="F114" i="15" s="1"/>
  <c r="G114" i="15" s="1"/>
  <c r="H114" i="15" s="1"/>
  <c r="I114" i="15" s="1"/>
  <c r="J114" i="15" s="1"/>
  <c r="K114" i="15" s="1"/>
  <c r="L114" i="15" s="1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D114" i="15"/>
  <c r="D93" i="15" s="1"/>
  <c r="Q113" i="15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P113" i="15"/>
  <c r="K113" i="15"/>
  <c r="L113" i="15" s="1"/>
  <c r="M113" i="15" s="1"/>
  <c r="N113" i="15" s="1"/>
  <c r="O113" i="15" s="1"/>
  <c r="I113" i="15"/>
  <c r="G113" i="15"/>
  <c r="H113" i="15" s="1"/>
  <c r="F113" i="15"/>
  <c r="D113" i="15"/>
  <c r="E113" i="15" s="1"/>
  <c r="D112" i="15"/>
  <c r="E112" i="15" s="1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B111" i="15" s="1"/>
  <c r="D111" i="15"/>
  <c r="E109" i="15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D109" i="15"/>
  <c r="H108" i="15"/>
  <c r="I108" i="15" s="1"/>
  <c r="J108" i="15" s="1"/>
  <c r="K108" i="15" s="1"/>
  <c r="L108" i="15" s="1"/>
  <c r="M108" i="15" s="1"/>
  <c r="N108" i="15" s="1"/>
  <c r="O108" i="15" s="1"/>
  <c r="P108" i="15" s="1"/>
  <c r="Q108" i="15" s="1"/>
  <c r="R108" i="15" s="1"/>
  <c r="S108" i="15" s="1"/>
  <c r="T108" i="15" s="1"/>
  <c r="U108" i="15" s="1"/>
  <c r="V108" i="15" s="1"/>
  <c r="W108" i="15" s="1"/>
  <c r="X108" i="15" s="1"/>
  <c r="Y108" i="15" s="1"/>
  <c r="Z108" i="15" s="1"/>
  <c r="AA108" i="15" s="1"/>
  <c r="AB108" i="15" s="1"/>
  <c r="AC108" i="15" s="1"/>
  <c r="AD108" i="15" s="1"/>
  <c r="AE108" i="15" s="1"/>
  <c r="AF108" i="15" s="1"/>
  <c r="B108" i="15" s="1"/>
  <c r="G108" i="15"/>
  <c r="F108" i="15"/>
  <c r="D108" i="15"/>
  <c r="E108" i="15" s="1"/>
  <c r="F106" i="15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E106" i="15"/>
  <c r="D106" i="15"/>
  <c r="G105" i="15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F105" i="15"/>
  <c r="D105" i="15"/>
  <c r="E105" i="15" s="1"/>
  <c r="E104" i="15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D104" i="15"/>
  <c r="G103" i="15"/>
  <c r="H103" i="15" s="1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B103" i="15" s="1"/>
  <c r="D103" i="15"/>
  <c r="E103" i="15" s="1"/>
  <c r="F103" i="15" s="1"/>
  <c r="E102" i="15"/>
  <c r="E93" i="15" s="1"/>
  <c r="D102" i="15"/>
  <c r="E101" i="15"/>
  <c r="D101" i="15"/>
  <c r="AH99" i="15"/>
  <c r="AI99" i="15" s="1"/>
  <c r="AH98" i="15"/>
  <c r="AI98" i="15" s="1"/>
  <c r="AH97" i="15"/>
  <c r="AI97" i="15" s="1"/>
  <c r="AH96" i="15"/>
  <c r="AI96" i="15" s="1"/>
  <c r="AH95" i="15"/>
  <c r="AI95" i="15" s="1"/>
  <c r="AH94" i="15"/>
  <c r="AI94" i="15" s="1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G82" i="15"/>
  <c r="AI81" i="15"/>
  <c r="AH81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F76" i="15"/>
  <c r="AE76" i="15"/>
  <c r="AD76" i="15"/>
  <c r="AC76" i="15"/>
  <c r="AB76" i="15"/>
  <c r="AA76" i="15"/>
  <c r="Z76" i="15"/>
  <c r="Y76" i="15"/>
  <c r="X76" i="15"/>
  <c r="W76" i="15"/>
  <c r="V76" i="15"/>
  <c r="V82" i="15" s="1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I74" i="15"/>
  <c r="AH74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AI71" i="15"/>
  <c r="AH71" i="15"/>
  <c r="AI70" i="15"/>
  <c r="AH70" i="15"/>
  <c r="AI69" i="15"/>
  <c r="AH69" i="15"/>
  <c r="AG68" i="15"/>
  <c r="AF68" i="15"/>
  <c r="AE5" i="15" s="1"/>
  <c r="AE68" i="15"/>
  <c r="AD5" i="15" s="1"/>
  <c r="AD68" i="15"/>
  <c r="AC68" i="15"/>
  <c r="AB68" i="15"/>
  <c r="AA5" i="15" s="1"/>
  <c r="AA68" i="15"/>
  <c r="Z5" i="15" s="1"/>
  <c r="Z68" i="15"/>
  <c r="Y68" i="15"/>
  <c r="X68" i="15"/>
  <c r="W68" i="15"/>
  <c r="V5" i="15" s="1"/>
  <c r="V68" i="15"/>
  <c r="U68" i="15"/>
  <c r="T5" i="15" s="1"/>
  <c r="T68" i="15"/>
  <c r="S68" i="15"/>
  <c r="R68" i="15"/>
  <c r="Q5" i="15" s="1"/>
  <c r="Q68" i="15"/>
  <c r="P5" i="15" s="1"/>
  <c r="P68" i="15"/>
  <c r="O5" i="15" s="1"/>
  <c r="O68" i="15"/>
  <c r="N5" i="15" s="1"/>
  <c r="N68" i="15"/>
  <c r="M68" i="15"/>
  <c r="L68" i="15"/>
  <c r="K68" i="15"/>
  <c r="J5" i="15" s="1"/>
  <c r="J68" i="15"/>
  <c r="I5" i="15" s="1"/>
  <c r="I68" i="15"/>
  <c r="H68" i="15"/>
  <c r="G5" i="15" s="1"/>
  <c r="G68" i="15"/>
  <c r="F5" i="15" s="1"/>
  <c r="F68" i="15"/>
  <c r="E5" i="15" s="1"/>
  <c r="E68" i="15"/>
  <c r="D68" i="15"/>
  <c r="C68" i="15"/>
  <c r="B5" i="15" s="1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I55" i="15"/>
  <c r="AH55" i="15"/>
  <c r="AI54" i="15"/>
  <c r="AH54" i="15"/>
  <c r="AI53" i="15"/>
  <c r="AH53" i="15"/>
  <c r="Z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G51" i="15"/>
  <c r="AG52" i="15" s="1"/>
  <c r="AG3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G2" i="15" s="1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S73" i="15" s="1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H37" i="15"/>
  <c r="AI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C5" i="15"/>
  <c r="AB5" i="15"/>
  <c r="Y5" i="15"/>
  <c r="W5" i="15"/>
  <c r="U5" i="15"/>
  <c r="R5" i="15"/>
  <c r="M5" i="15"/>
  <c r="L5" i="15"/>
  <c r="D5" i="15"/>
  <c r="AG4" i="15"/>
  <c r="K4" i="15"/>
  <c r="B4" i="15"/>
  <c r="E4" i="15"/>
  <c r="AD82" i="15" l="1"/>
  <c r="AB82" i="15"/>
  <c r="Z82" i="15"/>
  <c r="N82" i="15"/>
  <c r="AI80" i="15"/>
  <c r="L82" i="15"/>
  <c r="K75" i="15"/>
  <c r="AC213" i="15" s="1"/>
  <c r="J82" i="15"/>
  <c r="F82" i="15"/>
  <c r="D82" i="15"/>
  <c r="AI77" i="15"/>
  <c r="D73" i="15"/>
  <c r="AI56" i="15"/>
  <c r="B75" i="15"/>
  <c r="B82" i="15"/>
  <c r="C73" i="15"/>
  <c r="C75" i="15" s="1"/>
  <c r="C7" i="15" s="1"/>
  <c r="W82" i="15"/>
  <c r="AE82" i="15"/>
  <c r="X82" i="15"/>
  <c r="I82" i="15"/>
  <c r="Q82" i="15"/>
  <c r="Y82" i="15"/>
  <c r="R82" i="15"/>
  <c r="AH80" i="15"/>
  <c r="S82" i="15"/>
  <c r="T82" i="15"/>
  <c r="AI79" i="15"/>
  <c r="C82" i="15"/>
  <c r="K82" i="15"/>
  <c r="AA82" i="15"/>
  <c r="G82" i="15"/>
  <c r="O82" i="15"/>
  <c r="H82" i="15"/>
  <c r="P82" i="15"/>
  <c r="AF82" i="15"/>
  <c r="T73" i="15"/>
  <c r="E75" i="15"/>
  <c r="E7" i="15" s="1"/>
  <c r="M75" i="15"/>
  <c r="M7" i="15" s="1"/>
  <c r="H75" i="15"/>
  <c r="H7" i="15" s="1"/>
  <c r="P73" i="15"/>
  <c r="P75" i="15"/>
  <c r="AH213" i="15" s="1"/>
  <c r="Q73" i="15"/>
  <c r="AH56" i="15"/>
  <c r="L75" i="15"/>
  <c r="AD213" i="15" s="1"/>
  <c r="T75" i="15"/>
  <c r="AL213" i="15" s="1"/>
  <c r="I73" i="15"/>
  <c r="E73" i="15"/>
  <c r="M73" i="15"/>
  <c r="AH38" i="15"/>
  <c r="O75" i="15"/>
  <c r="AG213" i="15" s="1"/>
  <c r="G75" i="15"/>
  <c r="Y213" i="15" s="1"/>
  <c r="D75" i="15"/>
  <c r="B83" i="15"/>
  <c r="H4" i="15"/>
  <c r="U213" i="15"/>
  <c r="AG75" i="15"/>
  <c r="AG6" i="15"/>
  <c r="AG73" i="15"/>
  <c r="AH76" i="15"/>
  <c r="H5" i="15"/>
  <c r="X5" i="15"/>
  <c r="H73" i="15"/>
  <c r="AI76" i="15"/>
  <c r="AH77" i="15"/>
  <c r="D191" i="15"/>
  <c r="AH78" i="15"/>
  <c r="E191" i="15"/>
  <c r="F101" i="15"/>
  <c r="R73" i="15"/>
  <c r="Z75" i="15"/>
  <c r="AI38" i="15"/>
  <c r="J73" i="15"/>
  <c r="Z73" i="15"/>
  <c r="AH68" i="15"/>
  <c r="J75" i="15"/>
  <c r="R75" i="15"/>
  <c r="AH72" i="15"/>
  <c r="K73" i="15"/>
  <c r="Q75" i="15"/>
  <c r="AI78" i="15"/>
  <c r="AH79" i="15"/>
  <c r="C5" i="15"/>
  <c r="K5" i="15"/>
  <c r="S5" i="15"/>
  <c r="AI68" i="15"/>
  <c r="AI72" i="15"/>
  <c r="L73" i="15"/>
  <c r="S75" i="15"/>
  <c r="E82" i="15"/>
  <c r="M82" i="15"/>
  <c r="U82" i="15"/>
  <c r="AC82" i="15"/>
  <c r="I75" i="15"/>
  <c r="G73" i="15"/>
  <c r="S210" i="15"/>
  <c r="D210" i="15"/>
  <c r="O73" i="15"/>
  <c r="F73" i="15"/>
  <c r="N73" i="15"/>
  <c r="F75" i="15"/>
  <c r="N75" i="15"/>
  <c r="F102" i="15"/>
  <c r="F193" i="15"/>
  <c r="E195" i="15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D199" i="15"/>
  <c r="E234" i="15"/>
  <c r="G198" i="15"/>
  <c r="S83" i="15" l="1"/>
  <c r="P83" i="15"/>
  <c r="O83" i="15"/>
  <c r="AE213" i="15"/>
  <c r="K7" i="15"/>
  <c r="L83" i="15"/>
  <c r="L7" i="15"/>
  <c r="K83" i="15"/>
  <c r="Z213" i="15"/>
  <c r="E83" i="15"/>
  <c r="D83" i="15"/>
  <c r="D7" i="15"/>
  <c r="C83" i="15"/>
  <c r="G7" i="15"/>
  <c r="G83" i="15"/>
  <c r="T7" i="15"/>
  <c r="P7" i="15"/>
  <c r="W213" i="15"/>
  <c r="T83" i="15"/>
  <c r="R83" i="15"/>
  <c r="M83" i="15"/>
  <c r="V213" i="15"/>
  <c r="O7" i="15"/>
  <c r="Z83" i="15"/>
  <c r="H83" i="15"/>
  <c r="C208" i="15"/>
  <c r="J83" i="15"/>
  <c r="F83" i="15"/>
  <c r="N83" i="15"/>
  <c r="AH82" i="15"/>
  <c r="F234" i="15"/>
  <c r="H198" i="15"/>
  <c r="AK213" i="15"/>
  <c r="S7" i="15"/>
  <c r="AI213" i="15"/>
  <c r="Q7" i="15"/>
  <c r="AA213" i="15"/>
  <c r="I7" i="15"/>
  <c r="Q83" i="15"/>
  <c r="F191" i="15"/>
  <c r="G101" i="15"/>
  <c r="X213" i="15"/>
  <c r="F7" i="15"/>
  <c r="AR213" i="15"/>
  <c r="Z7" i="15"/>
  <c r="AG83" i="15"/>
  <c r="I83" i="15"/>
  <c r="B208" i="15"/>
  <c r="G102" i="15"/>
  <c r="F93" i="15"/>
  <c r="AF213" i="15"/>
  <c r="N7" i="15"/>
  <c r="E199" i="15"/>
  <c r="AJ213" i="15"/>
  <c r="R7" i="15"/>
  <c r="G193" i="15"/>
  <c r="F199" i="15"/>
  <c r="AB213" i="15"/>
  <c r="J7" i="15"/>
  <c r="AI82" i="15"/>
  <c r="K6" i="15" l="1"/>
  <c r="G191" i="15"/>
  <c r="H101" i="15"/>
  <c r="H193" i="15"/>
  <c r="G199" i="15"/>
  <c r="I198" i="15"/>
  <c r="G234" i="15"/>
  <c r="H102" i="15"/>
  <c r="G93" i="15"/>
  <c r="J198" i="15" l="1"/>
  <c r="H234" i="15"/>
  <c r="H199" i="15"/>
  <c r="I193" i="15"/>
  <c r="H191" i="15"/>
  <c r="I101" i="15"/>
  <c r="H93" i="15"/>
  <c r="I102" i="15"/>
  <c r="I199" i="15" l="1"/>
  <c r="J193" i="15"/>
  <c r="I191" i="15"/>
  <c r="J101" i="15"/>
  <c r="I93" i="15"/>
  <c r="J102" i="15"/>
  <c r="I234" i="15"/>
  <c r="K198" i="15"/>
  <c r="K102" i="15" l="1"/>
  <c r="J93" i="15"/>
  <c r="J191" i="15"/>
  <c r="K101" i="15"/>
  <c r="J199" i="15"/>
  <c r="K193" i="15"/>
  <c r="J234" i="15"/>
  <c r="L198" i="15"/>
  <c r="L102" i="15" l="1"/>
  <c r="K93" i="15"/>
  <c r="M198" i="15"/>
  <c r="K234" i="15"/>
  <c r="L193" i="15"/>
  <c r="K199" i="15"/>
  <c r="K191" i="15"/>
  <c r="L101" i="15"/>
  <c r="L191" i="15" l="1"/>
  <c r="M101" i="15"/>
  <c r="L234" i="15"/>
  <c r="N198" i="15"/>
  <c r="M193" i="15"/>
  <c r="L199" i="15"/>
  <c r="M102" i="15"/>
  <c r="L93" i="15"/>
  <c r="M234" i="15" l="1"/>
  <c r="O198" i="15"/>
  <c r="M191" i="15"/>
  <c r="N101" i="15"/>
  <c r="M93" i="15"/>
  <c r="N102" i="15"/>
  <c r="N193" i="15"/>
  <c r="M199" i="15"/>
  <c r="N191" i="15" l="1"/>
  <c r="O101" i="15"/>
  <c r="N234" i="15"/>
  <c r="P198" i="15"/>
  <c r="O193" i="15"/>
  <c r="N199" i="15"/>
  <c r="O102" i="15"/>
  <c r="N93" i="15"/>
  <c r="P102" i="15" l="1"/>
  <c r="O93" i="15"/>
  <c r="P193" i="15"/>
  <c r="O199" i="15"/>
  <c r="Q198" i="15"/>
  <c r="O234" i="15"/>
  <c r="O191" i="15"/>
  <c r="P101" i="15"/>
  <c r="P191" i="15" l="1"/>
  <c r="Q101" i="15"/>
  <c r="P234" i="15"/>
  <c r="R198" i="15"/>
  <c r="Q193" i="15"/>
  <c r="P199" i="15"/>
  <c r="Q102" i="15"/>
  <c r="P93" i="15"/>
  <c r="Q93" i="15" l="1"/>
  <c r="R102" i="15"/>
  <c r="Q199" i="15"/>
  <c r="R193" i="15"/>
  <c r="Q234" i="15"/>
  <c r="S198" i="15"/>
  <c r="Q191" i="15"/>
  <c r="R101" i="15"/>
  <c r="R234" i="15" l="1"/>
  <c r="T198" i="15"/>
  <c r="R191" i="15"/>
  <c r="S101" i="15"/>
  <c r="R199" i="15"/>
  <c r="S193" i="15"/>
  <c r="S102" i="15"/>
  <c r="R93" i="15"/>
  <c r="T193" i="15" l="1"/>
  <c r="S199" i="15"/>
  <c r="S191" i="15"/>
  <c r="T101" i="15"/>
  <c r="S93" i="15"/>
  <c r="T102" i="15"/>
  <c r="U198" i="15"/>
  <c r="S234" i="15"/>
  <c r="T93" i="15" l="1"/>
  <c r="U102" i="15"/>
  <c r="T234" i="15"/>
  <c r="V198" i="15"/>
  <c r="T191" i="15"/>
  <c r="U101" i="15"/>
  <c r="T199" i="15"/>
  <c r="U193" i="15"/>
  <c r="V193" i="15" l="1"/>
  <c r="U199" i="15"/>
  <c r="U51" i="15" s="1"/>
  <c r="U52" i="15" s="1"/>
  <c r="U191" i="15"/>
  <c r="V101" i="15"/>
  <c r="U234" i="15"/>
  <c r="W198" i="15"/>
  <c r="V102" i="15"/>
  <c r="U93" i="15"/>
  <c r="W102" i="15" l="1"/>
  <c r="V93" i="15"/>
  <c r="V234" i="15"/>
  <c r="X198" i="15"/>
  <c r="V191" i="15"/>
  <c r="W101" i="15"/>
  <c r="U73" i="15"/>
  <c r="U75" i="15"/>
  <c r="W193" i="15"/>
  <c r="V199" i="15"/>
  <c r="V51" i="15" s="1"/>
  <c r="V52" i="15" s="1"/>
  <c r="AM213" i="15" l="1"/>
  <c r="U7" i="15"/>
  <c r="U83" i="15"/>
  <c r="W191" i="15"/>
  <c r="X101" i="15"/>
  <c r="Y198" i="15"/>
  <c r="W234" i="15"/>
  <c r="V73" i="15"/>
  <c r="V75" i="15"/>
  <c r="X193" i="15"/>
  <c r="W199" i="15"/>
  <c r="W51" i="15" s="1"/>
  <c r="W52" i="15" s="1"/>
  <c r="X102" i="15"/>
  <c r="W93" i="15"/>
  <c r="V83" i="15" l="1"/>
  <c r="X234" i="15"/>
  <c r="Z198" i="15"/>
  <c r="X191" i="15"/>
  <c r="Y101" i="15"/>
  <c r="Y102" i="15"/>
  <c r="X93" i="15"/>
  <c r="W73" i="15"/>
  <c r="W75" i="15"/>
  <c r="X199" i="15"/>
  <c r="X51" i="15" s="1"/>
  <c r="X52" i="15" s="1"/>
  <c r="Y193" i="15"/>
  <c r="AN213" i="15"/>
  <c r="V7" i="15"/>
  <c r="AO213" i="15" l="1"/>
  <c r="W7" i="15"/>
  <c r="W83" i="15"/>
  <c r="Z102" i="15"/>
  <c r="Y93" i="15"/>
  <c r="Y191" i="15"/>
  <c r="Z101" i="15"/>
  <c r="Y199" i="15"/>
  <c r="Y51" i="15" s="1"/>
  <c r="Y52" i="15" s="1"/>
  <c r="Z193" i="15"/>
  <c r="Y234" i="15"/>
  <c r="AA198" i="15"/>
  <c r="X75" i="15"/>
  <c r="X73" i="15"/>
  <c r="X83" i="15" l="1"/>
  <c r="Y73" i="15"/>
  <c r="Y75" i="15"/>
  <c r="Z191" i="15"/>
  <c r="AA101" i="15"/>
  <c r="AP213" i="15"/>
  <c r="X7" i="15"/>
  <c r="AA102" i="15"/>
  <c r="Z93" i="15"/>
  <c r="Z234" i="15"/>
  <c r="AB198" i="15"/>
  <c r="Z199" i="15"/>
  <c r="AA193" i="15"/>
  <c r="AB102" i="15" l="1"/>
  <c r="AA93" i="15"/>
  <c r="AA199" i="15"/>
  <c r="AA51" i="15" s="1"/>
  <c r="AA52" i="15" s="1"/>
  <c r="AB193" i="15"/>
  <c r="AA191" i="15"/>
  <c r="AB101" i="15"/>
  <c r="AC198" i="15"/>
  <c r="AA234" i="15"/>
  <c r="AQ213" i="15"/>
  <c r="Y7" i="15"/>
  <c r="Y83" i="15"/>
  <c r="AB234" i="15" l="1"/>
  <c r="AD198" i="15"/>
  <c r="AB191" i="15"/>
  <c r="AC101" i="15"/>
  <c r="AC193" i="15"/>
  <c r="AB199" i="15"/>
  <c r="AB51" i="15" s="1"/>
  <c r="AB52" i="15" s="1"/>
  <c r="AA75" i="15"/>
  <c r="AA73" i="15"/>
  <c r="AB93" i="15"/>
  <c r="AC102" i="15"/>
  <c r="AA83" i="15" l="1"/>
  <c r="AS213" i="15"/>
  <c r="AA7" i="15"/>
  <c r="AB75" i="15"/>
  <c r="AB73" i="15"/>
  <c r="AD193" i="15"/>
  <c r="AC199" i="15"/>
  <c r="AC51" i="15" s="1"/>
  <c r="AC52" i="15" s="1"/>
  <c r="AC191" i="15"/>
  <c r="AD101" i="15"/>
  <c r="AC93" i="15"/>
  <c r="AD102" i="15"/>
  <c r="AC234" i="15"/>
  <c r="AE198" i="15"/>
  <c r="AB83" i="15" l="1"/>
  <c r="AD191" i="15"/>
  <c r="AE101" i="15"/>
  <c r="AC73" i="15"/>
  <c r="AC75" i="15"/>
  <c r="AE193" i="15"/>
  <c r="AD199" i="15"/>
  <c r="AD51" i="15" s="1"/>
  <c r="AD52" i="15" s="1"/>
  <c r="AD234" i="15"/>
  <c r="AF198" i="15"/>
  <c r="AT213" i="15"/>
  <c r="AB7" i="15"/>
  <c r="AE102" i="15"/>
  <c r="AD93" i="15"/>
  <c r="B198" i="15" l="1"/>
  <c r="AF234" i="15" s="1"/>
  <c r="AE234" i="15"/>
  <c r="AD73" i="15"/>
  <c r="AD75" i="15"/>
  <c r="AF193" i="15"/>
  <c r="AE199" i="15"/>
  <c r="AE51" i="15" s="1"/>
  <c r="AE52" i="15" s="1"/>
  <c r="AU213" i="15"/>
  <c r="AC7" i="15"/>
  <c r="AF102" i="15"/>
  <c r="AE93" i="15"/>
  <c r="AC83" i="15"/>
  <c r="AE191" i="15"/>
  <c r="AF101" i="15"/>
  <c r="AE73" i="15" l="1"/>
  <c r="AE75" i="15"/>
  <c r="AF191" i="15"/>
  <c r="B101" i="15"/>
  <c r="B191" i="15" s="1"/>
  <c r="B193" i="15"/>
  <c r="B199" i="15" s="1"/>
  <c r="AF199" i="15"/>
  <c r="AV213" i="15"/>
  <c r="AD7" i="15"/>
  <c r="AD83" i="15"/>
  <c r="B102" i="15"/>
  <c r="AF93" i="15"/>
  <c r="AF73" i="15" l="1"/>
  <c r="AF75" i="15"/>
  <c r="AI51" i="15"/>
  <c r="AH51" i="15"/>
  <c r="AI93" i="15"/>
  <c r="AH93" i="15"/>
  <c r="AW213" i="15"/>
  <c r="AE7" i="15"/>
  <c r="AE83" i="15"/>
  <c r="AI52" i="15" l="1"/>
  <c r="AH52" i="15"/>
  <c r="AX213" i="15"/>
  <c r="AF7" i="15"/>
  <c r="AF83" i="15"/>
  <c r="T213" i="15" l="1"/>
  <c r="AH75" i="15"/>
  <c r="B7" i="15"/>
  <c r="A7" i="15" s="1"/>
  <c r="AI75" i="15"/>
  <c r="AH73" i="15"/>
  <c r="AI73" i="15"/>
  <c r="AI83" i="15" l="1"/>
  <c r="AH83" i="15"/>
  <c r="T37" i="14" l="1"/>
  <c r="S37" i="14"/>
  <c r="R37" i="14"/>
  <c r="Q37" i="14" l="1"/>
  <c r="P37" i="14"/>
  <c r="O37" i="14"/>
  <c r="N37" i="14"/>
  <c r="M37" i="14"/>
  <c r="L37" i="14"/>
  <c r="K37" i="14"/>
  <c r="J37" i="14"/>
  <c r="I37" i="14"/>
  <c r="E37" i="14"/>
  <c r="D95" i="14"/>
  <c r="D37" i="14"/>
  <c r="AH99" i="14"/>
  <c r="AI99" i="14" s="1"/>
  <c r="C95" i="14"/>
  <c r="C37" i="14"/>
  <c r="B95" i="14"/>
  <c r="B37" i="14"/>
  <c r="B93" i="14"/>
  <c r="B80" i="14"/>
  <c r="B79" i="14"/>
  <c r="B78" i="14"/>
  <c r="B77" i="14"/>
  <c r="B76" i="14"/>
  <c r="B82" i="14" s="1"/>
  <c r="B72" i="14"/>
  <c r="B68" i="14"/>
  <c r="B56" i="14"/>
  <c r="B52" i="14"/>
  <c r="B51" i="14"/>
  <c r="B38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A235" i="14"/>
  <c r="E234" i="14"/>
  <c r="D234" i="14"/>
  <c r="C234" i="14"/>
  <c r="B234" i="14"/>
  <c r="S209" i="14"/>
  <c r="AG199" i="14"/>
  <c r="C199" i="14"/>
  <c r="E198" i="14"/>
  <c r="F198" i="14" s="1"/>
  <c r="G198" i="14" s="1"/>
  <c r="D198" i="14"/>
  <c r="E197" i="14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D197" i="14"/>
  <c r="Q196" i="14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D196" i="14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E195" i="14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B195" i="14" s="1"/>
  <c r="D195" i="14"/>
  <c r="U194" i="14"/>
  <c r="V194" i="14" s="1"/>
  <c r="W194" i="14" s="1"/>
  <c r="X194" i="14" s="1"/>
  <c r="Y194" i="14" s="1"/>
  <c r="Z194" i="14" s="1"/>
  <c r="AA194" i="14" s="1"/>
  <c r="AB194" i="14" s="1"/>
  <c r="AC194" i="14" s="1"/>
  <c r="AD194" i="14" s="1"/>
  <c r="AE194" i="14" s="1"/>
  <c r="AF194" i="14" s="1"/>
  <c r="B194" i="14" s="1"/>
  <c r="G194" i="14"/>
  <c r="H194" i="14" s="1"/>
  <c r="I194" i="14" s="1"/>
  <c r="J194" i="14" s="1"/>
  <c r="K194" i="14" s="1"/>
  <c r="L194" i="14" s="1"/>
  <c r="M194" i="14" s="1"/>
  <c r="N194" i="14" s="1"/>
  <c r="O194" i="14" s="1"/>
  <c r="P194" i="14" s="1"/>
  <c r="Q194" i="14" s="1"/>
  <c r="R194" i="14" s="1"/>
  <c r="S194" i="14" s="1"/>
  <c r="T194" i="14" s="1"/>
  <c r="E194" i="14"/>
  <c r="F194" i="14" s="1"/>
  <c r="D194" i="14"/>
  <c r="E193" i="14"/>
  <c r="D193" i="14"/>
  <c r="AG191" i="14"/>
  <c r="C191" i="14"/>
  <c r="D190" i="14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B190" i="14" s="1"/>
  <c r="E189" i="14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D189" i="14"/>
  <c r="G188" i="14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D188" i="14"/>
  <c r="E188" i="14" s="1"/>
  <c r="F188" i="14" s="1"/>
  <c r="F187" i="14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B187" i="14" s="1"/>
  <c r="E187" i="14"/>
  <c r="D187" i="14"/>
  <c r="F186" i="14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D186" i="14"/>
  <c r="E186" i="14" s="1"/>
  <c r="L185" i="14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J185" i="14"/>
  <c r="K185" i="14" s="1"/>
  <c r="D185" i="14"/>
  <c r="E185" i="14" s="1"/>
  <c r="F185" i="14" s="1"/>
  <c r="G185" i="14" s="1"/>
  <c r="H185" i="14" s="1"/>
  <c r="I185" i="14" s="1"/>
  <c r="D184" i="14"/>
  <c r="E184" i="14" s="1"/>
  <c r="F184" i="14" s="1"/>
  <c r="G184" i="14" s="1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D183" i="14"/>
  <c r="E183" i="14" s="1"/>
  <c r="F183" i="14" s="1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D182" i="14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O181" i="14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E181" i="14"/>
  <c r="F181" i="14" s="1"/>
  <c r="G181" i="14" s="1"/>
  <c r="H181" i="14" s="1"/>
  <c r="I181" i="14" s="1"/>
  <c r="J181" i="14" s="1"/>
  <c r="K181" i="14" s="1"/>
  <c r="L181" i="14" s="1"/>
  <c r="M181" i="14" s="1"/>
  <c r="N181" i="14" s="1"/>
  <c r="D181" i="14"/>
  <c r="F180" i="14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B180" i="14" s="1"/>
  <c r="E180" i="14"/>
  <c r="D180" i="14"/>
  <c r="E179" i="14"/>
  <c r="F179" i="14" s="1"/>
  <c r="G179" i="14" s="1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D179" i="14"/>
  <c r="E178" i="14"/>
  <c r="F178" i="14" s="1"/>
  <c r="G178" i="14" s="1"/>
  <c r="H178" i="14" s="1"/>
  <c r="I178" i="14" s="1"/>
  <c r="J178" i="14" s="1"/>
  <c r="K178" i="14" s="1"/>
  <c r="L178" i="14" s="1"/>
  <c r="M178" i="14" s="1"/>
  <c r="N178" i="14" s="1"/>
  <c r="O178" i="14" s="1"/>
  <c r="P178" i="14" s="1"/>
  <c r="Q178" i="14" s="1"/>
  <c r="R178" i="14" s="1"/>
  <c r="S178" i="14" s="1"/>
  <c r="T178" i="14" s="1"/>
  <c r="U178" i="14" s="1"/>
  <c r="V178" i="14" s="1"/>
  <c r="W178" i="14" s="1"/>
  <c r="X178" i="14" s="1"/>
  <c r="Y178" i="14" s="1"/>
  <c r="Z178" i="14" s="1"/>
  <c r="AA178" i="14" s="1"/>
  <c r="AB178" i="14" s="1"/>
  <c r="AC178" i="14" s="1"/>
  <c r="AD178" i="14" s="1"/>
  <c r="AE178" i="14" s="1"/>
  <c r="AF178" i="14" s="1"/>
  <c r="B178" i="14" s="1"/>
  <c r="D178" i="14"/>
  <c r="K176" i="14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B176" i="14" s="1"/>
  <c r="D176" i="14"/>
  <c r="E176" i="14" s="1"/>
  <c r="F176" i="14" s="1"/>
  <c r="G176" i="14" s="1"/>
  <c r="H176" i="14" s="1"/>
  <c r="I176" i="14" s="1"/>
  <c r="J176" i="14" s="1"/>
  <c r="L175" i="14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D175" i="14"/>
  <c r="E175" i="14" s="1"/>
  <c r="F175" i="14" s="1"/>
  <c r="G175" i="14" s="1"/>
  <c r="H175" i="14" s="1"/>
  <c r="I175" i="14" s="1"/>
  <c r="J175" i="14" s="1"/>
  <c r="K175" i="14" s="1"/>
  <c r="F174" i="14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D174" i="14"/>
  <c r="E174" i="14" s="1"/>
  <c r="F173" i="14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E173" i="14"/>
  <c r="D173" i="14"/>
  <c r="K172" i="14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D172" i="14"/>
  <c r="E172" i="14" s="1"/>
  <c r="F172" i="14" s="1"/>
  <c r="G172" i="14" s="1"/>
  <c r="H172" i="14" s="1"/>
  <c r="I172" i="14" s="1"/>
  <c r="J172" i="14" s="1"/>
  <c r="E171" i="14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B171" i="14" s="1"/>
  <c r="D171" i="14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D169" i="14"/>
  <c r="E169" i="14" s="1"/>
  <c r="F169" i="14" s="1"/>
  <c r="G169" i="14" s="1"/>
  <c r="H169" i="14" s="1"/>
  <c r="I169" i="14" s="1"/>
  <c r="J169" i="14" s="1"/>
  <c r="K169" i="14" s="1"/>
  <c r="L169" i="14" s="1"/>
  <c r="M169" i="14" s="1"/>
  <c r="N169" i="14" s="1"/>
  <c r="O169" i="14" s="1"/>
  <c r="P169" i="14" s="1"/>
  <c r="Q169" i="14" s="1"/>
  <c r="R169" i="14" s="1"/>
  <c r="S169" i="14" s="1"/>
  <c r="T169" i="14" s="1"/>
  <c r="U169" i="14" s="1"/>
  <c r="V169" i="14" s="1"/>
  <c r="W169" i="14" s="1"/>
  <c r="X169" i="14" s="1"/>
  <c r="Y169" i="14" s="1"/>
  <c r="Z169" i="14" s="1"/>
  <c r="AA169" i="14" s="1"/>
  <c r="AB169" i="14" s="1"/>
  <c r="AC169" i="14" s="1"/>
  <c r="AD169" i="14" s="1"/>
  <c r="AE169" i="14" s="1"/>
  <c r="AF169" i="14" s="1"/>
  <c r="B169" i="14" s="1"/>
  <c r="D167" i="14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B167" i="14" s="1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R165" i="14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D165" i="14"/>
  <c r="E165" i="14" s="1"/>
  <c r="F165" i="14" s="1"/>
  <c r="G165" i="14" s="1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Q164" i="14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D164" i="14"/>
  <c r="E164" i="14" s="1"/>
  <c r="F164" i="14" s="1"/>
  <c r="G164" i="14" s="1"/>
  <c r="H164" i="14" s="1"/>
  <c r="I164" i="14" s="1"/>
  <c r="J164" i="14" s="1"/>
  <c r="K164" i="14" s="1"/>
  <c r="L164" i="14" s="1"/>
  <c r="M164" i="14" s="1"/>
  <c r="N164" i="14" s="1"/>
  <c r="O164" i="14" s="1"/>
  <c r="P164" i="14" s="1"/>
  <c r="F163" i="14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D163" i="14"/>
  <c r="E163" i="14" s="1"/>
  <c r="U162" i="14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E162" i="14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D162" i="14"/>
  <c r="S161" i="14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J161" i="14"/>
  <c r="K161" i="14" s="1"/>
  <c r="L161" i="14" s="1"/>
  <c r="M161" i="14" s="1"/>
  <c r="N161" i="14" s="1"/>
  <c r="O161" i="14" s="1"/>
  <c r="P161" i="14" s="1"/>
  <c r="Q161" i="14" s="1"/>
  <c r="R161" i="14" s="1"/>
  <c r="E161" i="14"/>
  <c r="F161" i="14" s="1"/>
  <c r="G161" i="14" s="1"/>
  <c r="H161" i="14" s="1"/>
  <c r="I161" i="14" s="1"/>
  <c r="D161" i="14"/>
  <c r="B161" i="14"/>
  <c r="S160" i="14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B160" i="14" s="1"/>
  <c r="F160" i="14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E160" i="14"/>
  <c r="D160" i="14"/>
  <c r="Q159" i="14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F159" i="14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D159" i="14"/>
  <c r="E159" i="14" s="1"/>
  <c r="J158" i="14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B158" i="14" s="1"/>
  <c r="D158" i="14"/>
  <c r="E158" i="14" s="1"/>
  <c r="F158" i="14" s="1"/>
  <c r="G158" i="14" s="1"/>
  <c r="H158" i="14" s="1"/>
  <c r="I158" i="14" s="1"/>
  <c r="D157" i="14"/>
  <c r="E157" i="14" s="1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J156" i="14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E156" i="14"/>
  <c r="F156" i="14" s="1"/>
  <c r="G156" i="14" s="1"/>
  <c r="H156" i="14" s="1"/>
  <c r="I156" i="14" s="1"/>
  <c r="D156" i="14"/>
  <c r="D155" i="14"/>
  <c r="E155" i="14" s="1"/>
  <c r="F155" i="14" s="1"/>
  <c r="G155" i="14" s="1"/>
  <c r="H155" i="14" s="1"/>
  <c r="I155" i="14" s="1"/>
  <c r="J155" i="14" s="1"/>
  <c r="K155" i="14" s="1"/>
  <c r="L155" i="14" s="1"/>
  <c r="M155" i="14" s="1"/>
  <c r="N155" i="14" s="1"/>
  <c r="O155" i="14" s="1"/>
  <c r="P155" i="14" s="1"/>
  <c r="Q155" i="14" s="1"/>
  <c r="R155" i="14" s="1"/>
  <c r="S155" i="14" s="1"/>
  <c r="T155" i="14" s="1"/>
  <c r="U155" i="14" s="1"/>
  <c r="V155" i="14" s="1"/>
  <c r="W155" i="14" s="1"/>
  <c r="X155" i="14" s="1"/>
  <c r="Y155" i="14" s="1"/>
  <c r="Z155" i="14" s="1"/>
  <c r="AA155" i="14" s="1"/>
  <c r="AB155" i="14" s="1"/>
  <c r="AC155" i="14" s="1"/>
  <c r="AD155" i="14" s="1"/>
  <c r="AE155" i="14" s="1"/>
  <c r="AF155" i="14" s="1"/>
  <c r="B155" i="14" s="1"/>
  <c r="Y153" i="14"/>
  <c r="Z153" i="14" s="1"/>
  <c r="AA153" i="14" s="1"/>
  <c r="AB153" i="14" s="1"/>
  <c r="AC153" i="14" s="1"/>
  <c r="AD153" i="14" s="1"/>
  <c r="AE153" i="14" s="1"/>
  <c r="AF153" i="14" s="1"/>
  <c r="B153" i="14" s="1"/>
  <c r="G153" i="14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D153" i="14"/>
  <c r="E153" i="14" s="1"/>
  <c r="F153" i="14" s="1"/>
  <c r="T152" i="14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B152" i="14" s="1"/>
  <c r="H152" i="14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E152" i="14"/>
  <c r="F152" i="14" s="1"/>
  <c r="G152" i="14" s="1"/>
  <c r="D152" i="14"/>
  <c r="V151" i="14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F151" i="14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D151" i="14"/>
  <c r="E151" i="14" s="1"/>
  <c r="D150" i="14"/>
  <c r="E150" i="14" s="1"/>
  <c r="F150" i="14" s="1"/>
  <c r="G150" i="14" s="1"/>
  <c r="H150" i="14" s="1"/>
  <c r="I150" i="14" s="1"/>
  <c r="J150" i="14" s="1"/>
  <c r="K150" i="14" s="1"/>
  <c r="L150" i="14" s="1"/>
  <c r="M150" i="14" s="1"/>
  <c r="N150" i="14" s="1"/>
  <c r="O150" i="14" s="1"/>
  <c r="P150" i="14" s="1"/>
  <c r="Q150" i="14" s="1"/>
  <c r="R150" i="14" s="1"/>
  <c r="S150" i="14" s="1"/>
  <c r="T150" i="14" s="1"/>
  <c r="U150" i="14" s="1"/>
  <c r="V150" i="14" s="1"/>
  <c r="W150" i="14" s="1"/>
  <c r="X150" i="14" s="1"/>
  <c r="Y150" i="14" s="1"/>
  <c r="Z150" i="14" s="1"/>
  <c r="AA150" i="14" s="1"/>
  <c r="AB150" i="14" s="1"/>
  <c r="AC150" i="14" s="1"/>
  <c r="AD150" i="14" s="1"/>
  <c r="AE150" i="14" s="1"/>
  <c r="AF150" i="14" s="1"/>
  <c r="B150" i="14" s="1"/>
  <c r="D148" i="14"/>
  <c r="E148" i="14" s="1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B148" i="14" s="1"/>
  <c r="K147" i="14"/>
  <c r="L147" i="14" s="1"/>
  <c r="M147" i="14" s="1"/>
  <c r="N147" i="14" s="1"/>
  <c r="O147" i="14" s="1"/>
  <c r="P147" i="14" s="1"/>
  <c r="Q147" i="14" s="1"/>
  <c r="R147" i="14" s="1"/>
  <c r="S147" i="14" s="1"/>
  <c r="T147" i="14" s="1"/>
  <c r="U147" i="14" s="1"/>
  <c r="V147" i="14" s="1"/>
  <c r="W147" i="14" s="1"/>
  <c r="X147" i="14" s="1"/>
  <c r="Y147" i="14" s="1"/>
  <c r="Z147" i="14" s="1"/>
  <c r="AA147" i="14" s="1"/>
  <c r="AB147" i="14" s="1"/>
  <c r="AC147" i="14" s="1"/>
  <c r="AD147" i="14" s="1"/>
  <c r="AE147" i="14" s="1"/>
  <c r="AF147" i="14" s="1"/>
  <c r="B147" i="14" s="1"/>
  <c r="J147" i="14"/>
  <c r="E147" i="14"/>
  <c r="F147" i="14" s="1"/>
  <c r="G147" i="14" s="1"/>
  <c r="H147" i="14" s="1"/>
  <c r="I147" i="14" s="1"/>
  <c r="D147" i="14"/>
  <c r="P145" i="14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B145" i="14" s="1"/>
  <c r="H145" i="14"/>
  <c r="I145" i="14" s="1"/>
  <c r="J145" i="14" s="1"/>
  <c r="K145" i="14" s="1"/>
  <c r="L145" i="14" s="1"/>
  <c r="M145" i="14" s="1"/>
  <c r="N145" i="14" s="1"/>
  <c r="O145" i="14" s="1"/>
  <c r="D145" i="14"/>
  <c r="E145" i="14" s="1"/>
  <c r="F145" i="14" s="1"/>
  <c r="G145" i="14" s="1"/>
  <c r="Z144" i="14"/>
  <c r="AA144" i="14" s="1"/>
  <c r="AB144" i="14" s="1"/>
  <c r="AC144" i="14" s="1"/>
  <c r="AD144" i="14" s="1"/>
  <c r="AE144" i="14" s="1"/>
  <c r="AF144" i="14" s="1"/>
  <c r="B144" i="14" s="1"/>
  <c r="F144" i="14"/>
  <c r="G144" i="14" s="1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E144" i="14"/>
  <c r="D144" i="14"/>
  <c r="E143" i="14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D143" i="14"/>
  <c r="R142" i="14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E142" i="14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D142" i="14"/>
  <c r="D141" i="14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B141" i="14" s="1"/>
  <c r="E140" i="14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D140" i="14"/>
  <c r="H139" i="14"/>
  <c r="I139" i="14" s="1"/>
  <c r="J139" i="14" s="1"/>
  <c r="K139" i="14" s="1"/>
  <c r="L139" i="14" s="1"/>
  <c r="M139" i="14" s="1"/>
  <c r="N139" i="14" s="1"/>
  <c r="O139" i="14" s="1"/>
  <c r="P139" i="14" s="1"/>
  <c r="Q139" i="14" s="1"/>
  <c r="R139" i="14" s="1"/>
  <c r="S139" i="14" s="1"/>
  <c r="T139" i="14" s="1"/>
  <c r="U139" i="14" s="1"/>
  <c r="V139" i="14" s="1"/>
  <c r="W139" i="14" s="1"/>
  <c r="X139" i="14" s="1"/>
  <c r="Y139" i="14" s="1"/>
  <c r="Z139" i="14" s="1"/>
  <c r="AA139" i="14" s="1"/>
  <c r="AB139" i="14" s="1"/>
  <c r="AC139" i="14" s="1"/>
  <c r="AD139" i="14" s="1"/>
  <c r="AE139" i="14" s="1"/>
  <c r="AF139" i="14" s="1"/>
  <c r="B139" i="14" s="1"/>
  <c r="D139" i="14"/>
  <c r="E139" i="14" s="1"/>
  <c r="F139" i="14" s="1"/>
  <c r="G139" i="14" s="1"/>
  <c r="E137" i="14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D137" i="14"/>
  <c r="D136" i="14"/>
  <c r="E136" i="14" s="1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E135" i="14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D135" i="14"/>
  <c r="F134" i="14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B134" i="14" s="1"/>
  <c r="E134" i="14"/>
  <c r="D134" i="14"/>
  <c r="G133" i="14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3" i="14"/>
  <c r="E133" i="14" s="1"/>
  <c r="F133" i="14" s="1"/>
  <c r="Y132" i="14"/>
  <c r="Z132" i="14" s="1"/>
  <c r="AA132" i="14" s="1"/>
  <c r="AB132" i="14" s="1"/>
  <c r="AC132" i="14" s="1"/>
  <c r="AD132" i="14" s="1"/>
  <c r="AE132" i="14" s="1"/>
  <c r="AF132" i="14" s="1"/>
  <c r="B132" i="14" s="1"/>
  <c r="J132" i="14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I132" i="14"/>
  <c r="E132" i="14"/>
  <c r="F132" i="14" s="1"/>
  <c r="G132" i="14" s="1"/>
  <c r="H132" i="14" s="1"/>
  <c r="D132" i="14"/>
  <c r="AB131" i="14"/>
  <c r="AC131" i="14" s="1"/>
  <c r="AD131" i="14" s="1"/>
  <c r="AE131" i="14" s="1"/>
  <c r="AF131" i="14" s="1"/>
  <c r="B131" i="14" s="1"/>
  <c r="H131" i="14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D131" i="14"/>
  <c r="E131" i="14" s="1"/>
  <c r="F131" i="14" s="1"/>
  <c r="G131" i="14" s="1"/>
  <c r="AC130" i="14"/>
  <c r="AD130" i="14" s="1"/>
  <c r="AE130" i="14" s="1"/>
  <c r="AF130" i="14" s="1"/>
  <c r="B130" i="14" s="1"/>
  <c r="I130" i="14"/>
  <c r="J130" i="14" s="1"/>
  <c r="K130" i="14" s="1"/>
  <c r="L130" i="14" s="1"/>
  <c r="M130" i="14" s="1"/>
  <c r="N130" i="14" s="1"/>
  <c r="O130" i="14" s="1"/>
  <c r="P130" i="14" s="1"/>
  <c r="Q130" i="14" s="1"/>
  <c r="R130" i="14" s="1"/>
  <c r="S130" i="14" s="1"/>
  <c r="T130" i="14" s="1"/>
  <c r="U130" i="14" s="1"/>
  <c r="V130" i="14" s="1"/>
  <c r="W130" i="14" s="1"/>
  <c r="X130" i="14" s="1"/>
  <c r="Y130" i="14" s="1"/>
  <c r="Z130" i="14" s="1"/>
  <c r="AA130" i="14" s="1"/>
  <c r="AB130" i="14" s="1"/>
  <c r="F130" i="14"/>
  <c r="G130" i="14" s="1"/>
  <c r="H130" i="14" s="1"/>
  <c r="E130" i="14"/>
  <c r="D130" i="14"/>
  <c r="L128" i="14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H128" i="14"/>
  <c r="I128" i="14" s="1"/>
  <c r="J128" i="14" s="1"/>
  <c r="K128" i="14" s="1"/>
  <c r="G128" i="14"/>
  <c r="D128" i="14"/>
  <c r="E128" i="14" s="1"/>
  <c r="F128" i="14" s="1"/>
  <c r="E127" i="14"/>
  <c r="F127" i="14" s="1"/>
  <c r="G127" i="14" s="1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D127" i="14"/>
  <c r="D126" i="14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W125" i="14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N125" i="14"/>
  <c r="O125" i="14" s="1"/>
  <c r="P125" i="14" s="1"/>
  <c r="Q125" i="14" s="1"/>
  <c r="R125" i="14" s="1"/>
  <c r="S125" i="14" s="1"/>
  <c r="T125" i="14" s="1"/>
  <c r="U125" i="14" s="1"/>
  <c r="V125" i="14" s="1"/>
  <c r="I125" i="14"/>
  <c r="J125" i="14" s="1"/>
  <c r="K125" i="14" s="1"/>
  <c r="L125" i="14" s="1"/>
  <c r="M125" i="14" s="1"/>
  <c r="F125" i="14"/>
  <c r="G125" i="14" s="1"/>
  <c r="H125" i="14" s="1"/>
  <c r="E125" i="14"/>
  <c r="D125" i="14"/>
  <c r="L124" i="14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E124" i="14"/>
  <c r="F124" i="14" s="1"/>
  <c r="G124" i="14" s="1"/>
  <c r="H124" i="14" s="1"/>
  <c r="I124" i="14" s="1"/>
  <c r="J124" i="14" s="1"/>
  <c r="K124" i="14" s="1"/>
  <c r="D124" i="14"/>
  <c r="F123" i="14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E123" i="14"/>
  <c r="D123" i="14"/>
  <c r="O122" i="14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H122" i="14"/>
  <c r="I122" i="14" s="1"/>
  <c r="J122" i="14" s="1"/>
  <c r="K122" i="14" s="1"/>
  <c r="L122" i="14" s="1"/>
  <c r="M122" i="14" s="1"/>
  <c r="N122" i="14" s="1"/>
  <c r="G122" i="14"/>
  <c r="E122" i="14"/>
  <c r="F122" i="14" s="1"/>
  <c r="D122" i="14"/>
  <c r="F121" i="14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B121" i="14" s="1"/>
  <c r="E121" i="14"/>
  <c r="D121" i="14"/>
  <c r="F120" i="14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D120" i="14"/>
  <c r="E120" i="14" s="1"/>
  <c r="D119" i="14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H117" i="14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D117" i="14"/>
  <c r="E117" i="14" s="1"/>
  <c r="F117" i="14" s="1"/>
  <c r="G117" i="14" s="1"/>
  <c r="D116" i="14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H115" i="14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E115" i="14"/>
  <c r="F115" i="14" s="1"/>
  <c r="G115" i="14" s="1"/>
  <c r="D115" i="14"/>
  <c r="D114" i="14"/>
  <c r="L113" i="14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K113" i="14"/>
  <c r="H113" i="14"/>
  <c r="I113" i="14" s="1"/>
  <c r="E113" i="14"/>
  <c r="F113" i="14" s="1"/>
  <c r="G113" i="14" s="1"/>
  <c r="D113" i="14"/>
  <c r="G112" i="14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F112" i="14"/>
  <c r="E112" i="14"/>
  <c r="D112" i="14"/>
  <c r="E111" i="14"/>
  <c r="F111" i="14" s="1"/>
  <c r="G111" i="14" s="1"/>
  <c r="H111" i="14" s="1"/>
  <c r="I111" i="14" s="1"/>
  <c r="J111" i="14" s="1"/>
  <c r="K111" i="14" s="1"/>
  <c r="L111" i="14" s="1"/>
  <c r="M111" i="14" s="1"/>
  <c r="N111" i="14" s="1"/>
  <c r="O111" i="14" s="1"/>
  <c r="P111" i="14" s="1"/>
  <c r="Q111" i="14" s="1"/>
  <c r="R111" i="14" s="1"/>
  <c r="S111" i="14" s="1"/>
  <c r="T111" i="14" s="1"/>
  <c r="U111" i="14" s="1"/>
  <c r="V111" i="14" s="1"/>
  <c r="W111" i="14" s="1"/>
  <c r="X111" i="14" s="1"/>
  <c r="Y111" i="14" s="1"/>
  <c r="Z111" i="14" s="1"/>
  <c r="AA111" i="14" s="1"/>
  <c r="AB111" i="14" s="1"/>
  <c r="AC111" i="14" s="1"/>
  <c r="AD111" i="14" s="1"/>
  <c r="AE111" i="14" s="1"/>
  <c r="AF111" i="14" s="1"/>
  <c r="B111" i="14" s="1"/>
  <c r="D111" i="14"/>
  <c r="D109" i="14"/>
  <c r="E109" i="14" s="1"/>
  <c r="F109" i="14" s="1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E108" i="14"/>
  <c r="F108" i="14" s="1"/>
  <c r="G108" i="14" s="1"/>
  <c r="H108" i="14" s="1"/>
  <c r="I108" i="14" s="1"/>
  <c r="J108" i="14" s="1"/>
  <c r="K108" i="14" s="1"/>
  <c r="L108" i="14" s="1"/>
  <c r="M108" i="14" s="1"/>
  <c r="N108" i="14" s="1"/>
  <c r="O108" i="14" s="1"/>
  <c r="P108" i="14" s="1"/>
  <c r="Q108" i="14" s="1"/>
  <c r="R108" i="14" s="1"/>
  <c r="S108" i="14" s="1"/>
  <c r="T108" i="14" s="1"/>
  <c r="U108" i="14" s="1"/>
  <c r="V108" i="14" s="1"/>
  <c r="W108" i="14" s="1"/>
  <c r="X108" i="14" s="1"/>
  <c r="Y108" i="14" s="1"/>
  <c r="Z108" i="14" s="1"/>
  <c r="AA108" i="14" s="1"/>
  <c r="AB108" i="14" s="1"/>
  <c r="AC108" i="14" s="1"/>
  <c r="AD108" i="14" s="1"/>
  <c r="AE108" i="14" s="1"/>
  <c r="AF108" i="14" s="1"/>
  <c r="B108" i="14" s="1"/>
  <c r="D108" i="14"/>
  <c r="H106" i="14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E106" i="14"/>
  <c r="F106" i="14" s="1"/>
  <c r="G106" i="14" s="1"/>
  <c r="D106" i="14"/>
  <c r="E105" i="14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D105" i="14"/>
  <c r="E104" i="14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D104" i="14"/>
  <c r="G103" i="14"/>
  <c r="H103" i="14" s="1"/>
  <c r="I103" i="14" s="1"/>
  <c r="J103" i="14" s="1"/>
  <c r="K103" i="14" s="1"/>
  <c r="L103" i="14" s="1"/>
  <c r="M103" i="14" s="1"/>
  <c r="N103" i="14" s="1"/>
  <c r="O103" i="14" s="1"/>
  <c r="P103" i="14" s="1"/>
  <c r="Q103" i="14" s="1"/>
  <c r="R103" i="14" s="1"/>
  <c r="S103" i="14" s="1"/>
  <c r="T103" i="14" s="1"/>
  <c r="U103" i="14" s="1"/>
  <c r="V103" i="14" s="1"/>
  <c r="W103" i="14" s="1"/>
  <c r="X103" i="14" s="1"/>
  <c r="Y103" i="14" s="1"/>
  <c r="Z103" i="14" s="1"/>
  <c r="AA103" i="14" s="1"/>
  <c r="AB103" i="14" s="1"/>
  <c r="AC103" i="14" s="1"/>
  <c r="AD103" i="14" s="1"/>
  <c r="AE103" i="14" s="1"/>
  <c r="AF103" i="14" s="1"/>
  <c r="B103" i="14" s="1"/>
  <c r="E103" i="14"/>
  <c r="F103" i="14" s="1"/>
  <c r="D103" i="14"/>
  <c r="F102" i="14"/>
  <c r="G102" i="14" s="1"/>
  <c r="H102" i="14" s="1"/>
  <c r="E102" i="14"/>
  <c r="D102" i="14"/>
  <c r="F101" i="14"/>
  <c r="E101" i="14"/>
  <c r="D101" i="14"/>
  <c r="AH98" i="14"/>
  <c r="AI98" i="14" s="1"/>
  <c r="AH97" i="14"/>
  <c r="AI97" i="14" s="1"/>
  <c r="AH96" i="14"/>
  <c r="AI96" i="14" s="1"/>
  <c r="AH95" i="14"/>
  <c r="AI95" i="14" s="1"/>
  <c r="AH94" i="14"/>
  <c r="AI94" i="14" s="1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G82" i="14"/>
  <c r="AI81" i="14"/>
  <c r="AH81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U82" i="14" s="1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D82" i="14" s="1"/>
  <c r="C76" i="14"/>
  <c r="AI74" i="14"/>
  <c r="AH74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AI72" i="14" s="1"/>
  <c r="AI71" i="14"/>
  <c r="AH71" i="14"/>
  <c r="AI70" i="14"/>
  <c r="AH70" i="14"/>
  <c r="AI69" i="14"/>
  <c r="AH69" i="14"/>
  <c r="AG68" i="14"/>
  <c r="AF68" i="14"/>
  <c r="AE68" i="14"/>
  <c r="AD5" i="14" s="1"/>
  <c r="AD68" i="14"/>
  <c r="AC68" i="14"/>
  <c r="AB68" i="14"/>
  <c r="AA5" i="14" s="1"/>
  <c r="AA68" i="14"/>
  <c r="Z5" i="14" s="1"/>
  <c r="Z68" i="14"/>
  <c r="Y5" i="14" s="1"/>
  <c r="Y68" i="14"/>
  <c r="X5" i="14" s="1"/>
  <c r="X68" i="14"/>
  <c r="W5" i="14" s="1"/>
  <c r="W68" i="14"/>
  <c r="V5" i="14" s="1"/>
  <c r="V68" i="14"/>
  <c r="U5" i="14" s="1"/>
  <c r="U68" i="14"/>
  <c r="T68" i="14"/>
  <c r="S5" i="14" s="1"/>
  <c r="S68" i="14"/>
  <c r="R5" i="14" s="1"/>
  <c r="R68" i="14"/>
  <c r="Q5" i="14" s="1"/>
  <c r="Q68" i="14"/>
  <c r="P5" i="14" s="1"/>
  <c r="P68" i="14"/>
  <c r="O68" i="14"/>
  <c r="N5" i="14" s="1"/>
  <c r="N68" i="14"/>
  <c r="M5" i="14" s="1"/>
  <c r="M68" i="14"/>
  <c r="L5" i="14" s="1"/>
  <c r="L68" i="14"/>
  <c r="K5" i="14" s="1"/>
  <c r="K68" i="14"/>
  <c r="J5" i="14" s="1"/>
  <c r="J68" i="14"/>
  <c r="I68" i="14"/>
  <c r="H5" i="14" s="1"/>
  <c r="H68" i="14"/>
  <c r="G5" i="14" s="1"/>
  <c r="G68" i="14"/>
  <c r="F5" i="14" s="1"/>
  <c r="F68" i="14"/>
  <c r="E5" i="14" s="1"/>
  <c r="E68" i="14"/>
  <c r="D5" i="14" s="1"/>
  <c r="D68" i="14"/>
  <c r="C5" i="14" s="1"/>
  <c r="C68" i="14"/>
  <c r="B5" i="14" s="1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AI55" i="14"/>
  <c r="AH55" i="14"/>
  <c r="AI54" i="14"/>
  <c r="AH54" i="14"/>
  <c r="AI53" i="14"/>
  <c r="AH53" i="14"/>
  <c r="AG52" i="14"/>
  <c r="Z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G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G6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F5" i="14"/>
  <c r="AC5" i="14"/>
  <c r="AB5" i="14"/>
  <c r="T5" i="14"/>
  <c r="I5" i="14"/>
  <c r="AG4" i="14"/>
  <c r="K4" i="14"/>
  <c r="B4" i="14"/>
  <c r="AG3" i="14"/>
  <c r="AF95" i="13"/>
  <c r="AE95" i="13"/>
  <c r="AF37" i="13"/>
  <c r="AE37" i="13"/>
  <c r="AD95" i="13"/>
  <c r="AD37" i="13"/>
  <c r="AC95" i="13"/>
  <c r="AC37" i="13"/>
  <c r="AB37" i="13"/>
  <c r="E4" i="14"/>
  <c r="AC82" i="14" l="1"/>
  <c r="AB82" i="14"/>
  <c r="AA82" i="14"/>
  <c r="Z73" i="14"/>
  <c r="Y82" i="14"/>
  <c r="X82" i="14"/>
  <c r="T82" i="14"/>
  <c r="T75" i="14"/>
  <c r="S82" i="14"/>
  <c r="R75" i="14"/>
  <c r="P82" i="14"/>
  <c r="O73" i="14"/>
  <c r="O75" i="14"/>
  <c r="N73" i="14"/>
  <c r="N75" i="14"/>
  <c r="AI78" i="14"/>
  <c r="M82" i="14"/>
  <c r="M73" i="14"/>
  <c r="L82" i="14"/>
  <c r="K82" i="14"/>
  <c r="K75" i="14"/>
  <c r="AC213" i="14" s="1"/>
  <c r="M75" i="14"/>
  <c r="AE213" i="14" s="1"/>
  <c r="J73" i="14"/>
  <c r="I73" i="14"/>
  <c r="AH79" i="14"/>
  <c r="H82" i="14"/>
  <c r="G73" i="14"/>
  <c r="F75" i="14"/>
  <c r="X213" i="14" s="1"/>
  <c r="G75" i="14"/>
  <c r="G7" i="14" s="1"/>
  <c r="J75" i="14"/>
  <c r="AB213" i="14" s="1"/>
  <c r="AI38" i="14"/>
  <c r="F73" i="14"/>
  <c r="E82" i="14"/>
  <c r="AI56" i="14"/>
  <c r="AH38" i="14"/>
  <c r="B73" i="14"/>
  <c r="B75" i="14"/>
  <c r="H4" i="14"/>
  <c r="AL213" i="14"/>
  <c r="T7" i="14"/>
  <c r="AJ213" i="14"/>
  <c r="R7" i="14"/>
  <c r="I102" i="14"/>
  <c r="H75" i="14"/>
  <c r="P75" i="14"/>
  <c r="AG73" i="14"/>
  <c r="N82" i="14"/>
  <c r="D93" i="14"/>
  <c r="E114" i="14"/>
  <c r="O5" i="14"/>
  <c r="P73" i="14"/>
  <c r="I75" i="14"/>
  <c r="AH72" i="14"/>
  <c r="Q73" i="14"/>
  <c r="I82" i="14"/>
  <c r="Q82" i="14"/>
  <c r="AH76" i="14"/>
  <c r="AH78" i="14"/>
  <c r="F234" i="14"/>
  <c r="H198" i="14"/>
  <c r="V82" i="14"/>
  <c r="Q75" i="14"/>
  <c r="AI76" i="14"/>
  <c r="J82" i="14"/>
  <c r="R82" i="14"/>
  <c r="Z82" i="14"/>
  <c r="AI77" i="14"/>
  <c r="AD82" i="14"/>
  <c r="AG75" i="14"/>
  <c r="AG83" i="14"/>
  <c r="E73" i="14"/>
  <c r="E75" i="14"/>
  <c r="AH68" i="14"/>
  <c r="AI68" i="14"/>
  <c r="AH56" i="14"/>
  <c r="C73" i="14"/>
  <c r="C75" i="14" s="1"/>
  <c r="K73" i="14"/>
  <c r="S73" i="14"/>
  <c r="L75" i="14"/>
  <c r="AH77" i="14"/>
  <c r="C82" i="14"/>
  <c r="G101" i="14"/>
  <c r="F82" i="14"/>
  <c r="AE5" i="14"/>
  <c r="R73" i="14"/>
  <c r="S75" i="14"/>
  <c r="S83" i="14" s="1"/>
  <c r="D73" i="14"/>
  <c r="L73" i="14"/>
  <c r="T73" i="14"/>
  <c r="T83" i="14" s="1"/>
  <c r="H73" i="14"/>
  <c r="D75" i="14"/>
  <c r="AI79" i="14"/>
  <c r="AI80" i="14"/>
  <c r="G82" i="14"/>
  <c r="O82" i="14"/>
  <c r="O83" i="14" s="1"/>
  <c r="W82" i="14"/>
  <c r="AE82" i="14"/>
  <c r="D191" i="14"/>
  <c r="AF82" i="14"/>
  <c r="E191" i="14"/>
  <c r="Z75" i="14"/>
  <c r="S210" i="14"/>
  <c r="D210" i="14"/>
  <c r="AH80" i="14"/>
  <c r="E199" i="14"/>
  <c r="F193" i="14"/>
  <c r="D199" i="14"/>
  <c r="M83" i="14" l="1"/>
  <c r="M7" i="14"/>
  <c r="N83" i="14"/>
  <c r="K83" i="14"/>
  <c r="K7" i="14"/>
  <c r="Y213" i="14"/>
  <c r="R83" i="14"/>
  <c r="Q83" i="14"/>
  <c r="P83" i="14"/>
  <c r="AG213" i="14"/>
  <c r="O7" i="14"/>
  <c r="AF213" i="14"/>
  <c r="N7" i="14"/>
  <c r="J7" i="14"/>
  <c r="H83" i="14"/>
  <c r="G83" i="14"/>
  <c r="F7" i="14"/>
  <c r="F83" i="14"/>
  <c r="L83" i="14"/>
  <c r="I83" i="14"/>
  <c r="J83" i="14"/>
  <c r="D83" i="14"/>
  <c r="B83" i="14"/>
  <c r="H101" i="14"/>
  <c r="Z213" i="14"/>
  <c r="H7" i="14"/>
  <c r="W213" i="14"/>
  <c r="E7" i="14"/>
  <c r="C83" i="14"/>
  <c r="AK213" i="14"/>
  <c r="S7" i="14"/>
  <c r="E83" i="14"/>
  <c r="AI82" i="14"/>
  <c r="AH82" i="14"/>
  <c r="AI213" i="14"/>
  <c r="Q7" i="14"/>
  <c r="AA213" i="14"/>
  <c r="I7" i="14"/>
  <c r="B208" i="14"/>
  <c r="G193" i="14"/>
  <c r="F199" i="14"/>
  <c r="AR213" i="14"/>
  <c r="Z7" i="14"/>
  <c r="V213" i="14"/>
  <c r="D7" i="14"/>
  <c r="U213" i="14"/>
  <c r="C7" i="14"/>
  <c r="C208" i="14"/>
  <c r="AD213" i="14"/>
  <c r="L7" i="14"/>
  <c r="G234" i="14"/>
  <c r="I198" i="14"/>
  <c r="Z83" i="14"/>
  <c r="E93" i="14"/>
  <c r="F114" i="14"/>
  <c r="AH213" i="14"/>
  <c r="P7" i="14"/>
  <c r="J102" i="14"/>
  <c r="H234" i="14" l="1"/>
  <c r="J198" i="14"/>
  <c r="K102" i="14"/>
  <c r="H193" i="14"/>
  <c r="G199" i="14"/>
  <c r="I101" i="14"/>
  <c r="G114" i="14"/>
  <c r="F93" i="14"/>
  <c r="F191" i="14"/>
  <c r="K6" i="14"/>
  <c r="J101" i="14" l="1"/>
  <c r="L102" i="14"/>
  <c r="K198" i="14"/>
  <c r="I234" i="14"/>
  <c r="H114" i="14"/>
  <c r="G93" i="14"/>
  <c r="G191" i="14"/>
  <c r="H199" i="14"/>
  <c r="I193" i="14"/>
  <c r="I114" i="14" l="1"/>
  <c r="H93" i="14"/>
  <c r="H191" i="14"/>
  <c r="J234" i="14"/>
  <c r="L198" i="14"/>
  <c r="J193" i="14"/>
  <c r="I199" i="14"/>
  <c r="M102" i="14"/>
  <c r="K101" i="14"/>
  <c r="J199" i="14" l="1"/>
  <c r="K193" i="14"/>
  <c r="K234" i="14"/>
  <c r="M198" i="14"/>
  <c r="L101" i="14"/>
  <c r="N102" i="14"/>
  <c r="J114" i="14"/>
  <c r="I93" i="14"/>
  <c r="I191" i="14"/>
  <c r="M101" i="14" l="1"/>
  <c r="N198" i="14"/>
  <c r="L234" i="14"/>
  <c r="K114" i="14"/>
  <c r="J93" i="14"/>
  <c r="J191" i="14"/>
  <c r="K199" i="14"/>
  <c r="L193" i="14"/>
  <c r="O102" i="14"/>
  <c r="L114" i="14" l="1"/>
  <c r="K93" i="14"/>
  <c r="K191" i="14"/>
  <c r="M234" i="14"/>
  <c r="O198" i="14"/>
  <c r="P102" i="14"/>
  <c r="N101" i="14"/>
  <c r="L199" i="14"/>
  <c r="M193" i="14"/>
  <c r="Q102" i="14" l="1"/>
  <c r="N234" i="14"/>
  <c r="P198" i="14"/>
  <c r="M199" i="14"/>
  <c r="N193" i="14"/>
  <c r="O101" i="14"/>
  <c r="M114" i="14"/>
  <c r="L93" i="14"/>
  <c r="L191" i="14"/>
  <c r="P101" i="14" l="1"/>
  <c r="O193" i="14"/>
  <c r="N199" i="14"/>
  <c r="O234" i="14"/>
  <c r="Q198" i="14"/>
  <c r="R102" i="14"/>
  <c r="N114" i="14"/>
  <c r="M93" i="14"/>
  <c r="M191" i="14"/>
  <c r="S102" i="14" l="1"/>
  <c r="P234" i="14"/>
  <c r="R198" i="14"/>
  <c r="P193" i="14"/>
  <c r="O199" i="14"/>
  <c r="Q101" i="14"/>
  <c r="O114" i="14"/>
  <c r="N93" i="14"/>
  <c r="N191" i="14"/>
  <c r="R101" i="14" l="1"/>
  <c r="Q193" i="14"/>
  <c r="P199" i="14"/>
  <c r="S198" i="14"/>
  <c r="Q234" i="14"/>
  <c r="P114" i="14"/>
  <c r="O93" i="14"/>
  <c r="O191" i="14"/>
  <c r="T102" i="14"/>
  <c r="Q114" i="14" l="1"/>
  <c r="P93" i="14"/>
  <c r="P191" i="14"/>
  <c r="R234" i="14"/>
  <c r="T198" i="14"/>
  <c r="R193" i="14"/>
  <c r="Q199" i="14"/>
  <c r="U102" i="14"/>
  <c r="S101" i="14"/>
  <c r="R199" i="14" l="1"/>
  <c r="S193" i="14"/>
  <c r="S234" i="14"/>
  <c r="U198" i="14"/>
  <c r="T101" i="14"/>
  <c r="V102" i="14"/>
  <c r="R114" i="14"/>
  <c r="Q93" i="14"/>
  <c r="Q191" i="14"/>
  <c r="U101" i="14" l="1"/>
  <c r="V198" i="14"/>
  <c r="T234" i="14"/>
  <c r="W102" i="14"/>
  <c r="S199" i="14"/>
  <c r="T193" i="14"/>
  <c r="S114" i="14"/>
  <c r="R93" i="14"/>
  <c r="R191" i="14"/>
  <c r="X102" i="14" l="1"/>
  <c r="T199" i="14"/>
  <c r="U193" i="14"/>
  <c r="U234" i="14"/>
  <c r="W198" i="14"/>
  <c r="V101" i="14"/>
  <c r="T114" i="14"/>
  <c r="S93" i="14"/>
  <c r="S191" i="14"/>
  <c r="V234" i="14" l="1"/>
  <c r="X198" i="14"/>
  <c r="U199" i="14"/>
  <c r="U51" i="14" s="1"/>
  <c r="U52" i="14" s="1"/>
  <c r="V193" i="14"/>
  <c r="Y102" i="14"/>
  <c r="W101" i="14"/>
  <c r="U114" i="14"/>
  <c r="T93" i="14"/>
  <c r="T191" i="14"/>
  <c r="X101" i="14" l="1"/>
  <c r="W193" i="14"/>
  <c r="V199" i="14"/>
  <c r="V51" i="14" s="1"/>
  <c r="V52" i="14" s="1"/>
  <c r="U73" i="14"/>
  <c r="U75" i="14"/>
  <c r="Z102" i="14"/>
  <c r="W234" i="14"/>
  <c r="Y198" i="14"/>
  <c r="V114" i="14"/>
  <c r="U93" i="14"/>
  <c r="U191" i="14"/>
  <c r="AA102" i="14" l="1"/>
  <c r="AM213" i="14"/>
  <c r="U7" i="14"/>
  <c r="V75" i="14"/>
  <c r="V73" i="14"/>
  <c r="V83" i="14" s="1"/>
  <c r="U83" i="14"/>
  <c r="W114" i="14"/>
  <c r="V93" i="14"/>
  <c r="V191" i="14"/>
  <c r="X193" i="14"/>
  <c r="W199" i="14"/>
  <c r="W51" i="14" s="1"/>
  <c r="W52" i="14" s="1"/>
  <c r="X234" i="14"/>
  <c r="Z198" i="14"/>
  <c r="Y101" i="14"/>
  <c r="AN213" i="14" l="1"/>
  <c r="V7" i="14"/>
  <c r="Z101" i="14"/>
  <c r="W73" i="14"/>
  <c r="W75" i="14"/>
  <c r="Y193" i="14"/>
  <c r="X199" i="14"/>
  <c r="X51" i="14" s="1"/>
  <c r="X52" i="14" s="1"/>
  <c r="X114" i="14"/>
  <c r="W93" i="14"/>
  <c r="W191" i="14"/>
  <c r="AA198" i="14"/>
  <c r="Y234" i="14"/>
  <c r="AB102" i="14"/>
  <c r="Z193" i="14" l="1"/>
  <c r="Y199" i="14"/>
  <c r="Y51" i="14" s="1"/>
  <c r="Y52" i="14" s="1"/>
  <c r="W83" i="14"/>
  <c r="Z234" i="14"/>
  <c r="AB198" i="14"/>
  <c r="AA101" i="14"/>
  <c r="X73" i="14"/>
  <c r="X75" i="14"/>
  <c r="AC102" i="14"/>
  <c r="AO213" i="14"/>
  <c r="W7" i="14"/>
  <c r="Y114" i="14"/>
  <c r="X93" i="14"/>
  <c r="X191" i="14"/>
  <c r="X83" i="14" l="1"/>
  <c r="AB101" i="14"/>
  <c r="Z114" i="14"/>
  <c r="Y93" i="14"/>
  <c r="Y191" i="14"/>
  <c r="AA234" i="14"/>
  <c r="AC198" i="14"/>
  <c r="AD102" i="14"/>
  <c r="Y75" i="14"/>
  <c r="Y73" i="14"/>
  <c r="AP213" i="14"/>
  <c r="X7" i="14"/>
  <c r="Z199" i="14"/>
  <c r="AA193" i="14"/>
  <c r="AA199" i="14" l="1"/>
  <c r="AA51" i="14" s="1"/>
  <c r="AA52" i="14" s="1"/>
  <c r="AB193" i="14"/>
  <c r="Y83" i="14"/>
  <c r="AA114" i="14"/>
  <c r="Z93" i="14"/>
  <c r="Z191" i="14"/>
  <c r="AE102" i="14"/>
  <c r="AD198" i="14"/>
  <c r="AB234" i="14"/>
  <c r="AC101" i="14"/>
  <c r="AQ213" i="14"/>
  <c r="Y7" i="14"/>
  <c r="AF102" i="14" l="1"/>
  <c r="AB114" i="14"/>
  <c r="AA93" i="14"/>
  <c r="AA191" i="14"/>
  <c r="AD101" i="14"/>
  <c r="AB199" i="14"/>
  <c r="AB51" i="14" s="1"/>
  <c r="AB52" i="14" s="1"/>
  <c r="AC193" i="14"/>
  <c r="AC234" i="14"/>
  <c r="AE198" i="14"/>
  <c r="AA75" i="14"/>
  <c r="AA73" i="14"/>
  <c r="AA83" i="14" l="1"/>
  <c r="AB73" i="14"/>
  <c r="AB75" i="14"/>
  <c r="AE101" i="14"/>
  <c r="AS213" i="14"/>
  <c r="AA7" i="14"/>
  <c r="AD234" i="14"/>
  <c r="AF198" i="14"/>
  <c r="AC114" i="14"/>
  <c r="AB93" i="14"/>
  <c r="AB191" i="14"/>
  <c r="AC199" i="14"/>
  <c r="AC51" i="14" s="1"/>
  <c r="AC52" i="14" s="1"/>
  <c r="AD193" i="14"/>
  <c r="B102" i="14"/>
  <c r="B198" i="14" l="1"/>
  <c r="AF234" i="14" s="1"/>
  <c r="AE234" i="14"/>
  <c r="AE193" i="14"/>
  <c r="AD199" i="14"/>
  <c r="AD51" i="14" s="1"/>
  <c r="AD52" i="14" s="1"/>
  <c r="AC73" i="14"/>
  <c r="AC75" i="14"/>
  <c r="AF101" i="14"/>
  <c r="AT213" i="14"/>
  <c r="AB7" i="14"/>
  <c r="AD114" i="14"/>
  <c r="AC93" i="14"/>
  <c r="AC191" i="14"/>
  <c r="AB83" i="14"/>
  <c r="AU213" i="14" l="1"/>
  <c r="AC7" i="14"/>
  <c r="AC83" i="14"/>
  <c r="AD75" i="14"/>
  <c r="AD73" i="14"/>
  <c r="AD83" i="14" s="1"/>
  <c r="AE114" i="14"/>
  <c r="AD93" i="14"/>
  <c r="AD191" i="14"/>
  <c r="AF193" i="14"/>
  <c r="AE199" i="14"/>
  <c r="AE51" i="14" s="1"/>
  <c r="AE52" i="14" s="1"/>
  <c r="B101" i="14"/>
  <c r="AF114" i="14" l="1"/>
  <c r="AE93" i="14"/>
  <c r="AE191" i="14"/>
  <c r="AV213" i="14"/>
  <c r="AD7" i="14"/>
  <c r="AE73" i="14"/>
  <c r="AE75" i="14"/>
  <c r="B193" i="14"/>
  <c r="B199" i="14" s="1"/>
  <c r="AF199" i="14"/>
  <c r="AF51" i="14" s="1"/>
  <c r="AF52" i="14" s="1"/>
  <c r="AW213" i="14" l="1"/>
  <c r="AE7" i="14"/>
  <c r="AE83" i="14"/>
  <c r="AF75" i="14"/>
  <c r="AF73" i="14"/>
  <c r="AF83" i="14" s="1"/>
  <c r="B114" i="14"/>
  <c r="AF93" i="14"/>
  <c r="AF191" i="14"/>
  <c r="AH51" i="14"/>
  <c r="AI51" i="14"/>
  <c r="AX213" i="14" l="1"/>
  <c r="AF7" i="14"/>
  <c r="AI93" i="14"/>
  <c r="AH93" i="14"/>
  <c r="B191" i="14"/>
  <c r="AH52" i="14"/>
  <c r="AI52" i="14"/>
  <c r="AI73" i="14" l="1"/>
  <c r="AH73" i="14"/>
  <c r="T213" i="14"/>
  <c r="AH75" i="14"/>
  <c r="B7" i="14"/>
  <c r="A7" i="14" s="1"/>
  <c r="AI75" i="14"/>
  <c r="AH83" i="14" l="1"/>
  <c r="AI83" i="14"/>
  <c r="M37" i="13" l="1"/>
  <c r="L37" i="13"/>
  <c r="K37" i="13"/>
  <c r="J37" i="13"/>
  <c r="I37" i="13"/>
  <c r="H37" i="13"/>
  <c r="G37" i="13"/>
  <c r="F37" i="13"/>
  <c r="E37" i="13"/>
  <c r="AH99" i="13"/>
  <c r="AI99" i="13" s="1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C234" i="13"/>
  <c r="B234" i="13"/>
  <c r="S209" i="13"/>
  <c r="AG199" i="13"/>
  <c r="C199" i="13"/>
  <c r="D198" i="13"/>
  <c r="E198" i="13" s="1"/>
  <c r="D234" i="13" s="1"/>
  <c r="D197" i="13"/>
  <c r="E197" i="13" s="1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E196" i="13"/>
  <c r="F196" i="13" s="1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D196" i="13"/>
  <c r="E195" i="13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D195" i="13"/>
  <c r="D194" i="13"/>
  <c r="E194" i="13" s="1"/>
  <c r="F194" i="13" s="1"/>
  <c r="G194" i="13" s="1"/>
  <c r="H194" i="13" s="1"/>
  <c r="I194" i="13" s="1"/>
  <c r="J194" i="13" s="1"/>
  <c r="K194" i="13" s="1"/>
  <c r="L194" i="13" s="1"/>
  <c r="M194" i="13" s="1"/>
  <c r="N194" i="13" s="1"/>
  <c r="O194" i="13" s="1"/>
  <c r="P194" i="13" s="1"/>
  <c r="Q194" i="13" s="1"/>
  <c r="R194" i="13" s="1"/>
  <c r="S194" i="13" s="1"/>
  <c r="T194" i="13" s="1"/>
  <c r="U194" i="13" s="1"/>
  <c r="V194" i="13" s="1"/>
  <c r="W194" i="13" s="1"/>
  <c r="X194" i="13" s="1"/>
  <c r="Y194" i="13" s="1"/>
  <c r="Z194" i="13" s="1"/>
  <c r="AA194" i="13" s="1"/>
  <c r="AB194" i="13" s="1"/>
  <c r="AC194" i="13" s="1"/>
  <c r="AD194" i="13" s="1"/>
  <c r="AE194" i="13" s="1"/>
  <c r="AF194" i="13" s="1"/>
  <c r="B194" i="13" s="1"/>
  <c r="D193" i="13"/>
  <c r="E193" i="13" s="1"/>
  <c r="AG191" i="13"/>
  <c r="C191" i="13"/>
  <c r="J190" i="13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E190" i="13"/>
  <c r="F190" i="13" s="1"/>
  <c r="G190" i="13" s="1"/>
  <c r="H190" i="13" s="1"/>
  <c r="I190" i="13" s="1"/>
  <c r="D190" i="13"/>
  <c r="E189" i="13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9" i="13"/>
  <c r="F188" i="13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D188" i="13"/>
  <c r="E188" i="13" s="1"/>
  <c r="G187" i="13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D187" i="13"/>
  <c r="E187" i="13" s="1"/>
  <c r="F187" i="13" s="1"/>
  <c r="AE186" i="13"/>
  <c r="AF186" i="13" s="1"/>
  <c r="B186" i="13" s="1"/>
  <c r="E186" i="13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D186" i="13"/>
  <c r="E185" i="13"/>
  <c r="F185" i="13" s="1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D185" i="13"/>
  <c r="K184" i="13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F184" i="13"/>
  <c r="G184" i="13" s="1"/>
  <c r="H184" i="13" s="1"/>
  <c r="I184" i="13" s="1"/>
  <c r="J184" i="13" s="1"/>
  <c r="D184" i="13"/>
  <c r="E184" i="13" s="1"/>
  <c r="W183" i="13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D183" i="13"/>
  <c r="E183" i="13" s="1"/>
  <c r="F183" i="13" s="1"/>
  <c r="G183" i="13" s="1"/>
  <c r="H183" i="13" s="1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R182" i="13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E182" i="13"/>
  <c r="F182" i="13" s="1"/>
  <c r="G182" i="13" s="1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D182" i="13"/>
  <c r="X181" i="13"/>
  <c r="Y181" i="13" s="1"/>
  <c r="Z181" i="13" s="1"/>
  <c r="AA181" i="13" s="1"/>
  <c r="AB181" i="13" s="1"/>
  <c r="AC181" i="13" s="1"/>
  <c r="AD181" i="13" s="1"/>
  <c r="AE181" i="13" s="1"/>
  <c r="AF181" i="13" s="1"/>
  <c r="B181" i="13" s="1"/>
  <c r="K181" i="13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E181" i="13"/>
  <c r="F181" i="13" s="1"/>
  <c r="G181" i="13" s="1"/>
  <c r="H181" i="13" s="1"/>
  <c r="I181" i="13" s="1"/>
  <c r="J181" i="13" s="1"/>
  <c r="D181" i="13"/>
  <c r="Q180" i="13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D180" i="13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P179" i="13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G179" i="13"/>
  <c r="H179" i="13" s="1"/>
  <c r="I179" i="13" s="1"/>
  <c r="J179" i="13" s="1"/>
  <c r="K179" i="13" s="1"/>
  <c r="L179" i="13" s="1"/>
  <c r="M179" i="13" s="1"/>
  <c r="N179" i="13" s="1"/>
  <c r="O179" i="13" s="1"/>
  <c r="E179" i="13"/>
  <c r="F179" i="13" s="1"/>
  <c r="D179" i="13"/>
  <c r="D178" i="13"/>
  <c r="E178" i="13" s="1"/>
  <c r="F178" i="13" s="1"/>
  <c r="G178" i="13" s="1"/>
  <c r="H178" i="13" s="1"/>
  <c r="I178" i="13" s="1"/>
  <c r="J178" i="13" s="1"/>
  <c r="K178" i="13" s="1"/>
  <c r="L178" i="13" s="1"/>
  <c r="M178" i="13" s="1"/>
  <c r="N178" i="13" s="1"/>
  <c r="O178" i="13" s="1"/>
  <c r="P178" i="13" s="1"/>
  <c r="Q178" i="13" s="1"/>
  <c r="R178" i="13" s="1"/>
  <c r="S178" i="13" s="1"/>
  <c r="T178" i="13" s="1"/>
  <c r="U178" i="13" s="1"/>
  <c r="V178" i="13" s="1"/>
  <c r="W178" i="13" s="1"/>
  <c r="X178" i="13" s="1"/>
  <c r="Y178" i="13" s="1"/>
  <c r="Z178" i="13" s="1"/>
  <c r="AA178" i="13" s="1"/>
  <c r="AB178" i="13" s="1"/>
  <c r="AC178" i="13" s="1"/>
  <c r="AD178" i="13" s="1"/>
  <c r="AE178" i="13" s="1"/>
  <c r="AF178" i="13" s="1"/>
  <c r="B178" i="13" s="1"/>
  <c r="AF176" i="13"/>
  <c r="B176" i="13" s="1"/>
  <c r="H176" i="13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D176" i="13"/>
  <c r="E176" i="13" s="1"/>
  <c r="F176" i="13" s="1"/>
  <c r="G176" i="13" s="1"/>
  <c r="F175" i="13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D175" i="13"/>
  <c r="E175" i="13" s="1"/>
  <c r="J174" i="13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G174" i="13"/>
  <c r="H174" i="13" s="1"/>
  <c r="I174" i="13" s="1"/>
  <c r="D174" i="13"/>
  <c r="E174" i="13" s="1"/>
  <c r="F174" i="13" s="1"/>
  <c r="V173" i="13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F173" i="13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E173" i="13"/>
  <c r="D173" i="13"/>
  <c r="F172" i="13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D172" i="13"/>
  <c r="E172" i="13" s="1"/>
  <c r="P171" i="13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D171" i="13"/>
  <c r="E171" i="13" s="1"/>
  <c r="F171" i="13" s="1"/>
  <c r="G171" i="13" s="1"/>
  <c r="H171" i="13" s="1"/>
  <c r="I171" i="13" s="1"/>
  <c r="J171" i="13" s="1"/>
  <c r="K171" i="13" s="1"/>
  <c r="L171" i="13" s="1"/>
  <c r="M171" i="13" s="1"/>
  <c r="N171" i="13" s="1"/>
  <c r="O171" i="13" s="1"/>
  <c r="G170" i="13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F170" i="13"/>
  <c r="D170" i="13"/>
  <c r="E170" i="13" s="1"/>
  <c r="L169" i="13"/>
  <c r="M169" i="13" s="1"/>
  <c r="N169" i="13" s="1"/>
  <c r="O169" i="13" s="1"/>
  <c r="P169" i="13" s="1"/>
  <c r="Q169" i="13" s="1"/>
  <c r="R169" i="13" s="1"/>
  <c r="S169" i="13" s="1"/>
  <c r="T169" i="13" s="1"/>
  <c r="U169" i="13" s="1"/>
  <c r="V169" i="13" s="1"/>
  <c r="W169" i="13" s="1"/>
  <c r="X169" i="13" s="1"/>
  <c r="Y169" i="13" s="1"/>
  <c r="Z169" i="13" s="1"/>
  <c r="AA169" i="13" s="1"/>
  <c r="AB169" i="13" s="1"/>
  <c r="AC169" i="13" s="1"/>
  <c r="AD169" i="13" s="1"/>
  <c r="AE169" i="13" s="1"/>
  <c r="AF169" i="13" s="1"/>
  <c r="B169" i="13" s="1"/>
  <c r="D169" i="13"/>
  <c r="E169" i="13" s="1"/>
  <c r="F169" i="13" s="1"/>
  <c r="G169" i="13" s="1"/>
  <c r="H169" i="13" s="1"/>
  <c r="I169" i="13" s="1"/>
  <c r="J169" i="13" s="1"/>
  <c r="K169" i="13" s="1"/>
  <c r="D167" i="13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L166" i="13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H166" i="13"/>
  <c r="I166" i="13" s="1"/>
  <c r="J166" i="13" s="1"/>
  <c r="K166" i="13" s="1"/>
  <c r="F166" i="13"/>
  <c r="G166" i="13" s="1"/>
  <c r="D166" i="13"/>
  <c r="E166" i="13" s="1"/>
  <c r="E165" i="13"/>
  <c r="F165" i="13" s="1"/>
  <c r="G165" i="13" s="1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D165" i="13"/>
  <c r="K164" i="13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E164" i="13"/>
  <c r="F164" i="13" s="1"/>
  <c r="G164" i="13" s="1"/>
  <c r="H164" i="13" s="1"/>
  <c r="I164" i="13" s="1"/>
  <c r="J164" i="13" s="1"/>
  <c r="D164" i="13"/>
  <c r="D163" i="13"/>
  <c r="E163" i="13" s="1"/>
  <c r="F163" i="13" s="1"/>
  <c r="G163" i="13" s="1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E162" i="13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D162" i="13"/>
  <c r="D161" i="13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D160" i="13"/>
  <c r="E160" i="13" s="1"/>
  <c r="F160" i="13" s="1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O159" i="13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I159" i="13"/>
  <c r="J159" i="13" s="1"/>
  <c r="K159" i="13" s="1"/>
  <c r="L159" i="13" s="1"/>
  <c r="M159" i="13" s="1"/>
  <c r="N159" i="13" s="1"/>
  <c r="G159" i="13"/>
  <c r="H159" i="13" s="1"/>
  <c r="D159" i="13"/>
  <c r="E159" i="13" s="1"/>
  <c r="F159" i="13" s="1"/>
  <c r="N158" i="13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F158" i="13"/>
  <c r="G158" i="13" s="1"/>
  <c r="H158" i="13" s="1"/>
  <c r="I158" i="13" s="1"/>
  <c r="J158" i="13" s="1"/>
  <c r="K158" i="13" s="1"/>
  <c r="L158" i="13" s="1"/>
  <c r="M158" i="13" s="1"/>
  <c r="E158" i="13"/>
  <c r="D158" i="13"/>
  <c r="X157" i="13"/>
  <c r="Y157" i="13" s="1"/>
  <c r="Z157" i="13" s="1"/>
  <c r="AA157" i="13" s="1"/>
  <c r="AB157" i="13" s="1"/>
  <c r="AC157" i="13" s="1"/>
  <c r="AD157" i="13" s="1"/>
  <c r="AE157" i="13" s="1"/>
  <c r="AF157" i="13" s="1"/>
  <c r="B157" i="13" s="1"/>
  <c r="D157" i="13"/>
  <c r="E157" i="13" s="1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I156" i="13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F156" i="13"/>
  <c r="G156" i="13" s="1"/>
  <c r="H156" i="13" s="1"/>
  <c r="D156" i="13"/>
  <c r="E156" i="13" s="1"/>
  <c r="F155" i="13"/>
  <c r="G155" i="13" s="1"/>
  <c r="H155" i="13" s="1"/>
  <c r="I155" i="13" s="1"/>
  <c r="J155" i="13" s="1"/>
  <c r="K155" i="13" s="1"/>
  <c r="L155" i="13" s="1"/>
  <c r="M155" i="13" s="1"/>
  <c r="N155" i="13" s="1"/>
  <c r="O155" i="13" s="1"/>
  <c r="P155" i="13" s="1"/>
  <c r="Q155" i="13" s="1"/>
  <c r="R155" i="13" s="1"/>
  <c r="S155" i="13" s="1"/>
  <c r="T155" i="13" s="1"/>
  <c r="U155" i="13" s="1"/>
  <c r="V155" i="13" s="1"/>
  <c r="W155" i="13" s="1"/>
  <c r="X155" i="13" s="1"/>
  <c r="Y155" i="13" s="1"/>
  <c r="Z155" i="13" s="1"/>
  <c r="AA155" i="13" s="1"/>
  <c r="AB155" i="13" s="1"/>
  <c r="AC155" i="13" s="1"/>
  <c r="AD155" i="13" s="1"/>
  <c r="AE155" i="13" s="1"/>
  <c r="AF155" i="13" s="1"/>
  <c r="B155" i="13" s="1"/>
  <c r="D155" i="13"/>
  <c r="E155" i="13" s="1"/>
  <c r="D153" i="13"/>
  <c r="E153" i="13" s="1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H152" i="13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E152" i="13"/>
  <c r="F152" i="13" s="1"/>
  <c r="G152" i="13" s="1"/>
  <c r="D152" i="13"/>
  <c r="V151" i="13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F151" i="13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D151" i="13"/>
  <c r="E151" i="13" s="1"/>
  <c r="D150" i="13"/>
  <c r="E150" i="13" s="1"/>
  <c r="F150" i="13" s="1"/>
  <c r="G150" i="13" s="1"/>
  <c r="H150" i="13" s="1"/>
  <c r="I150" i="13" s="1"/>
  <c r="J150" i="13" s="1"/>
  <c r="K150" i="13" s="1"/>
  <c r="L150" i="13" s="1"/>
  <c r="M150" i="13" s="1"/>
  <c r="N150" i="13" s="1"/>
  <c r="O150" i="13" s="1"/>
  <c r="P150" i="13" s="1"/>
  <c r="Q150" i="13" s="1"/>
  <c r="R150" i="13" s="1"/>
  <c r="S150" i="13" s="1"/>
  <c r="T150" i="13" s="1"/>
  <c r="U150" i="13" s="1"/>
  <c r="V150" i="13" s="1"/>
  <c r="W150" i="13" s="1"/>
  <c r="X150" i="13" s="1"/>
  <c r="Y150" i="13" s="1"/>
  <c r="Z150" i="13" s="1"/>
  <c r="AA150" i="13" s="1"/>
  <c r="AB150" i="13" s="1"/>
  <c r="AC150" i="13" s="1"/>
  <c r="AD150" i="13" s="1"/>
  <c r="AE150" i="13" s="1"/>
  <c r="AF150" i="13" s="1"/>
  <c r="B150" i="13" s="1"/>
  <c r="D148" i="13"/>
  <c r="E148" i="13" s="1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L147" i="13"/>
  <c r="M147" i="13" s="1"/>
  <c r="N147" i="13" s="1"/>
  <c r="O147" i="13" s="1"/>
  <c r="P147" i="13" s="1"/>
  <c r="Q147" i="13" s="1"/>
  <c r="R147" i="13" s="1"/>
  <c r="S147" i="13" s="1"/>
  <c r="T147" i="13" s="1"/>
  <c r="U147" i="13" s="1"/>
  <c r="V147" i="13" s="1"/>
  <c r="W147" i="13" s="1"/>
  <c r="X147" i="13" s="1"/>
  <c r="Y147" i="13" s="1"/>
  <c r="Z147" i="13" s="1"/>
  <c r="AA147" i="13" s="1"/>
  <c r="AB147" i="13" s="1"/>
  <c r="AC147" i="13" s="1"/>
  <c r="AD147" i="13" s="1"/>
  <c r="AE147" i="13" s="1"/>
  <c r="AF147" i="13" s="1"/>
  <c r="B147" i="13" s="1"/>
  <c r="D147" i="13"/>
  <c r="E147" i="13" s="1"/>
  <c r="F147" i="13" s="1"/>
  <c r="G147" i="13" s="1"/>
  <c r="H147" i="13" s="1"/>
  <c r="I147" i="13" s="1"/>
  <c r="J147" i="13" s="1"/>
  <c r="K147" i="13" s="1"/>
  <c r="D145" i="13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I144" i="13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G144" i="13"/>
  <c r="H144" i="13" s="1"/>
  <c r="E144" i="13"/>
  <c r="F144" i="13" s="1"/>
  <c r="D144" i="13"/>
  <c r="G143" i="13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E143" i="13"/>
  <c r="F143" i="13" s="1"/>
  <c r="D143" i="13"/>
  <c r="F142" i="13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E142" i="13"/>
  <c r="D142" i="13"/>
  <c r="F141" i="13"/>
  <c r="G141" i="13" s="1"/>
  <c r="H141" i="13" s="1"/>
  <c r="I141" i="13" s="1"/>
  <c r="J141" i="13" s="1"/>
  <c r="K141" i="13" s="1"/>
  <c r="L141" i="13" s="1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D141" i="13"/>
  <c r="E141" i="13" s="1"/>
  <c r="D140" i="13"/>
  <c r="E140" i="13" s="1"/>
  <c r="F140" i="13" s="1"/>
  <c r="G140" i="13" s="1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E139" i="13"/>
  <c r="F139" i="13" s="1"/>
  <c r="G139" i="13" s="1"/>
  <c r="H139" i="13" s="1"/>
  <c r="I139" i="13" s="1"/>
  <c r="J139" i="13" s="1"/>
  <c r="K139" i="13" s="1"/>
  <c r="L139" i="13" s="1"/>
  <c r="M139" i="13" s="1"/>
  <c r="N139" i="13" s="1"/>
  <c r="O139" i="13" s="1"/>
  <c r="P139" i="13" s="1"/>
  <c r="Q139" i="13" s="1"/>
  <c r="R139" i="13" s="1"/>
  <c r="S139" i="13" s="1"/>
  <c r="T139" i="13" s="1"/>
  <c r="U139" i="13" s="1"/>
  <c r="V139" i="13" s="1"/>
  <c r="W139" i="13" s="1"/>
  <c r="X139" i="13" s="1"/>
  <c r="Y139" i="13" s="1"/>
  <c r="Z139" i="13" s="1"/>
  <c r="AA139" i="13" s="1"/>
  <c r="AB139" i="13" s="1"/>
  <c r="AC139" i="13" s="1"/>
  <c r="AD139" i="13" s="1"/>
  <c r="AE139" i="13" s="1"/>
  <c r="AF139" i="13" s="1"/>
  <c r="B139" i="13" s="1"/>
  <c r="D139" i="13"/>
  <c r="E137" i="13"/>
  <c r="F137" i="13" s="1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D137" i="13"/>
  <c r="D136" i="13"/>
  <c r="E136" i="13" s="1"/>
  <c r="F136" i="13" s="1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D135" i="13"/>
  <c r="E135" i="13" s="1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U134" i="13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E134" i="13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D134" i="13"/>
  <c r="E133" i="13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D133" i="13"/>
  <c r="L132" i="13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D132" i="13"/>
  <c r="E132" i="13" s="1"/>
  <c r="F132" i="13" s="1"/>
  <c r="G132" i="13" s="1"/>
  <c r="H132" i="13" s="1"/>
  <c r="I132" i="13" s="1"/>
  <c r="J132" i="13" s="1"/>
  <c r="K132" i="13" s="1"/>
  <c r="D131" i="13"/>
  <c r="E131" i="13" s="1"/>
  <c r="F131" i="13" s="1"/>
  <c r="G131" i="13" s="1"/>
  <c r="H131" i="13" s="1"/>
  <c r="I131" i="13" s="1"/>
  <c r="J131" i="13" s="1"/>
  <c r="K131" i="13" s="1"/>
  <c r="L131" i="13" s="1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D130" i="13"/>
  <c r="E130" i="13" s="1"/>
  <c r="F130" i="13" s="1"/>
  <c r="G130" i="13" s="1"/>
  <c r="H130" i="13" s="1"/>
  <c r="I130" i="13" s="1"/>
  <c r="J130" i="13" s="1"/>
  <c r="K130" i="13" s="1"/>
  <c r="L130" i="13" s="1"/>
  <c r="M130" i="13" s="1"/>
  <c r="N130" i="13" s="1"/>
  <c r="O130" i="13" s="1"/>
  <c r="P130" i="13" s="1"/>
  <c r="Q130" i="13" s="1"/>
  <c r="R130" i="13" s="1"/>
  <c r="S130" i="13" s="1"/>
  <c r="T130" i="13" s="1"/>
  <c r="U130" i="13" s="1"/>
  <c r="V130" i="13" s="1"/>
  <c r="W130" i="13" s="1"/>
  <c r="X130" i="13" s="1"/>
  <c r="Y130" i="13" s="1"/>
  <c r="Z130" i="13" s="1"/>
  <c r="AA130" i="13" s="1"/>
  <c r="AB130" i="13" s="1"/>
  <c r="AC130" i="13" s="1"/>
  <c r="AD130" i="13" s="1"/>
  <c r="AE130" i="13" s="1"/>
  <c r="AF130" i="13" s="1"/>
  <c r="B130" i="13" s="1"/>
  <c r="I128" i="13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G128" i="13"/>
  <c r="H128" i="13" s="1"/>
  <c r="E128" i="13"/>
  <c r="F128" i="13" s="1"/>
  <c r="D128" i="13"/>
  <c r="D127" i="13"/>
  <c r="E127" i="13" s="1"/>
  <c r="F127" i="13" s="1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D126" i="13"/>
  <c r="E126" i="13" s="1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D125" i="13"/>
  <c r="E125" i="13" s="1"/>
  <c r="F125" i="13" s="1"/>
  <c r="G125" i="13" s="1"/>
  <c r="H125" i="13" s="1"/>
  <c r="I125" i="13" s="1"/>
  <c r="J125" i="13" s="1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N124" i="13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E124" i="13"/>
  <c r="F124" i="13" s="1"/>
  <c r="G124" i="13" s="1"/>
  <c r="H124" i="13" s="1"/>
  <c r="I124" i="13" s="1"/>
  <c r="J124" i="13" s="1"/>
  <c r="K124" i="13" s="1"/>
  <c r="L124" i="13" s="1"/>
  <c r="M124" i="13" s="1"/>
  <c r="D124" i="13"/>
  <c r="K123" i="13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D123" i="13"/>
  <c r="E123" i="13" s="1"/>
  <c r="F123" i="13" s="1"/>
  <c r="G123" i="13" s="1"/>
  <c r="H123" i="13" s="1"/>
  <c r="I123" i="13" s="1"/>
  <c r="J123" i="13" s="1"/>
  <c r="D122" i="13"/>
  <c r="E122" i="13" s="1"/>
  <c r="F122" i="13" s="1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D121" i="13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K120" i="13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E120" i="13"/>
  <c r="F120" i="13" s="1"/>
  <c r="G120" i="13" s="1"/>
  <c r="H120" i="13" s="1"/>
  <c r="I120" i="13" s="1"/>
  <c r="J120" i="13" s="1"/>
  <c r="D120" i="13"/>
  <c r="D119" i="13"/>
  <c r="E119" i="13" s="1"/>
  <c r="F119" i="13" s="1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D118" i="13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M117" i="13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D117" i="13"/>
  <c r="E117" i="13" s="1"/>
  <c r="F117" i="13" s="1"/>
  <c r="G117" i="13" s="1"/>
  <c r="H117" i="13" s="1"/>
  <c r="I117" i="13" s="1"/>
  <c r="J117" i="13" s="1"/>
  <c r="K117" i="13" s="1"/>
  <c r="L117" i="13" s="1"/>
  <c r="E116" i="13"/>
  <c r="F116" i="13" s="1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D115" i="13"/>
  <c r="E115" i="13" s="1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I114" i="13"/>
  <c r="J114" i="13" s="1"/>
  <c r="K114" i="13" s="1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F114" i="13"/>
  <c r="G114" i="13" s="1"/>
  <c r="H114" i="13" s="1"/>
  <c r="E114" i="13"/>
  <c r="D114" i="13"/>
  <c r="O113" i="13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N113" i="13"/>
  <c r="L113" i="13"/>
  <c r="M113" i="13" s="1"/>
  <c r="K113" i="13"/>
  <c r="F113" i="13"/>
  <c r="G113" i="13" s="1"/>
  <c r="H113" i="13" s="1"/>
  <c r="I113" i="13" s="1"/>
  <c r="E113" i="13"/>
  <c r="D113" i="13"/>
  <c r="E112" i="13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D112" i="13"/>
  <c r="D111" i="13"/>
  <c r="E111" i="13" s="1"/>
  <c r="F111" i="13" s="1"/>
  <c r="G111" i="13" s="1"/>
  <c r="H111" i="13" s="1"/>
  <c r="I111" i="13" s="1"/>
  <c r="J111" i="13" s="1"/>
  <c r="K111" i="13" s="1"/>
  <c r="L111" i="13" s="1"/>
  <c r="M111" i="13" s="1"/>
  <c r="N111" i="13" s="1"/>
  <c r="O111" i="13" s="1"/>
  <c r="P111" i="13" s="1"/>
  <c r="Q111" i="13" s="1"/>
  <c r="R111" i="13" s="1"/>
  <c r="S111" i="13" s="1"/>
  <c r="T111" i="13" s="1"/>
  <c r="U111" i="13" s="1"/>
  <c r="V111" i="13" s="1"/>
  <c r="W111" i="13" s="1"/>
  <c r="X111" i="13" s="1"/>
  <c r="Y111" i="13" s="1"/>
  <c r="Z111" i="13" s="1"/>
  <c r="AA111" i="13" s="1"/>
  <c r="AB111" i="13" s="1"/>
  <c r="AC111" i="13" s="1"/>
  <c r="AD111" i="13" s="1"/>
  <c r="AE111" i="13" s="1"/>
  <c r="AF111" i="13" s="1"/>
  <c r="B111" i="13" s="1"/>
  <c r="J109" i="13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E109" i="13"/>
  <c r="F109" i="13" s="1"/>
  <c r="G109" i="13" s="1"/>
  <c r="H109" i="13" s="1"/>
  <c r="I109" i="13" s="1"/>
  <c r="D109" i="13"/>
  <c r="E108" i="13"/>
  <c r="F108" i="13" s="1"/>
  <c r="G108" i="13" s="1"/>
  <c r="H108" i="13" s="1"/>
  <c r="I108" i="13" s="1"/>
  <c r="J108" i="13" s="1"/>
  <c r="K108" i="13" s="1"/>
  <c r="L108" i="13" s="1"/>
  <c r="M108" i="13" s="1"/>
  <c r="N108" i="13" s="1"/>
  <c r="O108" i="13" s="1"/>
  <c r="P108" i="13" s="1"/>
  <c r="Q108" i="13" s="1"/>
  <c r="R108" i="13" s="1"/>
  <c r="S108" i="13" s="1"/>
  <c r="T108" i="13" s="1"/>
  <c r="U108" i="13" s="1"/>
  <c r="V108" i="13" s="1"/>
  <c r="W108" i="13" s="1"/>
  <c r="X108" i="13" s="1"/>
  <c r="Y108" i="13" s="1"/>
  <c r="Z108" i="13" s="1"/>
  <c r="AA108" i="13" s="1"/>
  <c r="AB108" i="13" s="1"/>
  <c r="AC108" i="13" s="1"/>
  <c r="AD108" i="13" s="1"/>
  <c r="AE108" i="13" s="1"/>
  <c r="AF108" i="13" s="1"/>
  <c r="B108" i="13" s="1"/>
  <c r="D108" i="13"/>
  <c r="D106" i="13"/>
  <c r="E106" i="13" s="1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D105" i="13"/>
  <c r="E105" i="13" s="1"/>
  <c r="F105" i="13" s="1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G104" i="13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E104" i="13"/>
  <c r="F104" i="13" s="1"/>
  <c r="D104" i="13"/>
  <c r="F103" i="13"/>
  <c r="G103" i="13" s="1"/>
  <c r="H103" i="13" s="1"/>
  <c r="I103" i="13" s="1"/>
  <c r="J103" i="13" s="1"/>
  <c r="K103" i="13" s="1"/>
  <c r="L103" i="13" s="1"/>
  <c r="M103" i="13" s="1"/>
  <c r="N103" i="13" s="1"/>
  <c r="O103" i="13" s="1"/>
  <c r="P103" i="13" s="1"/>
  <c r="Q103" i="13" s="1"/>
  <c r="R103" i="13" s="1"/>
  <c r="S103" i="13" s="1"/>
  <c r="T103" i="13" s="1"/>
  <c r="U103" i="13" s="1"/>
  <c r="V103" i="13" s="1"/>
  <c r="W103" i="13" s="1"/>
  <c r="X103" i="13" s="1"/>
  <c r="Y103" i="13" s="1"/>
  <c r="Z103" i="13" s="1"/>
  <c r="AA103" i="13" s="1"/>
  <c r="AB103" i="13" s="1"/>
  <c r="AC103" i="13" s="1"/>
  <c r="AD103" i="13" s="1"/>
  <c r="AE103" i="13" s="1"/>
  <c r="AF103" i="13" s="1"/>
  <c r="B103" i="13" s="1"/>
  <c r="E103" i="13"/>
  <c r="D103" i="13"/>
  <c r="D102" i="13"/>
  <c r="D93" i="13" s="1"/>
  <c r="D101" i="13"/>
  <c r="AH98" i="13"/>
  <c r="AI98" i="13" s="1"/>
  <c r="AH97" i="13"/>
  <c r="AI97" i="13" s="1"/>
  <c r="AH96" i="13"/>
  <c r="AI96" i="13" s="1"/>
  <c r="AH95" i="13"/>
  <c r="AI95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G82" i="13"/>
  <c r="AI81" i="13"/>
  <c r="AH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B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AF77" i="13"/>
  <c r="AE77" i="13"/>
  <c r="AD77" i="13"/>
  <c r="AC77" i="13"/>
  <c r="AB77" i="13"/>
  <c r="AA77" i="13"/>
  <c r="AA82" i="13" s="1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AI74" i="13"/>
  <c r="AH74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AI71" i="13"/>
  <c r="AH71" i="13"/>
  <c r="AI70" i="13"/>
  <c r="AH70" i="13"/>
  <c r="AI69" i="13"/>
  <c r="AH69" i="13"/>
  <c r="AG68" i="13"/>
  <c r="AF68" i="13"/>
  <c r="AE68" i="13"/>
  <c r="AD68" i="13"/>
  <c r="AC68" i="13"/>
  <c r="AB5" i="13" s="1"/>
  <c r="AB68" i="13"/>
  <c r="AA68" i="13"/>
  <c r="Z5" i="13" s="1"/>
  <c r="Z68" i="13"/>
  <c r="Y5" i="13" s="1"/>
  <c r="Y68" i="13"/>
  <c r="X68" i="13"/>
  <c r="W68" i="13"/>
  <c r="V5" i="13" s="1"/>
  <c r="V68" i="13"/>
  <c r="U5" i="13" s="1"/>
  <c r="U68" i="13"/>
  <c r="T5" i="13" s="1"/>
  <c r="T68" i="13"/>
  <c r="S5" i="13" s="1"/>
  <c r="S68" i="13"/>
  <c r="R5" i="13" s="1"/>
  <c r="R68" i="13"/>
  <c r="Q5" i="13" s="1"/>
  <c r="Q68" i="13"/>
  <c r="P5" i="13" s="1"/>
  <c r="P68" i="13"/>
  <c r="O68" i="13"/>
  <c r="N68" i="13"/>
  <c r="M68" i="13"/>
  <c r="L68" i="13"/>
  <c r="K68" i="13"/>
  <c r="J5" i="13" s="1"/>
  <c r="J68" i="13"/>
  <c r="I5" i="13" s="1"/>
  <c r="I68" i="13"/>
  <c r="H5" i="13" s="1"/>
  <c r="H68" i="13"/>
  <c r="G68" i="13"/>
  <c r="F5" i="13" s="1"/>
  <c r="F68" i="13"/>
  <c r="E5" i="13" s="1"/>
  <c r="E68" i="13"/>
  <c r="D68" i="13"/>
  <c r="C68" i="13"/>
  <c r="B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Z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G51" i="13"/>
  <c r="AG52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G2" i="13" s="1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D5" i="13"/>
  <c r="AC5" i="13"/>
  <c r="X5" i="13"/>
  <c r="N5" i="13"/>
  <c r="M5" i="13"/>
  <c r="L5" i="13"/>
  <c r="D5" i="13"/>
  <c r="B5" i="13"/>
  <c r="AG4" i="13"/>
  <c r="K4" i="13"/>
  <c r="B4" i="13"/>
  <c r="AA37" i="12"/>
  <c r="Z95" i="12"/>
  <c r="Z37" i="12"/>
  <c r="X95" i="12"/>
  <c r="X37" i="12"/>
  <c r="W95" i="12"/>
  <c r="W37" i="12"/>
  <c r="U95" i="12"/>
  <c r="U37" i="12"/>
  <c r="T95" i="12"/>
  <c r="T37" i="12"/>
  <c r="M37" i="12"/>
  <c r="L37" i="12"/>
  <c r="K37" i="12"/>
  <c r="J37" i="12"/>
  <c r="I37" i="12"/>
  <c r="H37" i="12"/>
  <c r="G37" i="12"/>
  <c r="F37" i="12"/>
  <c r="E37" i="12"/>
  <c r="D95" i="12"/>
  <c r="D37" i="12"/>
  <c r="AH99" i="12"/>
  <c r="AI99" i="12" s="1"/>
  <c r="C95" i="12"/>
  <c r="C37" i="12"/>
  <c r="B95" i="12"/>
  <c r="B37" i="12"/>
  <c r="B93" i="12"/>
  <c r="B80" i="12"/>
  <c r="B79" i="12"/>
  <c r="B78" i="12"/>
  <c r="B77" i="12"/>
  <c r="B82" i="12" s="1"/>
  <c r="B76" i="12"/>
  <c r="B72" i="12"/>
  <c r="B68" i="12"/>
  <c r="B56" i="12"/>
  <c r="B51" i="12"/>
  <c r="B52" i="12" s="1"/>
  <c r="B38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D235" i="12"/>
  <c r="C235" i="12"/>
  <c r="B235" i="12"/>
  <c r="A235" i="12"/>
  <c r="B234" i="12"/>
  <c r="S209" i="12"/>
  <c r="AG199" i="12"/>
  <c r="C199" i="12"/>
  <c r="E198" i="12"/>
  <c r="D198" i="12"/>
  <c r="C234" i="12" s="1"/>
  <c r="D197" i="12"/>
  <c r="E197" i="12" s="1"/>
  <c r="F197" i="12" s="1"/>
  <c r="G197" i="12" s="1"/>
  <c r="H197" i="12" s="1"/>
  <c r="I197" i="12" s="1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E196" i="12"/>
  <c r="F196" i="12" s="1"/>
  <c r="G196" i="12" s="1"/>
  <c r="H196" i="12" s="1"/>
  <c r="I196" i="12" s="1"/>
  <c r="J196" i="12" s="1"/>
  <c r="K196" i="12" s="1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D196" i="12"/>
  <c r="E195" i="12"/>
  <c r="F195" i="12" s="1"/>
  <c r="G195" i="12" s="1"/>
  <c r="H195" i="12" s="1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B195" i="12" s="1"/>
  <c r="D195" i="12"/>
  <c r="D194" i="12"/>
  <c r="E194" i="12" s="1"/>
  <c r="F194" i="12" s="1"/>
  <c r="G194" i="12" s="1"/>
  <c r="H194" i="12" s="1"/>
  <c r="I194" i="12" s="1"/>
  <c r="J194" i="12" s="1"/>
  <c r="K194" i="12" s="1"/>
  <c r="L194" i="12" s="1"/>
  <c r="M194" i="12" s="1"/>
  <c r="N194" i="12" s="1"/>
  <c r="O194" i="12" s="1"/>
  <c r="P194" i="12" s="1"/>
  <c r="Q194" i="12" s="1"/>
  <c r="R194" i="12" s="1"/>
  <c r="S194" i="12" s="1"/>
  <c r="T194" i="12" s="1"/>
  <c r="U194" i="12" s="1"/>
  <c r="V194" i="12" s="1"/>
  <c r="W194" i="12" s="1"/>
  <c r="X194" i="12" s="1"/>
  <c r="Y194" i="12" s="1"/>
  <c r="Z194" i="12" s="1"/>
  <c r="AA194" i="12" s="1"/>
  <c r="AB194" i="12" s="1"/>
  <c r="AC194" i="12" s="1"/>
  <c r="AD194" i="12" s="1"/>
  <c r="AE194" i="12" s="1"/>
  <c r="AF194" i="12" s="1"/>
  <c r="B194" i="12" s="1"/>
  <c r="D193" i="12"/>
  <c r="AG191" i="12"/>
  <c r="C191" i="12"/>
  <c r="H190" i="12"/>
  <c r="I190" i="12" s="1"/>
  <c r="J190" i="12" s="1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E190" i="12"/>
  <c r="F190" i="12" s="1"/>
  <c r="G190" i="12" s="1"/>
  <c r="D190" i="12"/>
  <c r="E189" i="12"/>
  <c r="F189" i="12" s="1"/>
  <c r="G189" i="12" s="1"/>
  <c r="H189" i="12" s="1"/>
  <c r="I189" i="12" s="1"/>
  <c r="J189" i="12" s="1"/>
  <c r="K189" i="12" s="1"/>
  <c r="L189" i="12" s="1"/>
  <c r="M189" i="12" s="1"/>
  <c r="N189" i="12" s="1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B189" i="12" s="1"/>
  <c r="D189" i="12"/>
  <c r="E188" i="12"/>
  <c r="F188" i="12" s="1"/>
  <c r="G188" i="12" s="1"/>
  <c r="H188" i="12" s="1"/>
  <c r="I188" i="12" s="1"/>
  <c r="J188" i="12" s="1"/>
  <c r="K188" i="12" s="1"/>
  <c r="L188" i="12" s="1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D188" i="12"/>
  <c r="D187" i="12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E186" i="12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B186" i="12" s="1"/>
  <c r="D186" i="12"/>
  <c r="E185" i="12"/>
  <c r="F185" i="12" s="1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D185" i="12"/>
  <c r="E184" i="12"/>
  <c r="F184" i="12" s="1"/>
  <c r="G184" i="12" s="1"/>
  <c r="H184" i="12" s="1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D184" i="12"/>
  <c r="J183" i="12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D183" i="12"/>
  <c r="E183" i="12" s="1"/>
  <c r="F183" i="12" s="1"/>
  <c r="G183" i="12" s="1"/>
  <c r="H183" i="12" s="1"/>
  <c r="I183" i="12" s="1"/>
  <c r="AE182" i="12"/>
  <c r="AF182" i="12" s="1"/>
  <c r="B182" i="12" s="1"/>
  <c r="J182" i="12"/>
  <c r="K182" i="12" s="1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F182" i="12"/>
  <c r="G182" i="12" s="1"/>
  <c r="H182" i="12" s="1"/>
  <c r="I182" i="12" s="1"/>
  <c r="E182" i="12"/>
  <c r="D182" i="12"/>
  <c r="I181" i="12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E181" i="12"/>
  <c r="F181" i="12" s="1"/>
  <c r="G181" i="12" s="1"/>
  <c r="H181" i="12" s="1"/>
  <c r="D181" i="12"/>
  <c r="F180" i="12"/>
  <c r="G180" i="12" s="1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D180" i="12"/>
  <c r="E180" i="12" s="1"/>
  <c r="J179" i="12"/>
  <c r="K179" i="12" s="1"/>
  <c r="L179" i="12" s="1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G179" i="12"/>
  <c r="H179" i="12" s="1"/>
  <c r="I179" i="12" s="1"/>
  <c r="E179" i="12"/>
  <c r="F179" i="12" s="1"/>
  <c r="D179" i="12"/>
  <c r="M178" i="12"/>
  <c r="N178" i="12" s="1"/>
  <c r="O178" i="12" s="1"/>
  <c r="P178" i="12" s="1"/>
  <c r="Q178" i="12" s="1"/>
  <c r="R178" i="12" s="1"/>
  <c r="S178" i="12" s="1"/>
  <c r="T178" i="12" s="1"/>
  <c r="U178" i="12" s="1"/>
  <c r="V178" i="12" s="1"/>
  <c r="W178" i="12" s="1"/>
  <c r="X178" i="12" s="1"/>
  <c r="Y178" i="12" s="1"/>
  <c r="Z178" i="12" s="1"/>
  <c r="AA178" i="12" s="1"/>
  <c r="AB178" i="12" s="1"/>
  <c r="AC178" i="12" s="1"/>
  <c r="AD178" i="12" s="1"/>
  <c r="AE178" i="12" s="1"/>
  <c r="AF178" i="12" s="1"/>
  <c r="B178" i="12" s="1"/>
  <c r="F178" i="12"/>
  <c r="G178" i="12" s="1"/>
  <c r="H178" i="12" s="1"/>
  <c r="I178" i="12" s="1"/>
  <c r="J178" i="12" s="1"/>
  <c r="K178" i="12" s="1"/>
  <c r="L178" i="12" s="1"/>
  <c r="E178" i="12"/>
  <c r="D178" i="12"/>
  <c r="Q176" i="12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F176" i="12"/>
  <c r="G176" i="12" s="1"/>
  <c r="H176" i="12" s="1"/>
  <c r="I176" i="12" s="1"/>
  <c r="J176" i="12" s="1"/>
  <c r="K176" i="12" s="1"/>
  <c r="L176" i="12" s="1"/>
  <c r="M176" i="12" s="1"/>
  <c r="N176" i="12" s="1"/>
  <c r="O176" i="12" s="1"/>
  <c r="P176" i="12" s="1"/>
  <c r="D176" i="12"/>
  <c r="E176" i="12" s="1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W174" i="12"/>
  <c r="X174" i="12" s="1"/>
  <c r="Y174" i="12" s="1"/>
  <c r="Z174" i="12" s="1"/>
  <c r="AA174" i="12" s="1"/>
  <c r="AB174" i="12" s="1"/>
  <c r="AC174" i="12" s="1"/>
  <c r="AD174" i="12" s="1"/>
  <c r="AE174" i="12" s="1"/>
  <c r="AF174" i="12" s="1"/>
  <c r="B174" i="12" s="1"/>
  <c r="E174" i="12"/>
  <c r="F174" i="12" s="1"/>
  <c r="G174" i="12" s="1"/>
  <c r="H174" i="12" s="1"/>
  <c r="I174" i="12" s="1"/>
  <c r="J174" i="12" s="1"/>
  <c r="K174" i="12" s="1"/>
  <c r="L174" i="12" s="1"/>
  <c r="M174" i="12" s="1"/>
  <c r="N174" i="12" s="1"/>
  <c r="O174" i="12" s="1"/>
  <c r="P174" i="12" s="1"/>
  <c r="Q174" i="12" s="1"/>
  <c r="R174" i="12" s="1"/>
  <c r="S174" i="12" s="1"/>
  <c r="T174" i="12" s="1"/>
  <c r="U174" i="12" s="1"/>
  <c r="V174" i="12" s="1"/>
  <c r="D174" i="12"/>
  <c r="K173" i="12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E173" i="12"/>
  <c r="F173" i="12" s="1"/>
  <c r="G173" i="12" s="1"/>
  <c r="H173" i="12" s="1"/>
  <c r="I173" i="12" s="1"/>
  <c r="J173" i="12" s="1"/>
  <c r="D173" i="12"/>
  <c r="W172" i="12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H172" i="12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D172" i="12"/>
  <c r="E172" i="12" s="1"/>
  <c r="F172" i="12" s="1"/>
  <c r="G172" i="12" s="1"/>
  <c r="P171" i="12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B171" i="12" s="1"/>
  <c r="E171" i="12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D171" i="12"/>
  <c r="D170" i="12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L169" i="12"/>
  <c r="M169" i="12" s="1"/>
  <c r="N169" i="12" s="1"/>
  <c r="O169" i="12" s="1"/>
  <c r="P169" i="12" s="1"/>
  <c r="Q169" i="12" s="1"/>
  <c r="R169" i="12" s="1"/>
  <c r="S169" i="12" s="1"/>
  <c r="T169" i="12" s="1"/>
  <c r="U169" i="12" s="1"/>
  <c r="V169" i="12" s="1"/>
  <c r="W169" i="12" s="1"/>
  <c r="X169" i="12" s="1"/>
  <c r="Y169" i="12" s="1"/>
  <c r="Z169" i="12" s="1"/>
  <c r="AA169" i="12" s="1"/>
  <c r="AB169" i="12" s="1"/>
  <c r="AC169" i="12" s="1"/>
  <c r="AD169" i="12" s="1"/>
  <c r="AE169" i="12" s="1"/>
  <c r="AF169" i="12" s="1"/>
  <c r="B169" i="12" s="1"/>
  <c r="F169" i="12"/>
  <c r="G169" i="12" s="1"/>
  <c r="H169" i="12" s="1"/>
  <c r="I169" i="12" s="1"/>
  <c r="J169" i="12" s="1"/>
  <c r="K169" i="12" s="1"/>
  <c r="E169" i="12"/>
  <c r="D169" i="12"/>
  <c r="O167" i="12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I167" i="12"/>
  <c r="J167" i="12" s="1"/>
  <c r="K167" i="12" s="1"/>
  <c r="L167" i="12" s="1"/>
  <c r="M167" i="12" s="1"/>
  <c r="N167" i="12" s="1"/>
  <c r="F167" i="12"/>
  <c r="G167" i="12" s="1"/>
  <c r="H167" i="12" s="1"/>
  <c r="D167" i="12"/>
  <c r="E167" i="12" s="1"/>
  <c r="Q166" i="12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H166" i="12"/>
  <c r="I166" i="12" s="1"/>
  <c r="J166" i="12" s="1"/>
  <c r="K166" i="12" s="1"/>
  <c r="L166" i="12" s="1"/>
  <c r="M166" i="12" s="1"/>
  <c r="N166" i="12" s="1"/>
  <c r="O166" i="12" s="1"/>
  <c r="P166" i="12" s="1"/>
  <c r="D166" i="12"/>
  <c r="E166" i="12" s="1"/>
  <c r="F166" i="12" s="1"/>
  <c r="G166" i="12" s="1"/>
  <c r="N165" i="12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E165" i="12"/>
  <c r="F165" i="12" s="1"/>
  <c r="G165" i="12" s="1"/>
  <c r="H165" i="12" s="1"/>
  <c r="I165" i="12" s="1"/>
  <c r="J165" i="12" s="1"/>
  <c r="K165" i="12" s="1"/>
  <c r="L165" i="12" s="1"/>
  <c r="M165" i="12" s="1"/>
  <c r="D165" i="12"/>
  <c r="Q164" i="12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M164" i="12"/>
  <c r="N164" i="12" s="1"/>
  <c r="O164" i="12" s="1"/>
  <c r="P164" i="12" s="1"/>
  <c r="F164" i="12"/>
  <c r="G164" i="12" s="1"/>
  <c r="H164" i="12" s="1"/>
  <c r="I164" i="12" s="1"/>
  <c r="J164" i="12" s="1"/>
  <c r="K164" i="12" s="1"/>
  <c r="L164" i="12" s="1"/>
  <c r="D164" i="12"/>
  <c r="E164" i="12" s="1"/>
  <c r="R163" i="12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B163" i="12" s="1"/>
  <c r="G163" i="12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D163" i="12"/>
  <c r="E163" i="12" s="1"/>
  <c r="F163" i="12" s="1"/>
  <c r="G162" i="12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D162" i="12"/>
  <c r="E162" i="12" s="1"/>
  <c r="F162" i="12" s="1"/>
  <c r="N161" i="12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G161" i="12"/>
  <c r="H161" i="12" s="1"/>
  <c r="I161" i="12" s="1"/>
  <c r="J161" i="12" s="1"/>
  <c r="K161" i="12" s="1"/>
  <c r="L161" i="12" s="1"/>
  <c r="M161" i="12" s="1"/>
  <c r="E161" i="12"/>
  <c r="F161" i="12" s="1"/>
  <c r="D161" i="12"/>
  <c r="J160" i="12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B160" i="12" s="1"/>
  <c r="H160" i="12"/>
  <c r="I160" i="12" s="1"/>
  <c r="E160" i="12"/>
  <c r="F160" i="12" s="1"/>
  <c r="G160" i="12" s="1"/>
  <c r="D160" i="12"/>
  <c r="L159" i="12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J159" i="12"/>
  <c r="K159" i="12" s="1"/>
  <c r="H159" i="12"/>
  <c r="I159" i="12" s="1"/>
  <c r="F159" i="12"/>
  <c r="G159" i="12" s="1"/>
  <c r="D159" i="12"/>
  <c r="E159" i="12" s="1"/>
  <c r="O158" i="12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M158" i="12"/>
  <c r="N158" i="12" s="1"/>
  <c r="F158" i="12"/>
  <c r="G158" i="12" s="1"/>
  <c r="H158" i="12" s="1"/>
  <c r="I158" i="12" s="1"/>
  <c r="J158" i="12" s="1"/>
  <c r="K158" i="12" s="1"/>
  <c r="L158" i="12" s="1"/>
  <c r="E158" i="12"/>
  <c r="D158" i="12"/>
  <c r="P157" i="12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M157" i="12"/>
  <c r="N157" i="12" s="1"/>
  <c r="O157" i="12" s="1"/>
  <c r="G157" i="12"/>
  <c r="H157" i="12" s="1"/>
  <c r="I157" i="12" s="1"/>
  <c r="J157" i="12" s="1"/>
  <c r="K157" i="12" s="1"/>
  <c r="L157" i="12" s="1"/>
  <c r="F157" i="12"/>
  <c r="D157" i="12"/>
  <c r="E157" i="12" s="1"/>
  <c r="R156" i="12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B156" i="12" s="1"/>
  <c r="M156" i="12"/>
  <c r="N156" i="12" s="1"/>
  <c r="O156" i="12" s="1"/>
  <c r="P156" i="12" s="1"/>
  <c r="Q156" i="12" s="1"/>
  <c r="I156" i="12"/>
  <c r="J156" i="12" s="1"/>
  <c r="K156" i="12" s="1"/>
  <c r="L156" i="12" s="1"/>
  <c r="F156" i="12"/>
  <c r="G156" i="12" s="1"/>
  <c r="H156" i="12" s="1"/>
  <c r="D156" i="12"/>
  <c r="E156" i="12" s="1"/>
  <c r="R155" i="12"/>
  <c r="S155" i="12" s="1"/>
  <c r="T155" i="12" s="1"/>
  <c r="U155" i="12" s="1"/>
  <c r="V155" i="12" s="1"/>
  <c r="W155" i="12" s="1"/>
  <c r="X155" i="12" s="1"/>
  <c r="Y155" i="12" s="1"/>
  <c r="Z155" i="12" s="1"/>
  <c r="AA155" i="12" s="1"/>
  <c r="AB155" i="12" s="1"/>
  <c r="AC155" i="12" s="1"/>
  <c r="AD155" i="12" s="1"/>
  <c r="AE155" i="12" s="1"/>
  <c r="AF155" i="12" s="1"/>
  <c r="B155" i="12" s="1"/>
  <c r="G155" i="12"/>
  <c r="H155" i="12" s="1"/>
  <c r="I155" i="12" s="1"/>
  <c r="J155" i="12" s="1"/>
  <c r="K155" i="12" s="1"/>
  <c r="L155" i="12" s="1"/>
  <c r="M155" i="12" s="1"/>
  <c r="N155" i="12" s="1"/>
  <c r="O155" i="12" s="1"/>
  <c r="P155" i="12" s="1"/>
  <c r="Q155" i="12" s="1"/>
  <c r="D155" i="12"/>
  <c r="E155" i="12" s="1"/>
  <c r="F155" i="12" s="1"/>
  <c r="I153" i="12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F153" i="12"/>
  <c r="G153" i="12" s="1"/>
  <c r="H153" i="12" s="1"/>
  <c r="E153" i="12"/>
  <c r="D153" i="12"/>
  <c r="J152" i="12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E152" i="12"/>
  <c r="F152" i="12" s="1"/>
  <c r="G152" i="12" s="1"/>
  <c r="H152" i="12" s="1"/>
  <c r="I152" i="12" s="1"/>
  <c r="D152" i="12"/>
  <c r="B152" i="12"/>
  <c r="E151" i="12"/>
  <c r="F151" i="12" s="1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B151" i="12" s="1"/>
  <c r="D151" i="12"/>
  <c r="E150" i="12"/>
  <c r="F150" i="12" s="1"/>
  <c r="G150" i="12" s="1"/>
  <c r="H150" i="12" s="1"/>
  <c r="I150" i="12" s="1"/>
  <c r="J150" i="12" s="1"/>
  <c r="K150" i="12" s="1"/>
  <c r="L150" i="12" s="1"/>
  <c r="M150" i="12" s="1"/>
  <c r="N150" i="12" s="1"/>
  <c r="O150" i="12" s="1"/>
  <c r="P150" i="12" s="1"/>
  <c r="Q150" i="12" s="1"/>
  <c r="R150" i="12" s="1"/>
  <c r="S150" i="12" s="1"/>
  <c r="T150" i="12" s="1"/>
  <c r="U150" i="12" s="1"/>
  <c r="V150" i="12" s="1"/>
  <c r="W150" i="12" s="1"/>
  <c r="X150" i="12" s="1"/>
  <c r="Y150" i="12" s="1"/>
  <c r="Z150" i="12" s="1"/>
  <c r="AA150" i="12" s="1"/>
  <c r="AB150" i="12" s="1"/>
  <c r="AC150" i="12" s="1"/>
  <c r="AD150" i="12" s="1"/>
  <c r="AE150" i="12" s="1"/>
  <c r="AF150" i="12" s="1"/>
  <c r="B150" i="12" s="1"/>
  <c r="D150" i="12"/>
  <c r="H148" i="12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D148" i="12"/>
  <c r="E148" i="12" s="1"/>
  <c r="F148" i="12" s="1"/>
  <c r="G148" i="12" s="1"/>
  <c r="Y147" i="12"/>
  <c r="Z147" i="12" s="1"/>
  <c r="AA147" i="12" s="1"/>
  <c r="AB147" i="12" s="1"/>
  <c r="AC147" i="12" s="1"/>
  <c r="AD147" i="12" s="1"/>
  <c r="AE147" i="12" s="1"/>
  <c r="AF147" i="12" s="1"/>
  <c r="B147" i="12" s="1"/>
  <c r="D147" i="12"/>
  <c r="E147" i="12" s="1"/>
  <c r="F147" i="12" s="1"/>
  <c r="G147" i="12" s="1"/>
  <c r="H147" i="12" s="1"/>
  <c r="I147" i="12" s="1"/>
  <c r="J147" i="12" s="1"/>
  <c r="K147" i="12" s="1"/>
  <c r="L147" i="12" s="1"/>
  <c r="M147" i="12" s="1"/>
  <c r="N147" i="12" s="1"/>
  <c r="O147" i="12" s="1"/>
  <c r="P147" i="12" s="1"/>
  <c r="Q147" i="12" s="1"/>
  <c r="R147" i="12" s="1"/>
  <c r="S147" i="12" s="1"/>
  <c r="T147" i="12" s="1"/>
  <c r="U147" i="12" s="1"/>
  <c r="V147" i="12" s="1"/>
  <c r="W147" i="12" s="1"/>
  <c r="X147" i="12" s="1"/>
  <c r="F145" i="12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D145" i="12"/>
  <c r="E145" i="12" s="1"/>
  <c r="I144" i="12"/>
  <c r="J144" i="12" s="1"/>
  <c r="K144" i="12" s="1"/>
  <c r="L144" i="12" s="1"/>
  <c r="M144" i="12" s="1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E144" i="12"/>
  <c r="F144" i="12" s="1"/>
  <c r="G144" i="12" s="1"/>
  <c r="H144" i="12" s="1"/>
  <c r="D144" i="12"/>
  <c r="F143" i="12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B143" i="12" s="1"/>
  <c r="D143" i="12"/>
  <c r="E143" i="12" s="1"/>
  <c r="H142" i="12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B142" i="12" s="1"/>
  <c r="E142" i="12"/>
  <c r="F142" i="12" s="1"/>
  <c r="G142" i="12" s="1"/>
  <c r="D142" i="12"/>
  <c r="Q141" i="12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B141" i="12" s="1"/>
  <c r="F141" i="12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E141" i="12"/>
  <c r="D141" i="12"/>
  <c r="D140" i="12"/>
  <c r="E140" i="12" s="1"/>
  <c r="F140" i="12" s="1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E139" i="12"/>
  <c r="F139" i="12" s="1"/>
  <c r="G139" i="12" s="1"/>
  <c r="H139" i="12" s="1"/>
  <c r="I139" i="12" s="1"/>
  <c r="J139" i="12" s="1"/>
  <c r="K139" i="12" s="1"/>
  <c r="L139" i="12" s="1"/>
  <c r="M139" i="12" s="1"/>
  <c r="N139" i="12" s="1"/>
  <c r="O139" i="12" s="1"/>
  <c r="P139" i="12" s="1"/>
  <c r="Q139" i="12" s="1"/>
  <c r="R139" i="12" s="1"/>
  <c r="S139" i="12" s="1"/>
  <c r="T139" i="12" s="1"/>
  <c r="U139" i="12" s="1"/>
  <c r="V139" i="12" s="1"/>
  <c r="W139" i="12" s="1"/>
  <c r="X139" i="12" s="1"/>
  <c r="Y139" i="12" s="1"/>
  <c r="Z139" i="12" s="1"/>
  <c r="AA139" i="12" s="1"/>
  <c r="AB139" i="12" s="1"/>
  <c r="AC139" i="12" s="1"/>
  <c r="AD139" i="12" s="1"/>
  <c r="AE139" i="12" s="1"/>
  <c r="AF139" i="12" s="1"/>
  <c r="B139" i="12" s="1"/>
  <c r="D139" i="12"/>
  <c r="U137" i="12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B137" i="12" s="1"/>
  <c r="E137" i="12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D137" i="12"/>
  <c r="F136" i="12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E136" i="12"/>
  <c r="D136" i="12"/>
  <c r="D135" i="12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E134" i="12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B134" i="12" s="1"/>
  <c r="D134" i="12"/>
  <c r="D133" i="12"/>
  <c r="E133" i="12" s="1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E132" i="12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B132" i="12" s="1"/>
  <c r="D132" i="12"/>
  <c r="F131" i="12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E131" i="12"/>
  <c r="D131" i="12"/>
  <c r="R130" i="12"/>
  <c r="S130" i="12" s="1"/>
  <c r="T130" i="12" s="1"/>
  <c r="U130" i="12" s="1"/>
  <c r="V130" i="12" s="1"/>
  <c r="W130" i="12" s="1"/>
  <c r="X130" i="12" s="1"/>
  <c r="Y130" i="12" s="1"/>
  <c r="Z130" i="12" s="1"/>
  <c r="AA130" i="12" s="1"/>
  <c r="AB130" i="12" s="1"/>
  <c r="AC130" i="12" s="1"/>
  <c r="AD130" i="12" s="1"/>
  <c r="AE130" i="12" s="1"/>
  <c r="AF130" i="12" s="1"/>
  <c r="B130" i="12" s="1"/>
  <c r="D130" i="12"/>
  <c r="E130" i="12" s="1"/>
  <c r="F130" i="12" s="1"/>
  <c r="G130" i="12" s="1"/>
  <c r="H130" i="12" s="1"/>
  <c r="I130" i="12" s="1"/>
  <c r="J130" i="12" s="1"/>
  <c r="K130" i="12" s="1"/>
  <c r="L130" i="12" s="1"/>
  <c r="M130" i="12" s="1"/>
  <c r="N130" i="12" s="1"/>
  <c r="O130" i="12" s="1"/>
  <c r="P130" i="12" s="1"/>
  <c r="Q130" i="12" s="1"/>
  <c r="K128" i="12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B128" i="12" s="1"/>
  <c r="D128" i="12"/>
  <c r="E128" i="12" s="1"/>
  <c r="F128" i="12" s="1"/>
  <c r="G128" i="12" s="1"/>
  <c r="H128" i="12" s="1"/>
  <c r="I128" i="12" s="1"/>
  <c r="J128" i="12" s="1"/>
  <c r="I127" i="12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E127" i="12"/>
  <c r="F127" i="12" s="1"/>
  <c r="G127" i="12" s="1"/>
  <c r="H127" i="12" s="1"/>
  <c r="D127" i="12"/>
  <c r="T126" i="12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E126" i="12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D126" i="12"/>
  <c r="F125" i="12"/>
  <c r="G125" i="12" s="1"/>
  <c r="H125" i="12" s="1"/>
  <c r="I125" i="12" s="1"/>
  <c r="J125" i="12" s="1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B125" i="12" s="1"/>
  <c r="D125" i="12"/>
  <c r="E125" i="12" s="1"/>
  <c r="G124" i="12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E124" i="12"/>
  <c r="F124" i="12" s="1"/>
  <c r="D124" i="12"/>
  <c r="K123" i="12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G123" i="12"/>
  <c r="H123" i="12" s="1"/>
  <c r="I123" i="12" s="1"/>
  <c r="J123" i="12" s="1"/>
  <c r="E123" i="12"/>
  <c r="F123" i="12" s="1"/>
  <c r="D123" i="12"/>
  <c r="K122" i="12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B122" i="12" s="1"/>
  <c r="F122" i="12"/>
  <c r="G122" i="12" s="1"/>
  <c r="H122" i="12" s="1"/>
  <c r="I122" i="12" s="1"/>
  <c r="J122" i="12" s="1"/>
  <c r="E122" i="12"/>
  <c r="D122" i="12"/>
  <c r="D121" i="12"/>
  <c r="E121" i="12" s="1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H120" i="12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F120" i="12"/>
  <c r="G120" i="12" s="1"/>
  <c r="E120" i="12"/>
  <c r="D120" i="12"/>
  <c r="E119" i="12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D119" i="12"/>
  <c r="E118" i="12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D118" i="12"/>
  <c r="I117" i="12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F117" i="12"/>
  <c r="G117" i="12" s="1"/>
  <c r="H117" i="12" s="1"/>
  <c r="D117" i="12"/>
  <c r="E117" i="12" s="1"/>
  <c r="D116" i="12"/>
  <c r="E116" i="12" s="1"/>
  <c r="F116" i="12" s="1"/>
  <c r="G116" i="12" s="1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B116" i="12" s="1"/>
  <c r="F115" i="12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E115" i="12"/>
  <c r="D115" i="12"/>
  <c r="H114" i="12"/>
  <c r="I114" i="12" s="1"/>
  <c r="J114" i="12" s="1"/>
  <c r="K114" i="12" s="1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D114" i="12"/>
  <c r="E114" i="12" s="1"/>
  <c r="F114" i="12" s="1"/>
  <c r="G114" i="12" s="1"/>
  <c r="N113" i="12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K113" i="12"/>
  <c r="L113" i="12" s="1"/>
  <c r="M113" i="12" s="1"/>
  <c r="I113" i="12"/>
  <c r="F113" i="12"/>
  <c r="G113" i="12" s="1"/>
  <c r="H113" i="12" s="1"/>
  <c r="E113" i="12"/>
  <c r="D113" i="12"/>
  <c r="E112" i="12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D112" i="12"/>
  <c r="D111" i="12"/>
  <c r="E111" i="12" s="1"/>
  <c r="F111" i="12" s="1"/>
  <c r="G111" i="12" s="1"/>
  <c r="H111" i="12" s="1"/>
  <c r="I111" i="12" s="1"/>
  <c r="J111" i="12" s="1"/>
  <c r="K111" i="12" s="1"/>
  <c r="L111" i="12" s="1"/>
  <c r="M111" i="12" s="1"/>
  <c r="N111" i="12" s="1"/>
  <c r="O111" i="12" s="1"/>
  <c r="P111" i="12" s="1"/>
  <c r="Q111" i="12" s="1"/>
  <c r="R111" i="12" s="1"/>
  <c r="S111" i="12" s="1"/>
  <c r="T111" i="12" s="1"/>
  <c r="U111" i="12" s="1"/>
  <c r="V111" i="12" s="1"/>
  <c r="W111" i="12" s="1"/>
  <c r="X111" i="12" s="1"/>
  <c r="Y111" i="12" s="1"/>
  <c r="Z111" i="12" s="1"/>
  <c r="AA111" i="12" s="1"/>
  <c r="AB111" i="12" s="1"/>
  <c r="AC111" i="12" s="1"/>
  <c r="AD111" i="12" s="1"/>
  <c r="AE111" i="12" s="1"/>
  <c r="AF111" i="12" s="1"/>
  <c r="B111" i="12" s="1"/>
  <c r="E109" i="12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D109" i="12"/>
  <c r="H108" i="12"/>
  <c r="I108" i="12" s="1"/>
  <c r="J108" i="12" s="1"/>
  <c r="K108" i="12" s="1"/>
  <c r="L108" i="12" s="1"/>
  <c r="M108" i="12" s="1"/>
  <c r="N108" i="12" s="1"/>
  <c r="O108" i="12" s="1"/>
  <c r="P108" i="12" s="1"/>
  <c r="Q108" i="12" s="1"/>
  <c r="R108" i="12" s="1"/>
  <c r="S108" i="12" s="1"/>
  <c r="T108" i="12" s="1"/>
  <c r="U108" i="12" s="1"/>
  <c r="V108" i="12" s="1"/>
  <c r="W108" i="12" s="1"/>
  <c r="X108" i="12" s="1"/>
  <c r="Y108" i="12" s="1"/>
  <c r="Z108" i="12" s="1"/>
  <c r="AA108" i="12" s="1"/>
  <c r="AB108" i="12" s="1"/>
  <c r="AC108" i="12" s="1"/>
  <c r="AD108" i="12" s="1"/>
  <c r="AE108" i="12" s="1"/>
  <c r="AF108" i="12" s="1"/>
  <c r="B108" i="12" s="1"/>
  <c r="F108" i="12"/>
  <c r="G108" i="12" s="1"/>
  <c r="E108" i="12"/>
  <c r="D108" i="12"/>
  <c r="F106" i="12"/>
  <c r="G106" i="12" s="1"/>
  <c r="H106" i="12" s="1"/>
  <c r="I106" i="12" s="1"/>
  <c r="J106" i="12" s="1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D106" i="12"/>
  <c r="E106" i="12" s="1"/>
  <c r="E105" i="12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D105" i="12"/>
  <c r="G104" i="12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E104" i="12"/>
  <c r="F104" i="12" s="1"/>
  <c r="D104" i="12"/>
  <c r="H103" i="12"/>
  <c r="I103" i="12" s="1"/>
  <c r="J103" i="12" s="1"/>
  <c r="K103" i="12" s="1"/>
  <c r="L103" i="12" s="1"/>
  <c r="M103" i="12" s="1"/>
  <c r="N103" i="12" s="1"/>
  <c r="O103" i="12" s="1"/>
  <c r="P103" i="12" s="1"/>
  <c r="Q103" i="12" s="1"/>
  <c r="R103" i="12" s="1"/>
  <c r="S103" i="12" s="1"/>
  <c r="T103" i="12" s="1"/>
  <c r="U103" i="12" s="1"/>
  <c r="V103" i="12" s="1"/>
  <c r="W103" i="12" s="1"/>
  <c r="X103" i="12" s="1"/>
  <c r="Y103" i="12" s="1"/>
  <c r="Z103" i="12" s="1"/>
  <c r="AA103" i="12" s="1"/>
  <c r="AB103" i="12" s="1"/>
  <c r="AC103" i="12" s="1"/>
  <c r="AD103" i="12" s="1"/>
  <c r="AE103" i="12" s="1"/>
  <c r="AF103" i="12" s="1"/>
  <c r="B103" i="12" s="1"/>
  <c r="E103" i="12"/>
  <c r="F103" i="12" s="1"/>
  <c r="G103" i="12" s="1"/>
  <c r="D103" i="12"/>
  <c r="D102" i="12"/>
  <c r="E102" i="12" s="1"/>
  <c r="F102" i="12" s="1"/>
  <c r="D101" i="12"/>
  <c r="D191" i="12" s="1"/>
  <c r="AH98" i="12"/>
  <c r="AI98" i="12" s="1"/>
  <c r="AH97" i="12"/>
  <c r="AI97" i="12" s="1"/>
  <c r="AH96" i="12"/>
  <c r="AI96" i="12" s="1"/>
  <c r="AH95" i="12"/>
  <c r="AI95" i="12" s="1"/>
  <c r="AH94" i="12"/>
  <c r="AI94" i="12" s="1"/>
  <c r="D93" i="12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G82" i="12"/>
  <c r="AI81" i="12"/>
  <c r="AH81" i="12"/>
  <c r="AF80" i="12"/>
  <c r="AE80" i="12"/>
  <c r="AD80" i="12"/>
  <c r="AC80" i="12"/>
  <c r="AB80" i="12"/>
  <c r="AA80" i="12"/>
  <c r="Z80" i="12"/>
  <c r="X80" i="12"/>
  <c r="W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F79" i="12"/>
  <c r="AE79" i="12"/>
  <c r="AD79" i="12"/>
  <c r="AC79" i="12"/>
  <c r="AB79" i="12"/>
  <c r="AA79" i="12"/>
  <c r="Z79" i="12"/>
  <c r="X79" i="12"/>
  <c r="W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AF78" i="12"/>
  <c r="AE78" i="12"/>
  <c r="AD78" i="12"/>
  <c r="AC78" i="12"/>
  <c r="AB78" i="12"/>
  <c r="AA78" i="12"/>
  <c r="Z78" i="12"/>
  <c r="X78" i="12"/>
  <c r="W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F77" i="12"/>
  <c r="AE77" i="12"/>
  <c r="AD77" i="12"/>
  <c r="AC77" i="12"/>
  <c r="AC82" i="12" s="1"/>
  <c r="AB77" i="12"/>
  <c r="AA77" i="12"/>
  <c r="Z77" i="12"/>
  <c r="X77" i="12"/>
  <c r="W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E82" i="12" s="1"/>
  <c r="D77" i="12"/>
  <c r="C77" i="12"/>
  <c r="AF76" i="12"/>
  <c r="AE76" i="12"/>
  <c r="AD76" i="12"/>
  <c r="AC76" i="12"/>
  <c r="AB76" i="12"/>
  <c r="AA76" i="12"/>
  <c r="Z76" i="12"/>
  <c r="X76" i="12"/>
  <c r="W76" i="12"/>
  <c r="U76" i="12"/>
  <c r="T76" i="12"/>
  <c r="T82" i="12" s="1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AI74" i="12"/>
  <c r="AH74" i="12"/>
  <c r="AG72" i="12"/>
  <c r="AG75" i="12" s="1"/>
  <c r="AF72" i="12"/>
  <c r="AE72" i="12"/>
  <c r="AD72" i="12"/>
  <c r="AC72" i="12"/>
  <c r="AB72" i="12"/>
  <c r="AA72" i="12"/>
  <c r="Z72" i="12"/>
  <c r="X72" i="12"/>
  <c r="W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AI71" i="12"/>
  <c r="AH71" i="12"/>
  <c r="AI70" i="12"/>
  <c r="AH70" i="12"/>
  <c r="AI69" i="12"/>
  <c r="AH69" i="12"/>
  <c r="AG68" i="12"/>
  <c r="AF68" i="12"/>
  <c r="AE5" i="12" s="1"/>
  <c r="AE68" i="12"/>
  <c r="AD68" i="12"/>
  <c r="AC68" i="12"/>
  <c r="AB5" i="12" s="1"/>
  <c r="AB68" i="12"/>
  <c r="AA5" i="12" s="1"/>
  <c r="AA68" i="12"/>
  <c r="Z5" i="12" s="1"/>
  <c r="Z68" i="12"/>
  <c r="Y5" i="12" s="1"/>
  <c r="X68" i="12"/>
  <c r="W68" i="12"/>
  <c r="U68" i="12"/>
  <c r="T68" i="12"/>
  <c r="S5" i="12" s="1"/>
  <c r="S68" i="12"/>
  <c r="R5" i="12" s="1"/>
  <c r="R68" i="12"/>
  <c r="Q5" i="12" s="1"/>
  <c r="Q68" i="12"/>
  <c r="P68" i="12"/>
  <c r="O68" i="12"/>
  <c r="N68" i="12"/>
  <c r="M5" i="12" s="1"/>
  <c r="M68" i="12"/>
  <c r="L5" i="12" s="1"/>
  <c r="L68" i="12"/>
  <c r="K5" i="12" s="1"/>
  <c r="K68" i="12"/>
  <c r="J5" i="12" s="1"/>
  <c r="J68" i="12"/>
  <c r="I5" i="12" s="1"/>
  <c r="I68" i="12"/>
  <c r="H68" i="12"/>
  <c r="G5" i="12" s="1"/>
  <c r="G68" i="12"/>
  <c r="F68" i="12"/>
  <c r="E68" i="12"/>
  <c r="D68" i="12"/>
  <c r="C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G56" i="12"/>
  <c r="AF56" i="12"/>
  <c r="AE56" i="12"/>
  <c r="AD56" i="12"/>
  <c r="AC56" i="12"/>
  <c r="AB56" i="12"/>
  <c r="AA56" i="12"/>
  <c r="Z56" i="12"/>
  <c r="X56" i="12"/>
  <c r="W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I55" i="12"/>
  <c r="AH55" i="12"/>
  <c r="AI54" i="12"/>
  <c r="AH54" i="12"/>
  <c r="AI53" i="12"/>
  <c r="AH53" i="12"/>
  <c r="Z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G51" i="12"/>
  <c r="AG52" i="12" s="1"/>
  <c r="AG3" i="12" s="1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F38" i="12"/>
  <c r="AE38" i="12"/>
  <c r="AD38" i="12"/>
  <c r="AC38" i="12"/>
  <c r="AB38" i="12"/>
  <c r="AA38" i="12"/>
  <c r="Z38" i="12"/>
  <c r="X38" i="12"/>
  <c r="W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AC5" i="12"/>
  <c r="U5" i="12"/>
  <c r="T5" i="12"/>
  <c r="E5" i="12"/>
  <c r="D5" i="12"/>
  <c r="C5" i="12"/>
  <c r="B5" i="12"/>
  <c r="AG4" i="12"/>
  <c r="K4" i="12"/>
  <c r="B4" i="12"/>
  <c r="AG2" i="12"/>
  <c r="AG6" i="12" s="1"/>
  <c r="AF95" i="11"/>
  <c r="AF37" i="11"/>
  <c r="AI37" i="11"/>
  <c r="AE95" i="11"/>
  <c r="AE37" i="11"/>
  <c r="AD37" i="11"/>
  <c r="AC37" i="11"/>
  <c r="AB37" i="11"/>
  <c r="W37" i="11"/>
  <c r="V37" i="11"/>
  <c r="U37" i="11"/>
  <c r="T37" i="11"/>
  <c r="S37" i="11"/>
  <c r="R95" i="11"/>
  <c r="R37" i="11"/>
  <c r="Q95" i="11"/>
  <c r="Q37" i="11"/>
  <c r="P95" i="11"/>
  <c r="P37" i="11"/>
  <c r="O95" i="11"/>
  <c r="O37" i="11"/>
  <c r="N95" i="11"/>
  <c r="N37" i="11"/>
  <c r="M37" i="11"/>
  <c r="L37" i="11"/>
  <c r="K37" i="11"/>
  <c r="I37" i="11"/>
  <c r="H37" i="11"/>
  <c r="G37" i="11"/>
  <c r="F37" i="11"/>
  <c r="E37" i="11"/>
  <c r="AH99" i="11"/>
  <c r="AI99" i="11" s="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B234" i="11"/>
  <c r="S209" i="11"/>
  <c r="AG199" i="11"/>
  <c r="C199" i="11"/>
  <c r="D198" i="11"/>
  <c r="G197" i="1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F197" i="11"/>
  <c r="D197" i="11"/>
  <c r="E197" i="11" s="1"/>
  <c r="E196" i="1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D196" i="11"/>
  <c r="E195" i="1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D195" i="11"/>
  <c r="D194" i="11"/>
  <c r="E194" i="11" s="1"/>
  <c r="F194" i="11" s="1"/>
  <c r="G194" i="11" s="1"/>
  <c r="H194" i="11" s="1"/>
  <c r="I194" i="11" s="1"/>
  <c r="J194" i="11" s="1"/>
  <c r="K194" i="11" s="1"/>
  <c r="L194" i="11" s="1"/>
  <c r="M194" i="11" s="1"/>
  <c r="N194" i="11" s="1"/>
  <c r="O194" i="11" s="1"/>
  <c r="P194" i="11" s="1"/>
  <c r="Q194" i="11" s="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B194" i="11" s="1"/>
  <c r="D193" i="11"/>
  <c r="E193" i="11" s="1"/>
  <c r="F193" i="11" s="1"/>
  <c r="AG191" i="11"/>
  <c r="C191" i="11"/>
  <c r="E190" i="11"/>
  <c r="F190" i="11" s="1"/>
  <c r="G190" i="11" s="1"/>
  <c r="H190" i="11" s="1"/>
  <c r="I190" i="11" s="1"/>
  <c r="J190" i="11" s="1"/>
  <c r="K190" i="11" s="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D190" i="11"/>
  <c r="E189" i="1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9" i="1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D187" i="1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D186" i="1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F185" i="1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E185" i="11"/>
  <c r="D185" i="11"/>
  <c r="E184" i="1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4" i="11"/>
  <c r="D183" i="11"/>
  <c r="E183" i="11" s="1"/>
  <c r="F183" i="11" s="1"/>
  <c r="G183" i="11" s="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D182" i="1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G181" i="1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F181" i="11"/>
  <c r="E181" i="11"/>
  <c r="D181" i="11"/>
  <c r="M180" i="1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D180" i="11"/>
  <c r="E180" i="11" s="1"/>
  <c r="F180" i="11" s="1"/>
  <c r="G180" i="11" s="1"/>
  <c r="H180" i="11" s="1"/>
  <c r="I180" i="11" s="1"/>
  <c r="J180" i="11" s="1"/>
  <c r="K180" i="11" s="1"/>
  <c r="L180" i="11" s="1"/>
  <c r="D179" i="11"/>
  <c r="E179" i="11" s="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H178" i="11"/>
  <c r="I178" i="11" s="1"/>
  <c r="J178" i="11" s="1"/>
  <c r="K178" i="11" s="1"/>
  <c r="L178" i="11" s="1"/>
  <c r="M178" i="11" s="1"/>
  <c r="N178" i="11" s="1"/>
  <c r="O178" i="11" s="1"/>
  <c r="P178" i="11" s="1"/>
  <c r="Q178" i="11" s="1"/>
  <c r="R178" i="11" s="1"/>
  <c r="S178" i="11" s="1"/>
  <c r="T178" i="11" s="1"/>
  <c r="U178" i="11" s="1"/>
  <c r="V178" i="11" s="1"/>
  <c r="W178" i="11" s="1"/>
  <c r="X178" i="11" s="1"/>
  <c r="Y178" i="11" s="1"/>
  <c r="Z178" i="11" s="1"/>
  <c r="AA178" i="11" s="1"/>
  <c r="AB178" i="11" s="1"/>
  <c r="AC178" i="11" s="1"/>
  <c r="AD178" i="11" s="1"/>
  <c r="AE178" i="11" s="1"/>
  <c r="AF178" i="11" s="1"/>
  <c r="B178" i="11" s="1"/>
  <c r="E178" i="11"/>
  <c r="F178" i="11" s="1"/>
  <c r="G178" i="11" s="1"/>
  <c r="D178" i="11"/>
  <c r="F176" i="1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E176" i="11"/>
  <c r="D176" i="11"/>
  <c r="E175" i="1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D175" i="11"/>
  <c r="M174" i="1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H174" i="11"/>
  <c r="I174" i="11" s="1"/>
  <c r="J174" i="11" s="1"/>
  <c r="K174" i="11" s="1"/>
  <c r="L174" i="11" s="1"/>
  <c r="D174" i="11"/>
  <c r="E174" i="11" s="1"/>
  <c r="F174" i="11" s="1"/>
  <c r="G174" i="11" s="1"/>
  <c r="G173" i="1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D173" i="11"/>
  <c r="E173" i="11" s="1"/>
  <c r="F173" i="11" s="1"/>
  <c r="AC172" i="11"/>
  <c r="AD172" i="11" s="1"/>
  <c r="AE172" i="11" s="1"/>
  <c r="AF172" i="11" s="1"/>
  <c r="B172" i="11" s="1"/>
  <c r="G172" i="1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E172" i="11"/>
  <c r="F172" i="11" s="1"/>
  <c r="D172" i="11"/>
  <c r="E171" i="1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D171" i="11"/>
  <c r="K170" i="1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D170" i="11"/>
  <c r="E170" i="11" s="1"/>
  <c r="F170" i="11" s="1"/>
  <c r="G170" i="11" s="1"/>
  <c r="H170" i="11" s="1"/>
  <c r="I170" i="11" s="1"/>
  <c r="J170" i="11" s="1"/>
  <c r="G169" i="11"/>
  <c r="H169" i="11" s="1"/>
  <c r="I169" i="11" s="1"/>
  <c r="J169" i="11" s="1"/>
  <c r="K169" i="11" s="1"/>
  <c r="L169" i="11" s="1"/>
  <c r="M169" i="11" s="1"/>
  <c r="N169" i="11" s="1"/>
  <c r="O169" i="11" s="1"/>
  <c r="P169" i="11" s="1"/>
  <c r="Q169" i="11" s="1"/>
  <c r="R169" i="11" s="1"/>
  <c r="S169" i="11" s="1"/>
  <c r="T169" i="11" s="1"/>
  <c r="U169" i="11" s="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B169" i="11" s="1"/>
  <c r="D169" i="11"/>
  <c r="E169" i="11" s="1"/>
  <c r="F169" i="11" s="1"/>
  <c r="F167" i="1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E167" i="11"/>
  <c r="D167" i="11"/>
  <c r="T166" i="1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D166" i="11"/>
  <c r="E166" i="11" s="1"/>
  <c r="F166" i="11" s="1"/>
  <c r="G166" i="11" s="1"/>
  <c r="H166" i="11" s="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N165" i="1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D165" i="11"/>
  <c r="E165" i="11" s="1"/>
  <c r="F165" i="11" s="1"/>
  <c r="G165" i="11" s="1"/>
  <c r="H165" i="11" s="1"/>
  <c r="I165" i="11" s="1"/>
  <c r="J165" i="11" s="1"/>
  <c r="K165" i="11" s="1"/>
  <c r="L165" i="11" s="1"/>
  <c r="M165" i="11" s="1"/>
  <c r="X164" i="1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4" i="1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M163" i="1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F163" i="11"/>
  <c r="G163" i="11" s="1"/>
  <c r="H163" i="11" s="1"/>
  <c r="I163" i="11" s="1"/>
  <c r="J163" i="11" s="1"/>
  <c r="K163" i="11" s="1"/>
  <c r="L163" i="11" s="1"/>
  <c r="E163" i="11"/>
  <c r="D163" i="11"/>
  <c r="P162" i="1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E162" i="11"/>
  <c r="F162" i="11" s="1"/>
  <c r="G162" i="11" s="1"/>
  <c r="H162" i="11" s="1"/>
  <c r="I162" i="11" s="1"/>
  <c r="J162" i="11" s="1"/>
  <c r="K162" i="11" s="1"/>
  <c r="L162" i="11" s="1"/>
  <c r="M162" i="11" s="1"/>
  <c r="N162" i="11" s="1"/>
  <c r="O162" i="11" s="1"/>
  <c r="D162" i="11"/>
  <c r="G161" i="1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D161" i="11"/>
  <c r="E161" i="11" s="1"/>
  <c r="F161" i="11" s="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AC159" i="11"/>
  <c r="AD159" i="11" s="1"/>
  <c r="AE159" i="11" s="1"/>
  <c r="AF159" i="11" s="1"/>
  <c r="B159" i="11" s="1"/>
  <c r="D159" i="11"/>
  <c r="E159" i="11" s="1"/>
  <c r="F159" i="11" s="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E158" i="1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8" i="11"/>
  <c r="M157" i="1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F157" i="11"/>
  <c r="G157" i="11" s="1"/>
  <c r="H157" i="11" s="1"/>
  <c r="I157" i="11" s="1"/>
  <c r="J157" i="11" s="1"/>
  <c r="K157" i="11" s="1"/>
  <c r="L157" i="11" s="1"/>
  <c r="E157" i="11"/>
  <c r="D157" i="11"/>
  <c r="F156" i="1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D156" i="11"/>
  <c r="E156" i="11" s="1"/>
  <c r="I155" i="11"/>
  <c r="J155" i="11" s="1"/>
  <c r="K155" i="11" s="1"/>
  <c r="L155" i="11" s="1"/>
  <c r="M155" i="11" s="1"/>
  <c r="N155" i="11" s="1"/>
  <c r="O155" i="11" s="1"/>
  <c r="P155" i="11" s="1"/>
  <c r="Q155" i="11" s="1"/>
  <c r="R155" i="11" s="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B155" i="11" s="1"/>
  <c r="D155" i="11"/>
  <c r="E155" i="11" s="1"/>
  <c r="F155" i="11" s="1"/>
  <c r="G155" i="11" s="1"/>
  <c r="H155" i="11" s="1"/>
  <c r="G153" i="1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E153" i="11"/>
  <c r="F153" i="11" s="1"/>
  <c r="D153" i="11"/>
  <c r="H152" i="1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B152" i="11" s="1"/>
  <c r="F152" i="11"/>
  <c r="G152" i="11" s="1"/>
  <c r="E152" i="11"/>
  <c r="D152" i="11"/>
  <c r="AB151" i="11"/>
  <c r="AC151" i="11" s="1"/>
  <c r="AD151" i="11" s="1"/>
  <c r="AE151" i="11" s="1"/>
  <c r="AF151" i="11" s="1"/>
  <c r="B151" i="11" s="1"/>
  <c r="L151" i="1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I151" i="11"/>
  <c r="J151" i="11" s="1"/>
  <c r="K151" i="11" s="1"/>
  <c r="F151" i="11"/>
  <c r="G151" i="11" s="1"/>
  <c r="H151" i="11" s="1"/>
  <c r="D151" i="11"/>
  <c r="E151" i="11" s="1"/>
  <c r="D150" i="11"/>
  <c r="E150" i="11" s="1"/>
  <c r="F150" i="11" s="1"/>
  <c r="G150" i="11" s="1"/>
  <c r="H150" i="11" s="1"/>
  <c r="I150" i="11" s="1"/>
  <c r="J150" i="11" s="1"/>
  <c r="K150" i="11" s="1"/>
  <c r="L150" i="11" s="1"/>
  <c r="M150" i="11" s="1"/>
  <c r="N150" i="11" s="1"/>
  <c r="O150" i="11" s="1"/>
  <c r="P150" i="11" s="1"/>
  <c r="Q150" i="11" s="1"/>
  <c r="R150" i="11" s="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B150" i="11" s="1"/>
  <c r="O148" i="1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B148" i="11" s="1"/>
  <c r="H148" i="11"/>
  <c r="I148" i="11" s="1"/>
  <c r="J148" i="11" s="1"/>
  <c r="K148" i="11" s="1"/>
  <c r="L148" i="11" s="1"/>
  <c r="M148" i="11" s="1"/>
  <c r="N148" i="11" s="1"/>
  <c r="E148" i="11"/>
  <c r="F148" i="11" s="1"/>
  <c r="G148" i="11" s="1"/>
  <c r="D148" i="11"/>
  <c r="K147" i="11"/>
  <c r="L147" i="11" s="1"/>
  <c r="M147" i="11" s="1"/>
  <c r="N147" i="11" s="1"/>
  <c r="O147" i="11" s="1"/>
  <c r="P147" i="11" s="1"/>
  <c r="Q147" i="11" s="1"/>
  <c r="R147" i="11" s="1"/>
  <c r="S147" i="11" s="1"/>
  <c r="T147" i="11" s="1"/>
  <c r="U147" i="11" s="1"/>
  <c r="V147" i="11" s="1"/>
  <c r="W147" i="11" s="1"/>
  <c r="X147" i="11" s="1"/>
  <c r="Y147" i="11" s="1"/>
  <c r="Z147" i="11" s="1"/>
  <c r="AA147" i="11" s="1"/>
  <c r="AB147" i="11" s="1"/>
  <c r="AC147" i="11" s="1"/>
  <c r="AD147" i="11" s="1"/>
  <c r="AE147" i="11" s="1"/>
  <c r="AF147" i="11" s="1"/>
  <c r="B147" i="11" s="1"/>
  <c r="E147" i="11"/>
  <c r="F147" i="11" s="1"/>
  <c r="G147" i="11" s="1"/>
  <c r="H147" i="11" s="1"/>
  <c r="I147" i="11" s="1"/>
  <c r="J147" i="11" s="1"/>
  <c r="D147" i="11"/>
  <c r="U145" i="1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K145" i="11"/>
  <c r="L145" i="11" s="1"/>
  <c r="M145" i="11" s="1"/>
  <c r="N145" i="11" s="1"/>
  <c r="O145" i="11" s="1"/>
  <c r="P145" i="11" s="1"/>
  <c r="Q145" i="11" s="1"/>
  <c r="R145" i="11" s="1"/>
  <c r="S145" i="11" s="1"/>
  <c r="T145" i="11" s="1"/>
  <c r="F145" i="11"/>
  <c r="G145" i="11" s="1"/>
  <c r="H145" i="11" s="1"/>
  <c r="I145" i="11" s="1"/>
  <c r="J145" i="11" s="1"/>
  <c r="D145" i="11"/>
  <c r="E145" i="11" s="1"/>
  <c r="I144" i="1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D144" i="11"/>
  <c r="E144" i="11" s="1"/>
  <c r="F144" i="11" s="1"/>
  <c r="G144" i="11" s="1"/>
  <c r="H144" i="11" s="1"/>
  <c r="G143" i="1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E143" i="11"/>
  <c r="F143" i="11" s="1"/>
  <c r="D143" i="11"/>
  <c r="F142" i="1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E142" i="11"/>
  <c r="D142" i="11"/>
  <c r="D141" i="1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G140" i="1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D140" i="11"/>
  <c r="E140" i="11" s="1"/>
  <c r="F140" i="11" s="1"/>
  <c r="E139" i="11"/>
  <c r="F139" i="11" s="1"/>
  <c r="G139" i="11" s="1"/>
  <c r="H139" i="11" s="1"/>
  <c r="I139" i="11" s="1"/>
  <c r="J139" i="11" s="1"/>
  <c r="K139" i="11" s="1"/>
  <c r="L139" i="11" s="1"/>
  <c r="M139" i="11" s="1"/>
  <c r="N139" i="11" s="1"/>
  <c r="O139" i="11" s="1"/>
  <c r="P139" i="11" s="1"/>
  <c r="Q139" i="11" s="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AF139" i="11" s="1"/>
  <c r="B139" i="11" s="1"/>
  <c r="D139" i="11"/>
  <c r="E137" i="1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D137" i="11"/>
  <c r="L136" i="1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D136" i="11"/>
  <c r="E136" i="11" s="1"/>
  <c r="F136" i="11" s="1"/>
  <c r="G136" i="11" s="1"/>
  <c r="H136" i="11" s="1"/>
  <c r="I136" i="11" s="1"/>
  <c r="J136" i="11" s="1"/>
  <c r="K136" i="11" s="1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P134" i="1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H134" i="11"/>
  <c r="I134" i="11" s="1"/>
  <c r="J134" i="11" s="1"/>
  <c r="K134" i="11" s="1"/>
  <c r="L134" i="11" s="1"/>
  <c r="M134" i="11" s="1"/>
  <c r="N134" i="11" s="1"/>
  <c r="O134" i="11" s="1"/>
  <c r="G134" i="11"/>
  <c r="E134" i="11"/>
  <c r="F134" i="11" s="1"/>
  <c r="D134" i="11"/>
  <c r="H133" i="1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F133" i="11"/>
  <c r="G133" i="11" s="1"/>
  <c r="E133" i="11"/>
  <c r="D133" i="11"/>
  <c r="Q132" i="1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I132" i="11"/>
  <c r="J132" i="11" s="1"/>
  <c r="K132" i="11" s="1"/>
  <c r="L132" i="11" s="1"/>
  <c r="M132" i="11" s="1"/>
  <c r="N132" i="11" s="1"/>
  <c r="O132" i="11" s="1"/>
  <c r="P132" i="11" s="1"/>
  <c r="F132" i="11"/>
  <c r="G132" i="11" s="1"/>
  <c r="H132" i="11" s="1"/>
  <c r="D132" i="11"/>
  <c r="E132" i="11" s="1"/>
  <c r="H131" i="1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E131" i="11"/>
  <c r="F131" i="11" s="1"/>
  <c r="G131" i="11" s="1"/>
  <c r="D131" i="11"/>
  <c r="F130" i="11"/>
  <c r="G130" i="11" s="1"/>
  <c r="H130" i="11" s="1"/>
  <c r="I130" i="11" s="1"/>
  <c r="J130" i="11" s="1"/>
  <c r="K130" i="11" s="1"/>
  <c r="L130" i="11" s="1"/>
  <c r="M130" i="11" s="1"/>
  <c r="N130" i="11" s="1"/>
  <c r="O130" i="11" s="1"/>
  <c r="P130" i="11" s="1"/>
  <c r="Q130" i="11" s="1"/>
  <c r="R130" i="11" s="1"/>
  <c r="S130" i="11" s="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AE130" i="11" s="1"/>
  <c r="AF130" i="11" s="1"/>
  <c r="B130" i="11" s="1"/>
  <c r="E130" i="11"/>
  <c r="D130" i="11"/>
  <c r="J128" i="1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F128" i="11"/>
  <c r="G128" i="11" s="1"/>
  <c r="H128" i="11" s="1"/>
  <c r="I128" i="11" s="1"/>
  <c r="E128" i="11"/>
  <c r="D128" i="11"/>
  <c r="H127" i="1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D127" i="11"/>
  <c r="E127" i="11" s="1"/>
  <c r="F127" i="11" s="1"/>
  <c r="G127" i="11" s="1"/>
  <c r="F126" i="1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D126" i="11"/>
  <c r="E126" i="11" s="1"/>
  <c r="H125" i="11"/>
  <c r="I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D125" i="11"/>
  <c r="E125" i="11" s="1"/>
  <c r="F125" i="11" s="1"/>
  <c r="G125" i="11" s="1"/>
  <c r="F124" i="1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E124" i="11"/>
  <c r="D124" i="11"/>
  <c r="D123" i="1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D122" i="1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D121" i="11"/>
  <c r="E121" i="11" s="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J120" i="1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F120" i="11"/>
  <c r="G120" i="11" s="1"/>
  <c r="H120" i="11" s="1"/>
  <c r="I120" i="11" s="1"/>
  <c r="E120" i="11"/>
  <c r="D120" i="11"/>
  <c r="D119" i="1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D118" i="1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7" i="1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F116" i="1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E116" i="11"/>
  <c r="D116" i="11"/>
  <c r="H115" i="1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D115" i="11"/>
  <c r="E115" i="11" s="1"/>
  <c r="F115" i="11" s="1"/>
  <c r="G115" i="11" s="1"/>
  <c r="F114" i="11"/>
  <c r="G114" i="11" s="1"/>
  <c r="H114" i="11" s="1"/>
  <c r="I114" i="11" s="1"/>
  <c r="J114" i="11" s="1"/>
  <c r="K114" i="11" s="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D114" i="11"/>
  <c r="E114" i="11" s="1"/>
  <c r="P113" i="1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L113" i="11"/>
  <c r="M113" i="11" s="1"/>
  <c r="N113" i="11" s="1"/>
  <c r="O113" i="11" s="1"/>
  <c r="K113" i="11"/>
  <c r="D113" i="11"/>
  <c r="E113" i="11" s="1"/>
  <c r="F113" i="11" s="1"/>
  <c r="G113" i="11" s="1"/>
  <c r="H113" i="11" s="1"/>
  <c r="I113" i="11" s="1"/>
  <c r="G112" i="1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E112" i="11"/>
  <c r="F112" i="11" s="1"/>
  <c r="D112" i="11"/>
  <c r="E111" i="11"/>
  <c r="F111" i="11" s="1"/>
  <c r="G111" i="11" s="1"/>
  <c r="H111" i="11" s="1"/>
  <c r="I111" i="11" s="1"/>
  <c r="J111" i="11" s="1"/>
  <c r="K111" i="11" s="1"/>
  <c r="L111" i="11" s="1"/>
  <c r="M111" i="11" s="1"/>
  <c r="N111" i="11" s="1"/>
  <c r="O111" i="11" s="1"/>
  <c r="P111" i="11" s="1"/>
  <c r="Q111" i="11" s="1"/>
  <c r="R111" i="11" s="1"/>
  <c r="S111" i="11" s="1"/>
  <c r="T111" i="11" s="1"/>
  <c r="U111" i="11" s="1"/>
  <c r="V111" i="11" s="1"/>
  <c r="W111" i="11" s="1"/>
  <c r="X111" i="11" s="1"/>
  <c r="Y111" i="11" s="1"/>
  <c r="Z111" i="11" s="1"/>
  <c r="AA111" i="11" s="1"/>
  <c r="AB111" i="11" s="1"/>
  <c r="AC111" i="11" s="1"/>
  <c r="AD111" i="11" s="1"/>
  <c r="AE111" i="11" s="1"/>
  <c r="AF111" i="11" s="1"/>
  <c r="B111" i="11" s="1"/>
  <c r="D111" i="11"/>
  <c r="I109" i="1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E109" i="11"/>
  <c r="F109" i="11" s="1"/>
  <c r="G109" i="11" s="1"/>
  <c r="H109" i="11" s="1"/>
  <c r="D109" i="11"/>
  <c r="G108" i="11"/>
  <c r="H108" i="11" s="1"/>
  <c r="I108" i="11" s="1"/>
  <c r="J108" i="11" s="1"/>
  <c r="K108" i="11" s="1"/>
  <c r="L108" i="11" s="1"/>
  <c r="M108" i="11" s="1"/>
  <c r="N108" i="11" s="1"/>
  <c r="O108" i="11" s="1"/>
  <c r="P108" i="11" s="1"/>
  <c r="Q108" i="11" s="1"/>
  <c r="R108" i="11" s="1"/>
  <c r="S108" i="11" s="1"/>
  <c r="T108" i="11" s="1"/>
  <c r="U108" i="11" s="1"/>
  <c r="V108" i="11" s="1"/>
  <c r="W108" i="11" s="1"/>
  <c r="X108" i="11" s="1"/>
  <c r="Y108" i="11" s="1"/>
  <c r="Z108" i="11" s="1"/>
  <c r="AA108" i="11" s="1"/>
  <c r="AB108" i="11" s="1"/>
  <c r="AC108" i="11" s="1"/>
  <c r="AD108" i="11" s="1"/>
  <c r="AE108" i="11" s="1"/>
  <c r="AF108" i="11" s="1"/>
  <c r="B108" i="11" s="1"/>
  <c r="D108" i="11"/>
  <c r="E108" i="11" s="1"/>
  <c r="F108" i="11" s="1"/>
  <c r="E106" i="1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D106" i="11"/>
  <c r="E105" i="1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D105" i="11"/>
  <c r="E104" i="1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D104" i="11"/>
  <c r="D103" i="11"/>
  <c r="E103" i="11" s="1"/>
  <c r="F103" i="11" s="1"/>
  <c r="G103" i="11" s="1"/>
  <c r="H103" i="11" s="1"/>
  <c r="I103" i="11" s="1"/>
  <c r="J103" i="11" s="1"/>
  <c r="K103" i="11" s="1"/>
  <c r="L103" i="11" s="1"/>
  <c r="M103" i="11" s="1"/>
  <c r="N103" i="11" s="1"/>
  <c r="O103" i="11" s="1"/>
  <c r="P103" i="11" s="1"/>
  <c r="Q103" i="11" s="1"/>
  <c r="R103" i="11" s="1"/>
  <c r="S103" i="11" s="1"/>
  <c r="T103" i="11" s="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AE103" i="11" s="1"/>
  <c r="AF103" i="11" s="1"/>
  <c r="B103" i="11" s="1"/>
  <c r="E102" i="11"/>
  <c r="F102" i="11" s="1"/>
  <c r="D102" i="11"/>
  <c r="E101" i="11"/>
  <c r="D101" i="11"/>
  <c r="AH98" i="11"/>
  <c r="AI98" i="11" s="1"/>
  <c r="AH97" i="11"/>
  <c r="AI97" i="11" s="1"/>
  <c r="AH96" i="11"/>
  <c r="AI96" i="11" s="1"/>
  <c r="AH94" i="11"/>
  <c r="AI94" i="11" s="1"/>
  <c r="D93" i="1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G82" i="11"/>
  <c r="AI81" i="11"/>
  <c r="AH81" i="11"/>
  <c r="AF80" i="11"/>
  <c r="AE80" i="11"/>
  <c r="AD80" i="11"/>
  <c r="AC80" i="11"/>
  <c r="AB80" i="11"/>
  <c r="AA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F79" i="11"/>
  <c r="AE79" i="11"/>
  <c r="AD79" i="11"/>
  <c r="AC79" i="11"/>
  <c r="AB79" i="11"/>
  <c r="AA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F78" i="11"/>
  <c r="AE78" i="11"/>
  <c r="AD78" i="11"/>
  <c r="AC78" i="11"/>
  <c r="AB78" i="11"/>
  <c r="AA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F77" i="11"/>
  <c r="AE77" i="11"/>
  <c r="AD77" i="11"/>
  <c r="AC77" i="11"/>
  <c r="AB77" i="11"/>
  <c r="AA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F76" i="11"/>
  <c r="AE76" i="11"/>
  <c r="AD76" i="11"/>
  <c r="AC76" i="11"/>
  <c r="AB76" i="11"/>
  <c r="AA76" i="11"/>
  <c r="Y76" i="11"/>
  <c r="X76" i="11"/>
  <c r="X82" i="11" s="1"/>
  <c r="W76" i="11"/>
  <c r="V76" i="11"/>
  <c r="U76" i="11"/>
  <c r="T76" i="11"/>
  <c r="S76" i="11"/>
  <c r="R76" i="11"/>
  <c r="Q76" i="11"/>
  <c r="P76" i="11"/>
  <c r="O76" i="11"/>
  <c r="N76" i="11"/>
  <c r="N82" i="11" s="1"/>
  <c r="M76" i="11"/>
  <c r="M82" i="11" s="1"/>
  <c r="L76" i="11"/>
  <c r="K76" i="11"/>
  <c r="J76" i="11"/>
  <c r="I76" i="11"/>
  <c r="H76" i="11"/>
  <c r="G76" i="11"/>
  <c r="F76" i="11"/>
  <c r="E76" i="11"/>
  <c r="D76" i="11"/>
  <c r="C76" i="11"/>
  <c r="B76" i="11"/>
  <c r="AI74" i="11"/>
  <c r="AH74" i="11"/>
  <c r="AG72" i="11"/>
  <c r="AF72" i="11"/>
  <c r="AE72" i="11"/>
  <c r="AD72" i="11"/>
  <c r="AC72" i="11"/>
  <c r="AB72" i="11"/>
  <c r="AA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I72" i="11" s="1"/>
  <c r="AI71" i="11"/>
  <c r="AH71" i="11"/>
  <c r="AI70" i="11"/>
  <c r="AH70" i="11"/>
  <c r="AI69" i="11"/>
  <c r="AH69" i="11"/>
  <c r="AG68" i="11"/>
  <c r="AF68" i="11"/>
  <c r="AE5" i="11" s="1"/>
  <c r="AE68" i="11"/>
  <c r="AD5" i="11" s="1"/>
  <c r="AD68" i="11"/>
  <c r="AC5" i="11" s="1"/>
  <c r="AC68" i="11"/>
  <c r="AB5" i="11" s="1"/>
  <c r="AB68" i="11"/>
  <c r="AA5" i="11" s="1"/>
  <c r="AA68" i="11"/>
  <c r="Y68" i="11"/>
  <c r="X68" i="11"/>
  <c r="W5" i="11" s="1"/>
  <c r="W68" i="11"/>
  <c r="V5" i="11" s="1"/>
  <c r="V68" i="11"/>
  <c r="U5" i="11" s="1"/>
  <c r="U68" i="11"/>
  <c r="T5" i="11" s="1"/>
  <c r="T68" i="11"/>
  <c r="S5" i="11" s="1"/>
  <c r="S68" i="11"/>
  <c r="R68" i="11"/>
  <c r="Q68" i="11"/>
  <c r="P5" i="11" s="1"/>
  <c r="P68" i="11"/>
  <c r="O5" i="11" s="1"/>
  <c r="O68" i="11"/>
  <c r="N5" i="11" s="1"/>
  <c r="N68" i="11"/>
  <c r="M5" i="11" s="1"/>
  <c r="M68" i="11"/>
  <c r="L5" i="11" s="1"/>
  <c r="L68" i="11"/>
  <c r="K5" i="11" s="1"/>
  <c r="K68" i="11"/>
  <c r="J5" i="11" s="1"/>
  <c r="J68" i="11"/>
  <c r="I68" i="11"/>
  <c r="H5" i="11" s="1"/>
  <c r="H68" i="11"/>
  <c r="G5" i="11" s="1"/>
  <c r="G68" i="11"/>
  <c r="F5" i="11" s="1"/>
  <c r="F68" i="11"/>
  <c r="E5" i="11" s="1"/>
  <c r="E68" i="11"/>
  <c r="D5" i="11" s="1"/>
  <c r="D68" i="11"/>
  <c r="C5" i="11" s="1"/>
  <c r="C68" i="11"/>
  <c r="B5" i="11" s="1"/>
  <c r="B68" i="1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G51" i="11"/>
  <c r="AG52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G2" i="11" s="1"/>
  <c r="AF38" i="11"/>
  <c r="AE38" i="11"/>
  <c r="AD38" i="11"/>
  <c r="AC38" i="11"/>
  <c r="AB38" i="11"/>
  <c r="AA38" i="11"/>
  <c r="Y38" i="11"/>
  <c r="X38" i="11"/>
  <c r="W38" i="11"/>
  <c r="V38" i="11"/>
  <c r="U38" i="11"/>
  <c r="T38" i="11"/>
  <c r="S38" i="11"/>
  <c r="S73" i="11" s="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73" i="11" s="1"/>
  <c r="B38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Z5" i="11"/>
  <c r="X5" i="11"/>
  <c r="R5" i="11"/>
  <c r="AG4" i="11"/>
  <c r="K4" i="11"/>
  <c r="B4" i="11"/>
  <c r="AF37" i="10"/>
  <c r="AE37" i="10"/>
  <c r="AD37" i="10"/>
  <c r="AC37" i="10"/>
  <c r="AB37" i="10"/>
  <c r="E4" i="12"/>
  <c r="E4" i="11"/>
  <c r="E4" i="13"/>
  <c r="AE82" i="13" l="1"/>
  <c r="AD82" i="13"/>
  <c r="AC82" i="13"/>
  <c r="Z82" i="13"/>
  <c r="Z73" i="13"/>
  <c r="W82" i="13"/>
  <c r="V82" i="13"/>
  <c r="S82" i="13"/>
  <c r="S73" i="13"/>
  <c r="R82" i="13"/>
  <c r="R73" i="13"/>
  <c r="Q82" i="13"/>
  <c r="Q75" i="13"/>
  <c r="Q7" i="13" s="1"/>
  <c r="P82" i="13"/>
  <c r="P75" i="13"/>
  <c r="AH213" i="13" s="1"/>
  <c r="O82" i="13"/>
  <c r="O75" i="13"/>
  <c r="AG213" i="13" s="1"/>
  <c r="O73" i="13"/>
  <c r="AI78" i="13"/>
  <c r="N82" i="13"/>
  <c r="N75" i="13"/>
  <c r="AF213" i="13" s="1"/>
  <c r="N73" i="13"/>
  <c r="M73" i="13"/>
  <c r="L73" i="13"/>
  <c r="K82" i="13"/>
  <c r="K75" i="13"/>
  <c r="AC213" i="13" s="1"/>
  <c r="K73" i="13"/>
  <c r="J82" i="13"/>
  <c r="J73" i="13"/>
  <c r="H82" i="13"/>
  <c r="G82" i="13"/>
  <c r="G73" i="13"/>
  <c r="G75" i="13"/>
  <c r="F82" i="13"/>
  <c r="F73" i="13"/>
  <c r="E73" i="13"/>
  <c r="AH68" i="13"/>
  <c r="AI80" i="13"/>
  <c r="AI38" i="13"/>
  <c r="D73" i="13"/>
  <c r="C82" i="13"/>
  <c r="AI79" i="13"/>
  <c r="C73" i="13"/>
  <c r="C75" i="13" s="1"/>
  <c r="U213" i="13" s="1"/>
  <c r="AH38" i="13"/>
  <c r="AF5" i="13"/>
  <c r="AI68" i="13"/>
  <c r="AH79" i="13"/>
  <c r="AI56" i="13"/>
  <c r="H4" i="13"/>
  <c r="AG75" i="13"/>
  <c r="AG3" i="13"/>
  <c r="AG6" i="13" s="1"/>
  <c r="H73" i="13"/>
  <c r="P73" i="13"/>
  <c r="H75" i="13"/>
  <c r="I73" i="13"/>
  <c r="Q73" i="13"/>
  <c r="AG73" i="13"/>
  <c r="AG83" i="13" s="1"/>
  <c r="T73" i="13"/>
  <c r="I75" i="13"/>
  <c r="D82" i="13"/>
  <c r="AH76" i="13"/>
  <c r="L82" i="13"/>
  <c r="T82" i="13"/>
  <c r="AB82" i="13"/>
  <c r="E102" i="13"/>
  <c r="AH56" i="13"/>
  <c r="AH72" i="13"/>
  <c r="J75" i="13"/>
  <c r="R75" i="13"/>
  <c r="Z75" i="13"/>
  <c r="AI72" i="13"/>
  <c r="E82" i="13"/>
  <c r="M82" i="13"/>
  <c r="U82" i="13"/>
  <c r="I82" i="13"/>
  <c r="C5" i="13"/>
  <c r="K5" i="13"/>
  <c r="AA5" i="13"/>
  <c r="S75" i="13"/>
  <c r="D75" i="13"/>
  <c r="L75" i="13"/>
  <c r="T75" i="13"/>
  <c r="S210" i="13"/>
  <c r="D210" i="13"/>
  <c r="E75" i="13"/>
  <c r="M75" i="13"/>
  <c r="X82" i="13"/>
  <c r="AF82" i="13"/>
  <c r="AH78" i="13"/>
  <c r="F75" i="13"/>
  <c r="Y82" i="13"/>
  <c r="AI77" i="13"/>
  <c r="AH80" i="13"/>
  <c r="D191" i="13"/>
  <c r="G5" i="13"/>
  <c r="O5" i="13"/>
  <c r="W5" i="13"/>
  <c r="AE5" i="13"/>
  <c r="AI76" i="13"/>
  <c r="E101" i="13"/>
  <c r="B82" i="13"/>
  <c r="AH77" i="13"/>
  <c r="F198" i="13"/>
  <c r="D199" i="13"/>
  <c r="F193" i="13"/>
  <c r="E199" i="13"/>
  <c r="AF82" i="12"/>
  <c r="AE82" i="12"/>
  <c r="AB82" i="12"/>
  <c r="AA82" i="12"/>
  <c r="Z75" i="12"/>
  <c r="AR213" i="12" s="1"/>
  <c r="Z82" i="12"/>
  <c r="X82" i="12"/>
  <c r="W82" i="12"/>
  <c r="U82" i="12"/>
  <c r="T73" i="12"/>
  <c r="S82" i="12"/>
  <c r="S75" i="12"/>
  <c r="R82" i="12"/>
  <c r="R73" i="12"/>
  <c r="Q82" i="12"/>
  <c r="P82" i="12"/>
  <c r="Q75" i="12"/>
  <c r="P73" i="12"/>
  <c r="O82" i="12"/>
  <c r="O73" i="12"/>
  <c r="N73" i="12"/>
  <c r="N75" i="12"/>
  <c r="M82" i="12"/>
  <c r="M73" i="12"/>
  <c r="L82" i="12"/>
  <c r="L73" i="12"/>
  <c r="AH76" i="12"/>
  <c r="K82" i="12"/>
  <c r="AH80" i="12"/>
  <c r="K75" i="12"/>
  <c r="AC213" i="12" s="1"/>
  <c r="J73" i="12"/>
  <c r="J82" i="12"/>
  <c r="I82" i="12"/>
  <c r="AI80" i="12"/>
  <c r="I75" i="12"/>
  <c r="I7" i="12" s="1"/>
  <c r="H82" i="12"/>
  <c r="G82" i="12"/>
  <c r="AI78" i="12"/>
  <c r="G73" i="12"/>
  <c r="F73" i="12"/>
  <c r="AH79" i="12"/>
  <c r="E73" i="12"/>
  <c r="D82" i="12"/>
  <c r="D75" i="12"/>
  <c r="D73" i="12"/>
  <c r="AI38" i="12"/>
  <c r="C82" i="12"/>
  <c r="B75" i="12"/>
  <c r="B73" i="12"/>
  <c r="B83" i="12" s="1"/>
  <c r="H4" i="12"/>
  <c r="AA213" i="12"/>
  <c r="AI213" i="12"/>
  <c r="Q7" i="12"/>
  <c r="AK213" i="12"/>
  <c r="S7" i="12"/>
  <c r="G102" i="12"/>
  <c r="V213" i="12"/>
  <c r="D7" i="12"/>
  <c r="AF213" i="12"/>
  <c r="N7" i="12"/>
  <c r="I73" i="12"/>
  <c r="I83" i="12" s="1"/>
  <c r="Q73" i="12"/>
  <c r="Q83" i="12" s="1"/>
  <c r="AG73" i="12"/>
  <c r="AG83" i="12" s="1"/>
  <c r="AI72" i="12"/>
  <c r="AH72" i="12"/>
  <c r="H75" i="12"/>
  <c r="R75" i="12"/>
  <c r="H73" i="12"/>
  <c r="P75" i="12"/>
  <c r="P83" i="12" s="1"/>
  <c r="AI76" i="12"/>
  <c r="AI79" i="12"/>
  <c r="S210" i="12"/>
  <c r="D210" i="12"/>
  <c r="F5" i="12"/>
  <c r="N5" i="12"/>
  <c r="V5" i="12"/>
  <c r="AD5" i="12"/>
  <c r="AI68" i="12"/>
  <c r="AH68" i="12"/>
  <c r="AI77" i="12"/>
  <c r="O5" i="12"/>
  <c r="W5" i="12"/>
  <c r="AI56" i="12"/>
  <c r="AH56" i="12"/>
  <c r="C73" i="12"/>
  <c r="K73" i="12"/>
  <c r="S73" i="12"/>
  <c r="S83" i="12" s="1"/>
  <c r="J75" i="12"/>
  <c r="T75" i="12"/>
  <c r="T83" i="12" s="1"/>
  <c r="F82" i="12"/>
  <c r="N82" i="12"/>
  <c r="N83" i="12" s="1"/>
  <c r="AD82" i="12"/>
  <c r="H5" i="12"/>
  <c r="P5" i="12"/>
  <c r="X5" i="12"/>
  <c r="E75" i="12"/>
  <c r="M75" i="12"/>
  <c r="M83" i="12" s="1"/>
  <c r="Z73" i="12"/>
  <c r="F75" i="12"/>
  <c r="AH78" i="12"/>
  <c r="AH38" i="12"/>
  <c r="L75" i="12"/>
  <c r="G75" i="12"/>
  <c r="O75" i="12"/>
  <c r="E101" i="12"/>
  <c r="AH77" i="12"/>
  <c r="E193" i="12"/>
  <c r="D199" i="12"/>
  <c r="D234" i="12"/>
  <c r="F198" i="12"/>
  <c r="AF82" i="11"/>
  <c r="AH37" i="11"/>
  <c r="AD82" i="11"/>
  <c r="AC82" i="11"/>
  <c r="AB82" i="11"/>
  <c r="AA82" i="11"/>
  <c r="Y82" i="11"/>
  <c r="V82" i="11"/>
  <c r="U82" i="11"/>
  <c r="T82" i="11"/>
  <c r="T75" i="11"/>
  <c r="T7" i="11" s="1"/>
  <c r="T73" i="11"/>
  <c r="S82" i="11"/>
  <c r="S75" i="11"/>
  <c r="R75" i="11"/>
  <c r="R73" i="11"/>
  <c r="Q82" i="11"/>
  <c r="Q73" i="11"/>
  <c r="P82" i="11"/>
  <c r="P73" i="11"/>
  <c r="P75" i="11"/>
  <c r="AH95" i="11"/>
  <c r="AI95" i="11" s="1"/>
  <c r="O75" i="11"/>
  <c r="AG213" i="11" s="1"/>
  <c r="O73" i="11"/>
  <c r="N73" i="11"/>
  <c r="N75" i="11"/>
  <c r="L82" i="11"/>
  <c r="L75" i="11"/>
  <c r="AD213" i="11" s="1"/>
  <c r="L73" i="11"/>
  <c r="K82" i="11"/>
  <c r="K73" i="11"/>
  <c r="K75" i="11"/>
  <c r="AC213" i="11" s="1"/>
  <c r="J75" i="11"/>
  <c r="AB213" i="11" s="1"/>
  <c r="J73" i="11"/>
  <c r="I82" i="11"/>
  <c r="I73" i="11"/>
  <c r="H75" i="11"/>
  <c r="Z213" i="11" s="1"/>
  <c r="H82" i="11"/>
  <c r="H73" i="11"/>
  <c r="AI78" i="11"/>
  <c r="AH79" i="11"/>
  <c r="G75" i="11"/>
  <c r="G7" i="11" s="1"/>
  <c r="G73" i="11"/>
  <c r="AH77" i="11"/>
  <c r="F82" i="11"/>
  <c r="AI77" i="11"/>
  <c r="F73" i="11"/>
  <c r="AH78" i="11"/>
  <c r="E82" i="11"/>
  <c r="AH76" i="11"/>
  <c r="D75" i="11"/>
  <c r="V213" i="11" s="1"/>
  <c r="D73" i="11"/>
  <c r="AH56" i="11"/>
  <c r="AH38" i="11"/>
  <c r="AI38" i="11"/>
  <c r="H4" i="11"/>
  <c r="AF213" i="11"/>
  <c r="N7" i="11"/>
  <c r="L83" i="11"/>
  <c r="AK213" i="11"/>
  <c r="S7" i="11"/>
  <c r="AG3" i="11"/>
  <c r="AG6" i="11" s="1"/>
  <c r="AG73" i="11"/>
  <c r="AG75" i="11"/>
  <c r="S83" i="11"/>
  <c r="AJ213" i="11"/>
  <c r="R7" i="11"/>
  <c r="AI79" i="11"/>
  <c r="AH80" i="11"/>
  <c r="AI80" i="11"/>
  <c r="E191" i="11"/>
  <c r="F101" i="11"/>
  <c r="E73" i="11"/>
  <c r="M73" i="11"/>
  <c r="I75" i="11"/>
  <c r="Q75" i="11"/>
  <c r="G82" i="11"/>
  <c r="O82" i="11"/>
  <c r="O83" i="11" s="1"/>
  <c r="W82" i="11"/>
  <c r="AE82" i="11"/>
  <c r="G102" i="11"/>
  <c r="P83" i="11"/>
  <c r="C82" i="11"/>
  <c r="S210" i="11"/>
  <c r="D210" i="11"/>
  <c r="AF5" i="11"/>
  <c r="I5" i="11"/>
  <c r="Q5" i="11"/>
  <c r="Y5" i="11"/>
  <c r="O7" i="11"/>
  <c r="C75" i="11"/>
  <c r="D82" i="11"/>
  <c r="N83" i="11"/>
  <c r="AH68" i="11"/>
  <c r="AH72" i="11"/>
  <c r="R82" i="11"/>
  <c r="R83" i="11" s="1"/>
  <c r="AI56" i="11"/>
  <c r="B82" i="11"/>
  <c r="J82" i="11"/>
  <c r="AI76" i="11"/>
  <c r="AI68" i="11"/>
  <c r="E75" i="11"/>
  <c r="M75" i="11"/>
  <c r="F75" i="11"/>
  <c r="D191" i="11"/>
  <c r="G193" i="11"/>
  <c r="C234" i="11"/>
  <c r="E198" i="11"/>
  <c r="E199" i="11" s="1"/>
  <c r="D199" i="11"/>
  <c r="K83" i="13" l="1"/>
  <c r="Z83" i="12"/>
  <c r="Z7" i="12"/>
  <c r="T83" i="13"/>
  <c r="S83" i="13"/>
  <c r="O7" i="13"/>
  <c r="AI213" i="13"/>
  <c r="Q83" i="13"/>
  <c r="P7" i="13"/>
  <c r="P83" i="13"/>
  <c r="O83" i="13"/>
  <c r="N83" i="13"/>
  <c r="N7" i="13"/>
  <c r="L83" i="13"/>
  <c r="K7" i="13"/>
  <c r="H83" i="13"/>
  <c r="G83" i="13"/>
  <c r="G7" i="13"/>
  <c r="Y213" i="13"/>
  <c r="E83" i="13"/>
  <c r="C83" i="13"/>
  <c r="C7" i="13"/>
  <c r="AI82" i="13"/>
  <c r="AH82" i="13"/>
  <c r="X213" i="13"/>
  <c r="F7" i="13"/>
  <c r="V213" i="13"/>
  <c r="D7" i="13"/>
  <c r="E191" i="13"/>
  <c r="F101" i="13"/>
  <c r="D83" i="13"/>
  <c r="AR213" i="13"/>
  <c r="Z7" i="13"/>
  <c r="Z83" i="13"/>
  <c r="AJ213" i="13"/>
  <c r="R7" i="13"/>
  <c r="E93" i="13"/>
  <c r="F102" i="13"/>
  <c r="AA213" i="13"/>
  <c r="I7" i="13"/>
  <c r="F199" i="13"/>
  <c r="G193" i="13"/>
  <c r="AL213" i="13"/>
  <c r="T7" i="13"/>
  <c r="R83" i="13"/>
  <c r="Z213" i="13"/>
  <c r="H7" i="13"/>
  <c r="AE213" i="13"/>
  <c r="M7" i="13"/>
  <c r="AK213" i="13"/>
  <c r="S7" i="13"/>
  <c r="AB213" i="13"/>
  <c r="J7" i="13"/>
  <c r="B208" i="13"/>
  <c r="F83" i="13"/>
  <c r="E234" i="13"/>
  <c r="G198" i="13"/>
  <c r="M83" i="13"/>
  <c r="AD213" i="13"/>
  <c r="L7" i="13"/>
  <c r="J83" i="13"/>
  <c r="I83" i="13"/>
  <c r="C208" i="13"/>
  <c r="W213" i="13"/>
  <c r="E7" i="13"/>
  <c r="L83" i="12"/>
  <c r="K83" i="12"/>
  <c r="K7" i="12"/>
  <c r="H83" i="12"/>
  <c r="F83" i="12"/>
  <c r="D83" i="12"/>
  <c r="W213" i="12"/>
  <c r="E7" i="12"/>
  <c r="AJ213" i="12"/>
  <c r="R7" i="12"/>
  <c r="E234" i="12"/>
  <c r="G198" i="12"/>
  <c r="AG213" i="12"/>
  <c r="O7" i="12"/>
  <c r="AL213" i="12"/>
  <c r="T7" i="12"/>
  <c r="AI82" i="12"/>
  <c r="AH82" i="12"/>
  <c r="Z213" i="12"/>
  <c r="H7" i="12"/>
  <c r="Y213" i="12"/>
  <c r="C208" i="12"/>
  <c r="B208" i="12"/>
  <c r="G7" i="12"/>
  <c r="X213" i="12"/>
  <c r="F7" i="12"/>
  <c r="AB213" i="12"/>
  <c r="J7" i="12"/>
  <c r="C75" i="12"/>
  <c r="C83" i="12" s="1"/>
  <c r="H102" i="12"/>
  <c r="O83" i="12"/>
  <c r="F193" i="12"/>
  <c r="E199" i="12"/>
  <c r="E93" i="12"/>
  <c r="G83" i="12"/>
  <c r="AH213" i="12"/>
  <c r="P7" i="12"/>
  <c r="E191" i="12"/>
  <c r="F101" i="12"/>
  <c r="AD213" i="12"/>
  <c r="L7" i="12"/>
  <c r="R83" i="12"/>
  <c r="AE213" i="12"/>
  <c r="M7" i="12"/>
  <c r="J83" i="12"/>
  <c r="E83" i="12"/>
  <c r="AL213" i="11"/>
  <c r="T83" i="11"/>
  <c r="AH213" i="11"/>
  <c r="P7" i="11"/>
  <c r="M83" i="11"/>
  <c r="L7" i="11"/>
  <c r="K83" i="11"/>
  <c r="K7" i="11"/>
  <c r="J7" i="11"/>
  <c r="J83" i="11"/>
  <c r="H83" i="11"/>
  <c r="H7" i="11"/>
  <c r="B208" i="11"/>
  <c r="Y213" i="11"/>
  <c r="C208" i="11"/>
  <c r="G83" i="11"/>
  <c r="F83" i="11"/>
  <c r="E83" i="11"/>
  <c r="D7" i="11"/>
  <c r="D83" i="11"/>
  <c r="C83" i="11"/>
  <c r="W213" i="11"/>
  <c r="E7" i="11"/>
  <c r="F191" i="11"/>
  <c r="G101" i="11"/>
  <c r="H193" i="11"/>
  <c r="AI213" i="11"/>
  <c r="Q7" i="11"/>
  <c r="U213" i="11"/>
  <c r="C7" i="11"/>
  <c r="AA213" i="11"/>
  <c r="I7" i="11"/>
  <c r="AG83" i="11"/>
  <c r="X213" i="11"/>
  <c r="F7" i="11"/>
  <c r="AH82" i="11"/>
  <c r="AI82" i="11"/>
  <c r="H102" i="11"/>
  <c r="I83" i="11"/>
  <c r="AE213" i="11"/>
  <c r="M7" i="11"/>
  <c r="AR213" i="11"/>
  <c r="Z7" i="11"/>
  <c r="Q83" i="11"/>
  <c r="D234" i="11"/>
  <c r="F198" i="11"/>
  <c r="E93" i="11"/>
  <c r="K6" i="13" l="1"/>
  <c r="F93" i="13"/>
  <c r="G102" i="13"/>
  <c r="F191" i="13"/>
  <c r="G101" i="13"/>
  <c r="H193" i="13"/>
  <c r="G199" i="13"/>
  <c r="F234" i="13"/>
  <c r="H198" i="13"/>
  <c r="H198" i="12"/>
  <c r="F234" i="12"/>
  <c r="G193" i="12"/>
  <c r="F199" i="12"/>
  <c r="F93" i="12"/>
  <c r="U213" i="12"/>
  <c r="C7" i="12"/>
  <c r="F191" i="12"/>
  <c r="G101" i="12"/>
  <c r="I102" i="12"/>
  <c r="K6" i="12"/>
  <c r="K6" i="11"/>
  <c r="I193" i="11"/>
  <c r="G191" i="11"/>
  <c r="H101" i="11"/>
  <c r="I102" i="11"/>
  <c r="G198" i="11"/>
  <c r="E234" i="11"/>
  <c r="F93" i="11"/>
  <c r="F199" i="11"/>
  <c r="G191" i="13" l="1"/>
  <c r="H101" i="13"/>
  <c r="H199" i="13"/>
  <c r="I193" i="13"/>
  <c r="G234" i="13"/>
  <c r="I198" i="13"/>
  <c r="H102" i="13"/>
  <c r="G93" i="13"/>
  <c r="J102" i="12"/>
  <c r="H193" i="12"/>
  <c r="G199" i="12"/>
  <c r="G93" i="12"/>
  <c r="G191" i="12"/>
  <c r="H101" i="12"/>
  <c r="I198" i="12"/>
  <c r="G234" i="12"/>
  <c r="J102" i="11"/>
  <c r="H191" i="11"/>
  <c r="I101" i="11"/>
  <c r="J193" i="11"/>
  <c r="H198" i="11"/>
  <c r="F234" i="11"/>
  <c r="G93" i="11"/>
  <c r="G199" i="11"/>
  <c r="H93" i="13" l="1"/>
  <c r="I102" i="13"/>
  <c r="H234" i="13"/>
  <c r="J198" i="13"/>
  <c r="I199" i="13"/>
  <c r="J193" i="13"/>
  <c r="H191" i="13"/>
  <c r="I101" i="13"/>
  <c r="I193" i="12"/>
  <c r="H199" i="12"/>
  <c r="H93" i="12"/>
  <c r="J198" i="12"/>
  <c r="H234" i="12"/>
  <c r="K102" i="12"/>
  <c r="H191" i="12"/>
  <c r="I101" i="12"/>
  <c r="K193" i="11"/>
  <c r="I191" i="11"/>
  <c r="J101" i="11"/>
  <c r="K102" i="11"/>
  <c r="I198" i="11"/>
  <c r="G234" i="11"/>
  <c r="H199" i="11"/>
  <c r="H93" i="11"/>
  <c r="J199" i="13" l="1"/>
  <c r="K193" i="13"/>
  <c r="I234" i="13"/>
  <c r="K198" i="13"/>
  <c r="J102" i="13"/>
  <c r="I93" i="13"/>
  <c r="I191" i="13"/>
  <c r="J101" i="13"/>
  <c r="K198" i="12"/>
  <c r="I234" i="12"/>
  <c r="I191" i="12"/>
  <c r="J101" i="12"/>
  <c r="I199" i="12"/>
  <c r="J193" i="12"/>
  <c r="I93" i="12"/>
  <c r="L102" i="12"/>
  <c r="J198" i="11"/>
  <c r="H234" i="11"/>
  <c r="I199" i="11"/>
  <c r="I93" i="11"/>
  <c r="J191" i="11"/>
  <c r="K101" i="11"/>
  <c r="L193" i="11"/>
  <c r="L102" i="11"/>
  <c r="K199" i="13" l="1"/>
  <c r="L193" i="13"/>
  <c r="J93" i="13"/>
  <c r="K102" i="13"/>
  <c r="J234" i="13"/>
  <c r="L198" i="13"/>
  <c r="J191" i="13"/>
  <c r="K101" i="13"/>
  <c r="J191" i="12"/>
  <c r="K101" i="12"/>
  <c r="M102" i="12"/>
  <c r="J199" i="12"/>
  <c r="K193" i="12"/>
  <c r="J93" i="12"/>
  <c r="L198" i="12"/>
  <c r="J234" i="12"/>
  <c r="M193" i="11"/>
  <c r="K191" i="11"/>
  <c r="L101" i="11"/>
  <c r="M102" i="11"/>
  <c r="K198" i="11"/>
  <c r="I234" i="11"/>
  <c r="J199" i="11"/>
  <c r="J93" i="11"/>
  <c r="K93" i="13" l="1"/>
  <c r="L102" i="13"/>
  <c r="M198" i="13"/>
  <c r="K234" i="13"/>
  <c r="M193" i="13"/>
  <c r="L199" i="13"/>
  <c r="K191" i="13"/>
  <c r="L101" i="13"/>
  <c r="N102" i="12"/>
  <c r="L193" i="12"/>
  <c r="K199" i="12"/>
  <c r="K93" i="12"/>
  <c r="K191" i="12"/>
  <c r="L101" i="12"/>
  <c r="M198" i="12"/>
  <c r="K234" i="12"/>
  <c r="L191" i="11"/>
  <c r="M101" i="11"/>
  <c r="L198" i="11"/>
  <c r="J234" i="11"/>
  <c r="K199" i="11"/>
  <c r="K93" i="11"/>
  <c r="N102" i="11"/>
  <c r="N193" i="11"/>
  <c r="L234" i="13" l="1"/>
  <c r="N198" i="13"/>
  <c r="L191" i="13"/>
  <c r="M101" i="13"/>
  <c r="M102" i="13"/>
  <c r="L93" i="13"/>
  <c r="N193" i="13"/>
  <c r="M199" i="13"/>
  <c r="L234" i="12"/>
  <c r="N198" i="12"/>
  <c r="L199" i="12"/>
  <c r="M193" i="12"/>
  <c r="L93" i="12"/>
  <c r="O102" i="12"/>
  <c r="L191" i="12"/>
  <c r="M101" i="12"/>
  <c r="K234" i="11"/>
  <c r="M198" i="11"/>
  <c r="L199" i="11"/>
  <c r="L93" i="11"/>
  <c r="O102" i="11"/>
  <c r="M191" i="11"/>
  <c r="N101" i="11"/>
  <c r="O193" i="11"/>
  <c r="M191" i="13" l="1"/>
  <c r="N101" i="13"/>
  <c r="N199" i="13"/>
  <c r="O193" i="13"/>
  <c r="M93" i="13"/>
  <c r="N102" i="13"/>
  <c r="M234" i="13"/>
  <c r="O198" i="13"/>
  <c r="N193" i="12"/>
  <c r="M199" i="12"/>
  <c r="M93" i="12"/>
  <c r="M234" i="12"/>
  <c r="O198" i="12"/>
  <c r="P102" i="12"/>
  <c r="M191" i="12"/>
  <c r="N101" i="12"/>
  <c r="N191" i="11"/>
  <c r="O101" i="11"/>
  <c r="P102" i="11"/>
  <c r="L234" i="11"/>
  <c r="N198" i="11"/>
  <c r="M93" i="11"/>
  <c r="M199" i="11"/>
  <c r="P193" i="11"/>
  <c r="N234" i="13" l="1"/>
  <c r="P198" i="13"/>
  <c r="P193" i="13"/>
  <c r="O199" i="13"/>
  <c r="N191" i="13"/>
  <c r="O101" i="13"/>
  <c r="N93" i="13"/>
  <c r="O102" i="13"/>
  <c r="Q102" i="12"/>
  <c r="P198" i="12"/>
  <c r="N234" i="12"/>
  <c r="N191" i="12"/>
  <c r="O101" i="12"/>
  <c r="O193" i="12"/>
  <c r="N199" i="12"/>
  <c r="N93" i="12"/>
  <c r="O198" i="11"/>
  <c r="M234" i="11"/>
  <c r="N199" i="11"/>
  <c r="N93" i="11"/>
  <c r="Q102" i="11"/>
  <c r="Q193" i="11"/>
  <c r="O191" i="11"/>
  <c r="P101" i="11"/>
  <c r="O191" i="13" l="1"/>
  <c r="P101" i="13"/>
  <c r="O234" i="13"/>
  <c r="Q198" i="13"/>
  <c r="P102" i="13"/>
  <c r="O93" i="13"/>
  <c r="P199" i="13"/>
  <c r="Q193" i="13"/>
  <c r="Q198" i="12"/>
  <c r="O234" i="12"/>
  <c r="P193" i="12"/>
  <c r="O199" i="12"/>
  <c r="O93" i="12"/>
  <c r="O191" i="12"/>
  <c r="P101" i="12"/>
  <c r="R102" i="12"/>
  <c r="R193" i="11"/>
  <c r="P191" i="11"/>
  <c r="Q101" i="11"/>
  <c r="R102" i="11"/>
  <c r="N234" i="11"/>
  <c r="P198" i="11"/>
  <c r="O199" i="11"/>
  <c r="O93" i="11"/>
  <c r="Q199" i="13" l="1"/>
  <c r="R193" i="13"/>
  <c r="P234" i="13"/>
  <c r="R198" i="13"/>
  <c r="P93" i="13"/>
  <c r="Q102" i="13"/>
  <c r="P191" i="13"/>
  <c r="Q101" i="13"/>
  <c r="S102" i="12"/>
  <c r="Q193" i="12"/>
  <c r="P199" i="12"/>
  <c r="P93" i="12"/>
  <c r="P191" i="12"/>
  <c r="Q101" i="12"/>
  <c r="R198" i="12"/>
  <c r="P234" i="12"/>
  <c r="Q198" i="11"/>
  <c r="O234" i="11"/>
  <c r="P199" i="11"/>
  <c r="P93" i="11"/>
  <c r="S102" i="11"/>
  <c r="Q191" i="11"/>
  <c r="R101" i="11"/>
  <c r="S193" i="11"/>
  <c r="Q191" i="13" l="1"/>
  <c r="R101" i="13"/>
  <c r="R102" i="13"/>
  <c r="Q93" i="13"/>
  <c r="R199" i="13"/>
  <c r="S193" i="13"/>
  <c r="Q234" i="13"/>
  <c r="S198" i="13"/>
  <c r="S198" i="12"/>
  <c r="Q234" i="12"/>
  <c r="Q191" i="12"/>
  <c r="R101" i="12"/>
  <c r="Q199" i="12"/>
  <c r="R193" i="12"/>
  <c r="Q93" i="12"/>
  <c r="T102" i="12"/>
  <c r="R191" i="11"/>
  <c r="S101" i="11"/>
  <c r="T102" i="11"/>
  <c r="T193" i="11"/>
  <c r="R198" i="11"/>
  <c r="P234" i="11"/>
  <c r="Q199" i="11"/>
  <c r="Q93" i="11"/>
  <c r="S199" i="13" l="1"/>
  <c r="T193" i="13"/>
  <c r="R93" i="13"/>
  <c r="S102" i="13"/>
  <c r="R191" i="13"/>
  <c r="S101" i="13"/>
  <c r="R234" i="13"/>
  <c r="T198" i="13"/>
  <c r="U102" i="12"/>
  <c r="R199" i="12"/>
  <c r="S193" i="12"/>
  <c r="R93" i="12"/>
  <c r="R191" i="12"/>
  <c r="S101" i="12"/>
  <c r="T198" i="12"/>
  <c r="R234" i="12"/>
  <c r="S198" i="11"/>
  <c r="Q234" i="11"/>
  <c r="R199" i="11"/>
  <c r="R93" i="11"/>
  <c r="U193" i="11"/>
  <c r="U102" i="11"/>
  <c r="S191" i="11"/>
  <c r="T101" i="11"/>
  <c r="S93" i="13" l="1"/>
  <c r="T102" i="13"/>
  <c r="U198" i="13"/>
  <c r="S234" i="13"/>
  <c r="S191" i="13"/>
  <c r="T101" i="13"/>
  <c r="U193" i="13"/>
  <c r="T199" i="13"/>
  <c r="U198" i="12"/>
  <c r="S234" i="12"/>
  <c r="S191" i="12"/>
  <c r="T101" i="12"/>
  <c r="S199" i="12"/>
  <c r="T193" i="12"/>
  <c r="S93" i="12"/>
  <c r="V102" i="12"/>
  <c r="V102" i="11"/>
  <c r="V193" i="11"/>
  <c r="T191" i="11"/>
  <c r="U101" i="11"/>
  <c r="T198" i="11"/>
  <c r="R234" i="11"/>
  <c r="S93" i="11"/>
  <c r="S199" i="11"/>
  <c r="V193" i="13" l="1"/>
  <c r="U199" i="13"/>
  <c r="U51" i="13" s="1"/>
  <c r="U52" i="13" s="1"/>
  <c r="T191" i="13"/>
  <c r="U101" i="13"/>
  <c r="T234" i="13"/>
  <c r="V198" i="13"/>
  <c r="T93" i="13"/>
  <c r="U102" i="13"/>
  <c r="W102" i="12"/>
  <c r="U193" i="12"/>
  <c r="T199" i="12"/>
  <c r="T93" i="12"/>
  <c r="T191" i="12"/>
  <c r="U101" i="12"/>
  <c r="V198" i="12"/>
  <c r="T234" i="12"/>
  <c r="U198" i="11"/>
  <c r="S234" i="11"/>
  <c r="T199" i="11"/>
  <c r="T93" i="11"/>
  <c r="W193" i="11"/>
  <c r="U191" i="11"/>
  <c r="V101" i="11"/>
  <c r="W102" i="11"/>
  <c r="U93" i="13" l="1"/>
  <c r="V102" i="13"/>
  <c r="U191" i="13"/>
  <c r="V101" i="13"/>
  <c r="U234" i="13"/>
  <c r="W198" i="13"/>
  <c r="U75" i="13"/>
  <c r="U73" i="13"/>
  <c r="V199" i="13"/>
  <c r="V51" i="13" s="1"/>
  <c r="V52" i="13" s="1"/>
  <c r="W193" i="13"/>
  <c r="U234" i="12"/>
  <c r="W198" i="12"/>
  <c r="V193" i="12"/>
  <c r="U199" i="12"/>
  <c r="U51" i="12" s="1"/>
  <c r="U52" i="12" s="1"/>
  <c r="U93" i="12"/>
  <c r="X102" i="12"/>
  <c r="U191" i="12"/>
  <c r="V101" i="12"/>
  <c r="V191" i="11"/>
  <c r="W101" i="11"/>
  <c r="X102" i="11"/>
  <c r="X193" i="11"/>
  <c r="T234" i="11"/>
  <c r="V198" i="11"/>
  <c r="U93" i="11"/>
  <c r="U199" i="11"/>
  <c r="U51" i="11" s="1"/>
  <c r="U52" i="11" s="1"/>
  <c r="U83" i="13" l="1"/>
  <c r="V191" i="13"/>
  <c r="W101" i="13"/>
  <c r="AM213" i="13"/>
  <c r="U7" i="13"/>
  <c r="V234" i="13"/>
  <c r="X198" i="13"/>
  <c r="X193" i="13"/>
  <c r="W199" i="13"/>
  <c r="W51" i="13" s="1"/>
  <c r="W52" i="13" s="1"/>
  <c r="W102" i="13"/>
  <c r="V93" i="13"/>
  <c r="V73" i="13"/>
  <c r="V75" i="13"/>
  <c r="Y102" i="12"/>
  <c r="V199" i="12"/>
  <c r="W193" i="12"/>
  <c r="V93" i="12"/>
  <c r="U73" i="12"/>
  <c r="U75" i="12"/>
  <c r="X198" i="12"/>
  <c r="V234" i="12"/>
  <c r="V191" i="12"/>
  <c r="W101" i="12"/>
  <c r="Y102" i="11"/>
  <c r="W198" i="11"/>
  <c r="U234" i="11"/>
  <c r="V93" i="11"/>
  <c r="V199" i="11"/>
  <c r="V51" i="11" s="1"/>
  <c r="V52" i="11" s="1"/>
  <c r="Y193" i="11"/>
  <c r="U73" i="11"/>
  <c r="U75" i="11"/>
  <c r="W191" i="11"/>
  <c r="X101" i="11"/>
  <c r="AN213" i="13" l="1"/>
  <c r="V7" i="13"/>
  <c r="W75" i="13"/>
  <c r="W73" i="13"/>
  <c r="W83" i="13" s="1"/>
  <c r="W234" i="13"/>
  <c r="Y198" i="13"/>
  <c r="V83" i="13"/>
  <c r="X199" i="13"/>
  <c r="X51" i="13" s="1"/>
  <c r="X52" i="13" s="1"/>
  <c r="Y193" i="13"/>
  <c r="W191" i="13"/>
  <c r="X101" i="13"/>
  <c r="X102" i="13"/>
  <c r="W93" i="13"/>
  <c r="U83" i="12"/>
  <c r="W234" i="12"/>
  <c r="Y198" i="12"/>
  <c r="AM213" i="12"/>
  <c r="U7" i="12"/>
  <c r="X193" i="12"/>
  <c r="W199" i="12"/>
  <c r="W51" i="12" s="1"/>
  <c r="W52" i="12" s="1"/>
  <c r="W93" i="12"/>
  <c r="W191" i="12"/>
  <c r="X101" i="12"/>
  <c r="Z102" i="12"/>
  <c r="U83" i="11"/>
  <c r="V73" i="11"/>
  <c r="V75" i="11"/>
  <c r="Z193" i="11"/>
  <c r="V234" i="11"/>
  <c r="X198" i="11"/>
  <c r="W199" i="11"/>
  <c r="W51" i="11" s="1"/>
  <c r="W52" i="11" s="1"/>
  <c r="W93" i="11"/>
  <c r="AM213" i="11"/>
  <c r="U7" i="11"/>
  <c r="Z102" i="11"/>
  <c r="X191" i="11"/>
  <c r="Y101" i="11"/>
  <c r="X75" i="13" l="1"/>
  <c r="X73" i="13"/>
  <c r="X234" i="13"/>
  <c r="Z198" i="13"/>
  <c r="X191" i="13"/>
  <c r="Y101" i="13"/>
  <c r="X93" i="13"/>
  <c r="Y102" i="13"/>
  <c r="AO213" i="13"/>
  <c r="W7" i="13"/>
  <c r="Y199" i="13"/>
  <c r="Y52" i="13" s="1"/>
  <c r="Z193" i="13"/>
  <c r="Y193" i="12"/>
  <c r="X199" i="12"/>
  <c r="X51" i="12" s="1"/>
  <c r="X52" i="12" s="1"/>
  <c r="X93" i="12"/>
  <c r="AA102" i="12"/>
  <c r="Z198" i="12"/>
  <c r="X234" i="12"/>
  <c r="W73" i="12"/>
  <c r="W75" i="12"/>
  <c r="AN213" i="12"/>
  <c r="V7" i="12"/>
  <c r="X191" i="12"/>
  <c r="Y101" i="12"/>
  <c r="Y191" i="11"/>
  <c r="Z101" i="11"/>
  <c r="AA102" i="11"/>
  <c r="W75" i="11"/>
  <c r="W73" i="11"/>
  <c r="W234" i="11"/>
  <c r="Y198" i="11"/>
  <c r="X93" i="11"/>
  <c r="X199" i="11"/>
  <c r="X51" i="11" s="1"/>
  <c r="X52" i="11" s="1"/>
  <c r="AN213" i="11"/>
  <c r="V7" i="11"/>
  <c r="AA193" i="11"/>
  <c r="V83" i="11"/>
  <c r="X83" i="13" l="1"/>
  <c r="Z102" i="13"/>
  <c r="Y93" i="13"/>
  <c r="Z199" i="13"/>
  <c r="AA193" i="13"/>
  <c r="Y234" i="13"/>
  <c r="AA198" i="13"/>
  <c r="Y191" i="13"/>
  <c r="Z101" i="13"/>
  <c r="Y75" i="13"/>
  <c r="Y73" i="13"/>
  <c r="AP213" i="13"/>
  <c r="X7" i="13"/>
  <c r="W83" i="12"/>
  <c r="AA198" i="12"/>
  <c r="Y234" i="12"/>
  <c r="Y191" i="12"/>
  <c r="Z101" i="12"/>
  <c r="X73" i="12"/>
  <c r="X75" i="12"/>
  <c r="AB102" i="12"/>
  <c r="AO213" i="12"/>
  <c r="W7" i="12"/>
  <c r="Y199" i="12"/>
  <c r="Z193" i="12"/>
  <c r="Y93" i="12"/>
  <c r="W83" i="11"/>
  <c r="Z198" i="11"/>
  <c r="X234" i="11"/>
  <c r="Y199" i="11"/>
  <c r="Y51" i="11" s="1"/>
  <c r="Y52" i="11" s="1"/>
  <c r="Y93" i="11"/>
  <c r="AB193" i="11"/>
  <c r="AO213" i="11"/>
  <c r="W7" i="11"/>
  <c r="AB102" i="11"/>
  <c r="X73" i="11"/>
  <c r="X75" i="11"/>
  <c r="Z191" i="11"/>
  <c r="AA101" i="11"/>
  <c r="Y83" i="13" l="1"/>
  <c r="AA199" i="13"/>
  <c r="AA51" i="13" s="1"/>
  <c r="AA52" i="13" s="1"/>
  <c r="AB193" i="13"/>
  <c r="Z234" i="13"/>
  <c r="AB198" i="13"/>
  <c r="Z191" i="13"/>
  <c r="AA101" i="13"/>
  <c r="AQ213" i="13"/>
  <c r="Y7" i="13"/>
  <c r="Z93" i="13"/>
  <c r="AA102" i="13"/>
  <c r="X83" i="12"/>
  <c r="AA193" i="12"/>
  <c r="Z199" i="12"/>
  <c r="Z93" i="12"/>
  <c r="Z191" i="12"/>
  <c r="AA101" i="12"/>
  <c r="AC102" i="12"/>
  <c r="AP213" i="12"/>
  <c r="X7" i="12"/>
  <c r="AB198" i="12"/>
  <c r="Z234" i="12"/>
  <c r="AP213" i="11"/>
  <c r="X7" i="11"/>
  <c r="X83" i="11"/>
  <c r="Y73" i="11"/>
  <c r="Y75" i="11"/>
  <c r="AA191" i="11"/>
  <c r="AB101" i="11"/>
  <c r="AC193" i="11"/>
  <c r="AC102" i="11"/>
  <c r="AA198" i="11"/>
  <c r="Y234" i="11"/>
  <c r="Z199" i="11"/>
  <c r="AC198" i="13" l="1"/>
  <c r="AA234" i="13"/>
  <c r="AA191" i="13"/>
  <c r="AB101" i="13"/>
  <c r="AA93" i="13"/>
  <c r="AB102" i="13"/>
  <c r="AC193" i="13"/>
  <c r="AB199" i="13"/>
  <c r="AB51" i="13" s="1"/>
  <c r="AB52" i="13" s="1"/>
  <c r="AA75" i="13"/>
  <c r="AA73" i="13"/>
  <c r="AC198" i="12"/>
  <c r="AA234" i="12"/>
  <c r="AD102" i="12"/>
  <c r="AA191" i="12"/>
  <c r="AB101" i="12"/>
  <c r="AQ213" i="12"/>
  <c r="Y7" i="12"/>
  <c r="AA199" i="12"/>
  <c r="AA51" i="12" s="1"/>
  <c r="AA52" i="12" s="1"/>
  <c r="AB193" i="12"/>
  <c r="AA93" i="12"/>
  <c r="AB191" i="11"/>
  <c r="AC101" i="11"/>
  <c r="AD193" i="11"/>
  <c r="Y83" i="11"/>
  <c r="AD102" i="11"/>
  <c r="AQ213" i="11"/>
  <c r="Y7" i="11"/>
  <c r="AB198" i="11"/>
  <c r="Z234" i="11"/>
  <c r="AA93" i="11"/>
  <c r="AA199" i="11"/>
  <c r="AA51" i="11" s="1"/>
  <c r="AA52" i="11" s="1"/>
  <c r="AA83" i="13" l="1"/>
  <c r="AD193" i="13"/>
  <c r="AC199" i="13"/>
  <c r="AC51" i="13" s="1"/>
  <c r="AC52" i="13" s="1"/>
  <c r="AB191" i="13"/>
  <c r="AC101" i="13"/>
  <c r="AB73" i="13"/>
  <c r="AB75" i="13"/>
  <c r="AB93" i="13"/>
  <c r="AC102" i="13"/>
  <c r="AS213" i="13"/>
  <c r="AA7" i="13"/>
  <c r="AB234" i="13"/>
  <c r="AD198" i="13"/>
  <c r="AE102" i="12"/>
  <c r="AB199" i="12"/>
  <c r="AB51" i="12" s="1"/>
  <c r="AB52" i="12" s="1"/>
  <c r="AC193" i="12"/>
  <c r="AB93" i="12"/>
  <c r="AB191" i="12"/>
  <c r="AC101" i="12"/>
  <c r="AA75" i="12"/>
  <c r="AA73" i="12"/>
  <c r="AD198" i="12"/>
  <c r="AB234" i="12"/>
  <c r="AE102" i="11"/>
  <c r="AE193" i="11"/>
  <c r="AC198" i="11"/>
  <c r="AA234" i="11"/>
  <c r="AB199" i="11"/>
  <c r="AB51" i="11" s="1"/>
  <c r="AB52" i="11" s="1"/>
  <c r="AB93" i="11"/>
  <c r="AC191" i="11"/>
  <c r="AD101" i="11"/>
  <c r="AA73" i="11"/>
  <c r="AA75" i="11"/>
  <c r="AB83" i="13" l="1"/>
  <c r="AC93" i="13"/>
  <c r="AD102" i="13"/>
  <c r="AC191" i="13"/>
  <c r="AD101" i="13"/>
  <c r="AT213" i="13"/>
  <c r="AB7" i="13"/>
  <c r="AC75" i="13"/>
  <c r="AC73" i="13"/>
  <c r="AC234" i="13"/>
  <c r="AE198" i="13"/>
  <c r="AD199" i="13"/>
  <c r="AD51" i="13" s="1"/>
  <c r="AD52" i="13" s="1"/>
  <c r="AE193" i="13"/>
  <c r="AS213" i="12"/>
  <c r="AA7" i="12"/>
  <c r="AC191" i="12"/>
  <c r="AD101" i="12"/>
  <c r="AD193" i="12"/>
  <c r="AC199" i="12"/>
  <c r="AC51" i="12" s="1"/>
  <c r="AC52" i="12" s="1"/>
  <c r="AC93" i="12"/>
  <c r="AB75" i="12"/>
  <c r="AB73" i="12"/>
  <c r="AC234" i="12"/>
  <c r="AE198" i="12"/>
  <c r="AA83" i="12"/>
  <c r="AF102" i="12"/>
  <c r="AB75" i="11"/>
  <c r="AB73" i="11"/>
  <c r="AB83" i="11" s="1"/>
  <c r="AA83" i="11"/>
  <c r="AF193" i="11"/>
  <c r="AB234" i="11"/>
  <c r="AD198" i="11"/>
  <c r="AC199" i="11"/>
  <c r="AC51" i="11" s="1"/>
  <c r="AC52" i="11" s="1"/>
  <c r="AC93" i="11"/>
  <c r="AS213" i="11"/>
  <c r="AA7" i="11"/>
  <c r="AD191" i="11"/>
  <c r="AE101" i="11"/>
  <c r="AF102" i="11"/>
  <c r="AC83" i="13" l="1"/>
  <c r="AF193" i="13"/>
  <c r="AE199" i="13"/>
  <c r="AE51" i="13" s="1"/>
  <c r="AE52" i="13" s="1"/>
  <c r="AD191" i="13"/>
  <c r="AE101" i="13"/>
  <c r="AD73" i="13"/>
  <c r="AD75" i="13"/>
  <c r="AU213" i="13"/>
  <c r="AC7" i="13"/>
  <c r="AD234" i="13"/>
  <c r="AF198" i="13"/>
  <c r="AD93" i="13"/>
  <c r="AE102" i="13"/>
  <c r="AT213" i="12"/>
  <c r="AB7" i="12"/>
  <c r="B102" i="12"/>
  <c r="AF198" i="12"/>
  <c r="AD234" i="12"/>
  <c r="AC73" i="12"/>
  <c r="AC75" i="12"/>
  <c r="AE193" i="12"/>
  <c r="AD199" i="12"/>
  <c r="AD51" i="12" s="1"/>
  <c r="AD52" i="12" s="1"/>
  <c r="AD93" i="12"/>
  <c r="AD191" i="12"/>
  <c r="AE101" i="12"/>
  <c r="AB83" i="12"/>
  <c r="AC75" i="11"/>
  <c r="AC73" i="11"/>
  <c r="AE198" i="11"/>
  <c r="AC234" i="11"/>
  <c r="AD93" i="11"/>
  <c r="AD199" i="11"/>
  <c r="AD51" i="11" s="1"/>
  <c r="AD52" i="11" s="1"/>
  <c r="AE191" i="11"/>
  <c r="AF101" i="11"/>
  <c r="B102" i="11"/>
  <c r="B193" i="11"/>
  <c r="AT213" i="11"/>
  <c r="AB7" i="11"/>
  <c r="AF102" i="13" l="1"/>
  <c r="AE93" i="13"/>
  <c r="AE191" i="13"/>
  <c r="AF101" i="13"/>
  <c r="AV213" i="13"/>
  <c r="AD7" i="13"/>
  <c r="AD83" i="13"/>
  <c r="AE75" i="13"/>
  <c r="AE73" i="13"/>
  <c r="AE234" i="13"/>
  <c r="B198" i="13"/>
  <c r="AF234" i="13" s="1"/>
  <c r="AF199" i="13"/>
  <c r="AF51" i="13" s="1"/>
  <c r="AF52" i="13" s="1"/>
  <c r="B193" i="13"/>
  <c r="B199" i="13" s="1"/>
  <c r="AC83" i="12"/>
  <c r="AE234" i="12"/>
  <c r="B198" i="12"/>
  <c r="AF234" i="12" s="1"/>
  <c r="AD73" i="12"/>
  <c r="AD75" i="12"/>
  <c r="AU213" i="12"/>
  <c r="AC7" i="12"/>
  <c r="AE191" i="12"/>
  <c r="AF101" i="12"/>
  <c r="AE199" i="12"/>
  <c r="AE51" i="12" s="1"/>
  <c r="AE52" i="12" s="1"/>
  <c r="AF193" i="12"/>
  <c r="AE93" i="12"/>
  <c r="AF191" i="11"/>
  <c r="B101" i="11"/>
  <c r="B191" i="11" s="1"/>
  <c r="AD75" i="11"/>
  <c r="AD73" i="11"/>
  <c r="AD234" i="11"/>
  <c r="AF198" i="11"/>
  <c r="AE199" i="11"/>
  <c r="AE51" i="11" s="1"/>
  <c r="AE52" i="11" s="1"/>
  <c r="AE93" i="11"/>
  <c r="AU213" i="11"/>
  <c r="AC7" i="11"/>
  <c r="AC83" i="11"/>
  <c r="AF73" i="13" l="1"/>
  <c r="AF75" i="13"/>
  <c r="AF191" i="13"/>
  <c r="B101" i="13"/>
  <c r="B191" i="13" s="1"/>
  <c r="AW213" i="13"/>
  <c r="AE7" i="13"/>
  <c r="B52" i="13"/>
  <c r="AI51" i="13"/>
  <c r="AH51" i="13"/>
  <c r="AE83" i="13"/>
  <c r="AF93" i="13"/>
  <c r="B102" i="13"/>
  <c r="B93" i="13" s="1"/>
  <c r="AV213" i="12"/>
  <c r="AD7" i="12"/>
  <c r="AF199" i="12"/>
  <c r="AF51" i="12" s="1"/>
  <c r="AF52" i="12" s="1"/>
  <c r="B193" i="12"/>
  <c r="AF93" i="12"/>
  <c r="AD83" i="12"/>
  <c r="AE75" i="12"/>
  <c r="AE73" i="12"/>
  <c r="AF191" i="12"/>
  <c r="B101" i="12"/>
  <c r="B191" i="12" s="1"/>
  <c r="AD83" i="11"/>
  <c r="B198" i="11"/>
  <c r="AE234" i="11"/>
  <c r="AF93" i="11"/>
  <c r="AF199" i="11"/>
  <c r="AF51" i="11" s="1"/>
  <c r="AF52" i="11" s="1"/>
  <c r="AV213" i="11"/>
  <c r="AD7" i="11"/>
  <c r="AE75" i="11"/>
  <c r="AE73" i="11"/>
  <c r="AI52" i="13" l="1"/>
  <c r="AH52" i="13"/>
  <c r="B73" i="13"/>
  <c r="B75" i="13"/>
  <c r="AX213" i="13"/>
  <c r="AF7" i="13"/>
  <c r="AI93" i="13"/>
  <c r="AH93" i="13"/>
  <c r="AF83" i="13"/>
  <c r="AE83" i="12"/>
  <c r="AH93" i="12"/>
  <c r="AI93" i="12"/>
  <c r="AF73" i="12"/>
  <c r="AF75" i="12"/>
  <c r="AW213" i="12"/>
  <c r="AE7" i="12"/>
  <c r="B199" i="12"/>
  <c r="AE83" i="11"/>
  <c r="AW213" i="11"/>
  <c r="AE7" i="11"/>
  <c r="AF73" i="11"/>
  <c r="AF75" i="11"/>
  <c r="AH93" i="11"/>
  <c r="AI93" i="11"/>
  <c r="AF234" i="11"/>
  <c r="B93" i="11"/>
  <c r="B199" i="11"/>
  <c r="AI73" i="13" l="1"/>
  <c r="AH73" i="13"/>
  <c r="B83" i="13"/>
  <c r="T213" i="13"/>
  <c r="AI75" i="13"/>
  <c r="AH75" i="13"/>
  <c r="B7" i="13"/>
  <c r="A7" i="13" s="1"/>
  <c r="AF83" i="12"/>
  <c r="AI51" i="12"/>
  <c r="AH51" i="12"/>
  <c r="AX213" i="12"/>
  <c r="AF7" i="12"/>
  <c r="AF83" i="11"/>
  <c r="AX213" i="11"/>
  <c r="AF7" i="11"/>
  <c r="B52" i="11"/>
  <c r="AI51" i="11"/>
  <c r="AH51" i="11"/>
  <c r="AH83" i="13" l="1"/>
  <c r="AI83" i="13"/>
  <c r="AI52" i="12"/>
  <c r="AH52" i="12"/>
  <c r="AI52" i="11"/>
  <c r="AH52" i="11"/>
  <c r="B75" i="11"/>
  <c r="B73" i="11"/>
  <c r="AI73" i="12" l="1"/>
  <c r="AH73" i="12"/>
  <c r="T213" i="12"/>
  <c r="AI75" i="12"/>
  <c r="AH75" i="12"/>
  <c r="B7" i="12"/>
  <c r="A7" i="12" s="1"/>
  <c r="T213" i="11"/>
  <c r="B7" i="11"/>
  <c r="A7" i="11" s="1"/>
  <c r="AI75" i="11"/>
  <c r="AH75" i="11"/>
  <c r="AH73" i="11"/>
  <c r="AI73" i="11"/>
  <c r="B83" i="11"/>
  <c r="AH83" i="12" l="1"/>
  <c r="AI83" i="12"/>
  <c r="AI83" i="11"/>
  <c r="AH83" i="11"/>
  <c r="S37" i="10" l="1"/>
  <c r="R37" i="10"/>
  <c r="Q37" i="10"/>
  <c r="P37" i="10"/>
  <c r="O37" i="10"/>
  <c r="N37" i="10"/>
  <c r="AH99" i="10"/>
  <c r="AI99" i="10" s="1"/>
  <c r="B93" i="10"/>
  <c r="B80" i="10"/>
  <c r="B79" i="10"/>
  <c r="B78" i="10"/>
  <c r="B77" i="10"/>
  <c r="B76" i="10"/>
  <c r="B72" i="10"/>
  <c r="B68" i="10"/>
  <c r="AF5" i="10" s="1"/>
  <c r="B56" i="10"/>
  <c r="B52" i="10"/>
  <c r="B51" i="10"/>
  <c r="B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C234" i="10"/>
  <c r="B234" i="10"/>
  <c r="S209" i="10"/>
  <c r="AG199" i="10"/>
  <c r="C199" i="10"/>
  <c r="F198" i="10"/>
  <c r="E234" i="10" s="1"/>
  <c r="E198" i="10"/>
  <c r="D234" i="10" s="1"/>
  <c r="D198" i="10"/>
  <c r="L197" i="10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B197" i="10" s="1"/>
  <c r="E197" i="10"/>
  <c r="F197" i="10" s="1"/>
  <c r="G197" i="10" s="1"/>
  <c r="H197" i="10" s="1"/>
  <c r="I197" i="10" s="1"/>
  <c r="J197" i="10" s="1"/>
  <c r="K197" i="10" s="1"/>
  <c r="D197" i="10"/>
  <c r="I196" i="10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E196" i="10"/>
  <c r="F196" i="10" s="1"/>
  <c r="G196" i="10" s="1"/>
  <c r="H196" i="10" s="1"/>
  <c r="D196" i="10"/>
  <c r="D195" i="10"/>
  <c r="E195" i="10" s="1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F194" i="10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B194" i="10" s="1"/>
  <c r="E194" i="10"/>
  <c r="D194" i="10"/>
  <c r="E193" i="10"/>
  <c r="D193" i="10"/>
  <c r="AG191" i="10"/>
  <c r="C191" i="10"/>
  <c r="F190" i="10"/>
  <c r="G190" i="10" s="1"/>
  <c r="H190" i="10" s="1"/>
  <c r="I190" i="10" s="1"/>
  <c r="J190" i="10" s="1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B190" i="10" s="1"/>
  <c r="E190" i="10"/>
  <c r="D190" i="10"/>
  <c r="E189" i="10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D189" i="10"/>
  <c r="G188" i="10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F188" i="10"/>
  <c r="E188" i="10"/>
  <c r="D188" i="10"/>
  <c r="G187" i="10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E187" i="10"/>
  <c r="F187" i="10" s="1"/>
  <c r="D187" i="10"/>
  <c r="K186" i="10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F186" i="10"/>
  <c r="G186" i="10" s="1"/>
  <c r="H186" i="10" s="1"/>
  <c r="I186" i="10" s="1"/>
  <c r="J186" i="10" s="1"/>
  <c r="E186" i="10"/>
  <c r="D186" i="10"/>
  <c r="D185" i="10"/>
  <c r="E185" i="10" s="1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E184" i="10"/>
  <c r="F184" i="10" s="1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D184" i="10"/>
  <c r="D183" i="10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U182" i="10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J182" i="10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F182" i="10"/>
  <c r="G182" i="10" s="1"/>
  <c r="H182" i="10" s="1"/>
  <c r="I182" i="10" s="1"/>
  <c r="E182" i="10"/>
  <c r="D182" i="10"/>
  <c r="K181" i="10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B181" i="10" s="1"/>
  <c r="E181" i="10"/>
  <c r="F181" i="10" s="1"/>
  <c r="G181" i="10" s="1"/>
  <c r="H181" i="10" s="1"/>
  <c r="I181" i="10" s="1"/>
  <c r="J181" i="10" s="1"/>
  <c r="D181" i="10"/>
  <c r="M180" i="10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B180" i="10" s="1"/>
  <c r="G180" i="10"/>
  <c r="H180" i="10" s="1"/>
  <c r="I180" i="10" s="1"/>
  <c r="J180" i="10" s="1"/>
  <c r="K180" i="10" s="1"/>
  <c r="L180" i="10" s="1"/>
  <c r="F180" i="10"/>
  <c r="E180" i="10"/>
  <c r="D180" i="10"/>
  <c r="G179" i="10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E179" i="10"/>
  <c r="F179" i="10" s="1"/>
  <c r="D179" i="10"/>
  <c r="F178" i="10"/>
  <c r="G178" i="10" s="1"/>
  <c r="H178" i="10" s="1"/>
  <c r="I178" i="10" s="1"/>
  <c r="J178" i="10" s="1"/>
  <c r="K178" i="10" s="1"/>
  <c r="L178" i="10" s="1"/>
  <c r="M178" i="10" s="1"/>
  <c r="N178" i="10" s="1"/>
  <c r="O178" i="10" s="1"/>
  <c r="P178" i="10" s="1"/>
  <c r="Q178" i="10" s="1"/>
  <c r="R178" i="10" s="1"/>
  <c r="S178" i="10" s="1"/>
  <c r="T178" i="10" s="1"/>
  <c r="U178" i="10" s="1"/>
  <c r="V178" i="10" s="1"/>
  <c r="W178" i="10" s="1"/>
  <c r="X178" i="10" s="1"/>
  <c r="Y178" i="10" s="1"/>
  <c r="Z178" i="10" s="1"/>
  <c r="AA178" i="10" s="1"/>
  <c r="AB178" i="10" s="1"/>
  <c r="AC178" i="10" s="1"/>
  <c r="AD178" i="10" s="1"/>
  <c r="AE178" i="10" s="1"/>
  <c r="AF178" i="10" s="1"/>
  <c r="B178" i="10" s="1"/>
  <c r="E178" i="10"/>
  <c r="D178" i="10"/>
  <c r="E176" i="10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D176" i="10"/>
  <c r="I175" i="10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G175" i="10"/>
  <c r="H175" i="10" s="1"/>
  <c r="F175" i="10"/>
  <c r="D175" i="10"/>
  <c r="E175" i="10" s="1"/>
  <c r="G174" i="10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E174" i="10"/>
  <c r="F174" i="10" s="1"/>
  <c r="D174" i="10"/>
  <c r="F173" i="10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B173" i="10" s="1"/>
  <c r="E173" i="10"/>
  <c r="D173" i="10"/>
  <c r="D172" i="10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G171" i="10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D171" i="10"/>
  <c r="E171" i="10" s="1"/>
  <c r="F171" i="10" s="1"/>
  <c r="M170" i="10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D170" i="10"/>
  <c r="E170" i="10" s="1"/>
  <c r="F170" i="10" s="1"/>
  <c r="G170" i="10" s="1"/>
  <c r="H170" i="10" s="1"/>
  <c r="I170" i="10" s="1"/>
  <c r="J170" i="10" s="1"/>
  <c r="K170" i="10" s="1"/>
  <c r="L170" i="10" s="1"/>
  <c r="AD169" i="10"/>
  <c r="AE169" i="10" s="1"/>
  <c r="AF169" i="10" s="1"/>
  <c r="B169" i="10" s="1"/>
  <c r="P169" i="10"/>
  <c r="Q169" i="10" s="1"/>
  <c r="R169" i="10" s="1"/>
  <c r="S169" i="10" s="1"/>
  <c r="T169" i="10" s="1"/>
  <c r="U169" i="10" s="1"/>
  <c r="V169" i="10" s="1"/>
  <c r="W169" i="10" s="1"/>
  <c r="X169" i="10" s="1"/>
  <c r="Y169" i="10" s="1"/>
  <c r="Z169" i="10" s="1"/>
  <c r="AA169" i="10" s="1"/>
  <c r="AB169" i="10" s="1"/>
  <c r="AC169" i="10" s="1"/>
  <c r="G169" i="10"/>
  <c r="H169" i="10" s="1"/>
  <c r="I169" i="10" s="1"/>
  <c r="J169" i="10" s="1"/>
  <c r="K169" i="10" s="1"/>
  <c r="L169" i="10" s="1"/>
  <c r="M169" i="10" s="1"/>
  <c r="N169" i="10" s="1"/>
  <c r="O169" i="10" s="1"/>
  <c r="E169" i="10"/>
  <c r="F169" i="10" s="1"/>
  <c r="D169" i="10"/>
  <c r="V167" i="10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H167" i="10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E167" i="10"/>
  <c r="F167" i="10" s="1"/>
  <c r="G167" i="10" s="1"/>
  <c r="D167" i="10"/>
  <c r="E166" i="10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D166" i="10"/>
  <c r="S165" i="10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B165" i="10" s="1"/>
  <c r="G165" i="10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D165" i="10"/>
  <c r="E165" i="10" s="1"/>
  <c r="F165" i="10" s="1"/>
  <c r="G164" i="10"/>
  <c r="H164" i="10" s="1"/>
  <c r="I164" i="10" s="1"/>
  <c r="J164" i="10" s="1"/>
  <c r="K164" i="10" s="1"/>
  <c r="L164" i="10" s="1"/>
  <c r="M164" i="10" s="1"/>
  <c r="N164" i="10" s="1"/>
  <c r="O164" i="10" s="1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B164" i="10" s="1"/>
  <c r="E164" i="10"/>
  <c r="F164" i="10" s="1"/>
  <c r="D164" i="10"/>
  <c r="N163" i="10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B163" i="10" s="1"/>
  <c r="F163" i="10"/>
  <c r="G163" i="10" s="1"/>
  <c r="H163" i="10" s="1"/>
  <c r="I163" i="10" s="1"/>
  <c r="J163" i="10" s="1"/>
  <c r="K163" i="10" s="1"/>
  <c r="L163" i="10" s="1"/>
  <c r="M163" i="10" s="1"/>
  <c r="E163" i="10"/>
  <c r="D163" i="10"/>
  <c r="E162" i="10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D162" i="10"/>
  <c r="B162" i="10"/>
  <c r="D161" i="10"/>
  <c r="E161" i="10" s="1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D160" i="10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D159" i="10"/>
  <c r="E159" i="10" s="1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AC158" i="10"/>
  <c r="AD158" i="10" s="1"/>
  <c r="AE158" i="10" s="1"/>
  <c r="AF158" i="10" s="1"/>
  <c r="B158" i="10" s="1"/>
  <c r="M158" i="10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H158" i="10"/>
  <c r="I158" i="10" s="1"/>
  <c r="J158" i="10" s="1"/>
  <c r="K158" i="10" s="1"/>
  <c r="L158" i="10" s="1"/>
  <c r="E158" i="10"/>
  <c r="F158" i="10" s="1"/>
  <c r="G158" i="10" s="1"/>
  <c r="D158" i="10"/>
  <c r="D157" i="10"/>
  <c r="E157" i="10" s="1"/>
  <c r="F157" i="10" s="1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AD156" i="10"/>
  <c r="AE156" i="10" s="1"/>
  <c r="AF156" i="10" s="1"/>
  <c r="B156" i="10" s="1"/>
  <c r="N156" i="10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I156" i="10"/>
  <c r="J156" i="10" s="1"/>
  <c r="K156" i="10" s="1"/>
  <c r="L156" i="10" s="1"/>
  <c r="M156" i="10" s="1"/>
  <c r="F156" i="10"/>
  <c r="G156" i="10" s="1"/>
  <c r="H156" i="10" s="1"/>
  <c r="D156" i="10"/>
  <c r="E156" i="10" s="1"/>
  <c r="E155" i="10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B155" i="10" s="1"/>
  <c r="D155" i="10"/>
  <c r="S153" i="10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H153" i="10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E153" i="10"/>
  <c r="F153" i="10" s="1"/>
  <c r="G153" i="10" s="1"/>
  <c r="D153" i="10"/>
  <c r="S152" i="10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H152" i="10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D152" i="10"/>
  <c r="E152" i="10" s="1"/>
  <c r="F152" i="10" s="1"/>
  <c r="G152" i="10" s="1"/>
  <c r="J151" i="10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G151" i="10"/>
  <c r="H151" i="10" s="1"/>
  <c r="I151" i="10" s="1"/>
  <c r="F151" i="10"/>
  <c r="D151" i="10"/>
  <c r="E151" i="10" s="1"/>
  <c r="D150" i="10"/>
  <c r="E150" i="10" s="1"/>
  <c r="F150" i="10" s="1"/>
  <c r="G150" i="10" s="1"/>
  <c r="H150" i="10" s="1"/>
  <c r="I150" i="10" s="1"/>
  <c r="J150" i="10" s="1"/>
  <c r="K150" i="10" s="1"/>
  <c r="L150" i="10" s="1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X150" i="10" s="1"/>
  <c r="Y150" i="10" s="1"/>
  <c r="Z150" i="10" s="1"/>
  <c r="AA150" i="10" s="1"/>
  <c r="AB150" i="10" s="1"/>
  <c r="AC150" i="10" s="1"/>
  <c r="AD150" i="10" s="1"/>
  <c r="AE150" i="10" s="1"/>
  <c r="AF150" i="10" s="1"/>
  <c r="B150" i="10" s="1"/>
  <c r="S148" i="10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B148" i="10" s="1"/>
  <c r="P148" i="10"/>
  <c r="Q148" i="10" s="1"/>
  <c r="R148" i="10" s="1"/>
  <c r="F148" i="10"/>
  <c r="G148" i="10" s="1"/>
  <c r="H148" i="10" s="1"/>
  <c r="I148" i="10" s="1"/>
  <c r="J148" i="10" s="1"/>
  <c r="K148" i="10" s="1"/>
  <c r="L148" i="10" s="1"/>
  <c r="M148" i="10" s="1"/>
  <c r="N148" i="10" s="1"/>
  <c r="O148" i="10" s="1"/>
  <c r="E148" i="10"/>
  <c r="D148" i="10"/>
  <c r="I147" i="10"/>
  <c r="J147" i="10" s="1"/>
  <c r="K147" i="10" s="1"/>
  <c r="L147" i="10" s="1"/>
  <c r="M147" i="10" s="1"/>
  <c r="N147" i="10" s="1"/>
  <c r="O147" i="10" s="1"/>
  <c r="P147" i="10" s="1"/>
  <c r="Q147" i="10" s="1"/>
  <c r="R147" i="10" s="1"/>
  <c r="S147" i="10" s="1"/>
  <c r="T147" i="10" s="1"/>
  <c r="U147" i="10" s="1"/>
  <c r="V147" i="10" s="1"/>
  <c r="W147" i="10" s="1"/>
  <c r="X147" i="10" s="1"/>
  <c r="Y147" i="10" s="1"/>
  <c r="Z147" i="10" s="1"/>
  <c r="AA147" i="10" s="1"/>
  <c r="AB147" i="10" s="1"/>
  <c r="AC147" i="10" s="1"/>
  <c r="AD147" i="10" s="1"/>
  <c r="AE147" i="10" s="1"/>
  <c r="AF147" i="10" s="1"/>
  <c r="B147" i="10" s="1"/>
  <c r="D147" i="10"/>
  <c r="E147" i="10" s="1"/>
  <c r="F147" i="10" s="1"/>
  <c r="G147" i="10" s="1"/>
  <c r="H147" i="10" s="1"/>
  <c r="N145" i="10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D145" i="10"/>
  <c r="E145" i="10" s="1"/>
  <c r="F145" i="10" s="1"/>
  <c r="G145" i="10" s="1"/>
  <c r="H145" i="10" s="1"/>
  <c r="I145" i="10" s="1"/>
  <c r="J145" i="10" s="1"/>
  <c r="K145" i="10" s="1"/>
  <c r="L145" i="10" s="1"/>
  <c r="M145" i="10" s="1"/>
  <c r="U144" i="10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B144" i="10" s="1"/>
  <c r="G144" i="10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E144" i="10"/>
  <c r="F144" i="10" s="1"/>
  <c r="D144" i="10"/>
  <c r="D143" i="10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J142" i="10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D142" i="10"/>
  <c r="E142" i="10" s="1"/>
  <c r="F142" i="10" s="1"/>
  <c r="G142" i="10" s="1"/>
  <c r="H142" i="10" s="1"/>
  <c r="I142" i="10" s="1"/>
  <c r="R141" i="10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H141" i="10"/>
  <c r="I141" i="10" s="1"/>
  <c r="J141" i="10" s="1"/>
  <c r="K141" i="10" s="1"/>
  <c r="L141" i="10" s="1"/>
  <c r="M141" i="10" s="1"/>
  <c r="N141" i="10" s="1"/>
  <c r="O141" i="10" s="1"/>
  <c r="P141" i="10" s="1"/>
  <c r="Q141" i="10" s="1"/>
  <c r="E141" i="10"/>
  <c r="F141" i="10" s="1"/>
  <c r="G141" i="10" s="1"/>
  <c r="D141" i="10"/>
  <c r="X140" i="10"/>
  <c r="Y140" i="10" s="1"/>
  <c r="Z140" i="10" s="1"/>
  <c r="AA140" i="10" s="1"/>
  <c r="AB140" i="10" s="1"/>
  <c r="AC140" i="10" s="1"/>
  <c r="AD140" i="10" s="1"/>
  <c r="AE140" i="10" s="1"/>
  <c r="AF140" i="10" s="1"/>
  <c r="B140" i="10" s="1"/>
  <c r="F140" i="10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E140" i="10"/>
  <c r="D140" i="10"/>
  <c r="D139" i="10"/>
  <c r="E139" i="10" s="1"/>
  <c r="F139" i="10" s="1"/>
  <c r="G139" i="10" s="1"/>
  <c r="H139" i="10" s="1"/>
  <c r="I139" i="10" s="1"/>
  <c r="J139" i="10" s="1"/>
  <c r="K139" i="10" s="1"/>
  <c r="L139" i="10" s="1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X139" i="10" s="1"/>
  <c r="Y139" i="10" s="1"/>
  <c r="Z139" i="10" s="1"/>
  <c r="AA139" i="10" s="1"/>
  <c r="AB139" i="10" s="1"/>
  <c r="AC139" i="10" s="1"/>
  <c r="AD139" i="10" s="1"/>
  <c r="AE139" i="10" s="1"/>
  <c r="AF139" i="10" s="1"/>
  <c r="B139" i="10" s="1"/>
  <c r="J137" i="10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B137" i="10" s="1"/>
  <c r="D137" i="10"/>
  <c r="E137" i="10" s="1"/>
  <c r="F137" i="10" s="1"/>
  <c r="G137" i="10" s="1"/>
  <c r="H137" i="10" s="1"/>
  <c r="I137" i="10" s="1"/>
  <c r="R136" i="10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G136" i="10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E136" i="10"/>
  <c r="F136" i="10" s="1"/>
  <c r="D136" i="10"/>
  <c r="F135" i="10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E135" i="10"/>
  <c r="D135" i="10"/>
  <c r="V134" i="10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B134" i="10" s="1"/>
  <c r="D134" i="10"/>
  <c r="E134" i="10" s="1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G133" i="10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B133" i="10" s="1"/>
  <c r="D133" i="10"/>
  <c r="E133" i="10" s="1"/>
  <c r="F133" i="10" s="1"/>
  <c r="J132" i="10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G132" i="10"/>
  <c r="H132" i="10" s="1"/>
  <c r="I132" i="10" s="1"/>
  <c r="E132" i="10"/>
  <c r="F132" i="10" s="1"/>
  <c r="D132" i="10"/>
  <c r="E131" i="10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D131" i="10"/>
  <c r="F130" i="10"/>
  <c r="G130" i="10" s="1"/>
  <c r="H130" i="10" s="1"/>
  <c r="I130" i="10" s="1"/>
  <c r="J130" i="10" s="1"/>
  <c r="K130" i="10" s="1"/>
  <c r="L130" i="10" s="1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30" i="10" s="1"/>
  <c r="Y130" i="10" s="1"/>
  <c r="Z130" i="10" s="1"/>
  <c r="AA130" i="10" s="1"/>
  <c r="AB130" i="10" s="1"/>
  <c r="AC130" i="10" s="1"/>
  <c r="AD130" i="10" s="1"/>
  <c r="AE130" i="10" s="1"/>
  <c r="AF130" i="10" s="1"/>
  <c r="B130" i="10" s="1"/>
  <c r="D130" i="10"/>
  <c r="E130" i="10" s="1"/>
  <c r="E128" i="10"/>
  <c r="F128" i="10" s="1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D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D127" i="10"/>
  <c r="H126" i="10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G126" i="10"/>
  <c r="F126" i="10"/>
  <c r="E126" i="10"/>
  <c r="D126" i="10"/>
  <c r="E125" i="10"/>
  <c r="F125" i="10" s="1"/>
  <c r="G125" i="10" s="1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D125" i="10"/>
  <c r="E124" i="10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D124" i="10"/>
  <c r="D123" i="10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B123" i="10" s="1"/>
  <c r="G122" i="10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B122" i="10" s="1"/>
  <c r="E122" i="10"/>
  <c r="F122" i="10" s="1"/>
  <c r="D122" i="10"/>
  <c r="G121" i="10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E121" i="10"/>
  <c r="F121" i="10" s="1"/>
  <c r="D121" i="10"/>
  <c r="D120" i="10"/>
  <c r="E120" i="10" s="1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B120" i="10" s="1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F118" i="10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E118" i="10"/>
  <c r="D118" i="10"/>
  <c r="D117" i="10"/>
  <c r="E117" i="10" s="1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F116" i="10"/>
  <c r="G116" i="10" s="1"/>
  <c r="H116" i="10" s="1"/>
  <c r="I116" i="10" s="1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D116" i="10"/>
  <c r="E116" i="10" s="1"/>
  <c r="D115" i="10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E114" i="10"/>
  <c r="F114" i="10" s="1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D114" i="10"/>
  <c r="K113" i="10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E113" i="10"/>
  <c r="F113" i="10" s="1"/>
  <c r="G113" i="10" s="1"/>
  <c r="H113" i="10" s="1"/>
  <c r="I113" i="10" s="1"/>
  <c r="D113" i="10"/>
  <c r="E112" i="10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D112" i="10"/>
  <c r="F111" i="10"/>
  <c r="G111" i="10" s="1"/>
  <c r="H111" i="10" s="1"/>
  <c r="I111" i="10" s="1"/>
  <c r="J111" i="10" s="1"/>
  <c r="K111" i="10" s="1"/>
  <c r="L111" i="10" s="1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X111" i="10" s="1"/>
  <c r="Y111" i="10" s="1"/>
  <c r="Z111" i="10" s="1"/>
  <c r="AA111" i="10" s="1"/>
  <c r="AB111" i="10" s="1"/>
  <c r="AC111" i="10" s="1"/>
  <c r="AD111" i="10" s="1"/>
  <c r="AE111" i="10" s="1"/>
  <c r="AF111" i="10" s="1"/>
  <c r="B111" i="10" s="1"/>
  <c r="D111" i="10"/>
  <c r="E111" i="10" s="1"/>
  <c r="D109" i="10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B109" i="10" s="1"/>
  <c r="D108" i="10"/>
  <c r="E108" i="10" s="1"/>
  <c r="F108" i="10" s="1"/>
  <c r="G108" i="10" s="1"/>
  <c r="H108" i="10" s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S108" i="10" s="1"/>
  <c r="T108" i="10" s="1"/>
  <c r="U108" i="10" s="1"/>
  <c r="V108" i="10" s="1"/>
  <c r="W108" i="10" s="1"/>
  <c r="X108" i="10" s="1"/>
  <c r="Y108" i="10" s="1"/>
  <c r="Z108" i="10" s="1"/>
  <c r="AA108" i="10" s="1"/>
  <c r="AB108" i="10" s="1"/>
  <c r="AC108" i="10" s="1"/>
  <c r="AD108" i="10" s="1"/>
  <c r="AE108" i="10" s="1"/>
  <c r="AF108" i="10" s="1"/>
  <c r="B108" i="10" s="1"/>
  <c r="E106" i="10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D106" i="10"/>
  <c r="D105" i="10"/>
  <c r="E105" i="10" s="1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D104" i="10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D103" i="10"/>
  <c r="E103" i="10" s="1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B103" i="10" s="1"/>
  <c r="D102" i="10"/>
  <c r="E102" i="10" s="1"/>
  <c r="D101" i="10"/>
  <c r="AH98" i="10"/>
  <c r="AI98" i="10" s="1"/>
  <c r="AH97" i="10"/>
  <c r="AI97" i="10" s="1"/>
  <c r="AH96" i="10"/>
  <c r="AI96" i="10" s="1"/>
  <c r="AH95" i="10"/>
  <c r="AI95" i="10" s="1"/>
  <c r="AH94" i="10"/>
  <c r="AI94" i="10" s="1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G82" i="10"/>
  <c r="AI81" i="10"/>
  <c r="AH81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AF77" i="10"/>
  <c r="AE77" i="10"/>
  <c r="AD77" i="10"/>
  <c r="AC77" i="10"/>
  <c r="AB77" i="10"/>
  <c r="AA77" i="10"/>
  <c r="Z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AF76" i="10"/>
  <c r="AE76" i="10"/>
  <c r="AD76" i="10"/>
  <c r="AC76" i="10"/>
  <c r="AC82" i="10" s="1"/>
  <c r="AB76" i="10"/>
  <c r="AA76" i="10"/>
  <c r="Z76" i="10"/>
  <c r="Y76" i="10"/>
  <c r="X76" i="10"/>
  <c r="W76" i="10"/>
  <c r="V76" i="10"/>
  <c r="U76" i="10"/>
  <c r="U82" i="10" s="1"/>
  <c r="T76" i="10"/>
  <c r="S76" i="10"/>
  <c r="S82" i="10" s="1"/>
  <c r="R76" i="10"/>
  <c r="Q76" i="10"/>
  <c r="P76" i="10"/>
  <c r="O76" i="10"/>
  <c r="N76" i="10"/>
  <c r="N82" i="10" s="1"/>
  <c r="M76" i="10"/>
  <c r="M82" i="10" s="1"/>
  <c r="L76" i="10"/>
  <c r="K76" i="10"/>
  <c r="J76" i="10"/>
  <c r="J82" i="10" s="1"/>
  <c r="I76" i="10"/>
  <c r="H76" i="10"/>
  <c r="H82" i="10" s="1"/>
  <c r="G76" i="10"/>
  <c r="F76" i="10"/>
  <c r="E76" i="10"/>
  <c r="D76" i="10"/>
  <c r="C76" i="10"/>
  <c r="AI74" i="10"/>
  <c r="AH74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I71" i="10"/>
  <c r="AH71" i="10"/>
  <c r="AI70" i="10"/>
  <c r="AH70" i="10"/>
  <c r="AI69" i="10"/>
  <c r="AH69" i="10"/>
  <c r="AG68" i="10"/>
  <c r="AF68" i="10"/>
  <c r="AE68" i="10"/>
  <c r="AD5" i="10" s="1"/>
  <c r="AD68" i="10"/>
  <c r="AC5" i="10" s="1"/>
  <c r="AC68" i="10"/>
  <c r="AB68" i="10"/>
  <c r="AA68" i="10"/>
  <c r="Z5" i="10" s="1"/>
  <c r="Z68" i="10"/>
  <c r="Y5" i="10" s="1"/>
  <c r="Y68" i="10"/>
  <c r="X68" i="10"/>
  <c r="W68" i="10"/>
  <c r="V5" i="10" s="1"/>
  <c r="V68" i="10"/>
  <c r="U5" i="10" s="1"/>
  <c r="U68" i="10"/>
  <c r="T5" i="10" s="1"/>
  <c r="T68" i="10"/>
  <c r="S68" i="10"/>
  <c r="R5" i="10" s="1"/>
  <c r="R68" i="10"/>
  <c r="Q5" i="10" s="1"/>
  <c r="Q68" i="10"/>
  <c r="P68" i="10"/>
  <c r="O68" i="10"/>
  <c r="N5" i="10" s="1"/>
  <c r="N68" i="10"/>
  <c r="M5" i="10" s="1"/>
  <c r="M68" i="10"/>
  <c r="L5" i="10" s="1"/>
  <c r="L68" i="10"/>
  <c r="K68" i="10"/>
  <c r="J5" i="10" s="1"/>
  <c r="J68" i="10"/>
  <c r="I5" i="10" s="1"/>
  <c r="I68" i="10"/>
  <c r="H68" i="10"/>
  <c r="G5" i="10" s="1"/>
  <c r="G68" i="10"/>
  <c r="F5" i="10" s="1"/>
  <c r="F68" i="10"/>
  <c r="E5" i="10" s="1"/>
  <c r="E68" i="10"/>
  <c r="D5" i="10" s="1"/>
  <c r="D68" i="10"/>
  <c r="C68" i="10"/>
  <c r="B5" i="10" s="1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I57" i="10"/>
  <c r="AH57" i="10"/>
  <c r="AG56" i="10"/>
  <c r="AG4" i="10" s="1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I55" i="10"/>
  <c r="AH55" i="10"/>
  <c r="AI54" i="10"/>
  <c r="AH54" i="10"/>
  <c r="AI53" i="10"/>
  <c r="AH53" i="10"/>
  <c r="Z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G52" i="10" s="1"/>
  <c r="AG3" i="10" s="1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G2" i="10" s="1"/>
  <c r="AG6" i="10" s="1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E5" i="10"/>
  <c r="AB5" i="10"/>
  <c r="W5" i="10"/>
  <c r="O5" i="10"/>
  <c r="K4" i="10"/>
  <c r="B4" i="10"/>
  <c r="AA37" i="9"/>
  <c r="Z37" i="9"/>
  <c r="Y58" i="9"/>
  <c r="Y37" i="9"/>
  <c r="X37" i="9"/>
  <c r="E4" i="10"/>
  <c r="AF82" i="10" l="1"/>
  <c r="AD82" i="10"/>
  <c r="AB82" i="10"/>
  <c r="AA82" i="10"/>
  <c r="Z82" i="10"/>
  <c r="X82" i="10"/>
  <c r="V82" i="10"/>
  <c r="T82" i="10"/>
  <c r="R82" i="10"/>
  <c r="Q82" i="10"/>
  <c r="P82" i="10"/>
  <c r="L82" i="10"/>
  <c r="K82" i="10"/>
  <c r="I82" i="10"/>
  <c r="AI76" i="10"/>
  <c r="F82" i="10"/>
  <c r="AH80" i="10"/>
  <c r="D82" i="10"/>
  <c r="AI56" i="10"/>
  <c r="C82" i="10"/>
  <c r="AI80" i="10"/>
  <c r="AH38" i="10"/>
  <c r="B82" i="10"/>
  <c r="B75" i="10"/>
  <c r="T213" i="10" s="1"/>
  <c r="B73" i="10"/>
  <c r="G82" i="10"/>
  <c r="O82" i="10"/>
  <c r="W82" i="10"/>
  <c r="AE82" i="10"/>
  <c r="AH76" i="10"/>
  <c r="AH78" i="10"/>
  <c r="AI79" i="10"/>
  <c r="J75" i="10"/>
  <c r="J7" i="10" s="1"/>
  <c r="Z75" i="10"/>
  <c r="AR213" i="10" s="1"/>
  <c r="F75" i="10"/>
  <c r="X213" i="10" s="1"/>
  <c r="N75" i="10"/>
  <c r="AF213" i="10" s="1"/>
  <c r="AH56" i="10"/>
  <c r="I73" i="10"/>
  <c r="Q75" i="10"/>
  <c r="AI213" i="10" s="1"/>
  <c r="H73" i="10"/>
  <c r="P73" i="10"/>
  <c r="K75" i="10"/>
  <c r="AC213" i="10" s="1"/>
  <c r="S75" i="10"/>
  <c r="S7" i="10" s="1"/>
  <c r="E75" i="10"/>
  <c r="E7" i="10" s="1"/>
  <c r="M75" i="10"/>
  <c r="AE213" i="10" s="1"/>
  <c r="C73" i="10"/>
  <c r="C75" i="10" s="1"/>
  <c r="K73" i="10"/>
  <c r="S73" i="10"/>
  <c r="D75" i="10"/>
  <c r="D7" i="10" s="1"/>
  <c r="L75" i="10"/>
  <c r="L7" i="10" s="1"/>
  <c r="T75" i="10"/>
  <c r="T7" i="10" s="1"/>
  <c r="E73" i="10"/>
  <c r="M73" i="10"/>
  <c r="M83" i="10" s="1"/>
  <c r="AI38" i="10"/>
  <c r="AH79" i="10"/>
  <c r="AI78" i="10"/>
  <c r="H4" i="10"/>
  <c r="E93" i="10"/>
  <c r="F102" i="10"/>
  <c r="AG73" i="10"/>
  <c r="AH68" i="10"/>
  <c r="AI72" i="10"/>
  <c r="J73" i="10"/>
  <c r="R73" i="10"/>
  <c r="Z73" i="10"/>
  <c r="G75" i="10"/>
  <c r="O75" i="10"/>
  <c r="H5" i="10"/>
  <c r="X5" i="10"/>
  <c r="AH37" i="10"/>
  <c r="AI68" i="10"/>
  <c r="H75" i="10"/>
  <c r="P75" i="10"/>
  <c r="E82" i="10"/>
  <c r="Q73" i="10"/>
  <c r="P5" i="10"/>
  <c r="L73" i="10"/>
  <c r="AG75" i="10"/>
  <c r="AG83" i="10" s="1"/>
  <c r="AH72" i="10"/>
  <c r="D73" i="10"/>
  <c r="T73" i="10"/>
  <c r="I75" i="10"/>
  <c r="C5" i="10"/>
  <c r="K5" i="10"/>
  <c r="S5" i="10"/>
  <c r="AA5" i="10"/>
  <c r="R75" i="10"/>
  <c r="Y77" i="10"/>
  <c r="Y82" i="10" s="1"/>
  <c r="D93" i="10"/>
  <c r="F73" i="10"/>
  <c r="N73" i="10"/>
  <c r="AH58" i="10"/>
  <c r="O73" i="10"/>
  <c r="D210" i="10"/>
  <c r="S210" i="10"/>
  <c r="G73" i="10"/>
  <c r="D191" i="10"/>
  <c r="E101" i="10"/>
  <c r="D199" i="10"/>
  <c r="F193" i="10"/>
  <c r="E199" i="10"/>
  <c r="G198" i="10"/>
  <c r="Z83" i="10" l="1"/>
  <c r="Z7" i="10"/>
  <c r="AL213" i="10"/>
  <c r="Q83" i="10"/>
  <c r="N83" i="10"/>
  <c r="N7" i="10"/>
  <c r="L83" i="10"/>
  <c r="K83" i="10"/>
  <c r="K7" i="10"/>
  <c r="J83" i="10"/>
  <c r="AB213" i="10"/>
  <c r="G83" i="10"/>
  <c r="F7" i="10"/>
  <c r="F83" i="10"/>
  <c r="W213" i="10"/>
  <c r="E83" i="10"/>
  <c r="AH82" i="10"/>
  <c r="B7" i="10"/>
  <c r="B83" i="10"/>
  <c r="H83" i="10"/>
  <c r="V213" i="10"/>
  <c r="O83" i="10"/>
  <c r="R83" i="10"/>
  <c r="AK213" i="10"/>
  <c r="S83" i="10"/>
  <c r="AD213" i="10"/>
  <c r="P83" i="10"/>
  <c r="Q7" i="10"/>
  <c r="T83" i="10"/>
  <c r="M7" i="10"/>
  <c r="AI77" i="10"/>
  <c r="U213" i="10"/>
  <c r="C7" i="10"/>
  <c r="AH213" i="10"/>
  <c r="P7" i="10"/>
  <c r="AH77" i="10"/>
  <c r="Z213" i="10"/>
  <c r="H7" i="10"/>
  <c r="Y213" i="10"/>
  <c r="C208" i="10"/>
  <c r="B208" i="10"/>
  <c r="G7" i="10"/>
  <c r="AJ213" i="10"/>
  <c r="R7" i="10"/>
  <c r="E191" i="10"/>
  <c r="F101" i="10"/>
  <c r="G102" i="10"/>
  <c r="F93" i="10"/>
  <c r="D83" i="10"/>
  <c r="C83" i="10"/>
  <c r="F199" i="10"/>
  <c r="G193" i="10"/>
  <c r="H198" i="10"/>
  <c r="F234" i="10"/>
  <c r="AA213" i="10"/>
  <c r="I7" i="10"/>
  <c r="AI82" i="10"/>
  <c r="AG213" i="10"/>
  <c r="O7" i="10"/>
  <c r="I83" i="10"/>
  <c r="K6" i="10" l="1"/>
  <c r="G93" i="10"/>
  <c r="H102" i="10"/>
  <c r="G234" i="10"/>
  <c r="I198" i="10"/>
  <c r="F191" i="10"/>
  <c r="G101" i="10"/>
  <c r="H193" i="10"/>
  <c r="G199" i="10"/>
  <c r="I102" i="10" l="1"/>
  <c r="H93" i="10"/>
  <c r="G191" i="10"/>
  <c r="H101" i="10"/>
  <c r="H234" i="10"/>
  <c r="J198" i="10"/>
  <c r="H199" i="10"/>
  <c r="I193" i="10"/>
  <c r="H191" i="10" l="1"/>
  <c r="I101" i="10"/>
  <c r="J102" i="10"/>
  <c r="I93" i="10"/>
  <c r="I234" i="10"/>
  <c r="K198" i="10"/>
  <c r="I199" i="10"/>
  <c r="J193" i="10"/>
  <c r="J199" i="10" l="1"/>
  <c r="K193" i="10"/>
  <c r="L198" i="10"/>
  <c r="J234" i="10"/>
  <c r="K102" i="10"/>
  <c r="J93" i="10"/>
  <c r="I191" i="10"/>
  <c r="J101" i="10"/>
  <c r="K234" i="10" l="1"/>
  <c r="M198" i="10"/>
  <c r="K93" i="10"/>
  <c r="L102" i="10"/>
  <c r="K199" i="10"/>
  <c r="L193" i="10"/>
  <c r="J191" i="10"/>
  <c r="K101" i="10"/>
  <c r="K191" i="10" l="1"/>
  <c r="L101" i="10"/>
  <c r="M193" i="10"/>
  <c r="L199" i="10"/>
  <c r="L93" i="10"/>
  <c r="M102" i="10"/>
  <c r="L234" i="10"/>
  <c r="N198" i="10"/>
  <c r="M234" i="10" l="1"/>
  <c r="O198" i="10"/>
  <c r="M93" i="10"/>
  <c r="N102" i="10"/>
  <c r="N193" i="10"/>
  <c r="M199" i="10"/>
  <c r="L191" i="10"/>
  <c r="M101" i="10"/>
  <c r="M191" i="10" l="1"/>
  <c r="N101" i="10"/>
  <c r="O193" i="10"/>
  <c r="N199" i="10"/>
  <c r="O102" i="10"/>
  <c r="N93" i="10"/>
  <c r="P198" i="10"/>
  <c r="N234" i="10"/>
  <c r="O199" i="10" l="1"/>
  <c r="P193" i="10"/>
  <c r="N191" i="10"/>
  <c r="O101" i="10"/>
  <c r="O234" i="10"/>
  <c r="Q198" i="10"/>
  <c r="O93" i="10"/>
  <c r="P102" i="10"/>
  <c r="Q102" i="10" l="1"/>
  <c r="P93" i="10"/>
  <c r="P234" i="10"/>
  <c r="R198" i="10"/>
  <c r="O191" i="10"/>
  <c r="P101" i="10"/>
  <c r="Q193" i="10"/>
  <c r="P199" i="10"/>
  <c r="Q199" i="10" l="1"/>
  <c r="R193" i="10"/>
  <c r="P191" i="10"/>
  <c r="Q101" i="10"/>
  <c r="Q234" i="10"/>
  <c r="S198" i="10"/>
  <c r="R102" i="10"/>
  <c r="Q93" i="10"/>
  <c r="S102" i="10" l="1"/>
  <c r="R93" i="10"/>
  <c r="T198" i="10"/>
  <c r="R234" i="10"/>
  <c r="Q191" i="10"/>
  <c r="R101" i="10"/>
  <c r="S193" i="10"/>
  <c r="R199" i="10"/>
  <c r="R191" i="10" l="1"/>
  <c r="S101" i="10"/>
  <c r="U198" i="10"/>
  <c r="S234" i="10"/>
  <c r="S199" i="10"/>
  <c r="T193" i="10"/>
  <c r="T102" i="10"/>
  <c r="S93" i="10"/>
  <c r="U102" i="10" l="1"/>
  <c r="T93" i="10"/>
  <c r="T234" i="10"/>
  <c r="V198" i="10"/>
  <c r="T199" i="10"/>
  <c r="U193" i="10"/>
  <c r="S191" i="10"/>
  <c r="T101" i="10"/>
  <c r="T191" i="10" l="1"/>
  <c r="U101" i="10"/>
  <c r="U234" i="10"/>
  <c r="W198" i="10"/>
  <c r="V193" i="10"/>
  <c r="U199" i="10"/>
  <c r="U51" i="10" s="1"/>
  <c r="U93" i="10"/>
  <c r="V102" i="10"/>
  <c r="U52" i="10" l="1"/>
  <c r="W102" i="10"/>
  <c r="V93" i="10"/>
  <c r="V199" i="10"/>
  <c r="V51" i="10" s="1"/>
  <c r="V52" i="10" s="1"/>
  <c r="W193" i="10"/>
  <c r="U191" i="10"/>
  <c r="V101" i="10"/>
  <c r="X198" i="10"/>
  <c r="V234" i="10"/>
  <c r="W93" i="10" l="1"/>
  <c r="X102" i="10"/>
  <c r="X193" i="10"/>
  <c r="W199" i="10"/>
  <c r="W51" i="10" s="1"/>
  <c r="W52" i="10" s="1"/>
  <c r="V75" i="10"/>
  <c r="V73" i="10"/>
  <c r="V83" i="10" s="1"/>
  <c r="Y198" i="10"/>
  <c r="W234" i="10"/>
  <c r="V191" i="10"/>
  <c r="W101" i="10"/>
  <c r="U73" i="10"/>
  <c r="U75" i="10"/>
  <c r="AM213" i="10" l="1"/>
  <c r="U7" i="10"/>
  <c r="W75" i="10"/>
  <c r="W73" i="10"/>
  <c r="AN213" i="10"/>
  <c r="V7" i="10"/>
  <c r="Y193" i="10"/>
  <c r="X199" i="10"/>
  <c r="X51" i="10" s="1"/>
  <c r="W191" i="10"/>
  <c r="X101" i="10"/>
  <c r="X93" i="10"/>
  <c r="Y102" i="10"/>
  <c r="U83" i="10"/>
  <c r="X234" i="10"/>
  <c r="Z198" i="10"/>
  <c r="W83" i="10" l="1"/>
  <c r="Z102" i="10"/>
  <c r="Y93" i="10"/>
  <c r="AO213" i="10"/>
  <c r="W7" i="10"/>
  <c r="Y234" i="10"/>
  <c r="AA198" i="10"/>
  <c r="X191" i="10"/>
  <c r="Y101" i="10"/>
  <c r="X52" i="10"/>
  <c r="Y199" i="10"/>
  <c r="Y51" i="10" s="1"/>
  <c r="Y52" i="10" s="1"/>
  <c r="Z193" i="10"/>
  <c r="Y191" i="10" l="1"/>
  <c r="Z101" i="10"/>
  <c r="X73" i="10"/>
  <c r="X75" i="10"/>
  <c r="Y73" i="10"/>
  <c r="Y75" i="10"/>
  <c r="Z93" i="10"/>
  <c r="AA102" i="10"/>
  <c r="Z199" i="10"/>
  <c r="AA193" i="10"/>
  <c r="AB198" i="10"/>
  <c r="Z234" i="10"/>
  <c r="Y83" i="10" l="1"/>
  <c r="AA234" i="10"/>
  <c r="AC198" i="10"/>
  <c r="AA199" i="10"/>
  <c r="AA51" i="10" s="1"/>
  <c r="AB193" i="10"/>
  <c r="X83" i="10"/>
  <c r="AQ213" i="10"/>
  <c r="Y7" i="10"/>
  <c r="AP213" i="10"/>
  <c r="X7" i="10"/>
  <c r="AB102" i="10"/>
  <c r="AA93" i="10"/>
  <c r="Z191" i="10"/>
  <c r="AA101" i="10"/>
  <c r="AC102" i="10" l="1"/>
  <c r="AB93" i="10"/>
  <c r="AC193" i="10"/>
  <c r="AB199" i="10"/>
  <c r="AB51" i="10" s="1"/>
  <c r="AB52" i="10" s="1"/>
  <c r="AA52" i="10"/>
  <c r="AB234" i="10"/>
  <c r="AD198" i="10"/>
  <c r="AA191" i="10"/>
  <c r="AB101" i="10"/>
  <c r="AB75" i="10" l="1"/>
  <c r="AB73" i="10"/>
  <c r="AB83" i="10" s="1"/>
  <c r="AD193" i="10"/>
  <c r="AC199" i="10"/>
  <c r="AC51" i="10" s="1"/>
  <c r="AA73" i="10"/>
  <c r="AA75" i="10"/>
  <c r="AB191" i="10"/>
  <c r="AC101" i="10"/>
  <c r="AC234" i="10"/>
  <c r="AE198" i="10"/>
  <c r="AC93" i="10"/>
  <c r="AD102" i="10"/>
  <c r="AE102" i="10" l="1"/>
  <c r="AD93" i="10"/>
  <c r="AS213" i="10"/>
  <c r="AA7" i="10"/>
  <c r="AA83" i="10"/>
  <c r="AF198" i="10"/>
  <c r="AD234" i="10"/>
  <c r="AC52" i="10"/>
  <c r="AD199" i="10"/>
  <c r="AD51" i="10" s="1"/>
  <c r="AD52" i="10" s="1"/>
  <c r="AE193" i="10"/>
  <c r="AC191" i="10"/>
  <c r="AD101" i="10"/>
  <c r="AT213" i="10"/>
  <c r="AB7" i="10"/>
  <c r="AD75" i="10" l="1"/>
  <c r="AD73" i="10"/>
  <c r="AE234" i="10"/>
  <c r="B198" i="10"/>
  <c r="AF234" i="10" s="1"/>
  <c r="AD191" i="10"/>
  <c r="AE101" i="10"/>
  <c r="AE199" i="10"/>
  <c r="AE51" i="10" s="1"/>
  <c r="AE52" i="10" s="1"/>
  <c r="AF193" i="10"/>
  <c r="AC73" i="10"/>
  <c r="AC75" i="10"/>
  <c r="AE93" i="10"/>
  <c r="AF102" i="10"/>
  <c r="AD83" i="10" l="1"/>
  <c r="AF93" i="10"/>
  <c r="B102" i="10"/>
  <c r="AE191" i="10"/>
  <c r="AF101" i="10"/>
  <c r="AU213" i="10"/>
  <c r="AC7" i="10"/>
  <c r="AC83" i="10"/>
  <c r="AF199" i="10"/>
  <c r="AF51" i="10" s="1"/>
  <c r="B193" i="10"/>
  <c r="B199" i="10" s="1"/>
  <c r="AE75" i="10"/>
  <c r="AE73" i="10"/>
  <c r="AE83" i="10" s="1"/>
  <c r="AV213" i="10"/>
  <c r="AD7" i="10"/>
  <c r="AF52" i="10" l="1"/>
  <c r="AI51" i="10"/>
  <c r="AH51" i="10"/>
  <c r="AF191" i="10"/>
  <c r="B101" i="10"/>
  <c r="B191" i="10" s="1"/>
  <c r="AW213" i="10"/>
  <c r="AE7" i="10"/>
  <c r="AI93" i="10"/>
  <c r="AH93" i="10"/>
  <c r="AF73" i="10" l="1"/>
  <c r="AF75" i="10"/>
  <c r="AI52" i="10"/>
  <c r="AH52" i="10"/>
  <c r="AX213" i="10" l="1"/>
  <c r="AF7" i="10"/>
  <c r="A7" i="10" s="1"/>
  <c r="AI75" i="10"/>
  <c r="AH75" i="10"/>
  <c r="AF83" i="10"/>
  <c r="AH73" i="10"/>
  <c r="AI73" i="10"/>
  <c r="AH83" i="10" l="1"/>
  <c r="AI83" i="10"/>
  <c r="W37" i="9"/>
  <c r="V37" i="9"/>
  <c r="T37" i="9"/>
  <c r="U37" i="9"/>
  <c r="S37" i="9"/>
  <c r="R37" i="9"/>
  <c r="Q37" i="9" l="1"/>
  <c r="P37" i="9"/>
  <c r="O37" i="9"/>
  <c r="N37" i="9"/>
  <c r="M37" i="9"/>
  <c r="L37" i="9"/>
  <c r="K37" i="9"/>
  <c r="J37" i="9"/>
  <c r="I37" i="9"/>
  <c r="H37" i="9"/>
  <c r="G37" i="9"/>
  <c r="F37" i="9"/>
  <c r="E37" i="9" l="1"/>
  <c r="D95" i="9"/>
  <c r="D37" i="9"/>
  <c r="C95" i="9"/>
  <c r="C37" i="9"/>
  <c r="B95" i="9"/>
  <c r="B37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B234" i="9"/>
  <c r="S209" i="9"/>
  <c r="AG199" i="9"/>
  <c r="D199" i="9"/>
  <c r="C199" i="9"/>
  <c r="E198" i="9"/>
  <c r="D198" i="9"/>
  <c r="C234" i="9" s="1"/>
  <c r="I197" i="9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E197" i="9"/>
  <c r="F197" i="9" s="1"/>
  <c r="G197" i="9" s="1"/>
  <c r="H197" i="9" s="1"/>
  <c r="D197" i="9"/>
  <c r="K196" i="9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D196" i="9"/>
  <c r="E196" i="9" s="1"/>
  <c r="F196" i="9" s="1"/>
  <c r="G196" i="9" s="1"/>
  <c r="H196" i="9" s="1"/>
  <c r="I196" i="9" s="1"/>
  <c r="J196" i="9" s="1"/>
  <c r="G195" i="9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E195" i="9"/>
  <c r="F195" i="9" s="1"/>
  <c r="D195" i="9"/>
  <c r="E194" i="9"/>
  <c r="F194" i="9" s="1"/>
  <c r="G194" i="9" s="1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B194" i="9" s="1"/>
  <c r="D194" i="9"/>
  <c r="E193" i="9"/>
  <c r="D193" i="9"/>
  <c r="AG191" i="9"/>
  <c r="C191" i="9"/>
  <c r="E190" i="9"/>
  <c r="F190" i="9" s="1"/>
  <c r="G190" i="9" s="1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D190" i="9"/>
  <c r="D189" i="9"/>
  <c r="E189" i="9" s="1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G188" i="9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E188" i="9"/>
  <c r="F188" i="9" s="1"/>
  <c r="D188" i="9"/>
  <c r="F187" i="9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E187" i="9"/>
  <c r="D187" i="9"/>
  <c r="E186" i="9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6" i="9"/>
  <c r="K185" i="9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D185" i="9"/>
  <c r="E185" i="9" s="1"/>
  <c r="F185" i="9" s="1"/>
  <c r="G185" i="9" s="1"/>
  <c r="H185" i="9" s="1"/>
  <c r="I185" i="9" s="1"/>
  <c r="J185" i="9" s="1"/>
  <c r="H184" i="9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G184" i="9"/>
  <c r="E184" i="9"/>
  <c r="F184" i="9" s="1"/>
  <c r="D184" i="9"/>
  <c r="H183" i="9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F183" i="9"/>
  <c r="G183" i="9" s="1"/>
  <c r="E183" i="9"/>
  <c r="D183" i="9"/>
  <c r="E182" i="9"/>
  <c r="F182" i="9" s="1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D182" i="9"/>
  <c r="Z181" i="9"/>
  <c r="AA181" i="9" s="1"/>
  <c r="AB181" i="9" s="1"/>
  <c r="AC181" i="9" s="1"/>
  <c r="AD181" i="9" s="1"/>
  <c r="AE181" i="9" s="1"/>
  <c r="AF181" i="9" s="1"/>
  <c r="B181" i="9" s="1"/>
  <c r="I181" i="9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D181" i="9"/>
  <c r="E181" i="9" s="1"/>
  <c r="F181" i="9" s="1"/>
  <c r="G181" i="9" s="1"/>
  <c r="H181" i="9" s="1"/>
  <c r="W180" i="9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G180" i="9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E180" i="9"/>
  <c r="F180" i="9" s="1"/>
  <c r="D180" i="9"/>
  <c r="F179" i="9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E179" i="9"/>
  <c r="D179" i="9"/>
  <c r="U178" i="9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B178" i="9" s="1"/>
  <c r="E178" i="9"/>
  <c r="F178" i="9" s="1"/>
  <c r="G178" i="9" s="1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S178" i="9" s="1"/>
  <c r="T178" i="9" s="1"/>
  <c r="D178" i="9"/>
  <c r="S176" i="9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I176" i="9"/>
  <c r="J176" i="9" s="1"/>
  <c r="K176" i="9" s="1"/>
  <c r="L176" i="9" s="1"/>
  <c r="M176" i="9" s="1"/>
  <c r="N176" i="9" s="1"/>
  <c r="O176" i="9" s="1"/>
  <c r="P176" i="9" s="1"/>
  <c r="Q176" i="9" s="1"/>
  <c r="R176" i="9" s="1"/>
  <c r="D176" i="9"/>
  <c r="E176" i="9" s="1"/>
  <c r="F176" i="9" s="1"/>
  <c r="G176" i="9" s="1"/>
  <c r="H176" i="9" s="1"/>
  <c r="R175" i="9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J175" i="9"/>
  <c r="K175" i="9" s="1"/>
  <c r="L175" i="9" s="1"/>
  <c r="M175" i="9" s="1"/>
  <c r="N175" i="9" s="1"/>
  <c r="O175" i="9" s="1"/>
  <c r="P175" i="9" s="1"/>
  <c r="Q175" i="9" s="1"/>
  <c r="F175" i="9"/>
  <c r="G175" i="9" s="1"/>
  <c r="H175" i="9" s="1"/>
  <c r="I175" i="9" s="1"/>
  <c r="E175" i="9"/>
  <c r="D175" i="9"/>
  <c r="L174" i="9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D174" i="9"/>
  <c r="E174" i="9" s="1"/>
  <c r="F174" i="9" s="1"/>
  <c r="G174" i="9" s="1"/>
  <c r="H174" i="9" s="1"/>
  <c r="I174" i="9" s="1"/>
  <c r="J174" i="9" s="1"/>
  <c r="K174" i="9" s="1"/>
  <c r="J173" i="9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F173" i="9"/>
  <c r="G173" i="9" s="1"/>
  <c r="H173" i="9" s="1"/>
  <c r="I173" i="9" s="1"/>
  <c r="E173" i="9"/>
  <c r="D173" i="9"/>
  <c r="L172" i="9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I172" i="9"/>
  <c r="J172" i="9" s="1"/>
  <c r="K172" i="9" s="1"/>
  <c r="F172" i="9"/>
  <c r="G172" i="9" s="1"/>
  <c r="H172" i="9" s="1"/>
  <c r="D172" i="9"/>
  <c r="E172" i="9" s="1"/>
  <c r="R171" i="9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H171" i="9"/>
  <c r="I171" i="9" s="1"/>
  <c r="J171" i="9" s="1"/>
  <c r="K171" i="9" s="1"/>
  <c r="L171" i="9" s="1"/>
  <c r="M171" i="9" s="1"/>
  <c r="N171" i="9" s="1"/>
  <c r="O171" i="9" s="1"/>
  <c r="P171" i="9" s="1"/>
  <c r="Q171" i="9" s="1"/>
  <c r="E171" i="9"/>
  <c r="F171" i="9" s="1"/>
  <c r="G171" i="9" s="1"/>
  <c r="D171" i="9"/>
  <c r="Z170" i="9"/>
  <c r="AA170" i="9" s="1"/>
  <c r="AB170" i="9" s="1"/>
  <c r="AC170" i="9" s="1"/>
  <c r="AD170" i="9" s="1"/>
  <c r="AE170" i="9" s="1"/>
  <c r="AF170" i="9" s="1"/>
  <c r="B170" i="9" s="1"/>
  <c r="E170" i="9"/>
  <c r="F170" i="9" s="1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D170" i="9"/>
  <c r="H169" i="9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AE169" i="9" s="1"/>
  <c r="AF169" i="9" s="1"/>
  <c r="B169" i="9" s="1"/>
  <c r="E169" i="9"/>
  <c r="F169" i="9" s="1"/>
  <c r="G169" i="9" s="1"/>
  <c r="D169" i="9"/>
  <c r="F167" i="9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D167" i="9"/>
  <c r="E167" i="9" s="1"/>
  <c r="T166" i="9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D166" i="9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E165" i="9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D165" i="9"/>
  <c r="B165" i="9"/>
  <c r="H164" i="9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F164" i="9"/>
  <c r="G164" i="9" s="1"/>
  <c r="E164" i="9"/>
  <c r="D164" i="9"/>
  <c r="N163" i="9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B163" i="9" s="1"/>
  <c r="D163" i="9"/>
  <c r="E163" i="9" s="1"/>
  <c r="F163" i="9" s="1"/>
  <c r="G163" i="9" s="1"/>
  <c r="H163" i="9" s="1"/>
  <c r="I163" i="9" s="1"/>
  <c r="J163" i="9" s="1"/>
  <c r="K163" i="9" s="1"/>
  <c r="L163" i="9" s="1"/>
  <c r="M163" i="9" s="1"/>
  <c r="M162" i="9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E162" i="9"/>
  <c r="F162" i="9" s="1"/>
  <c r="G162" i="9" s="1"/>
  <c r="H162" i="9" s="1"/>
  <c r="I162" i="9" s="1"/>
  <c r="J162" i="9" s="1"/>
  <c r="K162" i="9" s="1"/>
  <c r="L162" i="9" s="1"/>
  <c r="D162" i="9"/>
  <c r="R161" i="9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E161" i="9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D161" i="9"/>
  <c r="F160" i="9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E160" i="9"/>
  <c r="D160" i="9"/>
  <c r="O159" i="9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H159" i="9"/>
  <c r="I159" i="9" s="1"/>
  <c r="J159" i="9" s="1"/>
  <c r="K159" i="9" s="1"/>
  <c r="L159" i="9" s="1"/>
  <c r="M159" i="9" s="1"/>
  <c r="N159" i="9" s="1"/>
  <c r="F159" i="9"/>
  <c r="G159" i="9" s="1"/>
  <c r="E159" i="9"/>
  <c r="D159" i="9"/>
  <c r="F158" i="9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D158" i="9"/>
  <c r="E158" i="9" s="1"/>
  <c r="J157" i="9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D157" i="9"/>
  <c r="E157" i="9" s="1"/>
  <c r="F157" i="9" s="1"/>
  <c r="G157" i="9" s="1"/>
  <c r="H157" i="9" s="1"/>
  <c r="I157" i="9" s="1"/>
  <c r="E156" i="9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D156" i="9"/>
  <c r="E155" i="9"/>
  <c r="F155" i="9" s="1"/>
  <c r="G155" i="9" s="1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155" i="9" s="1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AE155" i="9" s="1"/>
  <c r="AF155" i="9" s="1"/>
  <c r="B155" i="9" s="1"/>
  <c r="D155" i="9"/>
  <c r="D153" i="9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E152" i="9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2" i="9"/>
  <c r="G151" i="9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E151" i="9"/>
  <c r="F151" i="9" s="1"/>
  <c r="D151" i="9"/>
  <c r="E150" i="9"/>
  <c r="F150" i="9" s="1"/>
  <c r="G150" i="9" s="1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E150" i="9" s="1"/>
  <c r="AF150" i="9" s="1"/>
  <c r="B150" i="9" s="1"/>
  <c r="D150" i="9"/>
  <c r="D148" i="9"/>
  <c r="E148" i="9" s="1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E147" i="9"/>
  <c r="F147" i="9" s="1"/>
  <c r="G147" i="9" s="1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E147" i="9" s="1"/>
  <c r="AF147" i="9" s="1"/>
  <c r="B147" i="9" s="1"/>
  <c r="D147" i="9"/>
  <c r="H145" i="9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E145" i="9"/>
  <c r="F145" i="9" s="1"/>
  <c r="G145" i="9" s="1"/>
  <c r="D145" i="9"/>
  <c r="F144" i="9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B144" i="9" s="1"/>
  <c r="E144" i="9"/>
  <c r="D144" i="9"/>
  <c r="F143" i="9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D143" i="9"/>
  <c r="E143" i="9" s="1"/>
  <c r="D142" i="9"/>
  <c r="E142" i="9" s="1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D141" i="9"/>
  <c r="E141" i="9" s="1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E140" i="9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40" i="9"/>
  <c r="F139" i="9"/>
  <c r="G139" i="9" s="1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B139" i="9" s="1"/>
  <c r="E139" i="9"/>
  <c r="D139" i="9"/>
  <c r="G137" i="9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B137" i="9" s="1"/>
  <c r="F137" i="9"/>
  <c r="D137" i="9"/>
  <c r="E137" i="9" s="1"/>
  <c r="D136" i="9"/>
  <c r="E136" i="9" s="1"/>
  <c r="F136" i="9" s="1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D135" i="9"/>
  <c r="E135" i="9" s="1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D134" i="9"/>
  <c r="E134" i="9" s="1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H133" i="9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E133" i="9"/>
  <c r="F133" i="9" s="1"/>
  <c r="G133" i="9" s="1"/>
  <c r="D133" i="9"/>
  <c r="F132" i="9"/>
  <c r="G132" i="9" s="1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E132" i="9"/>
  <c r="D132" i="9"/>
  <c r="D131" i="9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D130" i="9"/>
  <c r="E130" i="9" s="1"/>
  <c r="F130" i="9" s="1"/>
  <c r="G130" i="9" s="1"/>
  <c r="H130" i="9" s="1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B130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E128" i="9"/>
  <c r="F128" i="9" s="1"/>
  <c r="G128" i="9" s="1"/>
  <c r="H128" i="9" s="1"/>
  <c r="I128" i="9" s="1"/>
  <c r="J128" i="9" s="1"/>
  <c r="K128" i="9" s="1"/>
  <c r="D128" i="9"/>
  <c r="L127" i="9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D127" i="9"/>
  <c r="E127" i="9" s="1"/>
  <c r="F127" i="9" s="1"/>
  <c r="G127" i="9" s="1"/>
  <c r="H127" i="9" s="1"/>
  <c r="I127" i="9" s="1"/>
  <c r="J127" i="9" s="1"/>
  <c r="K127" i="9" s="1"/>
  <c r="E126" i="9"/>
  <c r="F126" i="9" s="1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D126" i="9"/>
  <c r="H125" i="9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F125" i="9"/>
  <c r="G125" i="9" s="1"/>
  <c r="D125" i="9"/>
  <c r="E125" i="9" s="1"/>
  <c r="J124" i="9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E124" i="9"/>
  <c r="F124" i="9" s="1"/>
  <c r="G124" i="9" s="1"/>
  <c r="H124" i="9" s="1"/>
  <c r="I124" i="9" s="1"/>
  <c r="D124" i="9"/>
  <c r="E123" i="9"/>
  <c r="F123" i="9" s="1"/>
  <c r="G123" i="9" s="1"/>
  <c r="D123" i="9"/>
  <c r="E122" i="9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D122" i="9"/>
  <c r="F121" i="9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E121" i="9"/>
  <c r="D121" i="9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E119" i="9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H118" i="9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E118" i="9"/>
  <c r="F118" i="9" s="1"/>
  <c r="G118" i="9" s="1"/>
  <c r="D118" i="9"/>
  <c r="F117" i="9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E117" i="9"/>
  <c r="D117" i="9"/>
  <c r="D116" i="9"/>
  <c r="E116" i="9" s="1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E115" i="9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D115" i="9"/>
  <c r="H114" i="9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E114" i="9"/>
  <c r="F114" i="9" s="1"/>
  <c r="G114" i="9" s="1"/>
  <c r="D114" i="9"/>
  <c r="K113" i="9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E113" i="9"/>
  <c r="F113" i="9" s="1"/>
  <c r="G113" i="9" s="1"/>
  <c r="H113" i="9" s="1"/>
  <c r="I113" i="9" s="1"/>
  <c r="D113" i="9"/>
  <c r="H112" i="9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F112" i="9"/>
  <c r="G112" i="9" s="1"/>
  <c r="E112" i="9"/>
  <c r="D112" i="9"/>
  <c r="F111" i="9"/>
  <c r="G111" i="9" s="1"/>
  <c r="H111" i="9" s="1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S111" i="9" s="1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E111" i="9" s="1"/>
  <c r="AF111" i="9" s="1"/>
  <c r="B111" i="9" s="1"/>
  <c r="D111" i="9"/>
  <c r="E111" i="9" s="1"/>
  <c r="D109" i="9"/>
  <c r="E109" i="9" s="1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E108" i="9"/>
  <c r="F108" i="9" s="1"/>
  <c r="G108" i="9" s="1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AE108" i="9" s="1"/>
  <c r="AF108" i="9" s="1"/>
  <c r="B108" i="9" s="1"/>
  <c r="D108" i="9"/>
  <c r="H106" i="9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F106" i="9"/>
  <c r="G106" i="9" s="1"/>
  <c r="E106" i="9"/>
  <c r="D106" i="9"/>
  <c r="F105" i="9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D105" i="9"/>
  <c r="E105" i="9" s="1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E103" i="9"/>
  <c r="F103" i="9" s="1"/>
  <c r="G103" i="9" s="1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B103" i="9" s="1"/>
  <c r="D103" i="9"/>
  <c r="H102" i="9"/>
  <c r="I102" i="9" s="1"/>
  <c r="F102" i="9"/>
  <c r="G102" i="9" s="1"/>
  <c r="E102" i="9"/>
  <c r="D102" i="9"/>
  <c r="D101" i="9"/>
  <c r="AH98" i="9"/>
  <c r="AI98" i="9" s="1"/>
  <c r="AH97" i="9"/>
  <c r="AI97" i="9" s="1"/>
  <c r="AH96" i="9"/>
  <c r="AI96" i="9" s="1"/>
  <c r="AH95" i="9"/>
  <c r="AI95" i="9" s="1"/>
  <c r="AH94" i="9"/>
  <c r="AI94" i="9" s="1"/>
  <c r="E93" i="9"/>
  <c r="D93" i="9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G82" i="9"/>
  <c r="AF82" i="9"/>
  <c r="AI81" i="9"/>
  <c r="AH81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F76" i="9"/>
  <c r="AE76" i="9"/>
  <c r="AD76" i="9"/>
  <c r="AC76" i="9"/>
  <c r="AB76" i="9"/>
  <c r="AB82" i="9" s="1"/>
  <c r="AA76" i="9"/>
  <c r="AA82" i="9" s="1"/>
  <c r="Z76" i="9"/>
  <c r="Y76" i="9"/>
  <c r="X76" i="9"/>
  <c r="W76" i="9"/>
  <c r="W82" i="9" s="1"/>
  <c r="V76" i="9"/>
  <c r="U76" i="9"/>
  <c r="U82" i="9" s="1"/>
  <c r="T76" i="9"/>
  <c r="T82" i="9" s="1"/>
  <c r="S76" i="9"/>
  <c r="R76" i="9"/>
  <c r="Q76" i="9"/>
  <c r="Q82" i="9" s="1"/>
  <c r="P76" i="9"/>
  <c r="O76" i="9"/>
  <c r="O82" i="9" s="1"/>
  <c r="N76" i="9"/>
  <c r="M76" i="9"/>
  <c r="M82" i="9" s="1"/>
  <c r="L76" i="9"/>
  <c r="L82" i="9" s="1"/>
  <c r="K76" i="9"/>
  <c r="J76" i="9"/>
  <c r="I76" i="9"/>
  <c r="H76" i="9"/>
  <c r="G76" i="9"/>
  <c r="F76" i="9"/>
  <c r="E76" i="9"/>
  <c r="D76" i="9"/>
  <c r="D82" i="9" s="1"/>
  <c r="C76" i="9"/>
  <c r="AI74" i="9"/>
  <c r="AH74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I71" i="9"/>
  <c r="AH71" i="9"/>
  <c r="AI70" i="9"/>
  <c r="AH70" i="9"/>
  <c r="AI69" i="9"/>
  <c r="AH69" i="9"/>
  <c r="AG68" i="9"/>
  <c r="AG73" i="9" s="1"/>
  <c r="AF68" i="9"/>
  <c r="AE68" i="9"/>
  <c r="AD5" i="9" s="1"/>
  <c r="AD68" i="9"/>
  <c r="AC5" i="9" s="1"/>
  <c r="AC68" i="9"/>
  <c r="AB68" i="9"/>
  <c r="AA68" i="9"/>
  <c r="Z68" i="9"/>
  <c r="Y68" i="9"/>
  <c r="X5" i="9" s="1"/>
  <c r="X68" i="9"/>
  <c r="W68" i="9"/>
  <c r="V5" i="9" s="1"/>
  <c r="V68" i="9"/>
  <c r="U68" i="9"/>
  <c r="T68" i="9"/>
  <c r="S68" i="9"/>
  <c r="R68" i="9"/>
  <c r="Q5" i="9" s="1"/>
  <c r="Q68" i="9"/>
  <c r="P68" i="9"/>
  <c r="O5" i="9" s="1"/>
  <c r="O68" i="9"/>
  <c r="N5" i="9" s="1"/>
  <c r="N68" i="9"/>
  <c r="M5" i="9" s="1"/>
  <c r="M68" i="9"/>
  <c r="L5" i="9" s="1"/>
  <c r="L68" i="9"/>
  <c r="K68" i="9"/>
  <c r="J68" i="9"/>
  <c r="I5" i="9" s="1"/>
  <c r="I68" i="9"/>
  <c r="H5" i="9" s="1"/>
  <c r="H68" i="9"/>
  <c r="G5" i="9" s="1"/>
  <c r="G68" i="9"/>
  <c r="F5" i="9" s="1"/>
  <c r="F68" i="9"/>
  <c r="E5" i="9" s="1"/>
  <c r="E68" i="9"/>
  <c r="D5" i="9" s="1"/>
  <c r="D68" i="9"/>
  <c r="C5" i="9" s="1"/>
  <c r="C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I55" i="9"/>
  <c r="AH55" i="9"/>
  <c r="AI54" i="9"/>
  <c r="AH54" i="9"/>
  <c r="AI53" i="9"/>
  <c r="AH53" i="9"/>
  <c r="Z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G51" i="9"/>
  <c r="AG52" i="9" s="1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F5" i="9"/>
  <c r="AE5" i="9"/>
  <c r="AB5" i="9"/>
  <c r="AA5" i="9"/>
  <c r="Y5" i="9"/>
  <c r="W5" i="9"/>
  <c r="U5" i="9"/>
  <c r="T5" i="9"/>
  <c r="S5" i="9"/>
  <c r="P5" i="9"/>
  <c r="K5" i="9"/>
  <c r="AG4" i="9"/>
  <c r="K4" i="9"/>
  <c r="B4" i="9"/>
  <c r="AG2" i="9"/>
  <c r="AF37" i="8"/>
  <c r="AE95" i="8"/>
  <c r="AE37" i="8"/>
  <c r="AD37" i="8"/>
  <c r="AC95" i="8"/>
  <c r="AC37" i="8"/>
  <c r="AB37" i="8"/>
  <c r="AA37" i="8"/>
  <c r="Z37" i="8"/>
  <c r="Y95" i="8"/>
  <c r="Y93" i="8"/>
  <c r="Y80" i="8"/>
  <c r="Y79" i="8"/>
  <c r="Y78" i="8"/>
  <c r="Y77" i="8"/>
  <c r="Y82" i="8" s="1"/>
  <c r="Y83" i="8" s="1"/>
  <c r="Y72" i="8"/>
  <c r="Y68" i="8"/>
  <c r="Y56" i="8"/>
  <c r="Y52" i="8"/>
  <c r="Y38" i="8"/>
  <c r="Y73" i="8" s="1"/>
  <c r="Y75" i="8" s="1"/>
  <c r="Y37" i="8"/>
  <c r="X37" i="8"/>
  <c r="W37" i="8"/>
  <c r="V37" i="8"/>
  <c r="T37" i="8"/>
  <c r="U37" i="8"/>
  <c r="S95" i="8"/>
  <c r="S37" i="8"/>
  <c r="N37" i="8"/>
  <c r="M37" i="8"/>
  <c r="L37" i="8"/>
  <c r="K37" i="8"/>
  <c r="J37" i="8"/>
  <c r="I37" i="8"/>
  <c r="H37" i="8"/>
  <c r="G37" i="8"/>
  <c r="G38" i="8"/>
  <c r="F37" i="8"/>
  <c r="E37" i="8"/>
  <c r="D37" i="8"/>
  <c r="AH99" i="8"/>
  <c r="AI99" i="8" s="1"/>
  <c r="C37" i="8"/>
  <c r="B37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C235" i="8"/>
  <c r="B235" i="8"/>
  <c r="A235" i="8"/>
  <c r="B234" i="8"/>
  <c r="S209" i="8"/>
  <c r="AG199" i="8"/>
  <c r="C199" i="8"/>
  <c r="D198" i="8"/>
  <c r="P197" i="8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L196" i="8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G196" i="8"/>
  <c r="H196" i="8" s="1"/>
  <c r="I196" i="8" s="1"/>
  <c r="J196" i="8" s="1"/>
  <c r="K196" i="8" s="1"/>
  <c r="D196" i="8"/>
  <c r="E196" i="8" s="1"/>
  <c r="F196" i="8" s="1"/>
  <c r="I195" i="8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F195" i="8"/>
  <c r="G195" i="8" s="1"/>
  <c r="H195" i="8" s="1"/>
  <c r="E195" i="8"/>
  <c r="D195" i="8"/>
  <c r="D194" i="8"/>
  <c r="F193" i="8"/>
  <c r="E193" i="8"/>
  <c r="D193" i="8"/>
  <c r="AG191" i="8"/>
  <c r="C191" i="8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G189" i="8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F189" i="8"/>
  <c r="D189" i="8"/>
  <c r="E189" i="8" s="1"/>
  <c r="E188" i="8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D188" i="8"/>
  <c r="AC187" i="8"/>
  <c r="AD187" i="8" s="1"/>
  <c r="AE187" i="8" s="1"/>
  <c r="AF187" i="8" s="1"/>
  <c r="B187" i="8" s="1"/>
  <c r="F187" i="8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D187" i="8"/>
  <c r="E187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H185" i="8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E185" i="8"/>
  <c r="F185" i="8" s="1"/>
  <c r="G185" i="8" s="1"/>
  <c r="D185" i="8"/>
  <c r="J184" i="8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B184" i="8" s="1"/>
  <c r="E184" i="8"/>
  <c r="F184" i="8" s="1"/>
  <c r="G184" i="8" s="1"/>
  <c r="H184" i="8" s="1"/>
  <c r="I184" i="8" s="1"/>
  <c r="D184" i="8"/>
  <c r="I183" i="8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D183" i="8"/>
  <c r="E183" i="8" s="1"/>
  <c r="F183" i="8" s="1"/>
  <c r="G183" i="8" s="1"/>
  <c r="H183" i="8" s="1"/>
  <c r="F182" i="8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D182" i="8"/>
  <c r="E182" i="8" s="1"/>
  <c r="W181" i="8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F181" i="8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E181" i="8"/>
  <c r="D181" i="8"/>
  <c r="L180" i="8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F180" i="8"/>
  <c r="G180" i="8" s="1"/>
  <c r="H180" i="8" s="1"/>
  <c r="I180" i="8" s="1"/>
  <c r="J180" i="8" s="1"/>
  <c r="K180" i="8" s="1"/>
  <c r="D180" i="8"/>
  <c r="E180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J178" i="8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B178" i="8" s="1"/>
  <c r="E178" i="8"/>
  <c r="F178" i="8" s="1"/>
  <c r="G178" i="8" s="1"/>
  <c r="H178" i="8" s="1"/>
  <c r="I178" i="8" s="1"/>
  <c r="D178" i="8"/>
  <c r="E176" i="8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D176" i="8"/>
  <c r="G175" i="8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E175" i="8"/>
  <c r="F175" i="8" s="1"/>
  <c r="D175" i="8"/>
  <c r="AB174" i="8"/>
  <c r="AC174" i="8" s="1"/>
  <c r="AD174" i="8" s="1"/>
  <c r="AE174" i="8" s="1"/>
  <c r="AF174" i="8" s="1"/>
  <c r="B174" i="8" s="1"/>
  <c r="I174" i="8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D174" i="8"/>
  <c r="E174" i="8" s="1"/>
  <c r="F174" i="8" s="1"/>
  <c r="G174" i="8" s="1"/>
  <c r="H174" i="8" s="1"/>
  <c r="I173" i="8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D173" i="8"/>
  <c r="E173" i="8" s="1"/>
  <c r="F173" i="8" s="1"/>
  <c r="G173" i="8" s="1"/>
  <c r="H173" i="8" s="1"/>
  <c r="G172" i="8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E172" i="8"/>
  <c r="F172" i="8" s="1"/>
  <c r="D172" i="8"/>
  <c r="R171" i="8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F171" i="8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E171" i="8"/>
  <c r="D171" i="8"/>
  <c r="E170" i="8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D170" i="8"/>
  <c r="O169" i="8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B169" i="8" s="1"/>
  <c r="F169" i="8"/>
  <c r="G169" i="8" s="1"/>
  <c r="H169" i="8" s="1"/>
  <c r="I169" i="8" s="1"/>
  <c r="J169" i="8" s="1"/>
  <c r="K169" i="8" s="1"/>
  <c r="L169" i="8" s="1"/>
  <c r="M169" i="8" s="1"/>
  <c r="N169" i="8" s="1"/>
  <c r="E169" i="8"/>
  <c r="D169" i="8"/>
  <c r="M167" i="8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E167" i="8"/>
  <c r="F167" i="8" s="1"/>
  <c r="G167" i="8" s="1"/>
  <c r="H167" i="8" s="1"/>
  <c r="I167" i="8" s="1"/>
  <c r="J167" i="8" s="1"/>
  <c r="K167" i="8" s="1"/>
  <c r="L167" i="8" s="1"/>
  <c r="D167" i="8"/>
  <c r="F166" i="8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E166" i="8"/>
  <c r="D166" i="8"/>
  <c r="F165" i="8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E165" i="8"/>
  <c r="D165" i="8"/>
  <c r="E164" i="8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D164" i="8"/>
  <c r="G163" i="8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E163" i="8"/>
  <c r="F163" i="8" s="1"/>
  <c r="D163" i="8"/>
  <c r="F162" i="8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E162" i="8"/>
  <c r="D162" i="8"/>
  <c r="H161" i="8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E161" i="8"/>
  <c r="F161" i="8" s="1"/>
  <c r="G161" i="8" s="1"/>
  <c r="D161" i="8"/>
  <c r="G160" i="8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F160" i="8"/>
  <c r="E160" i="8"/>
  <c r="D160" i="8"/>
  <c r="E159" i="8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D159" i="8"/>
  <c r="J158" i="8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G158" i="8"/>
  <c r="H158" i="8" s="1"/>
  <c r="I158" i="8" s="1"/>
  <c r="F158" i="8"/>
  <c r="E158" i="8"/>
  <c r="D158" i="8"/>
  <c r="X157" i="8"/>
  <c r="Y157" i="8" s="1"/>
  <c r="Z157" i="8" s="1"/>
  <c r="AA157" i="8" s="1"/>
  <c r="AB157" i="8" s="1"/>
  <c r="AC157" i="8" s="1"/>
  <c r="AD157" i="8" s="1"/>
  <c r="AE157" i="8" s="1"/>
  <c r="AF157" i="8" s="1"/>
  <c r="B157" i="8" s="1"/>
  <c r="E157" i="8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D157" i="8"/>
  <c r="N156" i="8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E156" i="8"/>
  <c r="F156" i="8" s="1"/>
  <c r="G156" i="8" s="1"/>
  <c r="H156" i="8" s="1"/>
  <c r="I156" i="8" s="1"/>
  <c r="J156" i="8" s="1"/>
  <c r="K156" i="8" s="1"/>
  <c r="L156" i="8" s="1"/>
  <c r="M156" i="8" s="1"/>
  <c r="D156" i="8"/>
  <c r="E155" i="8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B155" i="8" s="1"/>
  <c r="D155" i="8"/>
  <c r="N153" i="8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J153" i="8"/>
  <c r="K153" i="8" s="1"/>
  <c r="L153" i="8" s="1"/>
  <c r="M153" i="8" s="1"/>
  <c r="F153" i="8"/>
  <c r="G153" i="8" s="1"/>
  <c r="H153" i="8" s="1"/>
  <c r="I153" i="8" s="1"/>
  <c r="E153" i="8"/>
  <c r="D153" i="8"/>
  <c r="E152" i="8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D152" i="8"/>
  <c r="N151" i="8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K151" i="8"/>
  <c r="L151" i="8" s="1"/>
  <c r="M151" i="8" s="1"/>
  <c r="F151" i="8"/>
  <c r="G151" i="8" s="1"/>
  <c r="H151" i="8" s="1"/>
  <c r="I151" i="8" s="1"/>
  <c r="J151" i="8" s="1"/>
  <c r="E151" i="8"/>
  <c r="D151" i="8"/>
  <c r="E150" i="8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B150" i="8" s="1"/>
  <c r="D150" i="8"/>
  <c r="O148" i="8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K148" i="8"/>
  <c r="L148" i="8" s="1"/>
  <c r="M148" i="8" s="1"/>
  <c r="N148" i="8" s="1"/>
  <c r="G148" i="8"/>
  <c r="H148" i="8" s="1"/>
  <c r="I148" i="8" s="1"/>
  <c r="J148" i="8" s="1"/>
  <c r="F148" i="8"/>
  <c r="E148" i="8"/>
  <c r="D148" i="8"/>
  <c r="L147" i="8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B147" i="8" s="1"/>
  <c r="E147" i="8"/>
  <c r="F147" i="8" s="1"/>
  <c r="G147" i="8" s="1"/>
  <c r="H147" i="8" s="1"/>
  <c r="I147" i="8" s="1"/>
  <c r="J147" i="8" s="1"/>
  <c r="K147" i="8" s="1"/>
  <c r="D147" i="8"/>
  <c r="F145" i="8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B145" i="8" s="1"/>
  <c r="D145" i="8"/>
  <c r="E145" i="8" s="1"/>
  <c r="H144" i="8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D144" i="8"/>
  <c r="E144" i="8" s="1"/>
  <c r="F144" i="8" s="1"/>
  <c r="G144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H142" i="8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D142" i="8"/>
  <c r="E142" i="8" s="1"/>
  <c r="F142" i="8" s="1"/>
  <c r="G142" i="8" s="1"/>
  <c r="T141" i="8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P141" i="8"/>
  <c r="Q141" i="8" s="1"/>
  <c r="R141" i="8" s="1"/>
  <c r="S141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N140" i="8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AC139" i="8"/>
  <c r="AD139" i="8" s="1"/>
  <c r="AE139" i="8" s="1"/>
  <c r="AF139" i="8" s="1"/>
  <c r="B139" i="8" s="1"/>
  <c r="S139" i="8"/>
  <c r="T139" i="8" s="1"/>
  <c r="U139" i="8" s="1"/>
  <c r="V139" i="8" s="1"/>
  <c r="W139" i="8" s="1"/>
  <c r="X139" i="8" s="1"/>
  <c r="Y139" i="8" s="1"/>
  <c r="Z139" i="8" s="1"/>
  <c r="AA139" i="8" s="1"/>
  <c r="AB139" i="8" s="1"/>
  <c r="P139" i="8"/>
  <c r="Q139" i="8" s="1"/>
  <c r="R139" i="8" s="1"/>
  <c r="F139" i="8"/>
  <c r="G139" i="8" s="1"/>
  <c r="H139" i="8" s="1"/>
  <c r="I139" i="8" s="1"/>
  <c r="J139" i="8" s="1"/>
  <c r="K139" i="8" s="1"/>
  <c r="L139" i="8" s="1"/>
  <c r="M139" i="8" s="1"/>
  <c r="N139" i="8" s="1"/>
  <c r="O139" i="8" s="1"/>
  <c r="D139" i="8"/>
  <c r="E139" i="8" s="1"/>
  <c r="E137" i="8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D137" i="8"/>
  <c r="K136" i="8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E136" i="8"/>
  <c r="F136" i="8" s="1"/>
  <c r="G136" i="8" s="1"/>
  <c r="H136" i="8" s="1"/>
  <c r="I136" i="8" s="1"/>
  <c r="J136" i="8" s="1"/>
  <c r="D136" i="8"/>
  <c r="K135" i="8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F135" i="8"/>
  <c r="G135" i="8" s="1"/>
  <c r="H135" i="8" s="1"/>
  <c r="I135" i="8" s="1"/>
  <c r="J135" i="8" s="1"/>
  <c r="E135" i="8"/>
  <c r="D135" i="8"/>
  <c r="K134" i="8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H134" i="8"/>
  <c r="I134" i="8" s="1"/>
  <c r="J134" i="8" s="1"/>
  <c r="E134" i="8"/>
  <c r="F134" i="8" s="1"/>
  <c r="G134" i="8" s="1"/>
  <c r="D134" i="8"/>
  <c r="Y133" i="8"/>
  <c r="Z133" i="8" s="1"/>
  <c r="AA133" i="8" s="1"/>
  <c r="AB133" i="8" s="1"/>
  <c r="AC133" i="8" s="1"/>
  <c r="AD133" i="8" s="1"/>
  <c r="AE133" i="8" s="1"/>
  <c r="AF133" i="8" s="1"/>
  <c r="B133" i="8" s="1"/>
  <c r="V133" i="8"/>
  <c r="W133" i="8" s="1"/>
  <c r="X133" i="8" s="1"/>
  <c r="I133" i="8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F133" i="8"/>
  <c r="G133" i="8" s="1"/>
  <c r="H133" i="8" s="1"/>
  <c r="E133" i="8"/>
  <c r="D133" i="8"/>
  <c r="M132" i="8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E132" i="8"/>
  <c r="F132" i="8" s="1"/>
  <c r="G132" i="8" s="1"/>
  <c r="H132" i="8" s="1"/>
  <c r="I132" i="8" s="1"/>
  <c r="J132" i="8" s="1"/>
  <c r="K132" i="8" s="1"/>
  <c r="L132" i="8" s="1"/>
  <c r="D132" i="8"/>
  <c r="F131" i="8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E131" i="8"/>
  <c r="D131" i="8"/>
  <c r="G130" i="8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B130" i="8" s="1"/>
  <c r="E130" i="8"/>
  <c r="F130" i="8" s="1"/>
  <c r="D130" i="8"/>
  <c r="E128" i="8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D128" i="8"/>
  <c r="E127" i="8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D127" i="8"/>
  <c r="I126" i="8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F126" i="8"/>
  <c r="G126" i="8" s="1"/>
  <c r="H126" i="8" s="1"/>
  <c r="E126" i="8"/>
  <c r="D126" i="8"/>
  <c r="M125" i="8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K125" i="8"/>
  <c r="L125" i="8" s="1"/>
  <c r="H125" i="8"/>
  <c r="I125" i="8" s="1"/>
  <c r="J125" i="8" s="1"/>
  <c r="E125" i="8"/>
  <c r="F125" i="8" s="1"/>
  <c r="G125" i="8" s="1"/>
  <c r="D125" i="8"/>
  <c r="I124" i="8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F124" i="8"/>
  <c r="G124" i="8" s="1"/>
  <c r="H124" i="8" s="1"/>
  <c r="E124" i="8"/>
  <c r="D124" i="8"/>
  <c r="H123" i="8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E123" i="8"/>
  <c r="F123" i="8" s="1"/>
  <c r="G123" i="8" s="1"/>
  <c r="D123" i="8"/>
  <c r="I122" i="8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F122" i="8"/>
  <c r="G122" i="8" s="1"/>
  <c r="H122" i="8" s="1"/>
  <c r="E122" i="8"/>
  <c r="D122" i="8"/>
  <c r="E121" i="8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D121" i="8"/>
  <c r="K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F120" i="8"/>
  <c r="G120" i="8" s="1"/>
  <c r="H120" i="8" s="1"/>
  <c r="I120" i="8" s="1"/>
  <c r="J120" i="8" s="1"/>
  <c r="E120" i="8"/>
  <c r="D120" i="8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I118" i="8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F118" i="8"/>
  <c r="G118" i="8" s="1"/>
  <c r="H118" i="8" s="1"/>
  <c r="E118" i="8"/>
  <c r="D118" i="8"/>
  <c r="K117" i="8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G117" i="8"/>
  <c r="H117" i="8" s="1"/>
  <c r="I117" i="8" s="1"/>
  <c r="J117" i="8" s="1"/>
  <c r="E117" i="8"/>
  <c r="F117" i="8" s="1"/>
  <c r="D117" i="8"/>
  <c r="F116" i="8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E116" i="8"/>
  <c r="D116" i="8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F114" i="8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E114" i="8"/>
  <c r="D114" i="8"/>
  <c r="P113" i="8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L113" i="8"/>
  <c r="M113" i="8" s="1"/>
  <c r="N113" i="8" s="1"/>
  <c r="O113" i="8" s="1"/>
  <c r="K113" i="8"/>
  <c r="G113" i="8"/>
  <c r="H113" i="8" s="1"/>
  <c r="I113" i="8" s="1"/>
  <c r="D113" i="8"/>
  <c r="E113" i="8" s="1"/>
  <c r="F113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B111" i="8" s="1"/>
  <c r="F109" i="8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E109" i="8"/>
  <c r="D109" i="8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B108" i="8" s="1"/>
  <c r="F106" i="8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E106" i="8"/>
  <c r="D106" i="8"/>
  <c r="F105" i="8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D105" i="8"/>
  <c r="E105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E103" i="8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B103" i="8" s="1"/>
  <c r="D103" i="8"/>
  <c r="D102" i="8"/>
  <c r="D101" i="8"/>
  <c r="AH98" i="8"/>
  <c r="AI98" i="8" s="1"/>
  <c r="AH97" i="8"/>
  <c r="AI97" i="8" s="1"/>
  <c r="AH96" i="8"/>
  <c r="AI96" i="8" s="1"/>
  <c r="AH95" i="8"/>
  <c r="AI95" i="8" s="1"/>
  <c r="AH94" i="8"/>
  <c r="AI94" i="8" s="1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F80" i="8"/>
  <c r="AE80" i="8"/>
  <c r="AD80" i="8"/>
  <c r="AC80" i="8"/>
  <c r="AB80" i="8"/>
  <c r="AA80" i="8"/>
  <c r="Z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F79" i="8"/>
  <c r="AE79" i="8"/>
  <c r="AD79" i="8"/>
  <c r="AC79" i="8"/>
  <c r="AB79" i="8"/>
  <c r="AA79" i="8"/>
  <c r="Z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F78" i="8"/>
  <c r="AE78" i="8"/>
  <c r="AD78" i="8"/>
  <c r="AC78" i="8"/>
  <c r="AB78" i="8"/>
  <c r="AA78" i="8"/>
  <c r="Z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F77" i="8"/>
  <c r="AE77" i="8"/>
  <c r="AD77" i="8"/>
  <c r="AC77" i="8"/>
  <c r="AB77" i="8"/>
  <c r="AA77" i="8"/>
  <c r="Z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F76" i="8"/>
  <c r="AE76" i="8"/>
  <c r="AD76" i="8"/>
  <c r="AC76" i="8"/>
  <c r="AB76" i="8"/>
  <c r="AA76" i="8"/>
  <c r="Z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I74" i="8"/>
  <c r="AH74" i="8"/>
  <c r="AG72" i="8"/>
  <c r="AF72" i="8"/>
  <c r="AE72" i="8"/>
  <c r="AD72" i="8"/>
  <c r="AC72" i="8"/>
  <c r="AB72" i="8"/>
  <c r="AA72" i="8"/>
  <c r="Z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I70" i="8"/>
  <c r="AH70" i="8"/>
  <c r="AI69" i="8"/>
  <c r="AH69" i="8"/>
  <c r="AG68" i="8"/>
  <c r="AF68" i="8"/>
  <c r="AE68" i="8"/>
  <c r="AD68" i="8"/>
  <c r="AC5" i="8" s="1"/>
  <c r="AC68" i="8"/>
  <c r="AB5" i="8" s="1"/>
  <c r="AB68" i="8"/>
  <c r="AA5" i="8" s="1"/>
  <c r="AA68" i="8"/>
  <c r="Z5" i="8" s="1"/>
  <c r="Z68" i="8"/>
  <c r="X68" i="8"/>
  <c r="W5" i="8" s="1"/>
  <c r="W68" i="8"/>
  <c r="V68" i="8"/>
  <c r="U5" i="8" s="1"/>
  <c r="U68" i="8"/>
  <c r="T5" i="8" s="1"/>
  <c r="T68" i="8"/>
  <c r="S68" i="8"/>
  <c r="R5" i="8" s="1"/>
  <c r="R68" i="8"/>
  <c r="Q68" i="8"/>
  <c r="P68" i="8"/>
  <c r="O68" i="8"/>
  <c r="N68" i="8"/>
  <c r="M5" i="8" s="1"/>
  <c r="M68" i="8"/>
  <c r="L5" i="8" s="1"/>
  <c r="L68" i="8"/>
  <c r="K5" i="8" s="1"/>
  <c r="K68" i="8"/>
  <c r="J5" i="8" s="1"/>
  <c r="J68" i="8"/>
  <c r="I5" i="8" s="1"/>
  <c r="I68" i="8"/>
  <c r="H5" i="8" s="1"/>
  <c r="H68" i="8"/>
  <c r="G5" i="8" s="1"/>
  <c r="G68" i="8"/>
  <c r="F5" i="8" s="1"/>
  <c r="F68" i="8"/>
  <c r="E5" i="8" s="1"/>
  <c r="E68" i="8"/>
  <c r="D5" i="8" s="1"/>
  <c r="D68" i="8"/>
  <c r="C5" i="8" s="1"/>
  <c r="C68" i="8"/>
  <c r="B68" i="8"/>
  <c r="AF5" i="8" s="1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AA56" i="8"/>
  <c r="Z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AG52" i="8"/>
  <c r="AG3" i="8" s="1"/>
  <c r="Z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G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G2" i="8" s="1"/>
  <c r="AG6" i="8" s="1"/>
  <c r="AF38" i="8"/>
  <c r="AE38" i="8"/>
  <c r="AD38" i="8"/>
  <c r="AC38" i="8"/>
  <c r="AB38" i="8"/>
  <c r="AA38" i="8"/>
  <c r="Z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F38" i="8"/>
  <c r="E38" i="8"/>
  <c r="D38" i="8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D5" i="8"/>
  <c r="Y5" i="8"/>
  <c r="X5" i="8"/>
  <c r="V5" i="8"/>
  <c r="Q5" i="8"/>
  <c r="N5" i="8"/>
  <c r="B5" i="8"/>
  <c r="AG4" i="8"/>
  <c r="K4" i="8"/>
  <c r="B4" i="8"/>
  <c r="B4" i="6"/>
  <c r="AF37" i="7"/>
  <c r="AE37" i="7"/>
  <c r="E4" i="8"/>
  <c r="E4" i="9"/>
  <c r="AI78" i="9" l="1"/>
  <c r="AE82" i="9"/>
  <c r="AD82" i="9"/>
  <c r="AC82" i="9"/>
  <c r="Z82" i="9"/>
  <c r="Z75" i="9"/>
  <c r="AR213" i="9" s="1"/>
  <c r="Y82" i="9"/>
  <c r="X82" i="9"/>
  <c r="V82" i="9"/>
  <c r="T73" i="9"/>
  <c r="S82" i="9"/>
  <c r="S73" i="9"/>
  <c r="R82" i="9"/>
  <c r="R75" i="9"/>
  <c r="AJ213" i="9" s="1"/>
  <c r="Q75" i="9"/>
  <c r="Q73" i="9"/>
  <c r="P82" i="9"/>
  <c r="P75" i="9"/>
  <c r="AH213" i="9" s="1"/>
  <c r="P73" i="9"/>
  <c r="N82" i="9"/>
  <c r="N73" i="9"/>
  <c r="M73" i="9"/>
  <c r="K82" i="9"/>
  <c r="K73" i="9"/>
  <c r="J82" i="9"/>
  <c r="J75" i="9"/>
  <c r="AI79" i="9"/>
  <c r="I82" i="9"/>
  <c r="H82" i="9"/>
  <c r="G82" i="9"/>
  <c r="AI77" i="9"/>
  <c r="F82" i="9"/>
  <c r="F73" i="9"/>
  <c r="AH56" i="9"/>
  <c r="L73" i="9"/>
  <c r="H75" i="9"/>
  <c r="Z213" i="9" s="1"/>
  <c r="H73" i="9"/>
  <c r="I73" i="9"/>
  <c r="I75" i="9"/>
  <c r="AA213" i="9" s="1"/>
  <c r="E82" i="9"/>
  <c r="AH80" i="9"/>
  <c r="AI38" i="9"/>
  <c r="E73" i="9"/>
  <c r="AI76" i="9"/>
  <c r="AH68" i="9"/>
  <c r="AI56" i="9"/>
  <c r="D73" i="9"/>
  <c r="AI80" i="9"/>
  <c r="C82" i="9"/>
  <c r="C73" i="9"/>
  <c r="C75" i="9" s="1"/>
  <c r="C7" i="9" s="1"/>
  <c r="H4" i="9"/>
  <c r="H123" i="9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AG83" i="9"/>
  <c r="AI213" i="9"/>
  <c r="Q7" i="9"/>
  <c r="AB213" i="9"/>
  <c r="J7" i="9"/>
  <c r="AG75" i="9"/>
  <c r="AG3" i="9"/>
  <c r="AG6" i="9" s="1"/>
  <c r="AH38" i="9"/>
  <c r="G73" i="9"/>
  <c r="O73" i="9"/>
  <c r="K75" i="9"/>
  <c r="S75" i="9"/>
  <c r="AH76" i="9"/>
  <c r="B5" i="9"/>
  <c r="J5" i="9"/>
  <c r="R5" i="9"/>
  <c r="Z5" i="9"/>
  <c r="AH72" i="9"/>
  <c r="D75" i="9"/>
  <c r="L75" i="9"/>
  <c r="T75" i="9"/>
  <c r="AH77" i="9"/>
  <c r="AI68" i="9"/>
  <c r="AI72" i="9"/>
  <c r="E75" i="9"/>
  <c r="M75" i="9"/>
  <c r="AH78" i="9"/>
  <c r="J73" i="9"/>
  <c r="J83" i="9" s="1"/>
  <c r="R73" i="9"/>
  <c r="R83" i="9" s="1"/>
  <c r="Z73" i="9"/>
  <c r="F75" i="9"/>
  <c r="N75" i="9"/>
  <c r="N83" i="9" s="1"/>
  <c r="AH79" i="9"/>
  <c r="D210" i="9"/>
  <c r="S210" i="9"/>
  <c r="G75" i="9"/>
  <c r="O75" i="9"/>
  <c r="J102" i="9"/>
  <c r="D191" i="9"/>
  <c r="E101" i="9"/>
  <c r="E199" i="9"/>
  <c r="F193" i="9"/>
  <c r="F198" i="9"/>
  <c r="D234" i="9"/>
  <c r="AE82" i="8"/>
  <c r="AD82" i="8"/>
  <c r="AA82" i="8"/>
  <c r="Z82" i="8"/>
  <c r="Z73" i="8"/>
  <c r="W82" i="8"/>
  <c r="V82" i="8"/>
  <c r="U82" i="8"/>
  <c r="T75" i="8"/>
  <c r="T73" i="8"/>
  <c r="S82" i="8"/>
  <c r="S75" i="8"/>
  <c r="S73" i="8"/>
  <c r="R82" i="8"/>
  <c r="R73" i="8"/>
  <c r="Q82" i="8"/>
  <c r="O82" i="8"/>
  <c r="O73" i="8"/>
  <c r="O75" i="8"/>
  <c r="AG213" i="8" s="1"/>
  <c r="N82" i="8"/>
  <c r="N73" i="8"/>
  <c r="L73" i="8"/>
  <c r="K82" i="8"/>
  <c r="J82" i="8"/>
  <c r="J73" i="8"/>
  <c r="I82" i="8"/>
  <c r="G75" i="8"/>
  <c r="G82" i="8"/>
  <c r="G73" i="8"/>
  <c r="G83" i="8" s="1"/>
  <c r="D73" i="8"/>
  <c r="AH76" i="8"/>
  <c r="C82" i="8"/>
  <c r="AI80" i="8"/>
  <c r="AI56" i="8"/>
  <c r="C73" i="8"/>
  <c r="C75" i="8" s="1"/>
  <c r="B82" i="8"/>
  <c r="AH79" i="8"/>
  <c r="AH77" i="8"/>
  <c r="AI78" i="8"/>
  <c r="H4" i="8"/>
  <c r="AI38" i="8"/>
  <c r="AK213" i="8"/>
  <c r="S7" i="8"/>
  <c r="S83" i="8"/>
  <c r="AL213" i="8"/>
  <c r="T7" i="8"/>
  <c r="O83" i="8"/>
  <c r="AG73" i="8"/>
  <c r="O5" i="8"/>
  <c r="P73" i="8"/>
  <c r="AE5" i="8"/>
  <c r="I75" i="8"/>
  <c r="Q75" i="8"/>
  <c r="E82" i="8"/>
  <c r="S5" i="8"/>
  <c r="AH38" i="8"/>
  <c r="I73" i="8"/>
  <c r="Q73" i="8"/>
  <c r="AI72" i="8"/>
  <c r="AH72" i="8"/>
  <c r="R75" i="8"/>
  <c r="R83" i="8" s="1"/>
  <c r="F82" i="8"/>
  <c r="K75" i="8"/>
  <c r="K73" i="8"/>
  <c r="AI68" i="8"/>
  <c r="AH68" i="8"/>
  <c r="D75" i="8"/>
  <c r="H82" i="8"/>
  <c r="P82" i="8"/>
  <c r="X82" i="8"/>
  <c r="AF82" i="8"/>
  <c r="E75" i="8"/>
  <c r="M75" i="8"/>
  <c r="H75" i="8"/>
  <c r="AI76" i="8"/>
  <c r="AG83" i="8"/>
  <c r="AG75" i="8"/>
  <c r="Y213" i="8"/>
  <c r="G7" i="8"/>
  <c r="J75" i="8"/>
  <c r="AI79" i="8"/>
  <c r="AH56" i="8"/>
  <c r="E73" i="8"/>
  <c r="M73" i="8"/>
  <c r="F75" i="8"/>
  <c r="AH80" i="8"/>
  <c r="S210" i="8"/>
  <c r="D210" i="8"/>
  <c r="P5" i="8"/>
  <c r="F73" i="8"/>
  <c r="H73" i="8"/>
  <c r="L75" i="8"/>
  <c r="Z75" i="8"/>
  <c r="Z83" i="8" s="1"/>
  <c r="D82" i="8"/>
  <c r="L82" i="8"/>
  <c r="T82" i="8"/>
  <c r="T83" i="8" s="1"/>
  <c r="AB82" i="8"/>
  <c r="E102" i="8"/>
  <c r="D93" i="8"/>
  <c r="P75" i="8"/>
  <c r="N75" i="8"/>
  <c r="M82" i="8"/>
  <c r="AC82" i="8"/>
  <c r="D191" i="8"/>
  <c r="E101" i="8"/>
  <c r="AI77" i="8"/>
  <c r="AH78" i="8"/>
  <c r="E194" i="8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B194" i="8" s="1"/>
  <c r="D199" i="8"/>
  <c r="E198" i="8"/>
  <c r="C234" i="8"/>
  <c r="E199" i="8"/>
  <c r="G193" i="8"/>
  <c r="Z83" i="9" l="1"/>
  <c r="Z7" i="9"/>
  <c r="T83" i="9"/>
  <c r="S83" i="9"/>
  <c r="R7" i="9"/>
  <c r="Q83" i="9"/>
  <c r="P83" i="9"/>
  <c r="P7" i="9"/>
  <c r="O83" i="9"/>
  <c r="M83" i="9"/>
  <c r="K83" i="9"/>
  <c r="H7" i="9"/>
  <c r="H83" i="9"/>
  <c r="I7" i="9"/>
  <c r="I83" i="9"/>
  <c r="F83" i="9"/>
  <c r="G83" i="9"/>
  <c r="L83" i="9"/>
  <c r="E83" i="9"/>
  <c r="D83" i="9"/>
  <c r="U213" i="9"/>
  <c r="C83" i="9"/>
  <c r="G193" i="9"/>
  <c r="F199" i="9"/>
  <c r="F93" i="9"/>
  <c r="X213" i="9"/>
  <c r="F7" i="9"/>
  <c r="AE213" i="9"/>
  <c r="M7" i="9"/>
  <c r="V213" i="9"/>
  <c r="D7" i="9"/>
  <c r="W213" i="9"/>
  <c r="E7" i="9"/>
  <c r="E191" i="9"/>
  <c r="F101" i="9"/>
  <c r="AG213" i="9"/>
  <c r="O7" i="9"/>
  <c r="AI82" i="9"/>
  <c r="AH82" i="9"/>
  <c r="C208" i="9"/>
  <c r="Y213" i="9"/>
  <c r="B208" i="9"/>
  <c r="G7" i="9"/>
  <c r="K102" i="9"/>
  <c r="AK213" i="9"/>
  <c r="S7" i="9"/>
  <c r="AL213" i="9"/>
  <c r="T7" i="9"/>
  <c r="AC213" i="9"/>
  <c r="K7" i="9"/>
  <c r="E234" i="9"/>
  <c r="G198" i="9"/>
  <c r="AF213" i="9"/>
  <c r="N7" i="9"/>
  <c r="AD213" i="9"/>
  <c r="L7" i="9"/>
  <c r="Q83" i="8"/>
  <c r="P83" i="8"/>
  <c r="O7" i="8"/>
  <c r="N83" i="8"/>
  <c r="L83" i="8"/>
  <c r="K83" i="8"/>
  <c r="J83" i="8"/>
  <c r="I83" i="8"/>
  <c r="H83" i="8"/>
  <c r="F83" i="8"/>
  <c r="E83" i="8"/>
  <c r="AI82" i="8"/>
  <c r="V213" i="8"/>
  <c r="D7" i="8"/>
  <c r="H193" i="8"/>
  <c r="E191" i="8"/>
  <c r="F101" i="8"/>
  <c r="AH213" i="8"/>
  <c r="P7" i="8"/>
  <c r="M83" i="8"/>
  <c r="W213" i="8"/>
  <c r="E7" i="8"/>
  <c r="AR213" i="8"/>
  <c r="Z7" i="8"/>
  <c r="AH82" i="8"/>
  <c r="D234" i="8"/>
  <c r="F198" i="8"/>
  <c r="AD213" i="8"/>
  <c r="L7" i="8"/>
  <c r="Z213" i="8"/>
  <c r="H7" i="8"/>
  <c r="E93" i="8"/>
  <c r="F102" i="8"/>
  <c r="C208" i="8"/>
  <c r="AC213" i="8"/>
  <c r="K7" i="8"/>
  <c r="AE213" i="8"/>
  <c r="M7" i="8"/>
  <c r="AF213" i="8"/>
  <c r="N7" i="8"/>
  <c r="U213" i="8"/>
  <c r="C7" i="8"/>
  <c r="D83" i="8"/>
  <c r="B208" i="8"/>
  <c r="AI213" i="8"/>
  <c r="Q7" i="8"/>
  <c r="C83" i="8"/>
  <c r="X213" i="8"/>
  <c r="F7" i="8"/>
  <c r="AB213" i="8"/>
  <c r="J7" i="8"/>
  <c r="AJ213" i="8"/>
  <c r="R7" i="8"/>
  <c r="AA213" i="8"/>
  <c r="I7" i="8"/>
  <c r="K6" i="9" l="1"/>
  <c r="L102" i="9"/>
  <c r="F191" i="9"/>
  <c r="G101" i="9"/>
  <c r="F234" i="9"/>
  <c r="H198" i="9"/>
  <c r="G199" i="9"/>
  <c r="H193" i="9"/>
  <c r="G93" i="9"/>
  <c r="G102" i="8"/>
  <c r="F93" i="8"/>
  <c r="F191" i="8"/>
  <c r="G101" i="8"/>
  <c r="I193" i="8"/>
  <c r="K6" i="8"/>
  <c r="G198" i="8"/>
  <c r="E234" i="8"/>
  <c r="F199" i="8"/>
  <c r="I198" i="9" l="1"/>
  <c r="G234" i="9"/>
  <c r="G191" i="9"/>
  <c r="H101" i="9"/>
  <c r="H199" i="9"/>
  <c r="I193" i="9"/>
  <c r="H93" i="9"/>
  <c r="M102" i="9"/>
  <c r="G191" i="8"/>
  <c r="H101" i="8"/>
  <c r="J193" i="8"/>
  <c r="F234" i="8"/>
  <c r="H198" i="8"/>
  <c r="G199" i="8"/>
  <c r="G93" i="8"/>
  <c r="H102" i="8"/>
  <c r="J193" i="9" l="1"/>
  <c r="I199" i="9"/>
  <c r="I93" i="9"/>
  <c r="H191" i="9"/>
  <c r="I101" i="9"/>
  <c r="H234" i="9"/>
  <c r="J198" i="9"/>
  <c r="N102" i="9"/>
  <c r="I198" i="8"/>
  <c r="G234" i="8"/>
  <c r="H199" i="8"/>
  <c r="K193" i="8"/>
  <c r="H191" i="8"/>
  <c r="I101" i="8"/>
  <c r="H93" i="8"/>
  <c r="I102" i="8"/>
  <c r="I234" i="9" l="1"/>
  <c r="K198" i="9"/>
  <c r="I191" i="9"/>
  <c r="J101" i="9"/>
  <c r="O102" i="9"/>
  <c r="J199" i="9"/>
  <c r="K193" i="9"/>
  <c r="J93" i="9"/>
  <c r="I191" i="8"/>
  <c r="J101" i="8"/>
  <c r="L193" i="8"/>
  <c r="J102" i="8"/>
  <c r="I93" i="8"/>
  <c r="J198" i="8"/>
  <c r="H234" i="8"/>
  <c r="I199" i="8"/>
  <c r="P102" i="9" l="1"/>
  <c r="L193" i="9"/>
  <c r="K199" i="9"/>
  <c r="K93" i="9"/>
  <c r="J191" i="9"/>
  <c r="K101" i="9"/>
  <c r="L198" i="9"/>
  <c r="J234" i="9"/>
  <c r="J191" i="8"/>
  <c r="K101" i="8"/>
  <c r="I234" i="8"/>
  <c r="K198" i="8"/>
  <c r="J199" i="8"/>
  <c r="J93" i="8"/>
  <c r="K102" i="8"/>
  <c r="M193" i="8"/>
  <c r="K191" i="9" l="1"/>
  <c r="L101" i="9"/>
  <c r="K234" i="9"/>
  <c r="M198" i="9"/>
  <c r="M193" i="9"/>
  <c r="L199" i="9"/>
  <c r="L93" i="9"/>
  <c r="Q102" i="9"/>
  <c r="N193" i="8"/>
  <c r="K93" i="8"/>
  <c r="L102" i="8"/>
  <c r="J234" i="8"/>
  <c r="L198" i="8"/>
  <c r="K199" i="8"/>
  <c r="K191" i="8"/>
  <c r="L101" i="8"/>
  <c r="R102" i="9" l="1"/>
  <c r="M199" i="9"/>
  <c r="N193" i="9"/>
  <c r="M93" i="9"/>
  <c r="N198" i="9"/>
  <c r="L234" i="9"/>
  <c r="L191" i="9"/>
  <c r="M101" i="9"/>
  <c r="L191" i="8"/>
  <c r="M101" i="8"/>
  <c r="O193" i="8"/>
  <c r="K234" i="8"/>
  <c r="M198" i="8"/>
  <c r="L199" i="8"/>
  <c r="M102" i="8"/>
  <c r="L93" i="8"/>
  <c r="M234" i="9" l="1"/>
  <c r="O198" i="9"/>
  <c r="N199" i="9"/>
  <c r="O193" i="9"/>
  <c r="N93" i="9"/>
  <c r="M191" i="9"/>
  <c r="N101" i="9"/>
  <c r="S102" i="9"/>
  <c r="N102" i="8"/>
  <c r="M93" i="8"/>
  <c r="N198" i="8"/>
  <c r="L234" i="8"/>
  <c r="M199" i="8"/>
  <c r="P193" i="8"/>
  <c r="M191" i="8"/>
  <c r="N101" i="8"/>
  <c r="T102" i="9" l="1"/>
  <c r="N191" i="9"/>
  <c r="O101" i="9"/>
  <c r="N234" i="9"/>
  <c r="P198" i="9"/>
  <c r="O199" i="9"/>
  <c r="P193" i="9"/>
  <c r="O93" i="9"/>
  <c r="Q193" i="8"/>
  <c r="M234" i="8"/>
  <c r="O198" i="8"/>
  <c r="N199" i="8"/>
  <c r="N191" i="8"/>
  <c r="O101" i="8"/>
  <c r="O102" i="8"/>
  <c r="N93" i="8"/>
  <c r="Q193" i="9" l="1"/>
  <c r="P199" i="9"/>
  <c r="P93" i="9"/>
  <c r="O191" i="9"/>
  <c r="P101" i="9"/>
  <c r="O234" i="9"/>
  <c r="Q198" i="9"/>
  <c r="U102" i="9"/>
  <c r="O93" i="8"/>
  <c r="P102" i="8"/>
  <c r="O191" i="8"/>
  <c r="P101" i="8"/>
  <c r="N234" i="8"/>
  <c r="P198" i="8"/>
  <c r="O199" i="8"/>
  <c r="R193" i="8"/>
  <c r="V102" i="9" l="1"/>
  <c r="P234" i="9"/>
  <c r="R198" i="9"/>
  <c r="P191" i="9"/>
  <c r="Q101" i="9"/>
  <c r="R193" i="9"/>
  <c r="Q199" i="9"/>
  <c r="Q93" i="9"/>
  <c r="Q198" i="8"/>
  <c r="O234" i="8"/>
  <c r="P199" i="8"/>
  <c r="S193" i="8"/>
  <c r="P191" i="8"/>
  <c r="Q101" i="8"/>
  <c r="Q102" i="8"/>
  <c r="P93" i="8"/>
  <c r="Q191" i="9" l="1"/>
  <c r="R101" i="9"/>
  <c r="R199" i="9"/>
  <c r="S193" i="9"/>
  <c r="R93" i="9"/>
  <c r="Q234" i="9"/>
  <c r="S198" i="9"/>
  <c r="W102" i="9"/>
  <c r="Q93" i="8"/>
  <c r="R102" i="8"/>
  <c r="Q191" i="8"/>
  <c r="R101" i="8"/>
  <c r="T193" i="8"/>
  <c r="P234" i="8"/>
  <c r="R198" i="8"/>
  <c r="Q199" i="8"/>
  <c r="X102" i="9" l="1"/>
  <c r="T198" i="9"/>
  <c r="R234" i="9"/>
  <c r="T193" i="9"/>
  <c r="S199" i="9"/>
  <c r="S93" i="9"/>
  <c r="R191" i="9"/>
  <c r="S101" i="9"/>
  <c r="S198" i="8"/>
  <c r="Q234" i="8"/>
  <c r="R199" i="8"/>
  <c r="U193" i="8"/>
  <c r="R191" i="8"/>
  <c r="S101" i="8"/>
  <c r="S102" i="8"/>
  <c r="R93" i="8"/>
  <c r="S234" i="9" l="1"/>
  <c r="U198" i="9"/>
  <c r="T199" i="9"/>
  <c r="U193" i="9"/>
  <c r="T93" i="9"/>
  <c r="Y102" i="9"/>
  <c r="S191" i="9"/>
  <c r="T101" i="9"/>
  <c r="S93" i="8"/>
  <c r="T102" i="8"/>
  <c r="S191" i="8"/>
  <c r="T101" i="8"/>
  <c r="V193" i="8"/>
  <c r="R234" i="8"/>
  <c r="T198" i="8"/>
  <c r="S199" i="8"/>
  <c r="Z102" i="9" l="1"/>
  <c r="U199" i="9"/>
  <c r="U51" i="9" s="1"/>
  <c r="U52" i="9" s="1"/>
  <c r="V193" i="9"/>
  <c r="U93" i="9"/>
  <c r="V198" i="9"/>
  <c r="T234" i="9"/>
  <c r="T191" i="9"/>
  <c r="U101" i="9"/>
  <c r="U198" i="8"/>
  <c r="S234" i="8"/>
  <c r="T199" i="8"/>
  <c r="W193" i="8"/>
  <c r="T191" i="8"/>
  <c r="U101" i="8"/>
  <c r="U102" i="8"/>
  <c r="T93" i="8"/>
  <c r="W193" i="9" l="1"/>
  <c r="V199" i="9"/>
  <c r="V51" i="9" s="1"/>
  <c r="V52" i="9" s="1"/>
  <c r="V93" i="9"/>
  <c r="U234" i="9"/>
  <c r="W198" i="9"/>
  <c r="U73" i="9"/>
  <c r="U75" i="9"/>
  <c r="U191" i="9"/>
  <c r="V101" i="9"/>
  <c r="AA102" i="9"/>
  <c r="V102" i="8"/>
  <c r="U93" i="8"/>
  <c r="X193" i="8"/>
  <c r="U191" i="8"/>
  <c r="V101" i="8"/>
  <c r="T234" i="8"/>
  <c r="V198" i="8"/>
  <c r="U199" i="8"/>
  <c r="U51" i="8" s="1"/>
  <c r="U52" i="8" s="1"/>
  <c r="U83" i="9" l="1"/>
  <c r="V234" i="9"/>
  <c r="X198" i="9"/>
  <c r="V73" i="9"/>
  <c r="V75" i="9"/>
  <c r="AM213" i="9"/>
  <c r="U7" i="9"/>
  <c r="AB102" i="9"/>
  <c r="V191" i="9"/>
  <c r="W101" i="9"/>
  <c r="W199" i="9"/>
  <c r="W51" i="9" s="1"/>
  <c r="W52" i="9" s="1"/>
  <c r="X193" i="9"/>
  <c r="W93" i="9"/>
  <c r="V191" i="8"/>
  <c r="W101" i="8"/>
  <c r="W198" i="8"/>
  <c r="U234" i="8"/>
  <c r="V199" i="8"/>
  <c r="V51" i="8" s="1"/>
  <c r="V52" i="8" s="1"/>
  <c r="Y193" i="8"/>
  <c r="U75" i="8"/>
  <c r="U73" i="8"/>
  <c r="W102" i="8"/>
  <c r="V93" i="8"/>
  <c r="X199" i="9" l="1"/>
  <c r="X51" i="9" s="1"/>
  <c r="X52" i="9" s="1"/>
  <c r="Y193" i="9"/>
  <c r="X93" i="9"/>
  <c r="AN213" i="9"/>
  <c r="V7" i="9"/>
  <c r="AC102" i="9"/>
  <c r="V83" i="9"/>
  <c r="W75" i="9"/>
  <c r="W73" i="9"/>
  <c r="W191" i="9"/>
  <c r="X101" i="9"/>
  <c r="W234" i="9"/>
  <c r="Y198" i="9"/>
  <c r="U83" i="8"/>
  <c r="V234" i="8"/>
  <c r="X198" i="8"/>
  <c r="W199" i="8"/>
  <c r="W51" i="8" s="1"/>
  <c r="W52" i="8" s="1"/>
  <c r="AM213" i="8"/>
  <c r="U7" i="8"/>
  <c r="Z193" i="8"/>
  <c r="V73" i="8"/>
  <c r="V75" i="8"/>
  <c r="W93" i="8"/>
  <c r="X102" i="8"/>
  <c r="W191" i="8"/>
  <c r="X101" i="8"/>
  <c r="W83" i="9" l="1"/>
  <c r="AD102" i="9"/>
  <c r="X191" i="9"/>
  <c r="Y101" i="9"/>
  <c r="Z193" i="9"/>
  <c r="Y199" i="9"/>
  <c r="Y51" i="9" s="1"/>
  <c r="Y52" i="9" s="1"/>
  <c r="Y93" i="9"/>
  <c r="X234" i="9"/>
  <c r="Z198" i="9"/>
  <c r="AO213" i="9"/>
  <c r="W7" i="9"/>
  <c r="X73" i="9"/>
  <c r="X75" i="9"/>
  <c r="X93" i="8"/>
  <c r="Y102" i="8"/>
  <c r="V83" i="8"/>
  <c r="AA193" i="8"/>
  <c r="X191" i="8"/>
  <c r="Y101" i="8"/>
  <c r="W73" i="8"/>
  <c r="W75" i="8"/>
  <c r="Y198" i="8"/>
  <c r="W234" i="8"/>
  <c r="X199" i="8"/>
  <c r="X51" i="8" s="1"/>
  <c r="X52" i="8" s="1"/>
  <c r="AN213" i="8"/>
  <c r="V7" i="8"/>
  <c r="AP213" i="9" l="1"/>
  <c r="X7" i="9"/>
  <c r="Y75" i="9"/>
  <c r="Y73" i="9"/>
  <c r="Z199" i="9"/>
  <c r="AA193" i="9"/>
  <c r="Z93" i="9"/>
  <c r="Y191" i="9"/>
  <c r="Z101" i="9"/>
  <c r="X83" i="9"/>
  <c r="Y234" i="9"/>
  <c r="AA198" i="9"/>
  <c r="AE102" i="9"/>
  <c r="AO213" i="8"/>
  <c r="W7" i="8"/>
  <c r="W83" i="8"/>
  <c r="Y191" i="8"/>
  <c r="Z101" i="8"/>
  <c r="AB193" i="8"/>
  <c r="X73" i="8"/>
  <c r="X75" i="8"/>
  <c r="X234" i="8"/>
  <c r="Z198" i="8"/>
  <c r="Y199" i="8"/>
  <c r="Z102" i="8"/>
  <c r="Y83" i="9" l="1"/>
  <c r="AB193" i="9"/>
  <c r="AA199" i="9"/>
  <c r="AA51" i="9" s="1"/>
  <c r="AA52" i="9" s="1"/>
  <c r="AA93" i="9"/>
  <c r="AF102" i="9"/>
  <c r="AB198" i="9"/>
  <c r="Z234" i="9"/>
  <c r="AQ213" i="9"/>
  <c r="Y7" i="9"/>
  <c r="Z191" i="9"/>
  <c r="AA101" i="9"/>
  <c r="X83" i="8"/>
  <c r="AC193" i="8"/>
  <c r="AA102" i="8"/>
  <c r="Z93" i="8"/>
  <c r="Z191" i="8"/>
  <c r="AA101" i="8"/>
  <c r="Y234" i="8"/>
  <c r="AA198" i="8"/>
  <c r="Z199" i="8"/>
  <c r="AP213" i="8"/>
  <c r="X7" i="8"/>
  <c r="AA234" i="9" l="1"/>
  <c r="AC198" i="9"/>
  <c r="B102" i="9"/>
  <c r="AA75" i="9"/>
  <c r="AA73" i="9"/>
  <c r="AA83" i="9" s="1"/>
  <c r="AA191" i="9"/>
  <c r="AB101" i="9"/>
  <c r="AC193" i="9"/>
  <c r="AB199" i="9"/>
  <c r="AB51" i="9" s="1"/>
  <c r="AB52" i="9" s="1"/>
  <c r="AB93" i="9"/>
  <c r="AQ213" i="8"/>
  <c r="Y7" i="8"/>
  <c r="AA191" i="8"/>
  <c r="AB101" i="8"/>
  <c r="AB102" i="8"/>
  <c r="AA93" i="8"/>
  <c r="AB198" i="8"/>
  <c r="Z234" i="8"/>
  <c r="AA199" i="8"/>
  <c r="AA51" i="8" s="1"/>
  <c r="AA52" i="8" s="1"/>
  <c r="AD193" i="8"/>
  <c r="AB191" i="9" l="1"/>
  <c r="AC101" i="9"/>
  <c r="AS213" i="9"/>
  <c r="AA7" i="9"/>
  <c r="AD198" i="9"/>
  <c r="AB234" i="9"/>
  <c r="AB73" i="9"/>
  <c r="AB75" i="9"/>
  <c r="AC199" i="9"/>
  <c r="AC51" i="9" s="1"/>
  <c r="AC52" i="9" s="1"/>
  <c r="AD193" i="9"/>
  <c r="AC93" i="9"/>
  <c r="AA234" i="8"/>
  <c r="AC198" i="8"/>
  <c r="AB199" i="8"/>
  <c r="AB51" i="8" s="1"/>
  <c r="AB52" i="8" s="1"/>
  <c r="AE193" i="8"/>
  <c r="AB93" i="8"/>
  <c r="AC102" i="8"/>
  <c r="AB191" i="8"/>
  <c r="AC101" i="8"/>
  <c r="AA73" i="8"/>
  <c r="AA75" i="8"/>
  <c r="AB83" i="9" l="1"/>
  <c r="AD199" i="9"/>
  <c r="AD51" i="9" s="1"/>
  <c r="AD52" i="9" s="1"/>
  <c r="AE193" i="9"/>
  <c r="AD93" i="9"/>
  <c r="AC191" i="9"/>
  <c r="AD101" i="9"/>
  <c r="AE198" i="9"/>
  <c r="AC234" i="9"/>
  <c r="AC73" i="9"/>
  <c r="AC75" i="9"/>
  <c r="AT213" i="9"/>
  <c r="AB7" i="9"/>
  <c r="AB75" i="8"/>
  <c r="AB73" i="8"/>
  <c r="AB83" i="8" s="1"/>
  <c r="AC93" i="8"/>
  <c r="AD102" i="8"/>
  <c r="AF193" i="8"/>
  <c r="AA83" i="8"/>
  <c r="AB234" i="8"/>
  <c r="AD198" i="8"/>
  <c r="AC199" i="8"/>
  <c r="AC51" i="8" s="1"/>
  <c r="AC52" i="8" s="1"/>
  <c r="AS213" i="8"/>
  <c r="AA7" i="8"/>
  <c r="AC191" i="8"/>
  <c r="AD101" i="8"/>
  <c r="AC83" i="9" l="1"/>
  <c r="AD234" i="9"/>
  <c r="AF198" i="9"/>
  <c r="AD191" i="9"/>
  <c r="AE101" i="9"/>
  <c r="AE199" i="9"/>
  <c r="AE51" i="9" s="1"/>
  <c r="AE52" i="9" s="1"/>
  <c r="AF193" i="9"/>
  <c r="AE93" i="9"/>
  <c r="AU213" i="9"/>
  <c r="AC7" i="9"/>
  <c r="AD73" i="9"/>
  <c r="AD75" i="9"/>
  <c r="AC73" i="8"/>
  <c r="AC75" i="8"/>
  <c r="AC234" i="8"/>
  <c r="AE198" i="8"/>
  <c r="AD199" i="8"/>
  <c r="AD51" i="8" s="1"/>
  <c r="AD52" i="8" s="1"/>
  <c r="AD191" i="8"/>
  <c r="AE101" i="8"/>
  <c r="B193" i="8"/>
  <c r="AE102" i="8"/>
  <c r="AD93" i="8"/>
  <c r="AT213" i="8"/>
  <c r="AB7" i="8"/>
  <c r="AE191" i="9" l="1"/>
  <c r="AF101" i="9"/>
  <c r="AE73" i="9"/>
  <c r="AE75" i="9"/>
  <c r="AV213" i="9"/>
  <c r="AD7" i="9"/>
  <c r="AD83" i="9"/>
  <c r="AE234" i="9"/>
  <c r="B198" i="9"/>
  <c r="AF234" i="9" s="1"/>
  <c r="AF199" i="9"/>
  <c r="AF51" i="9" s="1"/>
  <c r="AF52" i="9" s="1"/>
  <c r="B193" i="9"/>
  <c r="AF93" i="9"/>
  <c r="AE191" i="8"/>
  <c r="AF101" i="8"/>
  <c r="AD75" i="8"/>
  <c r="AD73" i="8"/>
  <c r="AD234" i="8"/>
  <c r="AF198" i="8"/>
  <c r="AE199" i="8"/>
  <c r="AE51" i="8" s="1"/>
  <c r="AE52" i="8" s="1"/>
  <c r="AE93" i="8"/>
  <c r="AF102" i="8"/>
  <c r="AU213" i="8"/>
  <c r="AC7" i="8"/>
  <c r="AC83" i="8"/>
  <c r="AW213" i="9" l="1"/>
  <c r="AE7" i="9"/>
  <c r="AE83" i="9"/>
  <c r="AF73" i="9"/>
  <c r="AF75" i="9"/>
  <c r="AF191" i="9"/>
  <c r="B101" i="9"/>
  <c r="B191" i="9" s="1"/>
  <c r="AH93" i="9"/>
  <c r="AI93" i="9"/>
  <c r="B199" i="9"/>
  <c r="B93" i="9"/>
  <c r="AD83" i="8"/>
  <c r="B102" i="8"/>
  <c r="B93" i="8" s="1"/>
  <c r="AF93" i="8"/>
  <c r="AE73" i="8"/>
  <c r="AE75" i="8"/>
  <c r="AE234" i="8"/>
  <c r="B198" i="8"/>
  <c r="AF199" i="8"/>
  <c r="AF51" i="8" s="1"/>
  <c r="AF52" i="8" s="1"/>
  <c r="AV213" i="8"/>
  <c r="AD7" i="8"/>
  <c r="AF191" i="8"/>
  <c r="B101" i="8"/>
  <c r="B191" i="8" s="1"/>
  <c r="AX213" i="9" l="1"/>
  <c r="AF7" i="9"/>
  <c r="AF83" i="9"/>
  <c r="AH51" i="9"/>
  <c r="AI51" i="9"/>
  <c r="AE83" i="8"/>
  <c r="AF75" i="8"/>
  <c r="AF73" i="8"/>
  <c r="AF234" i="8"/>
  <c r="B199" i="8"/>
  <c r="B51" i="8" s="1"/>
  <c r="AW213" i="8"/>
  <c r="AE7" i="8"/>
  <c r="AH93" i="8"/>
  <c r="AI93" i="8"/>
  <c r="AD37" i="7"/>
  <c r="AC37" i="7"/>
  <c r="AB37" i="7"/>
  <c r="AA95" i="7"/>
  <c r="AA93" i="7" s="1"/>
  <c r="AA37" i="7"/>
  <c r="AA38" i="7"/>
  <c r="AA51" i="7"/>
  <c r="AA52" i="7"/>
  <c r="AA56" i="7"/>
  <c r="AA68" i="7"/>
  <c r="AA72" i="7"/>
  <c r="AA76" i="7"/>
  <c r="AA77" i="7"/>
  <c r="AA78" i="7"/>
  <c r="AA79" i="7"/>
  <c r="AA80" i="7"/>
  <c r="Z95" i="7"/>
  <c r="Z80" i="7"/>
  <c r="Z79" i="7"/>
  <c r="Z78" i="7"/>
  <c r="Z77" i="7"/>
  <c r="Z76" i="7"/>
  <c r="Z72" i="7"/>
  <c r="Z68" i="7"/>
  <c r="Z56" i="7"/>
  <c r="Z51" i="7"/>
  <c r="Z52" i="7" s="1"/>
  <c r="Z37" i="7"/>
  <c r="X95" i="7"/>
  <c r="X37" i="7"/>
  <c r="W95" i="7"/>
  <c r="W37" i="7"/>
  <c r="V95" i="7"/>
  <c r="V37" i="7"/>
  <c r="U95" i="7"/>
  <c r="U37" i="7"/>
  <c r="T37" i="7"/>
  <c r="S95" i="7"/>
  <c r="S37" i="7"/>
  <c r="AI52" i="9" l="1"/>
  <c r="AH52" i="9"/>
  <c r="B52" i="8"/>
  <c r="AI51" i="8"/>
  <c r="AH51" i="8"/>
  <c r="AF83" i="8"/>
  <c r="AX213" i="8"/>
  <c r="AF7" i="8"/>
  <c r="AA82" i="7"/>
  <c r="AA73" i="7"/>
  <c r="AA75" i="7"/>
  <c r="Z82" i="7"/>
  <c r="AI73" i="9" l="1"/>
  <c r="AH73" i="9"/>
  <c r="T213" i="9"/>
  <c r="AH75" i="9"/>
  <c r="B7" i="9"/>
  <c r="A7" i="9" s="1"/>
  <c r="AI75" i="9"/>
  <c r="AI52" i="8"/>
  <c r="AH52" i="8"/>
  <c r="B75" i="8"/>
  <c r="B73" i="8"/>
  <c r="AA83" i="7"/>
  <c r="AI83" i="9" l="1"/>
  <c r="AH83" i="9"/>
  <c r="T213" i="8"/>
  <c r="AI75" i="8"/>
  <c r="AH75" i="8"/>
  <c r="B7" i="8"/>
  <c r="A7" i="8" s="1"/>
  <c r="AI73" i="8"/>
  <c r="AH73" i="8"/>
  <c r="B83" i="8"/>
  <c r="R37" i="7"/>
  <c r="AI83" i="8" l="1"/>
  <c r="AH83" i="8"/>
  <c r="P37" i="7"/>
  <c r="N38" i="7"/>
  <c r="M37" i="7"/>
  <c r="L37" i="7"/>
  <c r="K37" i="7"/>
  <c r="J37" i="7"/>
  <c r="I37" i="7"/>
  <c r="F37" i="7"/>
  <c r="B4" i="5"/>
  <c r="B4" i="7"/>
  <c r="E37" i="7"/>
  <c r="D95" i="7"/>
  <c r="D37" i="7"/>
  <c r="AH99" i="7"/>
  <c r="AI99" i="7" s="1"/>
  <c r="C95" i="7"/>
  <c r="C37" i="7"/>
  <c r="B37" i="7"/>
  <c r="B95" i="7"/>
  <c r="B93" i="7"/>
  <c r="B80" i="7"/>
  <c r="B79" i="7"/>
  <c r="B78" i="7"/>
  <c r="B77" i="7"/>
  <c r="B82" i="7" s="1"/>
  <c r="B76" i="7"/>
  <c r="B72" i="7"/>
  <c r="B68" i="7"/>
  <c r="B56" i="7"/>
  <c r="B52" i="7"/>
  <c r="B51" i="7"/>
  <c r="B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B234" i="7"/>
  <c r="S209" i="7"/>
  <c r="AG199" i="7"/>
  <c r="C199" i="7"/>
  <c r="E198" i="7"/>
  <c r="D234" i="7" s="1"/>
  <c r="D198" i="7"/>
  <c r="C234" i="7" s="1"/>
  <c r="E197" i="7"/>
  <c r="F197" i="7" s="1"/>
  <c r="G197" i="7" s="1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D197" i="7"/>
  <c r="J196" i="7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AC196" i="7" s="1"/>
  <c r="AD196" i="7" s="1"/>
  <c r="AE196" i="7" s="1"/>
  <c r="AF196" i="7" s="1"/>
  <c r="B196" i="7" s="1"/>
  <c r="D196" i="7"/>
  <c r="E196" i="7" s="1"/>
  <c r="F196" i="7" s="1"/>
  <c r="G196" i="7" s="1"/>
  <c r="H196" i="7" s="1"/>
  <c r="I196" i="7" s="1"/>
  <c r="D195" i="7"/>
  <c r="E195" i="7" s="1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B195" i="7" s="1"/>
  <c r="D194" i="7"/>
  <c r="D199" i="7" s="1"/>
  <c r="F193" i="7"/>
  <c r="E193" i="7"/>
  <c r="D193" i="7"/>
  <c r="AG191" i="7"/>
  <c r="C191" i="7"/>
  <c r="Q190" i="7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AE190" i="7" s="1"/>
  <c r="AF190" i="7" s="1"/>
  <c r="B190" i="7" s="1"/>
  <c r="P190" i="7"/>
  <c r="D190" i="7"/>
  <c r="E190" i="7" s="1"/>
  <c r="F190" i="7" s="1"/>
  <c r="G190" i="7" s="1"/>
  <c r="H190" i="7" s="1"/>
  <c r="I190" i="7" s="1"/>
  <c r="J190" i="7" s="1"/>
  <c r="K190" i="7" s="1"/>
  <c r="L190" i="7" s="1"/>
  <c r="M190" i="7" s="1"/>
  <c r="N190" i="7" s="1"/>
  <c r="O190" i="7" s="1"/>
  <c r="J189" i="7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I189" i="7"/>
  <c r="G189" i="7"/>
  <c r="H189" i="7" s="1"/>
  <c r="D189" i="7"/>
  <c r="E189" i="7" s="1"/>
  <c r="F189" i="7" s="1"/>
  <c r="D188" i="7"/>
  <c r="E188" i="7" s="1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E187" i="7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B187" i="7" s="1"/>
  <c r="D187" i="7"/>
  <c r="F186" i="7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D186" i="7"/>
  <c r="E186" i="7" s="1"/>
  <c r="AC185" i="7"/>
  <c r="AD185" i="7" s="1"/>
  <c r="AE185" i="7" s="1"/>
  <c r="AF185" i="7" s="1"/>
  <c r="B185" i="7" s="1"/>
  <c r="Z185" i="7"/>
  <c r="AA185" i="7" s="1"/>
  <c r="AB185" i="7" s="1"/>
  <c r="J185" i="7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H185" i="7"/>
  <c r="I185" i="7" s="1"/>
  <c r="E185" i="7"/>
  <c r="F185" i="7" s="1"/>
  <c r="G185" i="7" s="1"/>
  <c r="D185" i="7"/>
  <c r="G184" i="7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D184" i="7"/>
  <c r="E184" i="7" s="1"/>
  <c r="F184" i="7" s="1"/>
  <c r="I183" i="7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D183" i="7"/>
  <c r="E183" i="7" s="1"/>
  <c r="F183" i="7" s="1"/>
  <c r="G183" i="7" s="1"/>
  <c r="H183" i="7" s="1"/>
  <c r="Y182" i="7"/>
  <c r="Z182" i="7" s="1"/>
  <c r="AA182" i="7" s="1"/>
  <c r="AB182" i="7" s="1"/>
  <c r="AC182" i="7" s="1"/>
  <c r="AD182" i="7" s="1"/>
  <c r="AE182" i="7" s="1"/>
  <c r="AF182" i="7" s="1"/>
  <c r="B182" i="7" s="1"/>
  <c r="K182" i="7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J182" i="7"/>
  <c r="I182" i="7"/>
  <c r="G182" i="7"/>
  <c r="H182" i="7" s="1"/>
  <c r="F182" i="7"/>
  <c r="D182" i="7"/>
  <c r="E182" i="7" s="1"/>
  <c r="AE181" i="7"/>
  <c r="AF181" i="7" s="1"/>
  <c r="B181" i="7" s="1"/>
  <c r="E181" i="7"/>
  <c r="F181" i="7" s="1"/>
  <c r="G181" i="7" s="1"/>
  <c r="H181" i="7" s="1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D181" i="7"/>
  <c r="AF180" i="7"/>
  <c r="B180" i="7" s="1"/>
  <c r="AD180" i="7"/>
  <c r="AE180" i="7" s="1"/>
  <c r="F180" i="7"/>
  <c r="G180" i="7" s="1"/>
  <c r="H180" i="7" s="1"/>
  <c r="I180" i="7" s="1"/>
  <c r="J180" i="7" s="1"/>
  <c r="K180" i="7" s="1"/>
  <c r="L180" i="7" s="1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E180" i="7"/>
  <c r="D180" i="7"/>
  <c r="E179" i="7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B179" i="7" s="1"/>
  <c r="D179" i="7"/>
  <c r="D178" i="7"/>
  <c r="E178" i="7" s="1"/>
  <c r="F178" i="7" s="1"/>
  <c r="G178" i="7" s="1"/>
  <c r="H178" i="7" s="1"/>
  <c r="I178" i="7" s="1"/>
  <c r="J178" i="7" s="1"/>
  <c r="K178" i="7" s="1"/>
  <c r="L178" i="7" s="1"/>
  <c r="M178" i="7" s="1"/>
  <c r="N178" i="7" s="1"/>
  <c r="O178" i="7" s="1"/>
  <c r="P178" i="7" s="1"/>
  <c r="Q178" i="7" s="1"/>
  <c r="R178" i="7" s="1"/>
  <c r="S178" i="7" s="1"/>
  <c r="T178" i="7" s="1"/>
  <c r="U178" i="7" s="1"/>
  <c r="V178" i="7" s="1"/>
  <c r="W178" i="7" s="1"/>
  <c r="X178" i="7" s="1"/>
  <c r="Y178" i="7" s="1"/>
  <c r="Z178" i="7" s="1"/>
  <c r="AA178" i="7" s="1"/>
  <c r="AB178" i="7" s="1"/>
  <c r="AC178" i="7" s="1"/>
  <c r="AD178" i="7" s="1"/>
  <c r="AE178" i="7" s="1"/>
  <c r="AF178" i="7" s="1"/>
  <c r="B178" i="7" s="1"/>
  <c r="R176" i="7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B176" i="7" s="1"/>
  <c r="D176" i="7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X175" i="7"/>
  <c r="Y175" i="7" s="1"/>
  <c r="Z175" i="7" s="1"/>
  <c r="AA175" i="7" s="1"/>
  <c r="AB175" i="7" s="1"/>
  <c r="AC175" i="7" s="1"/>
  <c r="AD175" i="7" s="1"/>
  <c r="AE175" i="7" s="1"/>
  <c r="AF175" i="7" s="1"/>
  <c r="B175" i="7" s="1"/>
  <c r="E175" i="7"/>
  <c r="F175" i="7" s="1"/>
  <c r="G175" i="7" s="1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D175" i="7"/>
  <c r="D174" i="7"/>
  <c r="E174" i="7" s="1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L173" i="7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B173" i="7" s="1"/>
  <c r="K173" i="7"/>
  <c r="E173" i="7"/>
  <c r="F173" i="7" s="1"/>
  <c r="G173" i="7" s="1"/>
  <c r="H173" i="7" s="1"/>
  <c r="I173" i="7" s="1"/>
  <c r="J173" i="7" s="1"/>
  <c r="D173" i="7"/>
  <c r="D172" i="7"/>
  <c r="E172" i="7" s="1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B172" i="7" s="1"/>
  <c r="Q171" i="7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B171" i="7" s="1"/>
  <c r="P171" i="7"/>
  <c r="G171" i="7"/>
  <c r="H171" i="7" s="1"/>
  <c r="I171" i="7" s="1"/>
  <c r="J171" i="7" s="1"/>
  <c r="K171" i="7" s="1"/>
  <c r="L171" i="7" s="1"/>
  <c r="M171" i="7" s="1"/>
  <c r="N171" i="7" s="1"/>
  <c r="O171" i="7" s="1"/>
  <c r="F171" i="7"/>
  <c r="E171" i="7"/>
  <c r="D171" i="7"/>
  <c r="U170" i="7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K170" i="7"/>
  <c r="L170" i="7" s="1"/>
  <c r="M170" i="7" s="1"/>
  <c r="N170" i="7" s="1"/>
  <c r="O170" i="7" s="1"/>
  <c r="P170" i="7" s="1"/>
  <c r="Q170" i="7" s="1"/>
  <c r="R170" i="7" s="1"/>
  <c r="S170" i="7" s="1"/>
  <c r="T170" i="7" s="1"/>
  <c r="I170" i="7"/>
  <c r="J170" i="7" s="1"/>
  <c r="F170" i="7"/>
  <c r="G170" i="7" s="1"/>
  <c r="H170" i="7" s="1"/>
  <c r="E170" i="7"/>
  <c r="D170" i="7"/>
  <c r="O169" i="7"/>
  <c r="P169" i="7" s="1"/>
  <c r="Q169" i="7" s="1"/>
  <c r="R169" i="7" s="1"/>
  <c r="S169" i="7" s="1"/>
  <c r="T169" i="7" s="1"/>
  <c r="U169" i="7" s="1"/>
  <c r="V169" i="7" s="1"/>
  <c r="W169" i="7" s="1"/>
  <c r="X169" i="7" s="1"/>
  <c r="Y169" i="7" s="1"/>
  <c r="Z169" i="7" s="1"/>
  <c r="AA169" i="7" s="1"/>
  <c r="AB169" i="7" s="1"/>
  <c r="AC169" i="7" s="1"/>
  <c r="AD169" i="7" s="1"/>
  <c r="AE169" i="7" s="1"/>
  <c r="AF169" i="7" s="1"/>
  <c r="B169" i="7" s="1"/>
  <c r="N169" i="7"/>
  <c r="D169" i="7"/>
  <c r="E169" i="7" s="1"/>
  <c r="F169" i="7" s="1"/>
  <c r="G169" i="7" s="1"/>
  <c r="H169" i="7" s="1"/>
  <c r="I169" i="7" s="1"/>
  <c r="J169" i="7" s="1"/>
  <c r="K169" i="7" s="1"/>
  <c r="L169" i="7" s="1"/>
  <c r="M169" i="7" s="1"/>
  <c r="H167" i="7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G167" i="7"/>
  <c r="E167" i="7"/>
  <c r="F167" i="7" s="1"/>
  <c r="D167" i="7"/>
  <c r="H166" i="7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B166" i="7" s="1"/>
  <c r="E166" i="7"/>
  <c r="F166" i="7" s="1"/>
  <c r="G166" i="7" s="1"/>
  <c r="D166" i="7"/>
  <c r="D165" i="7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B165" i="7" s="1"/>
  <c r="AB164" i="7"/>
  <c r="AC164" i="7" s="1"/>
  <c r="AD164" i="7" s="1"/>
  <c r="AE164" i="7" s="1"/>
  <c r="AF164" i="7" s="1"/>
  <c r="B164" i="7" s="1"/>
  <c r="E164" i="7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D164" i="7"/>
  <c r="K163" i="7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B163" i="7" s="1"/>
  <c r="J163" i="7"/>
  <c r="I163" i="7"/>
  <c r="H163" i="7"/>
  <c r="D163" i="7"/>
  <c r="E163" i="7" s="1"/>
  <c r="F163" i="7" s="1"/>
  <c r="G163" i="7" s="1"/>
  <c r="O162" i="7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E162" i="7"/>
  <c r="F162" i="7" s="1"/>
  <c r="G162" i="7" s="1"/>
  <c r="H162" i="7" s="1"/>
  <c r="I162" i="7" s="1"/>
  <c r="J162" i="7" s="1"/>
  <c r="K162" i="7" s="1"/>
  <c r="L162" i="7" s="1"/>
  <c r="M162" i="7" s="1"/>
  <c r="N162" i="7" s="1"/>
  <c r="D162" i="7"/>
  <c r="D161" i="7"/>
  <c r="E161" i="7" s="1"/>
  <c r="F161" i="7" s="1"/>
  <c r="G161" i="7" s="1"/>
  <c r="H161" i="7" s="1"/>
  <c r="I161" i="7" s="1"/>
  <c r="J161" i="7" s="1"/>
  <c r="K161" i="7" s="1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B161" i="7" s="1"/>
  <c r="AF160" i="7"/>
  <c r="B160" i="7" s="1"/>
  <c r="I160" i="7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E160" i="7"/>
  <c r="F160" i="7" s="1"/>
  <c r="G160" i="7" s="1"/>
  <c r="H160" i="7" s="1"/>
  <c r="D160" i="7"/>
  <c r="AD159" i="7"/>
  <c r="AE159" i="7" s="1"/>
  <c r="AF159" i="7" s="1"/>
  <c r="B159" i="7" s="1"/>
  <c r="G159" i="7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F159" i="7"/>
  <c r="E159" i="7"/>
  <c r="D159" i="7"/>
  <c r="N158" i="7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D158" i="7"/>
  <c r="E158" i="7" s="1"/>
  <c r="F158" i="7" s="1"/>
  <c r="G158" i="7" s="1"/>
  <c r="H158" i="7" s="1"/>
  <c r="I158" i="7" s="1"/>
  <c r="J158" i="7" s="1"/>
  <c r="K158" i="7" s="1"/>
  <c r="L158" i="7" s="1"/>
  <c r="M158" i="7" s="1"/>
  <c r="L157" i="7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D157" i="7"/>
  <c r="E157" i="7" s="1"/>
  <c r="F157" i="7" s="1"/>
  <c r="G157" i="7" s="1"/>
  <c r="H157" i="7" s="1"/>
  <c r="I157" i="7" s="1"/>
  <c r="J157" i="7" s="1"/>
  <c r="K157" i="7" s="1"/>
  <c r="AD156" i="7"/>
  <c r="AE156" i="7" s="1"/>
  <c r="AF156" i="7" s="1"/>
  <c r="B156" i="7" s="1"/>
  <c r="P156" i="7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F156" i="7"/>
  <c r="G156" i="7" s="1"/>
  <c r="H156" i="7" s="1"/>
  <c r="I156" i="7" s="1"/>
  <c r="J156" i="7" s="1"/>
  <c r="K156" i="7" s="1"/>
  <c r="L156" i="7" s="1"/>
  <c r="M156" i="7" s="1"/>
  <c r="N156" i="7" s="1"/>
  <c r="O156" i="7" s="1"/>
  <c r="E156" i="7"/>
  <c r="D156" i="7"/>
  <c r="L155" i="7"/>
  <c r="M155" i="7" s="1"/>
  <c r="N155" i="7" s="1"/>
  <c r="O155" i="7" s="1"/>
  <c r="P155" i="7" s="1"/>
  <c r="Q155" i="7" s="1"/>
  <c r="R155" i="7" s="1"/>
  <c r="S155" i="7" s="1"/>
  <c r="T155" i="7" s="1"/>
  <c r="U155" i="7" s="1"/>
  <c r="V155" i="7" s="1"/>
  <c r="W155" i="7" s="1"/>
  <c r="X155" i="7" s="1"/>
  <c r="Y155" i="7" s="1"/>
  <c r="Z155" i="7" s="1"/>
  <c r="AA155" i="7" s="1"/>
  <c r="AB155" i="7" s="1"/>
  <c r="AC155" i="7" s="1"/>
  <c r="AD155" i="7" s="1"/>
  <c r="AE155" i="7" s="1"/>
  <c r="AF155" i="7" s="1"/>
  <c r="B155" i="7" s="1"/>
  <c r="D155" i="7"/>
  <c r="E155" i="7" s="1"/>
  <c r="F155" i="7" s="1"/>
  <c r="G155" i="7" s="1"/>
  <c r="H155" i="7" s="1"/>
  <c r="I155" i="7" s="1"/>
  <c r="J155" i="7" s="1"/>
  <c r="K155" i="7" s="1"/>
  <c r="S153" i="7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I153" i="7"/>
  <c r="J153" i="7" s="1"/>
  <c r="K153" i="7" s="1"/>
  <c r="L153" i="7" s="1"/>
  <c r="M153" i="7" s="1"/>
  <c r="N153" i="7" s="1"/>
  <c r="O153" i="7" s="1"/>
  <c r="P153" i="7" s="1"/>
  <c r="Q153" i="7" s="1"/>
  <c r="R153" i="7" s="1"/>
  <c r="D153" i="7"/>
  <c r="E153" i="7" s="1"/>
  <c r="F153" i="7" s="1"/>
  <c r="G153" i="7" s="1"/>
  <c r="H153" i="7" s="1"/>
  <c r="G152" i="7"/>
  <c r="H152" i="7" s="1"/>
  <c r="I152" i="7" s="1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B152" i="7" s="1"/>
  <c r="E152" i="7"/>
  <c r="F152" i="7" s="1"/>
  <c r="D152" i="7"/>
  <c r="AA151" i="7"/>
  <c r="AB151" i="7" s="1"/>
  <c r="AC151" i="7" s="1"/>
  <c r="AD151" i="7" s="1"/>
  <c r="AE151" i="7" s="1"/>
  <c r="AF151" i="7" s="1"/>
  <c r="B151" i="7" s="1"/>
  <c r="R151" i="7"/>
  <c r="S151" i="7" s="1"/>
  <c r="T151" i="7" s="1"/>
  <c r="U151" i="7" s="1"/>
  <c r="V151" i="7" s="1"/>
  <c r="W151" i="7" s="1"/>
  <c r="X151" i="7" s="1"/>
  <c r="Y151" i="7" s="1"/>
  <c r="Z151" i="7" s="1"/>
  <c r="I151" i="7"/>
  <c r="J151" i="7" s="1"/>
  <c r="K151" i="7" s="1"/>
  <c r="L151" i="7" s="1"/>
  <c r="M151" i="7" s="1"/>
  <c r="N151" i="7" s="1"/>
  <c r="O151" i="7" s="1"/>
  <c r="P151" i="7" s="1"/>
  <c r="Q151" i="7" s="1"/>
  <c r="E151" i="7"/>
  <c r="F151" i="7" s="1"/>
  <c r="G151" i="7" s="1"/>
  <c r="H151" i="7" s="1"/>
  <c r="D151" i="7"/>
  <c r="V150" i="7"/>
  <c r="W150" i="7" s="1"/>
  <c r="X150" i="7" s="1"/>
  <c r="Y150" i="7" s="1"/>
  <c r="Z150" i="7" s="1"/>
  <c r="AA150" i="7" s="1"/>
  <c r="AB150" i="7" s="1"/>
  <c r="AC150" i="7" s="1"/>
  <c r="AD150" i="7" s="1"/>
  <c r="AE150" i="7" s="1"/>
  <c r="AF150" i="7" s="1"/>
  <c r="B150" i="7" s="1"/>
  <c r="P150" i="7"/>
  <c r="Q150" i="7" s="1"/>
  <c r="R150" i="7" s="1"/>
  <c r="S150" i="7" s="1"/>
  <c r="T150" i="7" s="1"/>
  <c r="U150" i="7" s="1"/>
  <c r="M150" i="7"/>
  <c r="N150" i="7" s="1"/>
  <c r="O150" i="7" s="1"/>
  <c r="G150" i="7"/>
  <c r="H150" i="7" s="1"/>
  <c r="I150" i="7" s="1"/>
  <c r="J150" i="7" s="1"/>
  <c r="K150" i="7" s="1"/>
  <c r="L150" i="7" s="1"/>
  <c r="D150" i="7"/>
  <c r="E150" i="7" s="1"/>
  <c r="F150" i="7" s="1"/>
  <c r="O148" i="7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J148" i="7"/>
  <c r="K148" i="7" s="1"/>
  <c r="L148" i="7" s="1"/>
  <c r="M148" i="7" s="1"/>
  <c r="N148" i="7" s="1"/>
  <c r="F148" i="7"/>
  <c r="G148" i="7" s="1"/>
  <c r="H148" i="7" s="1"/>
  <c r="I148" i="7" s="1"/>
  <c r="E148" i="7"/>
  <c r="D148" i="7"/>
  <c r="L147" i="7"/>
  <c r="M147" i="7" s="1"/>
  <c r="N147" i="7" s="1"/>
  <c r="O147" i="7" s="1"/>
  <c r="P147" i="7" s="1"/>
  <c r="Q147" i="7" s="1"/>
  <c r="R147" i="7" s="1"/>
  <c r="S147" i="7" s="1"/>
  <c r="T147" i="7" s="1"/>
  <c r="U147" i="7" s="1"/>
  <c r="V147" i="7" s="1"/>
  <c r="W147" i="7" s="1"/>
  <c r="X147" i="7" s="1"/>
  <c r="Y147" i="7" s="1"/>
  <c r="Z147" i="7" s="1"/>
  <c r="AA147" i="7" s="1"/>
  <c r="AB147" i="7" s="1"/>
  <c r="AC147" i="7" s="1"/>
  <c r="AD147" i="7" s="1"/>
  <c r="AE147" i="7" s="1"/>
  <c r="AF147" i="7" s="1"/>
  <c r="B147" i="7" s="1"/>
  <c r="I147" i="7"/>
  <c r="J147" i="7" s="1"/>
  <c r="K147" i="7" s="1"/>
  <c r="D147" i="7"/>
  <c r="E147" i="7" s="1"/>
  <c r="F147" i="7" s="1"/>
  <c r="G147" i="7" s="1"/>
  <c r="H147" i="7" s="1"/>
  <c r="K145" i="7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F145" i="7"/>
  <c r="G145" i="7" s="1"/>
  <c r="H145" i="7" s="1"/>
  <c r="I145" i="7" s="1"/>
  <c r="J145" i="7" s="1"/>
  <c r="E145" i="7"/>
  <c r="D145" i="7"/>
  <c r="O144" i="7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I144" i="7"/>
  <c r="J144" i="7" s="1"/>
  <c r="K144" i="7" s="1"/>
  <c r="L144" i="7" s="1"/>
  <c r="M144" i="7" s="1"/>
  <c r="N144" i="7" s="1"/>
  <c r="F144" i="7"/>
  <c r="G144" i="7" s="1"/>
  <c r="H144" i="7" s="1"/>
  <c r="E144" i="7"/>
  <c r="D144" i="7"/>
  <c r="D143" i="7"/>
  <c r="E143" i="7" s="1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R142" i="7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M142" i="7"/>
  <c r="N142" i="7" s="1"/>
  <c r="O142" i="7" s="1"/>
  <c r="P142" i="7" s="1"/>
  <c r="Q142" i="7" s="1"/>
  <c r="J142" i="7"/>
  <c r="K142" i="7" s="1"/>
  <c r="L142" i="7" s="1"/>
  <c r="E142" i="7"/>
  <c r="F142" i="7" s="1"/>
  <c r="G142" i="7" s="1"/>
  <c r="H142" i="7" s="1"/>
  <c r="I142" i="7" s="1"/>
  <c r="D142" i="7"/>
  <c r="D141" i="7"/>
  <c r="E141" i="7" s="1"/>
  <c r="F141" i="7" s="1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F140" i="7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E140" i="7"/>
  <c r="D140" i="7"/>
  <c r="D139" i="7"/>
  <c r="E139" i="7" s="1"/>
  <c r="F139" i="7" s="1"/>
  <c r="G139" i="7" s="1"/>
  <c r="H139" i="7" s="1"/>
  <c r="I139" i="7" s="1"/>
  <c r="J139" i="7" s="1"/>
  <c r="K139" i="7" s="1"/>
  <c r="L139" i="7" s="1"/>
  <c r="M139" i="7" s="1"/>
  <c r="N139" i="7" s="1"/>
  <c r="O139" i="7" s="1"/>
  <c r="P139" i="7" s="1"/>
  <c r="Q139" i="7" s="1"/>
  <c r="R139" i="7" s="1"/>
  <c r="S139" i="7" s="1"/>
  <c r="T139" i="7" s="1"/>
  <c r="U139" i="7" s="1"/>
  <c r="V139" i="7" s="1"/>
  <c r="W139" i="7" s="1"/>
  <c r="X139" i="7" s="1"/>
  <c r="Y139" i="7" s="1"/>
  <c r="Z139" i="7" s="1"/>
  <c r="AA139" i="7" s="1"/>
  <c r="AB139" i="7" s="1"/>
  <c r="AC139" i="7" s="1"/>
  <c r="AD139" i="7" s="1"/>
  <c r="AE139" i="7" s="1"/>
  <c r="AF139" i="7" s="1"/>
  <c r="B139" i="7" s="1"/>
  <c r="M137" i="7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B137" i="7" s="1"/>
  <c r="J137" i="7"/>
  <c r="K137" i="7" s="1"/>
  <c r="L137" i="7" s="1"/>
  <c r="F137" i="7"/>
  <c r="G137" i="7" s="1"/>
  <c r="H137" i="7" s="1"/>
  <c r="I137" i="7" s="1"/>
  <c r="E137" i="7"/>
  <c r="D137" i="7"/>
  <c r="I136" i="7"/>
  <c r="J136" i="7" s="1"/>
  <c r="K136" i="7" s="1"/>
  <c r="L136" i="7" s="1"/>
  <c r="M136" i="7" s="1"/>
  <c r="N136" i="7" s="1"/>
  <c r="O136" i="7" s="1"/>
  <c r="P136" i="7" s="1"/>
  <c r="Q136" i="7" s="1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B136" i="7" s="1"/>
  <c r="H136" i="7"/>
  <c r="E136" i="7"/>
  <c r="F136" i="7" s="1"/>
  <c r="G136" i="7" s="1"/>
  <c r="D136" i="7"/>
  <c r="E135" i="7"/>
  <c r="F135" i="7" s="1"/>
  <c r="G135" i="7" s="1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B135" i="7" s="1"/>
  <c r="D135" i="7"/>
  <c r="D134" i="7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F133" i="7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E133" i="7"/>
  <c r="D133" i="7"/>
  <c r="E132" i="7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D132" i="7"/>
  <c r="E131" i="7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D131" i="7"/>
  <c r="E130" i="7"/>
  <c r="F130" i="7" s="1"/>
  <c r="G130" i="7" s="1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AC130" i="7" s="1"/>
  <c r="AD130" i="7" s="1"/>
  <c r="AE130" i="7" s="1"/>
  <c r="AF130" i="7" s="1"/>
  <c r="B130" i="7" s="1"/>
  <c r="D130" i="7"/>
  <c r="G128" i="7"/>
  <c r="H128" i="7" s="1"/>
  <c r="I128" i="7" s="1"/>
  <c r="J128" i="7" s="1"/>
  <c r="K128" i="7" s="1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F128" i="7"/>
  <c r="E128" i="7"/>
  <c r="D128" i="7"/>
  <c r="J127" i="7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B127" i="7" s="1"/>
  <c r="E127" i="7"/>
  <c r="F127" i="7" s="1"/>
  <c r="G127" i="7" s="1"/>
  <c r="H127" i="7" s="1"/>
  <c r="I127" i="7" s="1"/>
  <c r="D127" i="7"/>
  <c r="D126" i="7"/>
  <c r="E126" i="7" s="1"/>
  <c r="F126" i="7" s="1"/>
  <c r="G126" i="7" s="1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B126" i="7" s="1"/>
  <c r="F125" i="7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E125" i="7"/>
  <c r="D125" i="7"/>
  <c r="D124" i="7"/>
  <c r="E124" i="7" s="1"/>
  <c r="F124" i="7" s="1"/>
  <c r="G124" i="7" s="1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J123" i="7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E123" i="7"/>
  <c r="F123" i="7" s="1"/>
  <c r="G123" i="7" s="1"/>
  <c r="H123" i="7" s="1"/>
  <c r="I123" i="7" s="1"/>
  <c r="D123" i="7"/>
  <c r="D122" i="7"/>
  <c r="E122" i="7" s="1"/>
  <c r="F122" i="7" s="1"/>
  <c r="G122" i="7" s="1"/>
  <c r="H122" i="7" s="1"/>
  <c r="I122" i="7" s="1"/>
  <c r="J122" i="7" s="1"/>
  <c r="K122" i="7" s="1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D121" i="7"/>
  <c r="E121" i="7" s="1"/>
  <c r="F121" i="7" s="1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B121" i="7" s="1"/>
  <c r="D120" i="7"/>
  <c r="E120" i="7" s="1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E119" i="7"/>
  <c r="F119" i="7" s="1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D119" i="7"/>
  <c r="D118" i="7"/>
  <c r="E118" i="7" s="1"/>
  <c r="F118" i="7" s="1"/>
  <c r="G118" i="7" s="1"/>
  <c r="H118" i="7" s="1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F117" i="7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D117" i="7"/>
  <c r="E117" i="7" s="1"/>
  <c r="E116" i="7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D116" i="7"/>
  <c r="E115" i="7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D115" i="7"/>
  <c r="D114" i="7"/>
  <c r="E114" i="7" s="1"/>
  <c r="F114" i="7" s="1"/>
  <c r="G114" i="7" s="1"/>
  <c r="H114" i="7" s="1"/>
  <c r="I114" i="7" s="1"/>
  <c r="J114" i="7" s="1"/>
  <c r="K114" i="7" s="1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N113" i="7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L113" i="7"/>
  <c r="M113" i="7" s="1"/>
  <c r="K113" i="7"/>
  <c r="F113" i="7"/>
  <c r="G113" i="7" s="1"/>
  <c r="H113" i="7" s="1"/>
  <c r="I113" i="7" s="1"/>
  <c r="E113" i="7"/>
  <c r="D113" i="7"/>
  <c r="D112" i="7"/>
  <c r="E112" i="7" s="1"/>
  <c r="F112" i="7" s="1"/>
  <c r="G112" i="7" s="1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I111" i="7"/>
  <c r="J111" i="7" s="1"/>
  <c r="K111" i="7" s="1"/>
  <c r="L111" i="7" s="1"/>
  <c r="M111" i="7" s="1"/>
  <c r="N111" i="7" s="1"/>
  <c r="O111" i="7" s="1"/>
  <c r="P111" i="7" s="1"/>
  <c r="Q111" i="7" s="1"/>
  <c r="R111" i="7" s="1"/>
  <c r="S111" i="7" s="1"/>
  <c r="T111" i="7" s="1"/>
  <c r="U111" i="7" s="1"/>
  <c r="V111" i="7" s="1"/>
  <c r="W111" i="7" s="1"/>
  <c r="X111" i="7" s="1"/>
  <c r="Y111" i="7" s="1"/>
  <c r="Z111" i="7" s="1"/>
  <c r="AA111" i="7" s="1"/>
  <c r="AB111" i="7" s="1"/>
  <c r="AC111" i="7" s="1"/>
  <c r="AD111" i="7" s="1"/>
  <c r="AE111" i="7" s="1"/>
  <c r="AF111" i="7" s="1"/>
  <c r="B111" i="7" s="1"/>
  <c r="D111" i="7"/>
  <c r="E111" i="7" s="1"/>
  <c r="F111" i="7" s="1"/>
  <c r="G111" i="7" s="1"/>
  <c r="H111" i="7" s="1"/>
  <c r="E109" i="7"/>
  <c r="F109" i="7" s="1"/>
  <c r="G109" i="7" s="1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D109" i="7"/>
  <c r="E108" i="7"/>
  <c r="F108" i="7" s="1"/>
  <c r="G108" i="7" s="1"/>
  <c r="H108" i="7" s="1"/>
  <c r="I108" i="7" s="1"/>
  <c r="J108" i="7" s="1"/>
  <c r="K108" i="7" s="1"/>
  <c r="L108" i="7" s="1"/>
  <c r="M108" i="7" s="1"/>
  <c r="N108" i="7" s="1"/>
  <c r="O108" i="7" s="1"/>
  <c r="P108" i="7" s="1"/>
  <c r="Q108" i="7" s="1"/>
  <c r="R108" i="7" s="1"/>
  <c r="S108" i="7" s="1"/>
  <c r="T108" i="7" s="1"/>
  <c r="U108" i="7" s="1"/>
  <c r="V108" i="7" s="1"/>
  <c r="W108" i="7" s="1"/>
  <c r="X108" i="7" s="1"/>
  <c r="Y108" i="7" s="1"/>
  <c r="Z108" i="7" s="1"/>
  <c r="AA108" i="7" s="1"/>
  <c r="AB108" i="7" s="1"/>
  <c r="AC108" i="7" s="1"/>
  <c r="AD108" i="7" s="1"/>
  <c r="AE108" i="7" s="1"/>
  <c r="AF108" i="7" s="1"/>
  <c r="B108" i="7" s="1"/>
  <c r="D108" i="7"/>
  <c r="D106" i="7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V106" i="7" s="1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I105" i="7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D105" i="7"/>
  <c r="E105" i="7" s="1"/>
  <c r="F105" i="7" s="1"/>
  <c r="G105" i="7" s="1"/>
  <c r="H105" i="7" s="1"/>
  <c r="E104" i="7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4" i="7"/>
  <c r="E103" i="7"/>
  <c r="F103" i="7" s="1"/>
  <c r="G103" i="7" s="1"/>
  <c r="H103" i="7" s="1"/>
  <c r="I103" i="7" s="1"/>
  <c r="J103" i="7" s="1"/>
  <c r="K103" i="7" s="1"/>
  <c r="L103" i="7" s="1"/>
  <c r="M103" i="7" s="1"/>
  <c r="N103" i="7" s="1"/>
  <c r="O103" i="7" s="1"/>
  <c r="P103" i="7" s="1"/>
  <c r="Q103" i="7" s="1"/>
  <c r="R103" i="7" s="1"/>
  <c r="S103" i="7" s="1"/>
  <c r="T103" i="7" s="1"/>
  <c r="U103" i="7" s="1"/>
  <c r="V103" i="7" s="1"/>
  <c r="W103" i="7" s="1"/>
  <c r="X103" i="7" s="1"/>
  <c r="Y103" i="7" s="1"/>
  <c r="Z103" i="7" s="1"/>
  <c r="AA103" i="7" s="1"/>
  <c r="AB103" i="7" s="1"/>
  <c r="AC103" i="7" s="1"/>
  <c r="AD103" i="7" s="1"/>
  <c r="AE103" i="7" s="1"/>
  <c r="AF103" i="7" s="1"/>
  <c r="B103" i="7" s="1"/>
  <c r="D103" i="7"/>
  <c r="D102" i="7"/>
  <c r="E102" i="7" s="1"/>
  <c r="D101" i="7"/>
  <c r="AH98" i="7"/>
  <c r="AI98" i="7" s="1"/>
  <c r="AH97" i="7"/>
  <c r="AI97" i="7" s="1"/>
  <c r="AH96" i="7"/>
  <c r="AI96" i="7" s="1"/>
  <c r="AH95" i="7"/>
  <c r="AI95" i="7" s="1"/>
  <c r="AH94" i="7"/>
  <c r="AI94" i="7" s="1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F80" i="7"/>
  <c r="AE80" i="7"/>
  <c r="AD80" i="7"/>
  <c r="AC80" i="7"/>
  <c r="AB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F79" i="7"/>
  <c r="AE79" i="7"/>
  <c r="AD79" i="7"/>
  <c r="AC79" i="7"/>
  <c r="AB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F78" i="7"/>
  <c r="AE78" i="7"/>
  <c r="AD78" i="7"/>
  <c r="AC78" i="7"/>
  <c r="AB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F77" i="7"/>
  <c r="AE77" i="7"/>
  <c r="AD77" i="7"/>
  <c r="AC77" i="7"/>
  <c r="AB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F76" i="7"/>
  <c r="AE76" i="7"/>
  <c r="AD76" i="7"/>
  <c r="AC76" i="7"/>
  <c r="AC82" i="7" s="1"/>
  <c r="AB76" i="7"/>
  <c r="X76" i="7"/>
  <c r="X82" i="7" s="1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I74" i="7"/>
  <c r="AH74" i="7"/>
  <c r="AG72" i="7"/>
  <c r="AF72" i="7"/>
  <c r="AE72" i="7"/>
  <c r="AD72" i="7"/>
  <c r="AC72" i="7"/>
  <c r="AB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I71" i="7"/>
  <c r="AH71" i="7"/>
  <c r="AI70" i="7"/>
  <c r="AH70" i="7"/>
  <c r="AI69" i="7"/>
  <c r="AH69" i="7"/>
  <c r="AG68" i="7"/>
  <c r="AF68" i="7"/>
  <c r="AE68" i="7"/>
  <c r="AD5" i="7" s="1"/>
  <c r="AD68" i="7"/>
  <c r="AC68" i="7"/>
  <c r="AB5" i="7" s="1"/>
  <c r="AB68" i="7"/>
  <c r="AA5" i="7" s="1"/>
  <c r="X5" i="7"/>
  <c r="X68" i="7"/>
  <c r="W5" i="7" s="1"/>
  <c r="W68" i="7"/>
  <c r="V5" i="7" s="1"/>
  <c r="V68" i="7"/>
  <c r="U68" i="7"/>
  <c r="T5" i="7" s="1"/>
  <c r="T68" i="7"/>
  <c r="S68" i="7"/>
  <c r="R68" i="7"/>
  <c r="Q5" i="7" s="1"/>
  <c r="Q68" i="7"/>
  <c r="P5" i="7" s="1"/>
  <c r="P68" i="7"/>
  <c r="O5" i="7" s="1"/>
  <c r="O68" i="7"/>
  <c r="N5" i="7" s="1"/>
  <c r="N68" i="7"/>
  <c r="M68" i="7"/>
  <c r="L5" i="7" s="1"/>
  <c r="L68" i="7"/>
  <c r="K5" i="7" s="1"/>
  <c r="K68" i="7"/>
  <c r="J5" i="7" s="1"/>
  <c r="J68" i="7"/>
  <c r="I68" i="7"/>
  <c r="H68" i="7"/>
  <c r="G5" i="7" s="1"/>
  <c r="G68" i="7"/>
  <c r="F5" i="7" s="1"/>
  <c r="F68" i="7"/>
  <c r="E68" i="7"/>
  <c r="D5" i="7" s="1"/>
  <c r="D68" i="7"/>
  <c r="C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G56" i="7"/>
  <c r="AF56" i="7"/>
  <c r="AE56" i="7"/>
  <c r="AD56" i="7"/>
  <c r="AC56" i="7"/>
  <c r="AB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I55" i="7"/>
  <c r="AH55" i="7"/>
  <c r="AI54" i="7"/>
  <c r="AH54" i="7"/>
  <c r="AI53" i="7"/>
  <c r="AH53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G51" i="7"/>
  <c r="AG52" i="7" s="1"/>
  <c r="AG3" i="7" s="1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F38" i="7"/>
  <c r="AE38" i="7"/>
  <c r="AD38" i="7"/>
  <c r="AC38" i="7"/>
  <c r="AB38" i="7"/>
  <c r="Z38" i="7"/>
  <c r="X38" i="7"/>
  <c r="W38" i="7"/>
  <c r="V38" i="7"/>
  <c r="U38" i="7"/>
  <c r="T38" i="7"/>
  <c r="T73" i="7" s="1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F5" i="7"/>
  <c r="AE5" i="7"/>
  <c r="Z5" i="7"/>
  <c r="Y5" i="7"/>
  <c r="S5" i="7"/>
  <c r="R5" i="7"/>
  <c r="I5" i="7"/>
  <c r="H5" i="7"/>
  <c r="C5" i="7"/>
  <c r="B5" i="7"/>
  <c r="AG4" i="7"/>
  <c r="K4" i="7"/>
  <c r="AG2" i="7"/>
  <c r="AF95" i="6"/>
  <c r="AF37" i="6"/>
  <c r="AE37" i="6"/>
  <c r="AD37" i="6"/>
  <c r="AC37" i="6"/>
  <c r="AB95" i="6"/>
  <c r="AB37" i="6"/>
  <c r="E4" i="7"/>
  <c r="AF82" i="7" l="1"/>
  <c r="AE82" i="7"/>
  <c r="AD82" i="7"/>
  <c r="Z73" i="7"/>
  <c r="Z75" i="7"/>
  <c r="W82" i="7"/>
  <c r="V82" i="7"/>
  <c r="U82" i="7"/>
  <c r="T75" i="7"/>
  <c r="S75" i="7"/>
  <c r="S73" i="7"/>
  <c r="R82" i="7"/>
  <c r="Q82" i="7"/>
  <c r="Q73" i="7"/>
  <c r="P82" i="7"/>
  <c r="P75" i="7"/>
  <c r="O82" i="7"/>
  <c r="O73" i="7"/>
  <c r="N82" i="7"/>
  <c r="M82" i="7"/>
  <c r="M75" i="7"/>
  <c r="AE213" i="7" s="1"/>
  <c r="M73" i="7"/>
  <c r="L73" i="7"/>
  <c r="L75" i="7"/>
  <c r="AD213" i="7" s="1"/>
  <c r="K75" i="7"/>
  <c r="K73" i="7"/>
  <c r="J82" i="7"/>
  <c r="I82" i="7"/>
  <c r="G82" i="7"/>
  <c r="H75" i="7"/>
  <c r="Z213" i="7" s="1"/>
  <c r="H82" i="7"/>
  <c r="AI80" i="7"/>
  <c r="G73" i="7"/>
  <c r="I73" i="7"/>
  <c r="F82" i="7"/>
  <c r="E82" i="7"/>
  <c r="E75" i="7"/>
  <c r="W213" i="7" s="1"/>
  <c r="E73" i="7"/>
  <c r="D73" i="7"/>
  <c r="AI38" i="7"/>
  <c r="D75" i="7"/>
  <c r="AI78" i="7"/>
  <c r="B75" i="7"/>
  <c r="B73" i="7"/>
  <c r="B83" i="7" s="1"/>
  <c r="H4" i="7"/>
  <c r="AG6" i="7"/>
  <c r="N73" i="7"/>
  <c r="M5" i="7"/>
  <c r="H73" i="7"/>
  <c r="P73" i="7"/>
  <c r="P83" i="7" s="1"/>
  <c r="I75" i="7"/>
  <c r="AH80" i="7"/>
  <c r="D191" i="7"/>
  <c r="E101" i="7"/>
  <c r="AH38" i="7"/>
  <c r="AC5" i="7"/>
  <c r="AG73" i="7"/>
  <c r="AC213" i="7"/>
  <c r="K7" i="7"/>
  <c r="AG75" i="7"/>
  <c r="AG83" i="7" s="1"/>
  <c r="AI79" i="7"/>
  <c r="U5" i="7"/>
  <c r="J73" i="7"/>
  <c r="AI68" i="7"/>
  <c r="Q75" i="7"/>
  <c r="AI76" i="7"/>
  <c r="AI77" i="7"/>
  <c r="E93" i="7"/>
  <c r="J75" i="7"/>
  <c r="AK213" i="7"/>
  <c r="S7" i="7"/>
  <c r="C82" i="7"/>
  <c r="K82" i="7"/>
  <c r="K83" i="7" s="1"/>
  <c r="S82" i="7"/>
  <c r="S83" i="7" s="1"/>
  <c r="F102" i="7"/>
  <c r="F73" i="7"/>
  <c r="E5" i="7"/>
  <c r="R73" i="7"/>
  <c r="AH213" i="7"/>
  <c r="P7" i="7"/>
  <c r="AH76" i="7"/>
  <c r="AH79" i="7"/>
  <c r="R75" i="7"/>
  <c r="AH56" i="7"/>
  <c r="F75" i="7"/>
  <c r="N75" i="7"/>
  <c r="L7" i="7"/>
  <c r="AI56" i="7"/>
  <c r="G75" i="7"/>
  <c r="O75" i="7"/>
  <c r="O83" i="7" s="1"/>
  <c r="D82" i="7"/>
  <c r="L82" i="7"/>
  <c r="L83" i="7" s="1"/>
  <c r="T82" i="7"/>
  <c r="T83" i="7" s="1"/>
  <c r="AB82" i="7"/>
  <c r="D93" i="7"/>
  <c r="D210" i="7"/>
  <c r="S210" i="7"/>
  <c r="C73" i="7"/>
  <c r="C75" i="7" s="1"/>
  <c r="G193" i="7"/>
  <c r="AH68" i="7"/>
  <c r="AH72" i="7"/>
  <c r="AH77" i="7"/>
  <c r="AI72" i="7"/>
  <c r="AH78" i="7"/>
  <c r="F198" i="7"/>
  <c r="E194" i="7"/>
  <c r="F194" i="7" s="1"/>
  <c r="G194" i="7" s="1"/>
  <c r="H194" i="7" s="1"/>
  <c r="I194" i="7" s="1"/>
  <c r="J194" i="7" s="1"/>
  <c r="K194" i="7" s="1"/>
  <c r="L194" i="7" s="1"/>
  <c r="M194" i="7" s="1"/>
  <c r="N194" i="7" s="1"/>
  <c r="O194" i="7" s="1"/>
  <c r="P194" i="7" s="1"/>
  <c r="Q194" i="7" s="1"/>
  <c r="R194" i="7" s="1"/>
  <c r="S194" i="7" s="1"/>
  <c r="T194" i="7" s="1"/>
  <c r="U194" i="7" s="1"/>
  <c r="V194" i="7" s="1"/>
  <c r="W194" i="7" s="1"/>
  <c r="X194" i="7" s="1"/>
  <c r="Y194" i="7" s="1"/>
  <c r="Z194" i="7" s="1"/>
  <c r="AA194" i="7" s="1"/>
  <c r="AB194" i="7" s="1"/>
  <c r="AC194" i="7" s="1"/>
  <c r="AD194" i="7" s="1"/>
  <c r="AE194" i="7" s="1"/>
  <c r="AF194" i="7" s="1"/>
  <c r="B194" i="7" s="1"/>
  <c r="Z83" i="7" l="1"/>
  <c r="AL213" i="7"/>
  <c r="T7" i="7"/>
  <c r="R83" i="7"/>
  <c r="M7" i="7"/>
  <c r="M83" i="7"/>
  <c r="J83" i="7"/>
  <c r="H83" i="7"/>
  <c r="H7" i="7"/>
  <c r="G83" i="7"/>
  <c r="F83" i="7"/>
  <c r="E83" i="7"/>
  <c r="E7" i="7"/>
  <c r="AH82" i="7"/>
  <c r="V213" i="7"/>
  <c r="D7" i="7"/>
  <c r="AI82" i="7"/>
  <c r="G102" i="7"/>
  <c r="F93" i="7"/>
  <c r="AR213" i="7"/>
  <c r="Z7" i="7"/>
  <c r="C83" i="7"/>
  <c r="D83" i="7"/>
  <c r="U213" i="7"/>
  <c r="C7" i="7"/>
  <c r="AI213" i="7"/>
  <c r="Q7" i="7"/>
  <c r="AA213" i="7"/>
  <c r="I7" i="7"/>
  <c r="I83" i="7"/>
  <c r="AB213" i="7"/>
  <c r="J7" i="7"/>
  <c r="F199" i="7"/>
  <c r="E199" i="7"/>
  <c r="G199" i="7"/>
  <c r="H193" i="7"/>
  <c r="AF213" i="7"/>
  <c r="N7" i="7"/>
  <c r="Q83" i="7"/>
  <c r="N83" i="7"/>
  <c r="G198" i="7"/>
  <c r="E234" i="7"/>
  <c r="AG213" i="7"/>
  <c r="O7" i="7"/>
  <c r="X213" i="7"/>
  <c r="F7" i="7"/>
  <c r="B208" i="7"/>
  <c r="Y213" i="7"/>
  <c r="C208" i="7"/>
  <c r="G7" i="7"/>
  <c r="AJ213" i="7"/>
  <c r="R7" i="7"/>
  <c r="E191" i="7"/>
  <c r="F101" i="7"/>
  <c r="K6" i="7" l="1"/>
  <c r="I193" i="7"/>
  <c r="F234" i="7"/>
  <c r="H198" i="7"/>
  <c r="H102" i="7"/>
  <c r="G93" i="7"/>
  <c r="F191" i="7"/>
  <c r="G101" i="7"/>
  <c r="I198" i="7" l="1"/>
  <c r="G234" i="7"/>
  <c r="I102" i="7"/>
  <c r="H93" i="7"/>
  <c r="I199" i="7"/>
  <c r="J193" i="7"/>
  <c r="G191" i="7"/>
  <c r="H101" i="7"/>
  <c r="H199" i="7"/>
  <c r="I93" i="7" l="1"/>
  <c r="J102" i="7"/>
  <c r="K193" i="7"/>
  <c r="H191" i="7"/>
  <c r="I101" i="7"/>
  <c r="J198" i="7"/>
  <c r="H234" i="7"/>
  <c r="I191" i="7" l="1"/>
  <c r="J101" i="7"/>
  <c r="L193" i="7"/>
  <c r="K198" i="7"/>
  <c r="I234" i="7"/>
  <c r="J199" i="7"/>
  <c r="J93" i="7"/>
  <c r="K102" i="7"/>
  <c r="L198" i="7" l="1"/>
  <c r="J234" i="7"/>
  <c r="K199" i="7"/>
  <c r="M193" i="7"/>
  <c r="L199" i="7"/>
  <c r="J191" i="7"/>
  <c r="K101" i="7"/>
  <c r="K93" i="7"/>
  <c r="L102" i="7"/>
  <c r="N193" i="7" l="1"/>
  <c r="K191" i="7"/>
  <c r="L101" i="7"/>
  <c r="M102" i="7"/>
  <c r="L93" i="7"/>
  <c r="K234" i="7"/>
  <c r="M198" i="7"/>
  <c r="L234" i="7" l="1"/>
  <c r="N198" i="7"/>
  <c r="M93" i="7"/>
  <c r="N102" i="7"/>
  <c r="L191" i="7"/>
  <c r="M101" i="7"/>
  <c r="M199" i="7"/>
  <c r="O193" i="7"/>
  <c r="P193" i="7" l="1"/>
  <c r="M191" i="7"/>
  <c r="N101" i="7"/>
  <c r="O102" i="7"/>
  <c r="N93" i="7"/>
  <c r="M234" i="7"/>
  <c r="O198" i="7"/>
  <c r="N199" i="7"/>
  <c r="N234" i="7" l="1"/>
  <c r="P198" i="7"/>
  <c r="N191" i="7"/>
  <c r="O101" i="7"/>
  <c r="P199" i="7"/>
  <c r="Q193" i="7"/>
  <c r="P102" i="7"/>
  <c r="O93" i="7"/>
  <c r="O199" i="7"/>
  <c r="Q102" i="7" l="1"/>
  <c r="P93" i="7"/>
  <c r="Q198" i="7"/>
  <c r="O234" i="7"/>
  <c r="Q199" i="7"/>
  <c r="R193" i="7"/>
  <c r="O191" i="7"/>
  <c r="P101" i="7"/>
  <c r="S193" i="7" l="1"/>
  <c r="P191" i="7"/>
  <c r="Q101" i="7"/>
  <c r="R198" i="7"/>
  <c r="P234" i="7"/>
  <c r="Q93" i="7"/>
  <c r="R102" i="7"/>
  <c r="Q191" i="7" l="1"/>
  <c r="R101" i="7"/>
  <c r="R93" i="7"/>
  <c r="S102" i="7"/>
  <c r="S198" i="7"/>
  <c r="Q234" i="7"/>
  <c r="T193" i="7"/>
  <c r="S199" i="7"/>
  <c r="R199" i="7"/>
  <c r="S93" i="7" l="1"/>
  <c r="T102" i="7"/>
  <c r="R191" i="7"/>
  <c r="S101" i="7"/>
  <c r="U193" i="7"/>
  <c r="T198" i="7"/>
  <c r="R234" i="7"/>
  <c r="U198" i="7" l="1"/>
  <c r="S234" i="7"/>
  <c r="T199" i="7"/>
  <c r="V193" i="7"/>
  <c r="U199" i="7"/>
  <c r="U51" i="7" s="1"/>
  <c r="U52" i="7" s="1"/>
  <c r="S191" i="7"/>
  <c r="T101" i="7"/>
  <c r="U102" i="7"/>
  <c r="T93" i="7"/>
  <c r="U93" i="7" l="1"/>
  <c r="V102" i="7"/>
  <c r="T191" i="7"/>
  <c r="U101" i="7"/>
  <c r="U75" i="7"/>
  <c r="U73" i="7"/>
  <c r="U83" i="7" s="1"/>
  <c r="W193" i="7"/>
  <c r="V199" i="7"/>
  <c r="V51" i="7" s="1"/>
  <c r="V52" i="7" s="1"/>
  <c r="T234" i="7"/>
  <c r="V198" i="7"/>
  <c r="U234" i="7" l="1"/>
  <c r="W198" i="7"/>
  <c r="W102" i="7"/>
  <c r="V93" i="7"/>
  <c r="V75" i="7"/>
  <c r="V73" i="7"/>
  <c r="V83" i="7" s="1"/>
  <c r="X193" i="7"/>
  <c r="W199" i="7"/>
  <c r="W51" i="7" s="1"/>
  <c r="W52" i="7" s="1"/>
  <c r="AM213" i="7"/>
  <c r="U7" i="7"/>
  <c r="U191" i="7"/>
  <c r="V101" i="7"/>
  <c r="W73" i="7" l="1"/>
  <c r="W75" i="7"/>
  <c r="Y193" i="7"/>
  <c r="AN213" i="7"/>
  <c r="V7" i="7"/>
  <c r="V234" i="7"/>
  <c r="X198" i="7"/>
  <c r="V191" i="7"/>
  <c r="W101" i="7"/>
  <c r="X102" i="7"/>
  <c r="W93" i="7"/>
  <c r="Y198" i="7" l="1"/>
  <c r="W234" i="7"/>
  <c r="X199" i="7"/>
  <c r="X51" i="7" s="1"/>
  <c r="X52" i="7" s="1"/>
  <c r="Y199" i="7"/>
  <c r="Z193" i="7"/>
  <c r="Y102" i="7"/>
  <c r="X93" i="7"/>
  <c r="W191" i="7"/>
  <c r="X101" i="7"/>
  <c r="AO213" i="7"/>
  <c r="W7" i="7"/>
  <c r="W83" i="7"/>
  <c r="AA193" i="7" l="1"/>
  <c r="Z102" i="7"/>
  <c r="X75" i="7"/>
  <c r="X73" i="7"/>
  <c r="X191" i="7"/>
  <c r="Y101" i="7"/>
  <c r="Z198" i="7"/>
  <c r="X234" i="7"/>
  <c r="X83" i="7" l="1"/>
  <c r="AP213" i="7"/>
  <c r="X7" i="7"/>
  <c r="AQ213" i="7"/>
  <c r="Y7" i="7"/>
  <c r="Z93" i="7"/>
  <c r="AA102" i="7"/>
  <c r="AA198" i="7"/>
  <c r="Y234" i="7"/>
  <c r="Y191" i="7"/>
  <c r="Z101" i="7"/>
  <c r="AB193" i="7"/>
  <c r="Z199" i="7"/>
  <c r="AC193" i="7" l="1"/>
  <c r="AB198" i="7"/>
  <c r="Z234" i="7"/>
  <c r="AA199" i="7"/>
  <c r="Z191" i="7"/>
  <c r="AA101" i="7"/>
  <c r="AB102" i="7"/>
  <c r="AA191" i="7" l="1"/>
  <c r="AB101" i="7"/>
  <c r="AC198" i="7"/>
  <c r="AA234" i="7"/>
  <c r="AB199" i="7"/>
  <c r="AB51" i="7" s="1"/>
  <c r="AB52" i="7" s="1"/>
  <c r="AC102" i="7"/>
  <c r="AB93" i="7"/>
  <c r="AD193" i="7"/>
  <c r="AB73" i="7" l="1"/>
  <c r="AB75" i="7"/>
  <c r="AD198" i="7"/>
  <c r="AB234" i="7"/>
  <c r="AC199" i="7"/>
  <c r="AC51" i="7" s="1"/>
  <c r="AC52" i="7" s="1"/>
  <c r="AS213" i="7"/>
  <c r="AA7" i="7"/>
  <c r="AE193" i="7"/>
  <c r="AB191" i="7"/>
  <c r="AC101" i="7"/>
  <c r="AC93" i="7"/>
  <c r="AD102" i="7"/>
  <c r="AF193" i="7" l="1"/>
  <c r="AE102" i="7"/>
  <c r="AD93" i="7"/>
  <c r="AC75" i="7"/>
  <c r="AC73" i="7"/>
  <c r="AC191" i="7"/>
  <c r="AD101" i="7"/>
  <c r="AC234" i="7"/>
  <c r="AE198" i="7"/>
  <c r="AT213" i="7"/>
  <c r="AB7" i="7"/>
  <c r="AD199" i="7"/>
  <c r="AD51" i="7" s="1"/>
  <c r="AD52" i="7" s="1"/>
  <c r="AB83" i="7"/>
  <c r="AD191" i="7" l="1"/>
  <c r="AE101" i="7"/>
  <c r="AC83" i="7"/>
  <c r="AD73" i="7"/>
  <c r="AD75" i="7"/>
  <c r="AU213" i="7"/>
  <c r="AC7" i="7"/>
  <c r="AF102" i="7"/>
  <c r="AE93" i="7"/>
  <c r="AD234" i="7"/>
  <c r="AF198" i="7"/>
  <c r="AE199" i="7"/>
  <c r="AE51" i="7" s="1"/>
  <c r="AE52" i="7" s="1"/>
  <c r="AF199" i="7"/>
  <c r="AF51" i="7" s="1"/>
  <c r="AF52" i="7" s="1"/>
  <c r="B193" i="7"/>
  <c r="AE73" i="7" l="1"/>
  <c r="AE75" i="7"/>
  <c r="AF75" i="7"/>
  <c r="AF73" i="7"/>
  <c r="AF83" i="7" s="1"/>
  <c r="AD83" i="7"/>
  <c r="B198" i="7"/>
  <c r="AF234" i="7" s="1"/>
  <c r="AE234" i="7"/>
  <c r="B199" i="7"/>
  <c r="AV213" i="7"/>
  <c r="AD7" i="7"/>
  <c r="AE191" i="7"/>
  <c r="AF101" i="7"/>
  <c r="AF93" i="7"/>
  <c r="B102" i="7"/>
  <c r="AH93" i="7" l="1"/>
  <c r="AI93" i="7"/>
  <c r="AF191" i="7"/>
  <c r="B101" i="7"/>
  <c r="B191" i="7" s="1"/>
  <c r="AW213" i="7"/>
  <c r="AE7" i="7"/>
  <c r="AH51" i="7"/>
  <c r="AI51" i="7"/>
  <c r="AX213" i="7"/>
  <c r="AF7" i="7"/>
  <c r="AE83" i="7"/>
  <c r="AI52" i="7" l="1"/>
  <c r="AH52" i="7"/>
  <c r="AH73" i="7" l="1"/>
  <c r="AI73" i="7"/>
  <c r="T213" i="7"/>
  <c r="B7" i="7"/>
  <c r="A7" i="7" s="1"/>
  <c r="AH75" i="7"/>
  <c r="AI75" i="7"/>
  <c r="AI83" i="7" l="1"/>
  <c r="AH83" i="7"/>
  <c r="W37" i="6" l="1"/>
  <c r="R95" i="6" l="1"/>
  <c r="Q95" i="6" l="1"/>
  <c r="P95" i="6"/>
  <c r="O95" i="6"/>
  <c r="N95" i="6"/>
  <c r="AH99" i="6" l="1"/>
  <c r="AI99" i="6" s="1"/>
  <c r="AF238" i="6" l="1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C234" i="6"/>
  <c r="B234" i="6"/>
  <c r="S209" i="6"/>
  <c r="AG199" i="6"/>
  <c r="D199" i="6"/>
  <c r="C199" i="6"/>
  <c r="E198" i="6"/>
  <c r="D234" i="6" s="1"/>
  <c r="D198" i="6"/>
  <c r="E197" i="6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D197" i="6"/>
  <c r="O196" i="6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G196" i="6"/>
  <c r="H196" i="6" s="1"/>
  <c r="I196" i="6" s="1"/>
  <c r="J196" i="6" s="1"/>
  <c r="K196" i="6" s="1"/>
  <c r="L196" i="6" s="1"/>
  <c r="M196" i="6" s="1"/>
  <c r="N196" i="6" s="1"/>
  <c r="E196" i="6"/>
  <c r="F196" i="6" s="1"/>
  <c r="D196" i="6"/>
  <c r="E195" i="6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D195" i="6"/>
  <c r="K194" i="6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A194" i="6" s="1"/>
  <c r="AB194" i="6" s="1"/>
  <c r="AC194" i="6" s="1"/>
  <c r="AD194" i="6" s="1"/>
  <c r="AE194" i="6" s="1"/>
  <c r="AF194" i="6" s="1"/>
  <c r="B194" i="6" s="1"/>
  <c r="E194" i="6"/>
  <c r="F194" i="6" s="1"/>
  <c r="G194" i="6" s="1"/>
  <c r="H194" i="6" s="1"/>
  <c r="I194" i="6" s="1"/>
  <c r="J194" i="6" s="1"/>
  <c r="D194" i="6"/>
  <c r="D193" i="6"/>
  <c r="E193" i="6" s="1"/>
  <c r="AG191" i="6"/>
  <c r="C191" i="6"/>
  <c r="Z190" i="6"/>
  <c r="AA190" i="6" s="1"/>
  <c r="AB190" i="6" s="1"/>
  <c r="AC190" i="6" s="1"/>
  <c r="AD190" i="6" s="1"/>
  <c r="AE190" i="6" s="1"/>
  <c r="AF190" i="6" s="1"/>
  <c r="B190" i="6" s="1"/>
  <c r="J190" i="6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E190" i="6"/>
  <c r="F190" i="6" s="1"/>
  <c r="G190" i="6" s="1"/>
  <c r="H190" i="6" s="1"/>
  <c r="I190" i="6" s="1"/>
  <c r="D190" i="6"/>
  <c r="E189" i="6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D189" i="6"/>
  <c r="AC188" i="6"/>
  <c r="AD188" i="6" s="1"/>
  <c r="AE188" i="6" s="1"/>
  <c r="AF188" i="6" s="1"/>
  <c r="B188" i="6" s="1"/>
  <c r="M188" i="6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E188" i="6"/>
  <c r="F188" i="6" s="1"/>
  <c r="G188" i="6" s="1"/>
  <c r="H188" i="6" s="1"/>
  <c r="I188" i="6" s="1"/>
  <c r="J188" i="6" s="1"/>
  <c r="K188" i="6" s="1"/>
  <c r="L188" i="6" s="1"/>
  <c r="D188" i="6"/>
  <c r="I187" i="6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B187" i="6" s="1"/>
  <c r="D187" i="6"/>
  <c r="E187" i="6" s="1"/>
  <c r="F187" i="6" s="1"/>
  <c r="G187" i="6" s="1"/>
  <c r="H187" i="6" s="1"/>
  <c r="AA186" i="6"/>
  <c r="AB186" i="6" s="1"/>
  <c r="AC186" i="6" s="1"/>
  <c r="AD186" i="6" s="1"/>
  <c r="AE186" i="6" s="1"/>
  <c r="AF186" i="6" s="1"/>
  <c r="B186" i="6" s="1"/>
  <c r="Q186" i="6"/>
  <c r="R186" i="6" s="1"/>
  <c r="S186" i="6" s="1"/>
  <c r="T186" i="6" s="1"/>
  <c r="U186" i="6" s="1"/>
  <c r="V186" i="6" s="1"/>
  <c r="W186" i="6" s="1"/>
  <c r="X186" i="6" s="1"/>
  <c r="Y186" i="6" s="1"/>
  <c r="Z186" i="6" s="1"/>
  <c r="G186" i="6"/>
  <c r="H186" i="6" s="1"/>
  <c r="I186" i="6" s="1"/>
  <c r="J186" i="6" s="1"/>
  <c r="K186" i="6" s="1"/>
  <c r="L186" i="6" s="1"/>
  <c r="M186" i="6" s="1"/>
  <c r="N186" i="6" s="1"/>
  <c r="O186" i="6" s="1"/>
  <c r="P186" i="6" s="1"/>
  <c r="E186" i="6"/>
  <c r="F186" i="6" s="1"/>
  <c r="D186" i="6"/>
  <c r="P185" i="6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B185" i="6" s="1"/>
  <c r="F185" i="6"/>
  <c r="G185" i="6" s="1"/>
  <c r="H185" i="6" s="1"/>
  <c r="I185" i="6" s="1"/>
  <c r="J185" i="6" s="1"/>
  <c r="K185" i="6" s="1"/>
  <c r="L185" i="6" s="1"/>
  <c r="M185" i="6" s="1"/>
  <c r="N185" i="6" s="1"/>
  <c r="O185" i="6" s="1"/>
  <c r="E185" i="6"/>
  <c r="D185" i="6"/>
  <c r="E184" i="6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D184" i="6"/>
  <c r="E183" i="6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D183" i="6"/>
  <c r="E182" i="6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D182" i="6"/>
  <c r="V181" i="6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K181" i="6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E181" i="6"/>
  <c r="F181" i="6" s="1"/>
  <c r="G181" i="6" s="1"/>
  <c r="H181" i="6" s="1"/>
  <c r="I181" i="6" s="1"/>
  <c r="J181" i="6" s="1"/>
  <c r="D181" i="6"/>
  <c r="K180" i="6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D180" i="6"/>
  <c r="E180" i="6" s="1"/>
  <c r="F180" i="6" s="1"/>
  <c r="G180" i="6" s="1"/>
  <c r="H180" i="6" s="1"/>
  <c r="I180" i="6" s="1"/>
  <c r="J180" i="6" s="1"/>
  <c r="AC179" i="6"/>
  <c r="AD179" i="6" s="1"/>
  <c r="AE179" i="6" s="1"/>
  <c r="AF179" i="6" s="1"/>
  <c r="B179" i="6" s="1"/>
  <c r="D179" i="6"/>
  <c r="E179" i="6" s="1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Q178" i="6"/>
  <c r="R178" i="6" s="1"/>
  <c r="S178" i="6" s="1"/>
  <c r="T178" i="6" s="1"/>
  <c r="U178" i="6" s="1"/>
  <c r="V178" i="6" s="1"/>
  <c r="W178" i="6" s="1"/>
  <c r="X178" i="6" s="1"/>
  <c r="Y178" i="6" s="1"/>
  <c r="Z178" i="6" s="1"/>
  <c r="AA178" i="6" s="1"/>
  <c r="AB178" i="6" s="1"/>
  <c r="AC178" i="6" s="1"/>
  <c r="AD178" i="6" s="1"/>
  <c r="AE178" i="6" s="1"/>
  <c r="AF178" i="6" s="1"/>
  <c r="B178" i="6" s="1"/>
  <c r="J178" i="6"/>
  <c r="K178" i="6" s="1"/>
  <c r="L178" i="6" s="1"/>
  <c r="M178" i="6" s="1"/>
  <c r="N178" i="6" s="1"/>
  <c r="O178" i="6" s="1"/>
  <c r="P178" i="6" s="1"/>
  <c r="G178" i="6"/>
  <c r="H178" i="6" s="1"/>
  <c r="I178" i="6" s="1"/>
  <c r="E178" i="6"/>
  <c r="F178" i="6" s="1"/>
  <c r="D178" i="6"/>
  <c r="R176" i="6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E176" i="6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D176" i="6"/>
  <c r="S175" i="6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B175" i="6" s="1"/>
  <c r="D175" i="6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AF174" i="6"/>
  <c r="B174" i="6" s="1"/>
  <c r="I174" i="6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H174" i="6"/>
  <c r="F174" i="6"/>
  <c r="G174" i="6" s="1"/>
  <c r="E174" i="6"/>
  <c r="D174" i="6"/>
  <c r="D173" i="6"/>
  <c r="E173" i="6" s="1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73" i="6" s="1"/>
  <c r="M172" i="6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D172" i="6"/>
  <c r="E172" i="6" s="1"/>
  <c r="F172" i="6" s="1"/>
  <c r="G172" i="6" s="1"/>
  <c r="H172" i="6" s="1"/>
  <c r="I172" i="6" s="1"/>
  <c r="J172" i="6" s="1"/>
  <c r="K172" i="6" s="1"/>
  <c r="L172" i="6" s="1"/>
  <c r="R171" i="6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D171" i="6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E170" i="6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B170" i="6" s="1"/>
  <c r="D170" i="6"/>
  <c r="F169" i="6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A169" i="6" s="1"/>
  <c r="AB169" i="6" s="1"/>
  <c r="AC169" i="6" s="1"/>
  <c r="AD169" i="6" s="1"/>
  <c r="AE169" i="6" s="1"/>
  <c r="AF169" i="6" s="1"/>
  <c r="B169" i="6" s="1"/>
  <c r="D169" i="6"/>
  <c r="E169" i="6" s="1"/>
  <c r="D167" i="6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J166" i="6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B166" i="6" s="1"/>
  <c r="D166" i="6"/>
  <c r="E166" i="6" s="1"/>
  <c r="F166" i="6" s="1"/>
  <c r="G166" i="6" s="1"/>
  <c r="H166" i="6" s="1"/>
  <c r="I166" i="6" s="1"/>
  <c r="H165" i="6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B165" i="6" s="1"/>
  <c r="F165" i="6"/>
  <c r="G165" i="6" s="1"/>
  <c r="E165" i="6"/>
  <c r="D165" i="6"/>
  <c r="D164" i="6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D163" i="6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D162" i="6"/>
  <c r="E162" i="6" s="1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F161" i="6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B161" i="6" s="1"/>
  <c r="E161" i="6"/>
  <c r="D161" i="6"/>
  <c r="D160" i="6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J159" i="6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B159" i="6" s="1"/>
  <c r="D159" i="6"/>
  <c r="E159" i="6" s="1"/>
  <c r="F159" i="6" s="1"/>
  <c r="G159" i="6" s="1"/>
  <c r="H159" i="6" s="1"/>
  <c r="I159" i="6" s="1"/>
  <c r="H158" i="6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B158" i="6" s="1"/>
  <c r="D158" i="6"/>
  <c r="E158" i="6" s="1"/>
  <c r="F158" i="6" s="1"/>
  <c r="G158" i="6" s="1"/>
  <c r="H157" i="6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B157" i="6" s="1"/>
  <c r="F157" i="6"/>
  <c r="G157" i="6" s="1"/>
  <c r="E157" i="6"/>
  <c r="D157" i="6"/>
  <c r="F156" i="6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D156" i="6"/>
  <c r="E156" i="6" s="1"/>
  <c r="M155" i="6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B155" i="6" s="1"/>
  <c r="D155" i="6"/>
  <c r="E155" i="6" s="1"/>
  <c r="F155" i="6" s="1"/>
  <c r="G155" i="6" s="1"/>
  <c r="H155" i="6" s="1"/>
  <c r="I155" i="6" s="1"/>
  <c r="J155" i="6" s="1"/>
  <c r="K155" i="6" s="1"/>
  <c r="L155" i="6" s="1"/>
  <c r="X153" i="6"/>
  <c r="Y153" i="6" s="1"/>
  <c r="Z153" i="6" s="1"/>
  <c r="AA153" i="6" s="1"/>
  <c r="AB153" i="6" s="1"/>
  <c r="AC153" i="6" s="1"/>
  <c r="AD153" i="6" s="1"/>
  <c r="AE153" i="6" s="1"/>
  <c r="AF153" i="6" s="1"/>
  <c r="J153" i="6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H153" i="6"/>
  <c r="I153" i="6" s="1"/>
  <c r="D153" i="6"/>
  <c r="E153" i="6" s="1"/>
  <c r="F153" i="6" s="1"/>
  <c r="G153" i="6" s="1"/>
  <c r="B153" i="6"/>
  <c r="N152" i="6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B152" i="6" s="1"/>
  <c r="F152" i="6"/>
  <c r="G152" i="6" s="1"/>
  <c r="H152" i="6" s="1"/>
  <c r="I152" i="6" s="1"/>
  <c r="J152" i="6" s="1"/>
  <c r="K152" i="6" s="1"/>
  <c r="L152" i="6" s="1"/>
  <c r="M152" i="6" s="1"/>
  <c r="E152" i="6"/>
  <c r="D152" i="6"/>
  <c r="F151" i="6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D151" i="6"/>
  <c r="E151" i="6" s="1"/>
  <c r="D150" i="6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B150" i="6" s="1"/>
  <c r="X148" i="6"/>
  <c r="Y148" i="6" s="1"/>
  <c r="Z148" i="6" s="1"/>
  <c r="AA148" i="6" s="1"/>
  <c r="AB148" i="6" s="1"/>
  <c r="AC148" i="6" s="1"/>
  <c r="AD148" i="6" s="1"/>
  <c r="AE148" i="6" s="1"/>
  <c r="AF148" i="6" s="1"/>
  <c r="J148" i="6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H148" i="6"/>
  <c r="I148" i="6" s="1"/>
  <c r="D148" i="6"/>
  <c r="E148" i="6" s="1"/>
  <c r="F148" i="6" s="1"/>
  <c r="G148" i="6" s="1"/>
  <c r="B148" i="6"/>
  <c r="N147" i="6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B147" i="6" s="1"/>
  <c r="I147" i="6"/>
  <c r="J147" i="6" s="1"/>
  <c r="K147" i="6" s="1"/>
  <c r="L147" i="6" s="1"/>
  <c r="M147" i="6" s="1"/>
  <c r="H147" i="6"/>
  <c r="F147" i="6"/>
  <c r="G147" i="6" s="1"/>
  <c r="E147" i="6"/>
  <c r="D147" i="6"/>
  <c r="D145" i="6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B145" i="6" s="1"/>
  <c r="J144" i="6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F144" i="6"/>
  <c r="G144" i="6" s="1"/>
  <c r="H144" i="6" s="1"/>
  <c r="I144" i="6" s="1"/>
  <c r="E144" i="6"/>
  <c r="D144" i="6"/>
  <c r="H143" i="6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B143" i="6" s="1"/>
  <c r="D143" i="6"/>
  <c r="E143" i="6" s="1"/>
  <c r="F143" i="6" s="1"/>
  <c r="G143" i="6" s="1"/>
  <c r="X142" i="6"/>
  <c r="Y142" i="6" s="1"/>
  <c r="Z142" i="6" s="1"/>
  <c r="AA142" i="6" s="1"/>
  <c r="AB142" i="6" s="1"/>
  <c r="AC142" i="6" s="1"/>
  <c r="AD142" i="6" s="1"/>
  <c r="AE142" i="6" s="1"/>
  <c r="AF142" i="6" s="1"/>
  <c r="B142" i="6" s="1"/>
  <c r="F142" i="6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E142" i="6"/>
  <c r="D142" i="6"/>
  <c r="V141" i="6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B141" i="6" s="1"/>
  <c r="D141" i="6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I140" i="6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B140" i="6" s="1"/>
  <c r="D140" i="6"/>
  <c r="E140" i="6" s="1"/>
  <c r="F140" i="6" s="1"/>
  <c r="G140" i="6" s="1"/>
  <c r="H140" i="6" s="1"/>
  <c r="G139" i="6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B139" i="6" s="1"/>
  <c r="F139" i="6"/>
  <c r="D139" i="6"/>
  <c r="E139" i="6" s="1"/>
  <c r="E137" i="6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D137" i="6"/>
  <c r="G136" i="6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F136" i="6"/>
  <c r="D136" i="6"/>
  <c r="E136" i="6" s="1"/>
  <c r="F135" i="6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E135" i="6"/>
  <c r="D135" i="6"/>
  <c r="H134" i="6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E134" i="6"/>
  <c r="F134" i="6" s="1"/>
  <c r="G134" i="6" s="1"/>
  <c r="D134" i="6"/>
  <c r="K133" i="6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B133" i="6" s="1"/>
  <c r="F133" i="6"/>
  <c r="G133" i="6" s="1"/>
  <c r="H133" i="6" s="1"/>
  <c r="I133" i="6" s="1"/>
  <c r="J133" i="6" s="1"/>
  <c r="E133" i="6"/>
  <c r="D133" i="6"/>
  <c r="I132" i="6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B132" i="6" s="1"/>
  <c r="D132" i="6"/>
  <c r="E132" i="6" s="1"/>
  <c r="F132" i="6" s="1"/>
  <c r="G132" i="6" s="1"/>
  <c r="H132" i="6" s="1"/>
  <c r="G131" i="6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B131" i="6" s="1"/>
  <c r="F131" i="6"/>
  <c r="E131" i="6"/>
  <c r="D131" i="6"/>
  <c r="P130" i="6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B130" i="6" s="1"/>
  <c r="M130" i="6"/>
  <c r="N130" i="6" s="1"/>
  <c r="O130" i="6" s="1"/>
  <c r="H130" i="6"/>
  <c r="I130" i="6" s="1"/>
  <c r="J130" i="6" s="1"/>
  <c r="K130" i="6" s="1"/>
  <c r="L130" i="6" s="1"/>
  <c r="E130" i="6"/>
  <c r="F130" i="6" s="1"/>
  <c r="G130" i="6" s="1"/>
  <c r="D130" i="6"/>
  <c r="N128" i="6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K128" i="6"/>
  <c r="L128" i="6" s="1"/>
  <c r="M128" i="6" s="1"/>
  <c r="F128" i="6"/>
  <c r="G128" i="6" s="1"/>
  <c r="H128" i="6" s="1"/>
  <c r="I128" i="6" s="1"/>
  <c r="J128" i="6" s="1"/>
  <c r="E128" i="6"/>
  <c r="D128" i="6"/>
  <c r="I127" i="6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D127" i="6"/>
  <c r="E127" i="6" s="1"/>
  <c r="F127" i="6" s="1"/>
  <c r="G127" i="6" s="1"/>
  <c r="H127" i="6" s="1"/>
  <c r="G126" i="6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E126" i="6"/>
  <c r="F126" i="6" s="1"/>
  <c r="D126" i="6"/>
  <c r="F125" i="6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E125" i="6"/>
  <c r="D125" i="6"/>
  <c r="S124" i="6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N124" i="6"/>
  <c r="O124" i="6" s="1"/>
  <c r="P124" i="6" s="1"/>
  <c r="Q124" i="6" s="1"/>
  <c r="R124" i="6" s="1"/>
  <c r="E124" i="6"/>
  <c r="F124" i="6" s="1"/>
  <c r="G124" i="6" s="1"/>
  <c r="H124" i="6" s="1"/>
  <c r="I124" i="6" s="1"/>
  <c r="J124" i="6" s="1"/>
  <c r="K124" i="6" s="1"/>
  <c r="L124" i="6" s="1"/>
  <c r="M124" i="6" s="1"/>
  <c r="D124" i="6"/>
  <c r="L123" i="6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D123" i="6"/>
  <c r="E123" i="6" s="1"/>
  <c r="F123" i="6" s="1"/>
  <c r="G123" i="6" s="1"/>
  <c r="H123" i="6" s="1"/>
  <c r="I123" i="6" s="1"/>
  <c r="J123" i="6" s="1"/>
  <c r="K123" i="6" s="1"/>
  <c r="G122" i="6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E122" i="6"/>
  <c r="F122" i="6" s="1"/>
  <c r="D122" i="6"/>
  <c r="G121" i="6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B121" i="6" s="1"/>
  <c r="F121" i="6"/>
  <c r="E121" i="6"/>
  <c r="D121" i="6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D120" i="6"/>
  <c r="E119" i="6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D119" i="6"/>
  <c r="I118" i="6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B118" i="6" s="1"/>
  <c r="G118" i="6"/>
  <c r="H118" i="6" s="1"/>
  <c r="F118" i="6"/>
  <c r="E118" i="6"/>
  <c r="D118" i="6"/>
  <c r="D117" i="6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K116" i="6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J116" i="6"/>
  <c r="E116" i="6"/>
  <c r="F116" i="6" s="1"/>
  <c r="G116" i="6" s="1"/>
  <c r="H116" i="6" s="1"/>
  <c r="I116" i="6" s="1"/>
  <c r="D116" i="6"/>
  <c r="E115" i="6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B115" i="6" s="1"/>
  <c r="D115" i="6"/>
  <c r="D114" i="6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L113" i="6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K113" i="6"/>
  <c r="E113" i="6"/>
  <c r="F113" i="6" s="1"/>
  <c r="G113" i="6" s="1"/>
  <c r="H113" i="6" s="1"/>
  <c r="I113" i="6" s="1"/>
  <c r="D113" i="6"/>
  <c r="J112" i="6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I112" i="6"/>
  <c r="D112" i="6"/>
  <c r="E112" i="6" s="1"/>
  <c r="F112" i="6" s="1"/>
  <c r="G112" i="6" s="1"/>
  <c r="H112" i="6" s="1"/>
  <c r="H111" i="6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B111" i="6" s="1"/>
  <c r="G111" i="6"/>
  <c r="D111" i="6"/>
  <c r="E111" i="6" s="1"/>
  <c r="F111" i="6" s="1"/>
  <c r="E109" i="6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B109" i="6" s="1"/>
  <c r="D109" i="6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B108" i="6" s="1"/>
  <c r="D108" i="6"/>
  <c r="D106" i="6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G105" i="6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D105" i="6"/>
  <c r="E105" i="6" s="1"/>
  <c r="F105" i="6" s="1"/>
  <c r="F104" i="6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E104" i="6"/>
  <c r="D104" i="6"/>
  <c r="D103" i="6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B103" i="6" s="1"/>
  <c r="D102" i="6"/>
  <c r="E102" i="6" s="1"/>
  <c r="D101" i="6"/>
  <c r="AH98" i="6"/>
  <c r="AI98" i="6" s="1"/>
  <c r="AH97" i="6"/>
  <c r="AI97" i="6" s="1"/>
  <c r="AH96" i="6"/>
  <c r="AI96" i="6" s="1"/>
  <c r="AH95" i="6"/>
  <c r="AI95" i="6" s="1"/>
  <c r="AH94" i="6"/>
  <c r="AI94" i="6" s="1"/>
  <c r="D93" i="6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AI81" i="6"/>
  <c r="AH81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F76" i="6"/>
  <c r="AE76" i="6"/>
  <c r="AD76" i="6"/>
  <c r="AC76" i="6"/>
  <c r="AB76" i="6"/>
  <c r="AA76" i="6"/>
  <c r="Z76" i="6"/>
  <c r="Y76" i="6"/>
  <c r="Y82" i="6" s="1"/>
  <c r="X76" i="6"/>
  <c r="W76" i="6"/>
  <c r="V76" i="6"/>
  <c r="U76" i="6"/>
  <c r="T76" i="6"/>
  <c r="S76" i="6"/>
  <c r="S82" i="6" s="1"/>
  <c r="R76" i="6"/>
  <c r="Q76" i="6"/>
  <c r="Q82" i="6" s="1"/>
  <c r="P76" i="6"/>
  <c r="P82" i="6" s="1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I74" i="6"/>
  <c r="AH74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I71" i="6"/>
  <c r="AH71" i="6"/>
  <c r="AI70" i="6"/>
  <c r="AH70" i="6"/>
  <c r="AI69" i="6"/>
  <c r="AH69" i="6"/>
  <c r="AG68" i="6"/>
  <c r="AG73" i="6" s="1"/>
  <c r="AF68" i="6"/>
  <c r="AE68" i="6"/>
  <c r="AD68" i="6"/>
  <c r="AC68" i="6"/>
  <c r="AB5" i="6" s="1"/>
  <c r="AB68" i="6"/>
  <c r="AA68" i="6"/>
  <c r="Z68" i="6"/>
  <c r="Y5" i="6" s="1"/>
  <c r="Y68" i="6"/>
  <c r="X68" i="6"/>
  <c r="W68" i="6"/>
  <c r="V68" i="6"/>
  <c r="U5" i="6" s="1"/>
  <c r="U68" i="6"/>
  <c r="T68" i="6"/>
  <c r="S5" i="6" s="1"/>
  <c r="S68" i="6"/>
  <c r="R5" i="6" s="1"/>
  <c r="R68" i="6"/>
  <c r="Q5" i="6" s="1"/>
  <c r="Q68" i="6"/>
  <c r="P68" i="6"/>
  <c r="O68" i="6"/>
  <c r="N68" i="6"/>
  <c r="M68" i="6"/>
  <c r="L5" i="6" s="1"/>
  <c r="L68" i="6"/>
  <c r="K5" i="6" s="1"/>
  <c r="K68" i="6"/>
  <c r="J5" i="6" s="1"/>
  <c r="J68" i="6"/>
  <c r="I5" i="6" s="1"/>
  <c r="I68" i="6"/>
  <c r="H5" i="6" s="1"/>
  <c r="H68" i="6"/>
  <c r="G68" i="6"/>
  <c r="F5" i="6" s="1"/>
  <c r="F68" i="6"/>
  <c r="E5" i="6" s="1"/>
  <c r="E68" i="6"/>
  <c r="D5" i="6" s="1"/>
  <c r="D68" i="6"/>
  <c r="C5" i="6" s="1"/>
  <c r="C68" i="6"/>
  <c r="B5" i="6" s="1"/>
  <c r="B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I55" i="6"/>
  <c r="AH55" i="6"/>
  <c r="AI54" i="6"/>
  <c r="AH54" i="6"/>
  <c r="AI53" i="6"/>
  <c r="AH53" i="6"/>
  <c r="AG52" i="6"/>
  <c r="AG3" i="6" s="1"/>
  <c r="Z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G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F5" i="6"/>
  <c r="AD5" i="6"/>
  <c r="AC5" i="6"/>
  <c r="AA5" i="6"/>
  <c r="Z5" i="6"/>
  <c r="X5" i="6"/>
  <c r="V5" i="6"/>
  <c r="T5" i="6"/>
  <c r="P5" i="6"/>
  <c r="N5" i="6"/>
  <c r="M5" i="6"/>
  <c r="AG4" i="6"/>
  <c r="K4" i="6"/>
  <c r="S37" i="4"/>
  <c r="R37" i="4"/>
  <c r="Q37" i="4"/>
  <c r="P37" i="4"/>
  <c r="O37" i="4"/>
  <c r="N37" i="4"/>
  <c r="M95" i="4"/>
  <c r="M37" i="4"/>
  <c r="E4" i="6"/>
  <c r="AF82" i="6" l="1"/>
  <c r="AE82" i="6"/>
  <c r="AD82" i="6"/>
  <c r="AC82" i="6"/>
  <c r="AB82" i="6"/>
  <c r="AA82" i="6"/>
  <c r="Z82" i="6"/>
  <c r="Z75" i="6"/>
  <c r="AR213" i="6" s="1"/>
  <c r="Z73" i="6"/>
  <c r="Z83" i="6" s="1"/>
  <c r="X82" i="6"/>
  <c r="W82" i="6"/>
  <c r="V82" i="6"/>
  <c r="U82" i="6"/>
  <c r="T82" i="6"/>
  <c r="T73" i="6"/>
  <c r="S75" i="6"/>
  <c r="AK213" i="6" s="1"/>
  <c r="S73" i="6"/>
  <c r="S83" i="6" s="1"/>
  <c r="R82" i="6"/>
  <c r="R75" i="6"/>
  <c r="AJ213" i="6" s="1"/>
  <c r="R73" i="6"/>
  <c r="Q73" i="6"/>
  <c r="P73" i="6"/>
  <c r="P75" i="6"/>
  <c r="AH213" i="6" s="1"/>
  <c r="O82" i="6"/>
  <c r="O73" i="6"/>
  <c r="O75" i="6"/>
  <c r="N82" i="6"/>
  <c r="N73" i="6"/>
  <c r="N75" i="6"/>
  <c r="N7" i="6" s="1"/>
  <c r="M82" i="6"/>
  <c r="M75" i="6"/>
  <c r="AE213" i="6" s="1"/>
  <c r="M73" i="6"/>
  <c r="AI76" i="6"/>
  <c r="L82" i="6"/>
  <c r="L73" i="6"/>
  <c r="K82" i="6"/>
  <c r="K75" i="6"/>
  <c r="AC213" i="6" s="1"/>
  <c r="K73" i="6"/>
  <c r="J82" i="6"/>
  <c r="J75" i="6"/>
  <c r="AB213" i="6" s="1"/>
  <c r="J73" i="6"/>
  <c r="I82" i="6"/>
  <c r="AI79" i="6"/>
  <c r="G82" i="6"/>
  <c r="H75" i="6"/>
  <c r="Z213" i="6" s="1"/>
  <c r="H73" i="6"/>
  <c r="I73" i="6"/>
  <c r="AH56" i="6"/>
  <c r="G73" i="6"/>
  <c r="G75" i="6"/>
  <c r="F82" i="6"/>
  <c r="AH80" i="6"/>
  <c r="F73" i="6"/>
  <c r="F75" i="6"/>
  <c r="F7" i="6" s="1"/>
  <c r="E82" i="6"/>
  <c r="E75" i="6"/>
  <c r="E7" i="6" s="1"/>
  <c r="AI80" i="6"/>
  <c r="E73" i="6"/>
  <c r="D73" i="6"/>
  <c r="AH78" i="6"/>
  <c r="AI78" i="6"/>
  <c r="AI77" i="6"/>
  <c r="C82" i="6"/>
  <c r="C73" i="6"/>
  <c r="C75" i="6" s="1"/>
  <c r="U213" i="6" s="1"/>
  <c r="AH38" i="6"/>
  <c r="AH76" i="6"/>
  <c r="B82" i="6"/>
  <c r="AI56" i="6"/>
  <c r="H4" i="6"/>
  <c r="E93" i="6"/>
  <c r="F102" i="6"/>
  <c r="X213" i="6"/>
  <c r="AG6" i="6"/>
  <c r="G5" i="6"/>
  <c r="O5" i="6"/>
  <c r="W5" i="6"/>
  <c r="AE5" i="6"/>
  <c r="I75" i="6"/>
  <c r="Q75" i="6"/>
  <c r="AG75" i="6"/>
  <c r="AG83" i="6" s="1"/>
  <c r="H82" i="6"/>
  <c r="D191" i="6"/>
  <c r="E101" i="6"/>
  <c r="AI38" i="6"/>
  <c r="AH68" i="6"/>
  <c r="AH72" i="6"/>
  <c r="D75" i="6"/>
  <c r="L75" i="6"/>
  <c r="T75" i="6"/>
  <c r="AH77" i="6"/>
  <c r="AI68" i="6"/>
  <c r="AI72" i="6"/>
  <c r="D82" i="6"/>
  <c r="R7" i="6"/>
  <c r="AH79" i="6"/>
  <c r="S210" i="6"/>
  <c r="D210" i="6"/>
  <c r="F193" i="6"/>
  <c r="E199" i="6"/>
  <c r="F198" i="6"/>
  <c r="Z7" i="6" l="1"/>
  <c r="S7" i="6"/>
  <c r="T83" i="6"/>
  <c r="R83" i="6"/>
  <c r="Q83" i="6"/>
  <c r="P83" i="6"/>
  <c r="P7" i="6"/>
  <c r="O83" i="6"/>
  <c r="AG213" i="6"/>
  <c r="O7" i="6"/>
  <c r="N83" i="6"/>
  <c r="AF213" i="6"/>
  <c r="M7" i="6"/>
  <c r="M83" i="6"/>
  <c r="K83" i="6"/>
  <c r="K7" i="6"/>
  <c r="J83" i="6"/>
  <c r="J7" i="6"/>
  <c r="I83" i="6"/>
  <c r="H7" i="6"/>
  <c r="H83" i="6"/>
  <c r="G83" i="6"/>
  <c r="G7" i="6"/>
  <c r="Y213" i="6"/>
  <c r="F83" i="6"/>
  <c r="E83" i="6"/>
  <c r="W213" i="6"/>
  <c r="AI82" i="6"/>
  <c r="D83" i="6"/>
  <c r="C83" i="6"/>
  <c r="C7" i="6"/>
  <c r="AD213" i="6"/>
  <c r="L7" i="6"/>
  <c r="V213" i="6"/>
  <c r="D7" i="6"/>
  <c r="AH82" i="6"/>
  <c r="B208" i="6"/>
  <c r="E234" i="6"/>
  <c r="G198" i="6"/>
  <c r="C208" i="6"/>
  <c r="G193" i="6"/>
  <c r="F199" i="6"/>
  <c r="E191" i="6"/>
  <c r="F101" i="6"/>
  <c r="G102" i="6"/>
  <c r="F93" i="6"/>
  <c r="AI213" i="6"/>
  <c r="Q7" i="6"/>
  <c r="AL213" i="6"/>
  <c r="T7" i="6"/>
  <c r="AA213" i="6"/>
  <c r="I7" i="6"/>
  <c r="L83" i="6"/>
  <c r="K6" i="6" l="1"/>
  <c r="F234" i="6"/>
  <c r="H198" i="6"/>
  <c r="H102" i="6"/>
  <c r="G93" i="6"/>
  <c r="F191" i="6"/>
  <c r="G101" i="6"/>
  <c r="H193" i="6"/>
  <c r="G199" i="6"/>
  <c r="G191" i="6" l="1"/>
  <c r="H101" i="6"/>
  <c r="I102" i="6"/>
  <c r="H93" i="6"/>
  <c r="G234" i="6"/>
  <c r="I198" i="6"/>
  <c r="H199" i="6"/>
  <c r="I193" i="6"/>
  <c r="I93" i="6" l="1"/>
  <c r="J102" i="6"/>
  <c r="H191" i="6"/>
  <c r="I101" i="6"/>
  <c r="H234" i="6"/>
  <c r="J198" i="6"/>
  <c r="I199" i="6"/>
  <c r="J193" i="6"/>
  <c r="I234" i="6" l="1"/>
  <c r="K198" i="6"/>
  <c r="I191" i="6"/>
  <c r="J101" i="6"/>
  <c r="J93" i="6"/>
  <c r="K102" i="6"/>
  <c r="J199" i="6"/>
  <c r="K193" i="6"/>
  <c r="K199" i="6" l="1"/>
  <c r="L193" i="6"/>
  <c r="K93" i="6"/>
  <c r="L102" i="6"/>
  <c r="J191" i="6"/>
  <c r="K101" i="6"/>
  <c r="J234" i="6"/>
  <c r="L198" i="6"/>
  <c r="K234" i="6" l="1"/>
  <c r="M198" i="6"/>
  <c r="K191" i="6"/>
  <c r="L101" i="6"/>
  <c r="M102" i="6"/>
  <c r="L93" i="6"/>
  <c r="M193" i="6"/>
  <c r="L199" i="6"/>
  <c r="N102" i="6" l="1"/>
  <c r="M93" i="6"/>
  <c r="L191" i="6"/>
  <c r="M101" i="6"/>
  <c r="L234" i="6"/>
  <c r="N198" i="6"/>
  <c r="N193" i="6"/>
  <c r="M199" i="6"/>
  <c r="O193" i="6" l="1"/>
  <c r="N199" i="6"/>
  <c r="M234" i="6"/>
  <c r="O198" i="6"/>
  <c r="M191" i="6"/>
  <c r="N101" i="6"/>
  <c r="O102" i="6"/>
  <c r="N93" i="6"/>
  <c r="N191" i="6" l="1"/>
  <c r="O101" i="6"/>
  <c r="P102" i="6"/>
  <c r="O93" i="6"/>
  <c r="N234" i="6"/>
  <c r="P198" i="6"/>
  <c r="P193" i="6"/>
  <c r="O199" i="6"/>
  <c r="O234" i="6" l="1"/>
  <c r="Q198" i="6"/>
  <c r="Q102" i="6"/>
  <c r="P93" i="6"/>
  <c r="O191" i="6"/>
  <c r="P101" i="6"/>
  <c r="P199" i="6"/>
  <c r="Q193" i="6"/>
  <c r="Q199" i="6" l="1"/>
  <c r="R193" i="6"/>
  <c r="P191" i="6"/>
  <c r="Q101" i="6"/>
  <c r="Q93" i="6"/>
  <c r="R102" i="6"/>
  <c r="P234" i="6"/>
  <c r="R198" i="6"/>
  <c r="R93" i="6" l="1"/>
  <c r="S102" i="6"/>
  <c r="Q234" i="6"/>
  <c r="S198" i="6"/>
  <c r="Q191" i="6"/>
  <c r="R101" i="6"/>
  <c r="R199" i="6"/>
  <c r="S193" i="6"/>
  <c r="S199" i="6" l="1"/>
  <c r="T193" i="6"/>
  <c r="R191" i="6"/>
  <c r="S101" i="6"/>
  <c r="R234" i="6"/>
  <c r="T198" i="6"/>
  <c r="S93" i="6"/>
  <c r="T102" i="6"/>
  <c r="U102" i="6" l="1"/>
  <c r="T93" i="6"/>
  <c r="S234" i="6"/>
  <c r="U198" i="6"/>
  <c r="S191" i="6"/>
  <c r="T101" i="6"/>
  <c r="U193" i="6"/>
  <c r="T199" i="6"/>
  <c r="T191" i="6" l="1"/>
  <c r="U101" i="6"/>
  <c r="V193" i="6"/>
  <c r="U199" i="6"/>
  <c r="U51" i="6" s="1"/>
  <c r="U52" i="6" s="1"/>
  <c r="T234" i="6"/>
  <c r="V198" i="6"/>
  <c r="V102" i="6"/>
  <c r="U93" i="6"/>
  <c r="U75" i="6" l="1"/>
  <c r="U73" i="6"/>
  <c r="U83" i="6" s="1"/>
  <c r="U234" i="6"/>
  <c r="W198" i="6"/>
  <c r="W102" i="6"/>
  <c r="V93" i="6"/>
  <c r="W193" i="6"/>
  <c r="V199" i="6"/>
  <c r="V51" i="6" s="1"/>
  <c r="V52" i="6" s="1"/>
  <c r="U191" i="6"/>
  <c r="V101" i="6"/>
  <c r="V73" i="6" l="1"/>
  <c r="V75" i="6"/>
  <c r="X102" i="6"/>
  <c r="W93" i="6"/>
  <c r="X193" i="6"/>
  <c r="W199" i="6"/>
  <c r="W51" i="6" s="1"/>
  <c r="W52" i="6" s="1"/>
  <c r="V234" i="6"/>
  <c r="X198" i="6"/>
  <c r="V191" i="6"/>
  <c r="W101" i="6"/>
  <c r="AM213" i="6"/>
  <c r="U7" i="6"/>
  <c r="W73" i="6" l="1"/>
  <c r="W75" i="6"/>
  <c r="W234" i="6"/>
  <c r="Y198" i="6"/>
  <c r="X199" i="6"/>
  <c r="X51" i="6" s="1"/>
  <c r="X52" i="6" s="1"/>
  <c r="Y193" i="6"/>
  <c r="Y102" i="6"/>
  <c r="X93" i="6"/>
  <c r="W191" i="6"/>
  <c r="X101" i="6"/>
  <c r="AN213" i="6"/>
  <c r="V7" i="6"/>
  <c r="V83" i="6"/>
  <c r="Y199" i="6" l="1"/>
  <c r="Y52" i="6" s="1"/>
  <c r="Z193" i="6"/>
  <c r="X75" i="6"/>
  <c r="X73" i="6"/>
  <c r="X83" i="6" s="1"/>
  <c r="Z102" i="6"/>
  <c r="Y93" i="6"/>
  <c r="X234" i="6"/>
  <c r="Z198" i="6"/>
  <c r="X191" i="6"/>
  <c r="Y101" i="6"/>
  <c r="AO213" i="6"/>
  <c r="W7" i="6"/>
  <c r="W83" i="6"/>
  <c r="Y234" i="6" l="1"/>
  <c r="AA198" i="6"/>
  <c r="AP213" i="6"/>
  <c r="X7" i="6"/>
  <c r="AA102" i="6"/>
  <c r="Z93" i="6"/>
  <c r="Y191" i="6"/>
  <c r="Z101" i="6"/>
  <c r="Z199" i="6"/>
  <c r="AA193" i="6"/>
  <c r="Y73" i="6"/>
  <c r="Y75" i="6"/>
  <c r="Y83" i="6" l="1"/>
  <c r="Z191" i="6"/>
  <c r="AA101" i="6"/>
  <c r="AQ213" i="6"/>
  <c r="Y7" i="6"/>
  <c r="AA199" i="6"/>
  <c r="AA51" i="6" s="1"/>
  <c r="AA52" i="6" s="1"/>
  <c r="AB193" i="6"/>
  <c r="Z234" i="6"/>
  <c r="AB198" i="6"/>
  <c r="AA93" i="6"/>
  <c r="AB102" i="6"/>
  <c r="AB199" i="6" l="1"/>
  <c r="AB51" i="6" s="1"/>
  <c r="AB52" i="6" s="1"/>
  <c r="AC193" i="6"/>
  <c r="AA75" i="6"/>
  <c r="AA73" i="6"/>
  <c r="AA83" i="6" s="1"/>
  <c r="AC102" i="6"/>
  <c r="AB93" i="6"/>
  <c r="AA191" i="6"/>
  <c r="AB101" i="6"/>
  <c r="AA234" i="6"/>
  <c r="AC198" i="6"/>
  <c r="AS213" i="6" l="1"/>
  <c r="AA7" i="6"/>
  <c r="AD102" i="6"/>
  <c r="AC93" i="6"/>
  <c r="AB234" i="6"/>
  <c r="AD198" i="6"/>
  <c r="AD193" i="6"/>
  <c r="AC199" i="6"/>
  <c r="AC51" i="6" s="1"/>
  <c r="AC52" i="6" s="1"/>
  <c r="AB191" i="6"/>
  <c r="AC101" i="6"/>
  <c r="AB73" i="6"/>
  <c r="AB75" i="6"/>
  <c r="AC75" i="6" l="1"/>
  <c r="AC73" i="6"/>
  <c r="AC83" i="6" s="1"/>
  <c r="AT213" i="6"/>
  <c r="AB7" i="6"/>
  <c r="AE193" i="6"/>
  <c r="AD199" i="6"/>
  <c r="AD51" i="6" s="1"/>
  <c r="AD52" i="6" s="1"/>
  <c r="AB83" i="6"/>
  <c r="AE102" i="6"/>
  <c r="AD93" i="6"/>
  <c r="AC191" i="6"/>
  <c r="AD101" i="6"/>
  <c r="AC234" i="6"/>
  <c r="AE198" i="6"/>
  <c r="AF193" i="6" l="1"/>
  <c r="AE199" i="6"/>
  <c r="AE51" i="6" s="1"/>
  <c r="AE52" i="6" s="1"/>
  <c r="AD234" i="6"/>
  <c r="AF198" i="6"/>
  <c r="AD191" i="6"/>
  <c r="AE101" i="6"/>
  <c r="AD73" i="6"/>
  <c r="AD75" i="6"/>
  <c r="AF102" i="6"/>
  <c r="AE93" i="6"/>
  <c r="AU213" i="6"/>
  <c r="AC7" i="6"/>
  <c r="AD83" i="6" l="1"/>
  <c r="AE191" i="6"/>
  <c r="AF101" i="6"/>
  <c r="AV213" i="6"/>
  <c r="AD7" i="6"/>
  <c r="AE234" i="6"/>
  <c r="B198" i="6"/>
  <c r="AF234" i="6" s="1"/>
  <c r="AE73" i="6"/>
  <c r="AE75" i="6"/>
  <c r="AF93" i="6"/>
  <c r="B102" i="6"/>
  <c r="AF199" i="6"/>
  <c r="AF51" i="6" s="1"/>
  <c r="AF52" i="6" s="1"/>
  <c r="B193" i="6"/>
  <c r="AE83" i="6" l="1"/>
  <c r="B199" i="6"/>
  <c r="AF75" i="6"/>
  <c r="AF73" i="6"/>
  <c r="B93" i="6"/>
  <c r="AF191" i="6"/>
  <c r="B101" i="6"/>
  <c r="B191" i="6" s="1"/>
  <c r="AW213" i="6"/>
  <c r="AE7" i="6"/>
  <c r="AI93" i="6"/>
  <c r="AH93" i="6"/>
  <c r="AF83" i="6" l="1"/>
  <c r="AX213" i="6"/>
  <c r="AF7" i="6"/>
  <c r="AH51" i="6"/>
  <c r="AI51" i="6"/>
  <c r="B52" i="6"/>
  <c r="AI52" i="6" l="1"/>
  <c r="AH52" i="6"/>
  <c r="B75" i="6"/>
  <c r="B73" i="6"/>
  <c r="AI73" i="6" l="1"/>
  <c r="AH73" i="6"/>
  <c r="B83" i="6"/>
  <c r="T213" i="6"/>
  <c r="B7" i="6"/>
  <c r="A7" i="6" s="1"/>
  <c r="AI75" i="6"/>
  <c r="AH75" i="6"/>
  <c r="AI83" i="6" l="1"/>
  <c r="AH83" i="6"/>
  <c r="L37" i="4" l="1"/>
  <c r="E37" i="4" l="1"/>
  <c r="F37" i="4"/>
  <c r="G37" i="4"/>
  <c r="H37" i="4"/>
  <c r="D37" i="4"/>
  <c r="AH99" i="4"/>
  <c r="AI99" i="4" s="1"/>
  <c r="B4" i="4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B235" i="5"/>
  <c r="S210" i="5"/>
  <c r="AG200" i="5"/>
  <c r="C200" i="5"/>
  <c r="D199" i="5"/>
  <c r="C235" i="5" s="1"/>
  <c r="F198" i="5"/>
  <c r="G198" i="5" s="1"/>
  <c r="H198" i="5" s="1"/>
  <c r="I198" i="5" s="1"/>
  <c r="J198" i="5" s="1"/>
  <c r="K198" i="5" s="1"/>
  <c r="L198" i="5" s="1"/>
  <c r="M198" i="5" s="1"/>
  <c r="N198" i="5" s="1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B198" i="5" s="1"/>
  <c r="D198" i="5"/>
  <c r="E198" i="5" s="1"/>
  <c r="I197" i="5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 s="1"/>
  <c r="D197" i="5"/>
  <c r="E197" i="5" s="1"/>
  <c r="F197" i="5" s="1"/>
  <c r="G197" i="5" s="1"/>
  <c r="H197" i="5" s="1"/>
  <c r="D196" i="5"/>
  <c r="E196" i="5" s="1"/>
  <c r="F196" i="5" s="1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E195" i="5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5" i="5"/>
  <c r="F194" i="5"/>
  <c r="G194" i="5" s="1"/>
  <c r="E194" i="5"/>
  <c r="D194" i="5"/>
  <c r="AG192" i="5"/>
  <c r="C192" i="5"/>
  <c r="I191" i="5"/>
  <c r="J191" i="5" s="1"/>
  <c r="K191" i="5" s="1"/>
  <c r="L191" i="5" s="1"/>
  <c r="M191" i="5" s="1"/>
  <c r="N191" i="5" s="1"/>
  <c r="O191" i="5" s="1"/>
  <c r="P191" i="5" s="1"/>
  <c r="Q191" i="5" s="1"/>
  <c r="R191" i="5" s="1"/>
  <c r="S191" i="5" s="1"/>
  <c r="T191" i="5" s="1"/>
  <c r="U191" i="5" s="1"/>
  <c r="V191" i="5" s="1"/>
  <c r="W191" i="5" s="1"/>
  <c r="X191" i="5" s="1"/>
  <c r="Y191" i="5" s="1"/>
  <c r="Z191" i="5" s="1"/>
  <c r="AA191" i="5" s="1"/>
  <c r="AB191" i="5" s="1"/>
  <c r="AC191" i="5" s="1"/>
  <c r="AD191" i="5" s="1"/>
  <c r="AE191" i="5" s="1"/>
  <c r="AF191" i="5" s="1"/>
  <c r="B191" i="5" s="1"/>
  <c r="D191" i="5"/>
  <c r="E191" i="5" s="1"/>
  <c r="F191" i="5" s="1"/>
  <c r="G191" i="5" s="1"/>
  <c r="H191" i="5" s="1"/>
  <c r="E190" i="5"/>
  <c r="F190" i="5" s="1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D190" i="5"/>
  <c r="E189" i="5"/>
  <c r="F189" i="5" s="1"/>
  <c r="G189" i="5" s="1"/>
  <c r="H189" i="5" s="1"/>
  <c r="I189" i="5" s="1"/>
  <c r="J189" i="5" s="1"/>
  <c r="K189" i="5" s="1"/>
  <c r="L189" i="5" s="1"/>
  <c r="M189" i="5" s="1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D189" i="5"/>
  <c r="D188" i="5"/>
  <c r="E188" i="5" s="1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G187" i="5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D187" i="5"/>
  <c r="E187" i="5" s="1"/>
  <c r="F187" i="5" s="1"/>
  <c r="D186" i="5"/>
  <c r="E186" i="5" s="1"/>
  <c r="F186" i="5" s="1"/>
  <c r="G186" i="5" s="1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X186" i="5" s="1"/>
  <c r="Y186" i="5" s="1"/>
  <c r="Z186" i="5" s="1"/>
  <c r="AA186" i="5" s="1"/>
  <c r="AB186" i="5" s="1"/>
  <c r="AC186" i="5" s="1"/>
  <c r="AD186" i="5" s="1"/>
  <c r="AE186" i="5" s="1"/>
  <c r="AF186" i="5" s="1"/>
  <c r="B186" i="5" s="1"/>
  <c r="E185" i="5"/>
  <c r="F185" i="5" s="1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D185" i="5"/>
  <c r="D184" i="5"/>
  <c r="E184" i="5" s="1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3" i="5"/>
  <c r="E183" i="5" s="1"/>
  <c r="F183" i="5" s="1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J182" i="5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E182" i="5"/>
  <c r="F182" i="5" s="1"/>
  <c r="G182" i="5" s="1"/>
  <c r="H182" i="5" s="1"/>
  <c r="I182" i="5" s="1"/>
  <c r="D182" i="5"/>
  <c r="D181" i="5"/>
  <c r="E181" i="5" s="1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D180" i="5"/>
  <c r="E180" i="5" s="1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F179" i="5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D179" i="5"/>
  <c r="E179" i="5" s="1"/>
  <c r="D177" i="5"/>
  <c r="E177" i="5" s="1"/>
  <c r="F177" i="5" s="1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B177" i="5" s="1"/>
  <c r="E176" i="5"/>
  <c r="F176" i="5" s="1"/>
  <c r="G176" i="5" s="1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D176" i="5"/>
  <c r="I175" i="5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D175" i="5"/>
  <c r="E175" i="5" s="1"/>
  <c r="F175" i="5" s="1"/>
  <c r="G175" i="5" s="1"/>
  <c r="H175" i="5" s="1"/>
  <c r="F174" i="5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S174" i="5" s="1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D174" i="5"/>
  <c r="E174" i="5" s="1"/>
  <c r="D173" i="5"/>
  <c r="E173" i="5" s="1"/>
  <c r="F173" i="5" s="1"/>
  <c r="G173" i="5" s="1"/>
  <c r="H173" i="5" s="1"/>
  <c r="I173" i="5" s="1"/>
  <c r="J173" i="5" s="1"/>
  <c r="K173" i="5" s="1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E172" i="5"/>
  <c r="F172" i="5" s="1"/>
  <c r="G172" i="5" s="1"/>
  <c r="H172" i="5" s="1"/>
  <c r="I172" i="5" s="1"/>
  <c r="J172" i="5" s="1"/>
  <c r="K172" i="5" s="1"/>
  <c r="L172" i="5" s="1"/>
  <c r="M172" i="5" s="1"/>
  <c r="N172" i="5" s="1"/>
  <c r="O172" i="5" s="1"/>
  <c r="P172" i="5" s="1"/>
  <c r="Q172" i="5" s="1"/>
  <c r="R172" i="5" s="1"/>
  <c r="S172" i="5" s="1"/>
  <c r="T172" i="5" s="1"/>
  <c r="U172" i="5" s="1"/>
  <c r="V172" i="5" s="1"/>
  <c r="W172" i="5" s="1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D172" i="5"/>
  <c r="D171" i="5"/>
  <c r="E171" i="5" s="1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F170" i="5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D170" i="5"/>
  <c r="E170" i="5" s="1"/>
  <c r="I168" i="5"/>
  <c r="J168" i="5" s="1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B168" i="5" s="1"/>
  <c r="D168" i="5"/>
  <c r="E168" i="5" s="1"/>
  <c r="F168" i="5" s="1"/>
  <c r="G168" i="5" s="1"/>
  <c r="H168" i="5" s="1"/>
  <c r="E167" i="5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D167" i="5"/>
  <c r="D166" i="5"/>
  <c r="E166" i="5" s="1"/>
  <c r="F166" i="5" s="1"/>
  <c r="G166" i="5" s="1"/>
  <c r="H166" i="5" s="1"/>
  <c r="I166" i="5" s="1"/>
  <c r="J166" i="5" s="1"/>
  <c r="K166" i="5" s="1"/>
  <c r="L166" i="5" s="1"/>
  <c r="M166" i="5" s="1"/>
  <c r="N166" i="5" s="1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AD166" i="5" s="1"/>
  <c r="AE166" i="5" s="1"/>
  <c r="AF166" i="5" s="1"/>
  <c r="B166" i="5" s="1"/>
  <c r="D165" i="5"/>
  <c r="E165" i="5" s="1"/>
  <c r="F165" i="5" s="1"/>
  <c r="G165" i="5" s="1"/>
  <c r="H165" i="5" s="1"/>
  <c r="I165" i="5" s="1"/>
  <c r="J165" i="5" s="1"/>
  <c r="K165" i="5" s="1"/>
  <c r="L165" i="5" s="1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D164" i="5"/>
  <c r="E164" i="5" s="1"/>
  <c r="F164" i="5" s="1"/>
  <c r="G164" i="5" s="1"/>
  <c r="H164" i="5" s="1"/>
  <c r="I164" i="5" s="1"/>
  <c r="J164" i="5" s="1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B164" i="5" s="1"/>
  <c r="D163" i="5"/>
  <c r="E163" i="5" s="1"/>
  <c r="F163" i="5" s="1"/>
  <c r="G163" i="5" s="1"/>
  <c r="H163" i="5" s="1"/>
  <c r="I163" i="5" s="1"/>
  <c r="J163" i="5" s="1"/>
  <c r="K163" i="5" s="1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D162" i="5"/>
  <c r="E162" i="5" s="1"/>
  <c r="F162" i="5" s="1"/>
  <c r="G162" i="5" s="1"/>
  <c r="H162" i="5" s="1"/>
  <c r="I162" i="5" s="1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W162" i="5" s="1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F161" i="5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E161" i="5"/>
  <c r="D161" i="5"/>
  <c r="F160" i="5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D160" i="5"/>
  <c r="E160" i="5" s="1"/>
  <c r="D159" i="5"/>
  <c r="E159" i="5" s="1"/>
  <c r="F159" i="5" s="1"/>
  <c r="G159" i="5" s="1"/>
  <c r="H159" i="5" s="1"/>
  <c r="I159" i="5" s="1"/>
  <c r="J159" i="5" s="1"/>
  <c r="K159" i="5" s="1"/>
  <c r="L159" i="5" s="1"/>
  <c r="M159" i="5" s="1"/>
  <c r="N159" i="5" s="1"/>
  <c r="O159" i="5" s="1"/>
  <c r="P159" i="5" s="1"/>
  <c r="Q159" i="5" s="1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D158" i="5"/>
  <c r="E158" i="5" s="1"/>
  <c r="F158" i="5" s="1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D157" i="5"/>
  <c r="E157" i="5" s="1"/>
  <c r="F157" i="5" s="1"/>
  <c r="G157" i="5" s="1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F156" i="5"/>
  <c r="G156" i="5" s="1"/>
  <c r="H156" i="5" s="1"/>
  <c r="I156" i="5" s="1"/>
  <c r="J156" i="5" s="1"/>
  <c r="K156" i="5" s="1"/>
  <c r="L156" i="5" s="1"/>
  <c r="M156" i="5" s="1"/>
  <c r="N156" i="5" s="1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D156" i="5"/>
  <c r="E156" i="5" s="1"/>
  <c r="E154" i="5"/>
  <c r="F154" i="5" s="1"/>
  <c r="G154" i="5" s="1"/>
  <c r="H154" i="5" s="1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Y154" i="5" s="1"/>
  <c r="Z154" i="5" s="1"/>
  <c r="AA154" i="5" s="1"/>
  <c r="AB154" i="5" s="1"/>
  <c r="AC154" i="5" s="1"/>
  <c r="AD154" i="5" s="1"/>
  <c r="AE154" i="5" s="1"/>
  <c r="AF154" i="5" s="1"/>
  <c r="B154" i="5" s="1"/>
  <c r="D154" i="5"/>
  <c r="E153" i="5"/>
  <c r="F153" i="5" s="1"/>
  <c r="G153" i="5" s="1"/>
  <c r="H153" i="5" s="1"/>
  <c r="I153" i="5" s="1"/>
  <c r="J153" i="5" s="1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D153" i="5"/>
  <c r="D152" i="5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D151" i="5"/>
  <c r="E151" i="5" s="1"/>
  <c r="F151" i="5" s="1"/>
  <c r="G151" i="5" s="1"/>
  <c r="H151" i="5" s="1"/>
  <c r="I151" i="5" s="1"/>
  <c r="J151" i="5" s="1"/>
  <c r="K151" i="5" s="1"/>
  <c r="L151" i="5" s="1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W151" i="5" s="1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D149" i="5"/>
  <c r="E149" i="5" s="1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B149" i="5" s="1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E146" i="5"/>
  <c r="F146" i="5" s="1"/>
  <c r="G146" i="5" s="1"/>
  <c r="H146" i="5" s="1"/>
  <c r="I146" i="5" s="1"/>
  <c r="J146" i="5" s="1"/>
  <c r="K146" i="5" s="1"/>
  <c r="L146" i="5" s="1"/>
  <c r="M146" i="5" s="1"/>
  <c r="N146" i="5" s="1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B146" i="5" s="1"/>
  <c r="D146" i="5"/>
  <c r="F145" i="5"/>
  <c r="G145" i="5" s="1"/>
  <c r="H145" i="5" s="1"/>
  <c r="I145" i="5" s="1"/>
  <c r="J145" i="5" s="1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D145" i="5"/>
  <c r="E145" i="5" s="1"/>
  <c r="D144" i="5"/>
  <c r="E144" i="5" s="1"/>
  <c r="F144" i="5" s="1"/>
  <c r="G144" i="5" s="1"/>
  <c r="H144" i="5" s="1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D143" i="5"/>
  <c r="E143" i="5" s="1"/>
  <c r="F143" i="5" s="1"/>
  <c r="G143" i="5" s="1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D142" i="5"/>
  <c r="E142" i="5" s="1"/>
  <c r="F142" i="5" s="1"/>
  <c r="G142" i="5" s="1"/>
  <c r="H142" i="5" s="1"/>
  <c r="I142" i="5" s="1"/>
  <c r="J142" i="5" s="1"/>
  <c r="K142" i="5" s="1"/>
  <c r="L142" i="5" s="1"/>
  <c r="M142" i="5" s="1"/>
  <c r="N142" i="5" s="1"/>
  <c r="O142" i="5" s="1"/>
  <c r="P142" i="5" s="1"/>
  <c r="Q142" i="5" s="1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F141" i="5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D141" i="5"/>
  <c r="E141" i="5" s="1"/>
  <c r="F140" i="5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D140" i="5"/>
  <c r="E140" i="5" s="1"/>
  <c r="D138" i="5"/>
  <c r="E138" i="5" s="1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B138" i="5" s="1"/>
  <c r="D137" i="5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D136" i="5"/>
  <c r="E136" i="5" s="1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F135" i="5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D135" i="5"/>
  <c r="E135" i="5" s="1"/>
  <c r="E134" i="5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D134" i="5"/>
  <c r="D133" i="5"/>
  <c r="E133" i="5" s="1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F132" i="5"/>
  <c r="G132" i="5" s="1"/>
  <c r="H132" i="5" s="1"/>
  <c r="I132" i="5" s="1"/>
  <c r="J132" i="5" s="1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E132" i="5"/>
  <c r="D132" i="5"/>
  <c r="D131" i="5"/>
  <c r="E131" i="5" s="1"/>
  <c r="F131" i="5" s="1"/>
  <c r="G131" i="5" s="1"/>
  <c r="H131" i="5" s="1"/>
  <c r="I131" i="5" s="1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D129" i="5"/>
  <c r="E129" i="5" s="1"/>
  <c r="F129" i="5" s="1"/>
  <c r="G129" i="5" s="1"/>
  <c r="H129" i="5" s="1"/>
  <c r="I129" i="5" s="1"/>
  <c r="J129" i="5" s="1"/>
  <c r="K129" i="5" s="1"/>
  <c r="L129" i="5" s="1"/>
  <c r="M129" i="5" s="1"/>
  <c r="N129" i="5" s="1"/>
  <c r="O129" i="5" s="1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B129" i="5" s="1"/>
  <c r="D128" i="5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T128" i="5" s="1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D127" i="5"/>
  <c r="E127" i="5" s="1"/>
  <c r="F127" i="5" s="1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D126" i="5"/>
  <c r="E126" i="5" s="1"/>
  <c r="F126" i="5" s="1"/>
  <c r="G126" i="5" s="1"/>
  <c r="H126" i="5" s="1"/>
  <c r="I126" i="5" s="1"/>
  <c r="J126" i="5" s="1"/>
  <c r="K126" i="5" s="1"/>
  <c r="L126" i="5" s="1"/>
  <c r="M126" i="5" s="1"/>
  <c r="N126" i="5" s="1"/>
  <c r="O126" i="5" s="1"/>
  <c r="P126" i="5" s="1"/>
  <c r="Q126" i="5" s="1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D125" i="5"/>
  <c r="E125" i="5" s="1"/>
  <c r="F125" i="5" s="1"/>
  <c r="G125" i="5" s="1"/>
  <c r="H125" i="5" s="1"/>
  <c r="I125" i="5" s="1"/>
  <c r="J125" i="5" s="1"/>
  <c r="K125" i="5" s="1"/>
  <c r="L125" i="5" s="1"/>
  <c r="M125" i="5" s="1"/>
  <c r="N125" i="5" s="1"/>
  <c r="O125" i="5" s="1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D124" i="5"/>
  <c r="E124" i="5" s="1"/>
  <c r="F124" i="5" s="1"/>
  <c r="G124" i="5" s="1"/>
  <c r="H124" i="5" s="1"/>
  <c r="I124" i="5" s="1"/>
  <c r="J124" i="5" s="1"/>
  <c r="K124" i="5" s="1"/>
  <c r="L124" i="5" s="1"/>
  <c r="M124" i="5" s="1"/>
  <c r="N124" i="5" s="1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AD124" i="5" s="1"/>
  <c r="AE124" i="5" s="1"/>
  <c r="AF124" i="5" s="1"/>
  <c r="B124" i="5" s="1"/>
  <c r="E123" i="5"/>
  <c r="F123" i="5" s="1"/>
  <c r="G123" i="5" s="1"/>
  <c r="H123" i="5" s="1"/>
  <c r="I123" i="5" s="1"/>
  <c r="J123" i="5" s="1"/>
  <c r="K123" i="5" s="1"/>
  <c r="L123" i="5" s="1"/>
  <c r="M123" i="5" s="1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D123" i="5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R122" i="5" s="1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E121" i="5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D121" i="5"/>
  <c r="D120" i="5"/>
  <c r="E120" i="5" s="1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D119" i="5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D117" i="5"/>
  <c r="E117" i="5" s="1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D116" i="5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D115" i="5"/>
  <c r="E115" i="5" s="1"/>
  <c r="F115" i="5" s="1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K114" i="5"/>
  <c r="L114" i="5" s="1"/>
  <c r="M114" i="5" s="1"/>
  <c r="N114" i="5" s="1"/>
  <c r="O114" i="5" s="1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E114" i="5"/>
  <c r="F114" i="5" s="1"/>
  <c r="G114" i="5" s="1"/>
  <c r="H114" i="5" s="1"/>
  <c r="I114" i="5" s="1"/>
  <c r="D114" i="5"/>
  <c r="D113" i="5"/>
  <c r="E113" i="5" s="1"/>
  <c r="F113" i="5" s="1"/>
  <c r="G113" i="5" s="1"/>
  <c r="H113" i="5" s="1"/>
  <c r="I113" i="5" s="1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E112" i="5"/>
  <c r="F112" i="5" s="1"/>
  <c r="G112" i="5" s="1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D112" i="5"/>
  <c r="D110" i="5"/>
  <c r="E110" i="5" s="1"/>
  <c r="F110" i="5" s="1"/>
  <c r="G110" i="5" s="1"/>
  <c r="H110" i="5" s="1"/>
  <c r="I110" i="5" s="1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B110" i="5" s="1"/>
  <c r="D109" i="5"/>
  <c r="E109" i="5" s="1"/>
  <c r="F109" i="5" s="1"/>
  <c r="G109" i="5" s="1"/>
  <c r="H109" i="5" s="1"/>
  <c r="I109" i="5" s="1"/>
  <c r="J109" i="5" s="1"/>
  <c r="K109" i="5" s="1"/>
  <c r="L109" i="5" s="1"/>
  <c r="M109" i="5" s="1"/>
  <c r="N109" i="5" s="1"/>
  <c r="O109" i="5" s="1"/>
  <c r="P109" i="5" s="1"/>
  <c r="Q109" i="5" s="1"/>
  <c r="R109" i="5" s="1"/>
  <c r="S109" i="5" s="1"/>
  <c r="T109" i="5" s="1"/>
  <c r="U109" i="5" s="1"/>
  <c r="V109" i="5" s="1"/>
  <c r="W109" i="5" s="1"/>
  <c r="X109" i="5" s="1"/>
  <c r="Y109" i="5" s="1"/>
  <c r="Z109" i="5" s="1"/>
  <c r="AA109" i="5" s="1"/>
  <c r="AB109" i="5" s="1"/>
  <c r="AC109" i="5" s="1"/>
  <c r="AD109" i="5" s="1"/>
  <c r="AE109" i="5" s="1"/>
  <c r="AF109" i="5" s="1"/>
  <c r="B109" i="5" s="1"/>
  <c r="D107" i="5"/>
  <c r="E107" i="5" s="1"/>
  <c r="F107" i="5" s="1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B107" i="5" s="1"/>
  <c r="D106" i="5"/>
  <c r="E106" i="5" s="1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D105" i="5"/>
  <c r="E105" i="5" s="1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F104" i="5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E104" i="5"/>
  <c r="D104" i="5"/>
  <c r="D103" i="5"/>
  <c r="E103" i="5" s="1"/>
  <c r="D102" i="5"/>
  <c r="E102" i="5" s="1"/>
  <c r="AI98" i="5"/>
  <c r="AH98" i="5"/>
  <c r="AI97" i="5"/>
  <c r="AH97" i="5"/>
  <c r="AH96" i="5"/>
  <c r="AI96" i="5" s="1"/>
  <c r="AH95" i="5"/>
  <c r="AI95" i="5" s="1"/>
  <c r="AH94" i="5"/>
  <c r="AI94" i="5" s="1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G82" i="5"/>
  <c r="AI81" i="5"/>
  <c r="AH81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F79" i="5"/>
  <c r="AE79" i="5"/>
  <c r="AD79" i="5"/>
  <c r="AC79" i="5"/>
  <c r="AB79" i="5"/>
  <c r="AA79" i="5"/>
  <c r="Z79" i="5"/>
  <c r="Y79" i="5"/>
  <c r="X79" i="5"/>
  <c r="X82" i="5" s="1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F76" i="5"/>
  <c r="AE76" i="5"/>
  <c r="AD76" i="5"/>
  <c r="AC76" i="5"/>
  <c r="AB76" i="5"/>
  <c r="AA76" i="5"/>
  <c r="Z76" i="5"/>
  <c r="Z82" i="5" s="1"/>
  <c r="Y76" i="5"/>
  <c r="X76" i="5"/>
  <c r="W76" i="5"/>
  <c r="V76" i="5"/>
  <c r="U76" i="5"/>
  <c r="T76" i="5"/>
  <c r="S76" i="5"/>
  <c r="R76" i="5"/>
  <c r="R82" i="5" s="1"/>
  <c r="Q76" i="5"/>
  <c r="P76" i="5"/>
  <c r="P82" i="5" s="1"/>
  <c r="O76" i="5"/>
  <c r="N76" i="5"/>
  <c r="M76" i="5"/>
  <c r="L76" i="5"/>
  <c r="K76" i="5"/>
  <c r="J76" i="5"/>
  <c r="J82" i="5" s="1"/>
  <c r="I76" i="5"/>
  <c r="I82" i="5" s="1"/>
  <c r="H76" i="5"/>
  <c r="G76" i="5"/>
  <c r="F76" i="5"/>
  <c r="E76" i="5"/>
  <c r="D76" i="5"/>
  <c r="C76" i="5"/>
  <c r="B76" i="5"/>
  <c r="AI74" i="5"/>
  <c r="AH74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I71" i="5"/>
  <c r="AH71" i="5"/>
  <c r="AI70" i="5"/>
  <c r="AH70" i="5"/>
  <c r="AI69" i="5"/>
  <c r="AH69" i="5"/>
  <c r="AG68" i="5"/>
  <c r="AF68" i="5"/>
  <c r="AE68" i="5"/>
  <c r="AD68" i="5"/>
  <c r="AC68" i="5"/>
  <c r="AB5" i="5" s="1"/>
  <c r="AB68" i="5"/>
  <c r="AA5" i="5" s="1"/>
  <c r="AA68" i="5"/>
  <c r="Z68" i="5"/>
  <c r="Y5" i="5" s="1"/>
  <c r="Y68" i="5"/>
  <c r="X68" i="5"/>
  <c r="W68" i="5"/>
  <c r="V68" i="5"/>
  <c r="U68" i="5"/>
  <c r="T5" i="5" s="1"/>
  <c r="T68" i="5"/>
  <c r="S5" i="5" s="1"/>
  <c r="S68" i="5"/>
  <c r="R68" i="5"/>
  <c r="Q5" i="5" s="1"/>
  <c r="Q68" i="5"/>
  <c r="Q73" i="5" s="1"/>
  <c r="P68" i="5"/>
  <c r="O68" i="5"/>
  <c r="N68" i="5"/>
  <c r="M68" i="5"/>
  <c r="L5" i="5" s="1"/>
  <c r="L68" i="5"/>
  <c r="K5" i="5" s="1"/>
  <c r="K68" i="5"/>
  <c r="J68" i="5"/>
  <c r="I5" i="5" s="1"/>
  <c r="I68" i="5"/>
  <c r="I73" i="5" s="1"/>
  <c r="H68" i="5"/>
  <c r="G68" i="5"/>
  <c r="F68" i="5"/>
  <c r="E68" i="5"/>
  <c r="D68" i="5"/>
  <c r="C5" i="5" s="1"/>
  <c r="C68" i="5"/>
  <c r="B68" i="5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I55" i="5"/>
  <c r="AH55" i="5"/>
  <c r="AI54" i="5"/>
  <c r="AH54" i="5"/>
  <c r="AI53" i="5"/>
  <c r="AH53" i="5"/>
  <c r="AG52" i="5"/>
  <c r="Z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G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E5" i="5"/>
  <c r="AD5" i="5"/>
  <c r="AC5" i="5"/>
  <c r="Z5" i="5"/>
  <c r="X5" i="5"/>
  <c r="W5" i="5"/>
  <c r="V5" i="5"/>
  <c r="U5" i="5"/>
  <c r="R5" i="5"/>
  <c r="P5" i="5"/>
  <c r="O5" i="5"/>
  <c r="N5" i="5"/>
  <c r="M5" i="5"/>
  <c r="J5" i="5"/>
  <c r="H5" i="5"/>
  <c r="G5" i="5"/>
  <c r="F5" i="5"/>
  <c r="E5" i="5"/>
  <c r="B5" i="5"/>
  <c r="AG4" i="5"/>
  <c r="K4" i="5"/>
  <c r="AG3" i="5"/>
  <c r="AG2" i="5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D234" i="4"/>
  <c r="C234" i="4"/>
  <c r="B234" i="4"/>
  <c r="S209" i="4"/>
  <c r="AG199" i="4"/>
  <c r="C199" i="4"/>
  <c r="E198" i="4"/>
  <c r="F198" i="4" s="1"/>
  <c r="D198" i="4"/>
  <c r="D197" i="4"/>
  <c r="E197" i="4" s="1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J196" i="4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F196" i="4"/>
  <c r="G196" i="4" s="1"/>
  <c r="H196" i="4" s="1"/>
  <c r="I196" i="4" s="1"/>
  <c r="E196" i="4"/>
  <c r="D196" i="4"/>
  <c r="D195" i="4"/>
  <c r="E195" i="4" s="1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O194" i="4"/>
  <c r="P194" i="4" s="1"/>
  <c r="Q194" i="4" s="1"/>
  <c r="R194" i="4" s="1"/>
  <c r="S194" i="4" s="1"/>
  <c r="T194" i="4" s="1"/>
  <c r="U194" i="4" s="1"/>
  <c r="V194" i="4" s="1"/>
  <c r="W194" i="4" s="1"/>
  <c r="X194" i="4" s="1"/>
  <c r="Y194" i="4" s="1"/>
  <c r="Z194" i="4" s="1"/>
  <c r="AA194" i="4" s="1"/>
  <c r="AB194" i="4" s="1"/>
  <c r="AC194" i="4" s="1"/>
  <c r="AD194" i="4" s="1"/>
  <c r="AE194" i="4" s="1"/>
  <c r="AF194" i="4" s="1"/>
  <c r="B194" i="4" s="1"/>
  <c r="I194" i="4"/>
  <c r="J194" i="4" s="1"/>
  <c r="K194" i="4" s="1"/>
  <c r="L194" i="4" s="1"/>
  <c r="M194" i="4" s="1"/>
  <c r="N194" i="4" s="1"/>
  <c r="E194" i="4"/>
  <c r="F194" i="4" s="1"/>
  <c r="G194" i="4" s="1"/>
  <c r="H194" i="4" s="1"/>
  <c r="D194" i="4"/>
  <c r="D193" i="4"/>
  <c r="E193" i="4" s="1"/>
  <c r="AG191" i="4"/>
  <c r="C191" i="4"/>
  <c r="F190" i="4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E190" i="4"/>
  <c r="D190" i="4"/>
  <c r="K189" i="4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E189" i="4"/>
  <c r="F189" i="4" s="1"/>
  <c r="G189" i="4" s="1"/>
  <c r="H189" i="4" s="1"/>
  <c r="I189" i="4" s="1"/>
  <c r="J189" i="4" s="1"/>
  <c r="D189" i="4"/>
  <c r="F188" i="4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E188" i="4"/>
  <c r="D188" i="4"/>
  <c r="D187" i="4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F186" i="4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E186" i="4"/>
  <c r="D186" i="4"/>
  <c r="G185" i="4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E185" i="4"/>
  <c r="F185" i="4" s="1"/>
  <c r="D185" i="4"/>
  <c r="E184" i="4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D184" i="4"/>
  <c r="H183" i="4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E183" i="4"/>
  <c r="F183" i="4" s="1"/>
  <c r="G183" i="4" s="1"/>
  <c r="D183" i="4"/>
  <c r="I182" i="4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G182" i="4"/>
  <c r="H182" i="4" s="1"/>
  <c r="F182" i="4"/>
  <c r="E182" i="4"/>
  <c r="D182" i="4"/>
  <c r="G181" i="4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E181" i="4"/>
  <c r="F181" i="4" s="1"/>
  <c r="D181" i="4"/>
  <c r="I180" i="4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E180" i="4"/>
  <c r="F180" i="4" s="1"/>
  <c r="G180" i="4" s="1"/>
  <c r="H180" i="4" s="1"/>
  <c r="D180" i="4"/>
  <c r="H179" i="4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E179" i="4"/>
  <c r="F179" i="4" s="1"/>
  <c r="G179" i="4" s="1"/>
  <c r="D179" i="4"/>
  <c r="G178" i="4"/>
  <c r="H178" i="4" s="1"/>
  <c r="I178" i="4" s="1"/>
  <c r="J178" i="4" s="1"/>
  <c r="K178" i="4" s="1"/>
  <c r="L178" i="4" s="1"/>
  <c r="M178" i="4" s="1"/>
  <c r="N178" i="4" s="1"/>
  <c r="O178" i="4" s="1"/>
  <c r="P178" i="4" s="1"/>
  <c r="Q178" i="4" s="1"/>
  <c r="R178" i="4" s="1"/>
  <c r="S178" i="4" s="1"/>
  <c r="T178" i="4" s="1"/>
  <c r="U178" i="4" s="1"/>
  <c r="V178" i="4" s="1"/>
  <c r="W178" i="4" s="1"/>
  <c r="X178" i="4" s="1"/>
  <c r="Y178" i="4" s="1"/>
  <c r="Z178" i="4" s="1"/>
  <c r="AA178" i="4" s="1"/>
  <c r="AB178" i="4" s="1"/>
  <c r="AC178" i="4" s="1"/>
  <c r="AD178" i="4" s="1"/>
  <c r="AE178" i="4" s="1"/>
  <c r="AF178" i="4" s="1"/>
  <c r="B178" i="4" s="1"/>
  <c r="F178" i="4"/>
  <c r="E178" i="4"/>
  <c r="D178" i="4"/>
  <c r="E176" i="4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D176" i="4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F174" i="4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E174" i="4"/>
  <c r="D174" i="4"/>
  <c r="G173" i="4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E173" i="4"/>
  <c r="F173" i="4" s="1"/>
  <c r="D173" i="4"/>
  <c r="F172" i="4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E172" i="4"/>
  <c r="D172" i="4"/>
  <c r="H171" i="4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E171" i="4"/>
  <c r="F171" i="4" s="1"/>
  <c r="G171" i="4" s="1"/>
  <c r="D171" i="4"/>
  <c r="I170" i="4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G170" i="4"/>
  <c r="H170" i="4" s="1"/>
  <c r="F170" i="4"/>
  <c r="E170" i="4"/>
  <c r="D170" i="4"/>
  <c r="E169" i="4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B169" i="4" s="1"/>
  <c r="D169" i="4"/>
  <c r="D167" i="4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B167" i="4" s="1"/>
  <c r="G166" i="4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E166" i="4"/>
  <c r="F166" i="4" s="1"/>
  <c r="D166" i="4"/>
  <c r="F165" i="4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E165" i="4"/>
  <c r="D165" i="4"/>
  <c r="D164" i="4"/>
  <c r="E164" i="4" s="1"/>
  <c r="F164" i="4" s="1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L163" i="4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B163" i="4" s="1"/>
  <c r="F163" i="4"/>
  <c r="G163" i="4" s="1"/>
  <c r="H163" i="4" s="1"/>
  <c r="I163" i="4" s="1"/>
  <c r="J163" i="4" s="1"/>
  <c r="K163" i="4" s="1"/>
  <c r="D163" i="4"/>
  <c r="E163" i="4" s="1"/>
  <c r="AA162" i="4"/>
  <c r="AB162" i="4" s="1"/>
  <c r="AC162" i="4" s="1"/>
  <c r="AD162" i="4" s="1"/>
  <c r="AE162" i="4" s="1"/>
  <c r="AF162" i="4" s="1"/>
  <c r="B162" i="4" s="1"/>
  <c r="L162" i="4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G162" i="4"/>
  <c r="H162" i="4" s="1"/>
  <c r="I162" i="4" s="1"/>
  <c r="J162" i="4" s="1"/>
  <c r="K162" i="4" s="1"/>
  <c r="F162" i="4"/>
  <c r="D162" i="4"/>
  <c r="E162" i="4" s="1"/>
  <c r="D161" i="4"/>
  <c r="E161" i="4" s="1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AD160" i="4"/>
  <c r="AE160" i="4" s="1"/>
  <c r="AF160" i="4" s="1"/>
  <c r="B160" i="4" s="1"/>
  <c r="P160" i="4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F160" i="4"/>
  <c r="G160" i="4" s="1"/>
  <c r="H160" i="4" s="1"/>
  <c r="I160" i="4" s="1"/>
  <c r="J160" i="4" s="1"/>
  <c r="K160" i="4" s="1"/>
  <c r="L160" i="4" s="1"/>
  <c r="M160" i="4" s="1"/>
  <c r="N160" i="4" s="1"/>
  <c r="O160" i="4" s="1"/>
  <c r="D160" i="4"/>
  <c r="E160" i="4" s="1"/>
  <c r="T159" i="4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E159" i="4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D159" i="4"/>
  <c r="G158" i="4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D158" i="4"/>
  <c r="E158" i="4" s="1"/>
  <c r="F158" i="4" s="1"/>
  <c r="E157" i="4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D157" i="4"/>
  <c r="F156" i="4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B156" i="4" s="1"/>
  <c r="D156" i="4"/>
  <c r="E156" i="4" s="1"/>
  <c r="H155" i="4"/>
  <c r="I155" i="4" s="1"/>
  <c r="J155" i="4" s="1"/>
  <c r="K155" i="4" s="1"/>
  <c r="L155" i="4" s="1"/>
  <c r="M155" i="4" s="1"/>
  <c r="N155" i="4" s="1"/>
  <c r="O155" i="4" s="1"/>
  <c r="P155" i="4" s="1"/>
  <c r="Q155" i="4" s="1"/>
  <c r="R155" i="4" s="1"/>
  <c r="S155" i="4" s="1"/>
  <c r="T155" i="4" s="1"/>
  <c r="U155" i="4" s="1"/>
  <c r="V155" i="4" s="1"/>
  <c r="W155" i="4" s="1"/>
  <c r="X155" i="4" s="1"/>
  <c r="Y155" i="4" s="1"/>
  <c r="Z155" i="4" s="1"/>
  <c r="AA155" i="4" s="1"/>
  <c r="AB155" i="4" s="1"/>
  <c r="AC155" i="4" s="1"/>
  <c r="AD155" i="4" s="1"/>
  <c r="AE155" i="4" s="1"/>
  <c r="AF155" i="4" s="1"/>
  <c r="B155" i="4" s="1"/>
  <c r="F155" i="4"/>
  <c r="G155" i="4" s="1"/>
  <c r="D155" i="4"/>
  <c r="E155" i="4" s="1"/>
  <c r="O153" i="4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D153" i="4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E152" i="4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D152" i="4"/>
  <c r="G151" i="4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F151" i="4"/>
  <c r="D151" i="4"/>
  <c r="E151" i="4" s="1"/>
  <c r="F150" i="4"/>
  <c r="G150" i="4" s="1"/>
  <c r="H150" i="4" s="1"/>
  <c r="I150" i="4" s="1"/>
  <c r="J150" i="4" s="1"/>
  <c r="K150" i="4" s="1"/>
  <c r="L150" i="4" s="1"/>
  <c r="M150" i="4" s="1"/>
  <c r="N150" i="4" s="1"/>
  <c r="O150" i="4" s="1"/>
  <c r="P150" i="4" s="1"/>
  <c r="Q150" i="4" s="1"/>
  <c r="R150" i="4" s="1"/>
  <c r="S150" i="4" s="1"/>
  <c r="T150" i="4" s="1"/>
  <c r="U150" i="4" s="1"/>
  <c r="V150" i="4" s="1"/>
  <c r="W150" i="4" s="1"/>
  <c r="X150" i="4" s="1"/>
  <c r="Y150" i="4" s="1"/>
  <c r="Z150" i="4" s="1"/>
  <c r="AA150" i="4" s="1"/>
  <c r="AB150" i="4" s="1"/>
  <c r="AC150" i="4" s="1"/>
  <c r="AD150" i="4" s="1"/>
  <c r="AE150" i="4" s="1"/>
  <c r="AF150" i="4" s="1"/>
  <c r="B150" i="4" s="1"/>
  <c r="D150" i="4"/>
  <c r="E150" i="4" s="1"/>
  <c r="D148" i="4"/>
  <c r="E148" i="4" s="1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J147" i="4"/>
  <c r="K147" i="4" s="1"/>
  <c r="L147" i="4" s="1"/>
  <c r="M147" i="4" s="1"/>
  <c r="N147" i="4" s="1"/>
  <c r="O147" i="4" s="1"/>
  <c r="P147" i="4" s="1"/>
  <c r="Q147" i="4" s="1"/>
  <c r="R147" i="4" s="1"/>
  <c r="S147" i="4" s="1"/>
  <c r="T147" i="4" s="1"/>
  <c r="U147" i="4" s="1"/>
  <c r="V147" i="4" s="1"/>
  <c r="W147" i="4" s="1"/>
  <c r="X147" i="4" s="1"/>
  <c r="Y147" i="4" s="1"/>
  <c r="Z147" i="4" s="1"/>
  <c r="AA147" i="4" s="1"/>
  <c r="AB147" i="4" s="1"/>
  <c r="AC147" i="4" s="1"/>
  <c r="AD147" i="4" s="1"/>
  <c r="AE147" i="4" s="1"/>
  <c r="AF147" i="4" s="1"/>
  <c r="B147" i="4" s="1"/>
  <c r="E147" i="4"/>
  <c r="F147" i="4" s="1"/>
  <c r="G147" i="4" s="1"/>
  <c r="H147" i="4" s="1"/>
  <c r="I147" i="4" s="1"/>
  <c r="D147" i="4"/>
  <c r="P145" i="4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H145" i="4"/>
  <c r="I145" i="4" s="1"/>
  <c r="J145" i="4" s="1"/>
  <c r="K145" i="4" s="1"/>
  <c r="L145" i="4" s="1"/>
  <c r="M145" i="4" s="1"/>
  <c r="N145" i="4" s="1"/>
  <c r="O145" i="4" s="1"/>
  <c r="F145" i="4"/>
  <c r="G145" i="4" s="1"/>
  <c r="D145" i="4"/>
  <c r="E145" i="4" s="1"/>
  <c r="I144" i="4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D144" i="4"/>
  <c r="E144" i="4" s="1"/>
  <c r="F144" i="4" s="1"/>
  <c r="G144" i="4" s="1"/>
  <c r="H144" i="4" s="1"/>
  <c r="K143" i="4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F143" i="4"/>
  <c r="G143" i="4" s="1"/>
  <c r="H143" i="4" s="1"/>
  <c r="I143" i="4" s="1"/>
  <c r="J143" i="4" s="1"/>
  <c r="D143" i="4"/>
  <c r="E143" i="4" s="1"/>
  <c r="M142" i="4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H142" i="4"/>
  <c r="I142" i="4" s="1"/>
  <c r="J142" i="4" s="1"/>
  <c r="K142" i="4" s="1"/>
  <c r="L142" i="4" s="1"/>
  <c r="D142" i="4"/>
  <c r="E142" i="4" s="1"/>
  <c r="F142" i="4" s="1"/>
  <c r="G142" i="4" s="1"/>
  <c r="D141" i="4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J140" i="4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F140" i="4"/>
  <c r="G140" i="4" s="1"/>
  <c r="H140" i="4" s="1"/>
  <c r="I140" i="4" s="1"/>
  <c r="E140" i="4"/>
  <c r="D140" i="4"/>
  <c r="J139" i="4"/>
  <c r="K139" i="4" s="1"/>
  <c r="L139" i="4" s="1"/>
  <c r="M139" i="4" s="1"/>
  <c r="N139" i="4" s="1"/>
  <c r="O139" i="4" s="1"/>
  <c r="P139" i="4" s="1"/>
  <c r="Q139" i="4" s="1"/>
  <c r="R139" i="4" s="1"/>
  <c r="S139" i="4" s="1"/>
  <c r="T139" i="4" s="1"/>
  <c r="U139" i="4" s="1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B139" i="4" s="1"/>
  <c r="H139" i="4"/>
  <c r="I139" i="4" s="1"/>
  <c r="D139" i="4"/>
  <c r="E139" i="4" s="1"/>
  <c r="F139" i="4" s="1"/>
  <c r="G139" i="4" s="1"/>
  <c r="H137" i="4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D137" i="4"/>
  <c r="E137" i="4" s="1"/>
  <c r="F137" i="4" s="1"/>
  <c r="G137" i="4" s="1"/>
  <c r="H136" i="4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F136" i="4"/>
  <c r="G136" i="4" s="1"/>
  <c r="D136" i="4"/>
  <c r="E136" i="4" s="1"/>
  <c r="G135" i="4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D135" i="4"/>
  <c r="E135" i="4" s="1"/>
  <c r="F135" i="4" s="1"/>
  <c r="E134" i="4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D134" i="4"/>
  <c r="G133" i="4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F133" i="4"/>
  <c r="D133" i="4"/>
  <c r="E133" i="4" s="1"/>
  <c r="F132" i="4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D132" i="4"/>
  <c r="E132" i="4" s="1"/>
  <c r="D131" i="4"/>
  <c r="E131" i="4" s="1"/>
  <c r="F131" i="4" s="1"/>
  <c r="G131" i="4" s="1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B131" i="4" s="1"/>
  <c r="E130" i="4"/>
  <c r="F130" i="4" s="1"/>
  <c r="G130" i="4" s="1"/>
  <c r="H130" i="4" s="1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B130" i="4" s="1"/>
  <c r="D130" i="4"/>
  <c r="F128" i="4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D128" i="4"/>
  <c r="E128" i="4" s="1"/>
  <c r="D127" i="4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J126" i="4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F126" i="4"/>
  <c r="G126" i="4" s="1"/>
  <c r="H126" i="4" s="1"/>
  <c r="I126" i="4" s="1"/>
  <c r="D126" i="4"/>
  <c r="E126" i="4" s="1"/>
  <c r="J125" i="4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D125" i="4"/>
  <c r="E125" i="4" s="1"/>
  <c r="F125" i="4" s="1"/>
  <c r="G125" i="4" s="1"/>
  <c r="H125" i="4" s="1"/>
  <c r="I125" i="4" s="1"/>
  <c r="E124" i="4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B124" i="4" s="1"/>
  <c r="D124" i="4"/>
  <c r="D123" i="4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I122" i="4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F122" i="4"/>
  <c r="G122" i="4" s="1"/>
  <c r="H122" i="4" s="1"/>
  <c r="E122" i="4"/>
  <c r="D122" i="4"/>
  <c r="H121" i="4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E121" i="4"/>
  <c r="F121" i="4" s="1"/>
  <c r="G121" i="4" s="1"/>
  <c r="D121" i="4"/>
  <c r="I120" i="4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F120" i="4"/>
  <c r="G120" i="4" s="1"/>
  <c r="H120" i="4" s="1"/>
  <c r="E120" i="4"/>
  <c r="D120" i="4"/>
  <c r="E119" i="4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D119" i="4"/>
  <c r="F118" i="4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E118" i="4"/>
  <c r="D118" i="4"/>
  <c r="G117" i="4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E117" i="4"/>
  <c r="F117" i="4" s="1"/>
  <c r="D117" i="4"/>
  <c r="E116" i="4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D116" i="4"/>
  <c r="H115" i="4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D115" i="4"/>
  <c r="E115" i="4" s="1"/>
  <c r="F115" i="4" s="1"/>
  <c r="G115" i="4" s="1"/>
  <c r="F114" i="4"/>
  <c r="G114" i="4" s="1"/>
  <c r="H114" i="4" s="1"/>
  <c r="I114" i="4" s="1"/>
  <c r="J114" i="4" s="1"/>
  <c r="K114" i="4" s="1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E114" i="4"/>
  <c r="D114" i="4"/>
  <c r="K113" i="4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D113" i="4"/>
  <c r="E113" i="4" s="1"/>
  <c r="F113" i="4" s="1"/>
  <c r="G113" i="4" s="1"/>
  <c r="H113" i="4" s="1"/>
  <c r="I113" i="4" s="1"/>
  <c r="E112" i="4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D112" i="4"/>
  <c r="G111" i="4"/>
  <c r="H111" i="4" s="1"/>
  <c r="I111" i="4" s="1"/>
  <c r="J111" i="4" s="1"/>
  <c r="K111" i="4" s="1"/>
  <c r="L111" i="4" s="1"/>
  <c r="M111" i="4" s="1"/>
  <c r="N111" i="4" s="1"/>
  <c r="O111" i="4" s="1"/>
  <c r="P111" i="4" s="1"/>
  <c r="Q111" i="4" s="1"/>
  <c r="R111" i="4" s="1"/>
  <c r="S111" i="4" s="1"/>
  <c r="T111" i="4" s="1"/>
  <c r="U111" i="4" s="1"/>
  <c r="V111" i="4" s="1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B111" i="4" s="1"/>
  <c r="F111" i="4"/>
  <c r="D111" i="4"/>
  <c r="E111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G108" i="4"/>
  <c r="H108" i="4" s="1"/>
  <c r="I108" i="4" s="1"/>
  <c r="J108" i="4" s="1"/>
  <c r="K108" i="4" s="1"/>
  <c r="L108" i="4" s="1"/>
  <c r="M108" i="4" s="1"/>
  <c r="N108" i="4" s="1"/>
  <c r="O108" i="4" s="1"/>
  <c r="P108" i="4" s="1"/>
  <c r="Q108" i="4" s="1"/>
  <c r="R108" i="4" s="1"/>
  <c r="S108" i="4" s="1"/>
  <c r="T108" i="4" s="1"/>
  <c r="U108" i="4" s="1"/>
  <c r="V108" i="4" s="1"/>
  <c r="W108" i="4" s="1"/>
  <c r="X108" i="4" s="1"/>
  <c r="Y108" i="4" s="1"/>
  <c r="Z108" i="4" s="1"/>
  <c r="AA108" i="4" s="1"/>
  <c r="AB108" i="4" s="1"/>
  <c r="AC108" i="4" s="1"/>
  <c r="AD108" i="4" s="1"/>
  <c r="AE108" i="4" s="1"/>
  <c r="AF108" i="4" s="1"/>
  <c r="B108" i="4" s="1"/>
  <c r="D108" i="4"/>
  <c r="E108" i="4" s="1"/>
  <c r="F108" i="4" s="1"/>
  <c r="E106" i="4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D106" i="4"/>
  <c r="H105" i="4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F105" i="4"/>
  <c r="G105" i="4" s="1"/>
  <c r="D105" i="4"/>
  <c r="E105" i="4" s="1"/>
  <c r="D104" i="4"/>
  <c r="E104" i="4" s="1"/>
  <c r="F104" i="4" s="1"/>
  <c r="G104" i="4" s="1"/>
  <c r="H104" i="4" s="1"/>
  <c r="I104" i="4" s="1"/>
  <c r="J104" i="4" s="1"/>
  <c r="K104" i="4" s="1"/>
  <c r="L104" i="4" s="1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D103" i="4"/>
  <c r="E103" i="4" s="1"/>
  <c r="F103" i="4" s="1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B103" i="4" s="1"/>
  <c r="E102" i="4"/>
  <c r="F102" i="4" s="1"/>
  <c r="G102" i="4" s="1"/>
  <c r="D102" i="4"/>
  <c r="D101" i="4"/>
  <c r="AH98" i="4"/>
  <c r="AI98" i="4" s="1"/>
  <c r="AH97" i="4"/>
  <c r="AI97" i="4" s="1"/>
  <c r="AH96" i="4"/>
  <c r="AI96" i="4" s="1"/>
  <c r="AH95" i="4"/>
  <c r="AI95" i="4" s="1"/>
  <c r="AH94" i="4"/>
  <c r="AI94" i="4" s="1"/>
  <c r="E93" i="4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AI81" i="4"/>
  <c r="AH81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F82" i="4" s="1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F76" i="4"/>
  <c r="AE76" i="4"/>
  <c r="AE82" i="4" s="1"/>
  <c r="AD76" i="4"/>
  <c r="AC76" i="4"/>
  <c r="AB76" i="4"/>
  <c r="AA76" i="4"/>
  <c r="Z76" i="4"/>
  <c r="Y76" i="4"/>
  <c r="Y82" i="4" s="1"/>
  <c r="X76" i="4"/>
  <c r="W76" i="4"/>
  <c r="V76" i="4"/>
  <c r="U76" i="4"/>
  <c r="T76" i="4"/>
  <c r="S76" i="4"/>
  <c r="R76" i="4"/>
  <c r="Q76" i="4"/>
  <c r="P76" i="4"/>
  <c r="O76" i="4"/>
  <c r="O82" i="4" s="1"/>
  <c r="N76" i="4"/>
  <c r="M76" i="4"/>
  <c r="L76" i="4"/>
  <c r="K76" i="4"/>
  <c r="J76" i="4"/>
  <c r="J82" i="4" s="1"/>
  <c r="I76" i="4"/>
  <c r="H76" i="4"/>
  <c r="G76" i="4"/>
  <c r="F76" i="4"/>
  <c r="E76" i="4"/>
  <c r="D76" i="4"/>
  <c r="C76" i="4"/>
  <c r="B76" i="4"/>
  <c r="AI74" i="4"/>
  <c r="AH74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AI72" i="4" s="1"/>
  <c r="C72" i="4"/>
  <c r="B72" i="4"/>
  <c r="AI71" i="4"/>
  <c r="AH71" i="4"/>
  <c r="AI70" i="4"/>
  <c r="AH70" i="4"/>
  <c r="AI69" i="4"/>
  <c r="AH69" i="4"/>
  <c r="AG68" i="4"/>
  <c r="AG73" i="4" s="1"/>
  <c r="AF68" i="4"/>
  <c r="AE5" i="4" s="1"/>
  <c r="AE68" i="4"/>
  <c r="AD5" i="4" s="1"/>
  <c r="AD68" i="4"/>
  <c r="AC5" i="4" s="1"/>
  <c r="AC68" i="4"/>
  <c r="AB5" i="4" s="1"/>
  <c r="AB68" i="4"/>
  <c r="AA68" i="4"/>
  <c r="Z5" i="4" s="1"/>
  <c r="Z68" i="4"/>
  <c r="Y5" i="4" s="1"/>
  <c r="Y68" i="4"/>
  <c r="X68" i="4"/>
  <c r="W5" i="4" s="1"/>
  <c r="W68" i="4"/>
  <c r="V5" i="4" s="1"/>
  <c r="V68" i="4"/>
  <c r="U5" i="4" s="1"/>
  <c r="U68" i="4"/>
  <c r="T5" i="4" s="1"/>
  <c r="T68" i="4"/>
  <c r="S5" i="4" s="1"/>
  <c r="S68" i="4"/>
  <c r="R5" i="4" s="1"/>
  <c r="R68" i="4"/>
  <c r="Q5" i="4" s="1"/>
  <c r="Q68" i="4"/>
  <c r="P5" i="4" s="1"/>
  <c r="P68" i="4"/>
  <c r="O5" i="4" s="1"/>
  <c r="O68" i="4"/>
  <c r="N5" i="4" s="1"/>
  <c r="N68" i="4"/>
  <c r="M5" i="4" s="1"/>
  <c r="M68" i="4"/>
  <c r="L68" i="4"/>
  <c r="K5" i="4" s="1"/>
  <c r="K68" i="4"/>
  <c r="J5" i="4" s="1"/>
  <c r="J68" i="4"/>
  <c r="I5" i="4" s="1"/>
  <c r="I68" i="4"/>
  <c r="H5" i="4" s="1"/>
  <c r="H68" i="4"/>
  <c r="G5" i="4" s="1"/>
  <c r="G68" i="4"/>
  <c r="F5" i="4" s="1"/>
  <c r="F68" i="4"/>
  <c r="E68" i="4"/>
  <c r="D5" i="4" s="1"/>
  <c r="D68" i="4"/>
  <c r="C68" i="4"/>
  <c r="B5" i="4" s="1"/>
  <c r="B68" i="4"/>
  <c r="AF5" i="4" s="1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I55" i="4"/>
  <c r="AH55" i="4"/>
  <c r="AI54" i="4"/>
  <c r="AH54" i="4"/>
  <c r="AI53" i="4"/>
  <c r="AH53" i="4"/>
  <c r="AG52" i="4"/>
  <c r="Z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G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G2" i="4" s="1"/>
  <c r="AG6" i="4" s="1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X5" i="4"/>
  <c r="L5" i="4"/>
  <c r="E5" i="4"/>
  <c r="C5" i="4"/>
  <c r="AG4" i="4"/>
  <c r="K4" i="4"/>
  <c r="AG3" i="4"/>
  <c r="E4" i="4"/>
  <c r="E4" i="5"/>
  <c r="D75" i="5" l="1"/>
  <c r="V214" i="5" s="1"/>
  <c r="L73" i="5"/>
  <c r="T75" i="5"/>
  <c r="C73" i="5"/>
  <c r="C75" i="5" s="1"/>
  <c r="C7" i="5" s="1"/>
  <c r="K73" i="5"/>
  <c r="M75" i="5"/>
  <c r="C82" i="5"/>
  <c r="K82" i="5"/>
  <c r="S82" i="5"/>
  <c r="AA82" i="5"/>
  <c r="D93" i="5"/>
  <c r="E73" i="5"/>
  <c r="E83" i="5" s="1"/>
  <c r="AI56" i="5"/>
  <c r="D5" i="5"/>
  <c r="O75" i="5"/>
  <c r="O7" i="5" s="1"/>
  <c r="F73" i="5"/>
  <c r="N73" i="5"/>
  <c r="N83" i="5" s="1"/>
  <c r="F82" i="5"/>
  <c r="N82" i="5"/>
  <c r="V82" i="5"/>
  <c r="AD82" i="5"/>
  <c r="E199" i="5"/>
  <c r="S73" i="5"/>
  <c r="H73" i="5"/>
  <c r="H83" i="5" s="1"/>
  <c r="G73" i="5"/>
  <c r="O73" i="5"/>
  <c r="AG75" i="5"/>
  <c r="G82" i="5"/>
  <c r="O82" i="5"/>
  <c r="W82" i="5"/>
  <c r="AE82" i="5"/>
  <c r="M73" i="5"/>
  <c r="AG6" i="5"/>
  <c r="P73" i="5"/>
  <c r="J75" i="5"/>
  <c r="H82" i="5"/>
  <c r="AF82" i="5"/>
  <c r="Q82" i="5"/>
  <c r="Y82" i="5"/>
  <c r="D200" i="5"/>
  <c r="AI38" i="5"/>
  <c r="AG73" i="5"/>
  <c r="E200" i="5"/>
  <c r="AD82" i="4"/>
  <c r="AB82" i="4"/>
  <c r="AA82" i="4"/>
  <c r="Z82" i="4"/>
  <c r="Z75" i="4"/>
  <c r="Z7" i="4" s="1"/>
  <c r="Z73" i="4"/>
  <c r="W82" i="4"/>
  <c r="V82" i="4"/>
  <c r="U82" i="4"/>
  <c r="T82" i="4"/>
  <c r="S82" i="4"/>
  <c r="R75" i="4"/>
  <c r="R7" i="4" s="1"/>
  <c r="Q82" i="4"/>
  <c r="P82" i="4"/>
  <c r="AH78" i="4"/>
  <c r="N82" i="4"/>
  <c r="N75" i="4"/>
  <c r="AF213" i="4" s="1"/>
  <c r="N73" i="4"/>
  <c r="M75" i="4"/>
  <c r="AE213" i="4" s="1"/>
  <c r="M73" i="4"/>
  <c r="L82" i="4"/>
  <c r="K82" i="4"/>
  <c r="J73" i="4"/>
  <c r="J75" i="4"/>
  <c r="I82" i="4"/>
  <c r="AI79" i="4"/>
  <c r="G82" i="4"/>
  <c r="I73" i="4"/>
  <c r="AH80" i="4"/>
  <c r="F82" i="4"/>
  <c r="F75" i="4"/>
  <c r="X213" i="4" s="1"/>
  <c r="F73" i="4"/>
  <c r="E82" i="4"/>
  <c r="E73" i="4"/>
  <c r="D82" i="4"/>
  <c r="AI77" i="4"/>
  <c r="C82" i="4"/>
  <c r="AH79" i="4"/>
  <c r="AH56" i="4"/>
  <c r="AI56" i="4"/>
  <c r="H4" i="5"/>
  <c r="AL214" i="5"/>
  <c r="T7" i="5"/>
  <c r="U214" i="5"/>
  <c r="AE214" i="5"/>
  <c r="M7" i="5"/>
  <c r="AG214" i="5"/>
  <c r="AB214" i="5"/>
  <c r="J7" i="5"/>
  <c r="H75" i="5"/>
  <c r="P83" i="5"/>
  <c r="P75" i="5"/>
  <c r="I75" i="5"/>
  <c r="B82" i="5"/>
  <c r="AH76" i="5"/>
  <c r="AI77" i="5"/>
  <c r="AI78" i="5"/>
  <c r="AG83" i="5"/>
  <c r="AH38" i="5"/>
  <c r="AH56" i="5"/>
  <c r="J73" i="5"/>
  <c r="J83" i="5" s="1"/>
  <c r="R73" i="5"/>
  <c r="R83" i="5" s="1"/>
  <c r="Z73" i="5"/>
  <c r="AH68" i="5"/>
  <c r="AH72" i="5"/>
  <c r="L75" i="5"/>
  <c r="L83" i="5" s="1"/>
  <c r="D82" i="5"/>
  <c r="L82" i="5"/>
  <c r="T82" i="5"/>
  <c r="AB82" i="5"/>
  <c r="AI68" i="5"/>
  <c r="K75" i="5"/>
  <c r="K83" i="5" s="1"/>
  <c r="S75" i="5"/>
  <c r="AI72" i="5"/>
  <c r="T73" i="5"/>
  <c r="Z75" i="5"/>
  <c r="E82" i="5"/>
  <c r="M82" i="5"/>
  <c r="U82" i="5"/>
  <c r="AC82" i="5"/>
  <c r="AH78" i="5"/>
  <c r="F103" i="5"/>
  <c r="E93" i="5"/>
  <c r="T83" i="5"/>
  <c r="E192" i="5"/>
  <c r="F102" i="5"/>
  <c r="D73" i="5"/>
  <c r="Q75" i="5"/>
  <c r="Q83" i="5" s="1"/>
  <c r="D211" i="5"/>
  <c r="S211" i="5"/>
  <c r="F75" i="5"/>
  <c r="F83" i="5" s="1"/>
  <c r="N75" i="5"/>
  <c r="E75" i="5"/>
  <c r="R75" i="5"/>
  <c r="AH80" i="5"/>
  <c r="O83" i="5"/>
  <c r="G75" i="5"/>
  <c r="AI76" i="5"/>
  <c r="AH77" i="5"/>
  <c r="AI79" i="5"/>
  <c r="AI80" i="5"/>
  <c r="D192" i="5"/>
  <c r="AH79" i="5"/>
  <c r="D235" i="5"/>
  <c r="F199" i="5"/>
  <c r="H194" i="5"/>
  <c r="H4" i="4"/>
  <c r="AI38" i="4"/>
  <c r="AH38" i="4"/>
  <c r="AH68" i="4"/>
  <c r="AI68" i="4"/>
  <c r="K75" i="4"/>
  <c r="L75" i="4"/>
  <c r="B82" i="4"/>
  <c r="R82" i="4"/>
  <c r="AI76" i="4"/>
  <c r="AH77" i="4"/>
  <c r="T75" i="4"/>
  <c r="C73" i="4"/>
  <c r="D73" i="4"/>
  <c r="L73" i="4"/>
  <c r="T73" i="4"/>
  <c r="O73" i="4"/>
  <c r="AI78" i="4"/>
  <c r="AI80" i="4"/>
  <c r="H102" i="4"/>
  <c r="Q73" i="4"/>
  <c r="D75" i="4"/>
  <c r="Q75" i="4"/>
  <c r="M82" i="4"/>
  <c r="AC82" i="4"/>
  <c r="AA5" i="4"/>
  <c r="O75" i="4"/>
  <c r="G73" i="4"/>
  <c r="R73" i="4"/>
  <c r="E75" i="4"/>
  <c r="D93" i="4"/>
  <c r="H75" i="4"/>
  <c r="P75" i="4"/>
  <c r="S73" i="4"/>
  <c r="G75" i="4"/>
  <c r="S75" i="4"/>
  <c r="D210" i="4"/>
  <c r="S210" i="4"/>
  <c r="H73" i="4"/>
  <c r="P73" i="4"/>
  <c r="I75" i="4"/>
  <c r="AG75" i="4"/>
  <c r="AG83" i="4" s="1"/>
  <c r="H82" i="4"/>
  <c r="X82" i="4"/>
  <c r="F93" i="4"/>
  <c r="AH72" i="4"/>
  <c r="K73" i="4"/>
  <c r="AH76" i="4"/>
  <c r="D191" i="4"/>
  <c r="E101" i="4"/>
  <c r="E234" i="4"/>
  <c r="G198" i="4"/>
  <c r="F193" i="4"/>
  <c r="E199" i="4"/>
  <c r="D199" i="4"/>
  <c r="Z83" i="5" l="1"/>
  <c r="G83" i="5"/>
  <c r="D7" i="5"/>
  <c r="S83" i="5"/>
  <c r="D83" i="5"/>
  <c r="M83" i="5"/>
  <c r="C83" i="5"/>
  <c r="J83" i="4"/>
  <c r="AR213" i="4"/>
  <c r="Z83" i="4"/>
  <c r="T83" i="4"/>
  <c r="S83" i="4"/>
  <c r="AJ213" i="4"/>
  <c r="Q83" i="4"/>
  <c r="P83" i="4"/>
  <c r="O83" i="4"/>
  <c r="N83" i="4"/>
  <c r="N7" i="4"/>
  <c r="M83" i="4"/>
  <c r="M7" i="4"/>
  <c r="L83" i="4"/>
  <c r="K83" i="4"/>
  <c r="AB213" i="4"/>
  <c r="J7" i="4"/>
  <c r="I83" i="4"/>
  <c r="H83" i="4"/>
  <c r="F83" i="4"/>
  <c r="F7" i="4"/>
  <c r="E83" i="4"/>
  <c r="D83" i="4"/>
  <c r="AF214" i="5"/>
  <c r="N7" i="5"/>
  <c r="AR214" i="5"/>
  <c r="Z7" i="5"/>
  <c r="AC214" i="5"/>
  <c r="K7" i="5"/>
  <c r="I194" i="5"/>
  <c r="X214" i="5"/>
  <c r="F7" i="5"/>
  <c r="AH214" i="5"/>
  <c r="P7" i="5"/>
  <c r="E235" i="5"/>
  <c r="G199" i="5"/>
  <c r="F93" i="5"/>
  <c r="G103" i="5"/>
  <c r="AD214" i="5"/>
  <c r="L7" i="5"/>
  <c r="F192" i="5"/>
  <c r="G102" i="5"/>
  <c r="AH82" i="5"/>
  <c r="AI82" i="5"/>
  <c r="Z214" i="5"/>
  <c r="H7" i="5"/>
  <c r="F200" i="5"/>
  <c r="Y214" i="5"/>
  <c r="C209" i="5"/>
  <c r="B209" i="5"/>
  <c r="G7" i="5"/>
  <c r="AJ214" i="5"/>
  <c r="R7" i="5"/>
  <c r="AA214" i="5"/>
  <c r="I7" i="5"/>
  <c r="I83" i="5"/>
  <c r="W214" i="5"/>
  <c r="E7" i="5"/>
  <c r="AI214" i="5"/>
  <c r="Q7" i="5"/>
  <c r="AK214" i="5"/>
  <c r="S7" i="5"/>
  <c r="B208" i="4"/>
  <c r="C208" i="4"/>
  <c r="Y213" i="4"/>
  <c r="G7" i="4"/>
  <c r="AI82" i="4"/>
  <c r="AH82" i="4"/>
  <c r="W213" i="4"/>
  <c r="E7" i="4"/>
  <c r="I102" i="4"/>
  <c r="C75" i="4"/>
  <c r="AD213" i="4"/>
  <c r="L7" i="4"/>
  <c r="F199" i="4"/>
  <c r="G193" i="4"/>
  <c r="R83" i="4"/>
  <c r="AL213" i="4"/>
  <c r="T7" i="4"/>
  <c r="H198" i="4"/>
  <c r="F234" i="4"/>
  <c r="AA213" i="4"/>
  <c r="I7" i="4"/>
  <c r="G83" i="4"/>
  <c r="AI213" i="4"/>
  <c r="Q7" i="4"/>
  <c r="AC213" i="4"/>
  <c r="K7" i="4"/>
  <c r="AG213" i="4"/>
  <c r="O7" i="4"/>
  <c r="V213" i="4"/>
  <c r="D7" i="4"/>
  <c r="E191" i="4"/>
  <c r="F101" i="4"/>
  <c r="AH213" i="4"/>
  <c r="P7" i="4"/>
  <c r="AK213" i="4"/>
  <c r="S7" i="4"/>
  <c r="Z213" i="4"/>
  <c r="H7" i="4"/>
  <c r="K6" i="5" l="1"/>
  <c r="J194" i="5"/>
  <c r="F235" i="5"/>
  <c r="H199" i="5"/>
  <c r="G200" i="5"/>
  <c r="G192" i="5"/>
  <c r="H102" i="5"/>
  <c r="H103" i="5"/>
  <c r="G93" i="5"/>
  <c r="G234" i="4"/>
  <c r="I198" i="4"/>
  <c r="U213" i="4"/>
  <c r="C7" i="4"/>
  <c r="C83" i="4"/>
  <c r="F191" i="4"/>
  <c r="G101" i="4"/>
  <c r="J102" i="4"/>
  <c r="G199" i="4"/>
  <c r="H193" i="4"/>
  <c r="G93" i="4"/>
  <c r="K6" i="4"/>
  <c r="I103" i="5" l="1"/>
  <c r="H93" i="5"/>
  <c r="H192" i="5"/>
  <c r="I102" i="5"/>
  <c r="G235" i="5"/>
  <c r="I199" i="5"/>
  <c r="H200" i="5"/>
  <c r="K194" i="5"/>
  <c r="G191" i="4"/>
  <c r="H101" i="4"/>
  <c r="H199" i="4"/>
  <c r="I193" i="4"/>
  <c r="H93" i="4"/>
  <c r="J198" i="4"/>
  <c r="H234" i="4"/>
  <c r="K102" i="4"/>
  <c r="H235" i="5" l="1"/>
  <c r="J199" i="5"/>
  <c r="I200" i="5"/>
  <c r="I192" i="5"/>
  <c r="J102" i="5"/>
  <c r="L194" i="5"/>
  <c r="J103" i="5"/>
  <c r="I93" i="5"/>
  <c r="I234" i="4"/>
  <c r="K198" i="4"/>
  <c r="I199" i="4"/>
  <c r="J193" i="4"/>
  <c r="I93" i="4"/>
  <c r="L102" i="4"/>
  <c r="H191" i="4"/>
  <c r="I101" i="4"/>
  <c r="M194" i="5" l="1"/>
  <c r="J192" i="5"/>
  <c r="K102" i="5"/>
  <c r="K199" i="5"/>
  <c r="I235" i="5"/>
  <c r="J200" i="5"/>
  <c r="J93" i="5"/>
  <c r="K103" i="5"/>
  <c r="K193" i="4"/>
  <c r="J199" i="4"/>
  <c r="J93" i="4"/>
  <c r="I191" i="4"/>
  <c r="J101" i="4"/>
  <c r="L198" i="4"/>
  <c r="J234" i="4"/>
  <c r="M102" i="4"/>
  <c r="L199" i="5" l="1"/>
  <c r="J235" i="5"/>
  <c r="K200" i="5"/>
  <c r="K192" i="5"/>
  <c r="L102" i="5"/>
  <c r="K93" i="5"/>
  <c r="L103" i="5"/>
  <c r="N194" i="5"/>
  <c r="K234" i="4"/>
  <c r="M198" i="4"/>
  <c r="L193" i="4"/>
  <c r="K199" i="4"/>
  <c r="K93" i="4"/>
  <c r="N102" i="4"/>
  <c r="J191" i="4"/>
  <c r="K101" i="4"/>
  <c r="M103" i="5" l="1"/>
  <c r="L93" i="5"/>
  <c r="L192" i="5"/>
  <c r="M102" i="5"/>
  <c r="O194" i="5"/>
  <c r="K235" i="5"/>
  <c r="M199" i="5"/>
  <c r="L200" i="5"/>
  <c r="O102" i="4"/>
  <c r="L199" i="4"/>
  <c r="M193" i="4"/>
  <c r="L93" i="4"/>
  <c r="L234" i="4"/>
  <c r="N198" i="4"/>
  <c r="K191" i="4"/>
  <c r="L101" i="4"/>
  <c r="L235" i="5" l="1"/>
  <c r="N199" i="5"/>
  <c r="M200" i="5"/>
  <c r="P194" i="5"/>
  <c r="M192" i="5"/>
  <c r="N102" i="5"/>
  <c r="N103" i="5"/>
  <c r="M93" i="5"/>
  <c r="M234" i="4"/>
  <c r="O198" i="4"/>
  <c r="N193" i="4"/>
  <c r="M199" i="4"/>
  <c r="M93" i="4"/>
  <c r="L191" i="4"/>
  <c r="M101" i="4"/>
  <c r="P102" i="4"/>
  <c r="N93" i="5" l="1"/>
  <c r="O103" i="5"/>
  <c r="N192" i="5"/>
  <c r="O102" i="5"/>
  <c r="Q194" i="5"/>
  <c r="M235" i="5"/>
  <c r="O199" i="5"/>
  <c r="N200" i="5"/>
  <c r="M191" i="4"/>
  <c r="N101" i="4"/>
  <c r="N199" i="4"/>
  <c r="O193" i="4"/>
  <c r="N93" i="4"/>
  <c r="P198" i="4"/>
  <c r="N234" i="4"/>
  <c r="Q102" i="4"/>
  <c r="N235" i="5" l="1"/>
  <c r="P199" i="5"/>
  <c r="O200" i="5"/>
  <c r="R194" i="5"/>
  <c r="O192" i="5"/>
  <c r="P102" i="5"/>
  <c r="P103" i="5"/>
  <c r="O93" i="5"/>
  <c r="Q198" i="4"/>
  <c r="O234" i="4"/>
  <c r="R102" i="4"/>
  <c r="P193" i="4"/>
  <c r="O199" i="4"/>
  <c r="O93" i="4"/>
  <c r="N191" i="4"/>
  <c r="O101" i="4"/>
  <c r="Q103" i="5" l="1"/>
  <c r="P93" i="5"/>
  <c r="P192" i="5"/>
  <c r="Q102" i="5"/>
  <c r="S194" i="5"/>
  <c r="O235" i="5"/>
  <c r="Q199" i="5"/>
  <c r="P200" i="5"/>
  <c r="Q193" i="4"/>
  <c r="P199" i="4"/>
  <c r="P93" i="4"/>
  <c r="S102" i="4"/>
  <c r="O191" i="4"/>
  <c r="P101" i="4"/>
  <c r="R198" i="4"/>
  <c r="P234" i="4"/>
  <c r="P235" i="5" l="1"/>
  <c r="R199" i="5"/>
  <c r="Q200" i="5"/>
  <c r="T194" i="5"/>
  <c r="Q192" i="5"/>
  <c r="R102" i="5"/>
  <c r="R103" i="5"/>
  <c r="Q93" i="5"/>
  <c r="P191" i="4"/>
  <c r="Q101" i="4"/>
  <c r="T102" i="4"/>
  <c r="Q234" i="4"/>
  <c r="S198" i="4"/>
  <c r="Q199" i="4"/>
  <c r="R193" i="4"/>
  <c r="Q93" i="4"/>
  <c r="R93" i="5" l="1"/>
  <c r="S103" i="5"/>
  <c r="U194" i="5"/>
  <c r="S199" i="5"/>
  <c r="Q235" i="5"/>
  <c r="R200" i="5"/>
  <c r="R192" i="5"/>
  <c r="S102" i="5"/>
  <c r="R199" i="4"/>
  <c r="S193" i="4"/>
  <c r="R93" i="4"/>
  <c r="T198" i="4"/>
  <c r="R234" i="4"/>
  <c r="U102" i="4"/>
  <c r="Q191" i="4"/>
  <c r="R101" i="4"/>
  <c r="V194" i="5" l="1"/>
  <c r="T199" i="5"/>
  <c r="R235" i="5"/>
  <c r="S200" i="5"/>
  <c r="S93" i="5"/>
  <c r="T103" i="5"/>
  <c r="S192" i="5"/>
  <c r="T102" i="5"/>
  <c r="V102" i="4"/>
  <c r="S234" i="4"/>
  <c r="U198" i="4"/>
  <c r="S199" i="4"/>
  <c r="T193" i="4"/>
  <c r="S93" i="4"/>
  <c r="R191" i="4"/>
  <c r="S101" i="4"/>
  <c r="U103" i="5" l="1"/>
  <c r="T93" i="5"/>
  <c r="S235" i="5"/>
  <c r="U199" i="5"/>
  <c r="T200" i="5"/>
  <c r="W194" i="5"/>
  <c r="T192" i="5"/>
  <c r="U102" i="5"/>
  <c r="U193" i="4"/>
  <c r="T199" i="4"/>
  <c r="T93" i="4"/>
  <c r="V198" i="4"/>
  <c r="T234" i="4"/>
  <c r="S191" i="4"/>
  <c r="T101" i="4"/>
  <c r="W102" i="4"/>
  <c r="T235" i="5" l="1"/>
  <c r="V199" i="5"/>
  <c r="U200" i="5"/>
  <c r="U51" i="5" s="1"/>
  <c r="U52" i="5" s="1"/>
  <c r="X194" i="5"/>
  <c r="U192" i="5"/>
  <c r="V102" i="5"/>
  <c r="V103" i="5"/>
  <c r="U93" i="5"/>
  <c r="T191" i="4"/>
  <c r="U101" i="4"/>
  <c r="X102" i="4"/>
  <c r="U234" i="4"/>
  <c r="W198" i="4"/>
  <c r="V193" i="4"/>
  <c r="U199" i="4"/>
  <c r="U51" i="4" s="1"/>
  <c r="U52" i="4" s="1"/>
  <c r="U93" i="4"/>
  <c r="V93" i="5" l="1"/>
  <c r="W103" i="5"/>
  <c r="Y194" i="5"/>
  <c r="V192" i="5"/>
  <c r="W102" i="5"/>
  <c r="U75" i="5"/>
  <c r="U73" i="5"/>
  <c r="U235" i="5"/>
  <c r="W199" i="5"/>
  <c r="V200" i="5"/>
  <c r="V51" i="5" s="1"/>
  <c r="V52" i="5" s="1"/>
  <c r="U75" i="4"/>
  <c r="U73" i="4"/>
  <c r="U83" i="4" s="1"/>
  <c r="V199" i="4"/>
  <c r="V51" i="4" s="1"/>
  <c r="V52" i="4" s="1"/>
  <c r="W193" i="4"/>
  <c r="V93" i="4"/>
  <c r="X198" i="4"/>
  <c r="V234" i="4"/>
  <c r="Y102" i="4"/>
  <c r="U191" i="4"/>
  <c r="V101" i="4"/>
  <c r="U83" i="5" l="1"/>
  <c r="AM214" i="5"/>
  <c r="U7" i="5"/>
  <c r="W192" i="5"/>
  <c r="X102" i="5"/>
  <c r="V73" i="5"/>
  <c r="V75" i="5"/>
  <c r="Z194" i="5"/>
  <c r="V235" i="5"/>
  <c r="X199" i="5"/>
  <c r="W200" i="5"/>
  <c r="W51" i="5" s="1"/>
  <c r="W52" i="5" s="1"/>
  <c r="X103" i="5"/>
  <c r="W93" i="5"/>
  <c r="W234" i="4"/>
  <c r="Y198" i="4"/>
  <c r="W199" i="4"/>
  <c r="W51" i="4" s="1"/>
  <c r="W52" i="4" s="1"/>
  <c r="X193" i="4"/>
  <c r="W93" i="4"/>
  <c r="V191" i="4"/>
  <c r="W101" i="4"/>
  <c r="V75" i="4"/>
  <c r="V73" i="4"/>
  <c r="Z102" i="4"/>
  <c r="AM213" i="4"/>
  <c r="U7" i="4"/>
  <c r="V83" i="4" l="1"/>
  <c r="AN214" i="5"/>
  <c r="V7" i="5"/>
  <c r="Y103" i="5"/>
  <c r="X93" i="5"/>
  <c r="X192" i="5"/>
  <c r="Y102" i="5"/>
  <c r="W75" i="5"/>
  <c r="W73" i="5"/>
  <c r="W235" i="5"/>
  <c r="Y199" i="5"/>
  <c r="X200" i="5"/>
  <c r="X51" i="5" s="1"/>
  <c r="X52" i="5" s="1"/>
  <c r="V83" i="5"/>
  <c r="AA194" i="5"/>
  <c r="W191" i="4"/>
  <c r="X101" i="4"/>
  <c r="AA102" i="4"/>
  <c r="AN213" i="4"/>
  <c r="V7" i="4"/>
  <c r="Y193" i="4"/>
  <c r="X199" i="4"/>
  <c r="X51" i="4" s="1"/>
  <c r="X52" i="4" s="1"/>
  <c r="X93" i="4"/>
  <c r="W73" i="4"/>
  <c r="W75" i="4"/>
  <c r="Z198" i="4"/>
  <c r="X234" i="4"/>
  <c r="W83" i="4" l="1"/>
  <c r="W83" i="5"/>
  <c r="AO214" i="5"/>
  <c r="W7" i="5"/>
  <c r="AB194" i="5"/>
  <c r="Y192" i="5"/>
  <c r="Z102" i="5"/>
  <c r="X73" i="5"/>
  <c r="X83" i="5" s="1"/>
  <c r="X75" i="5"/>
  <c r="Z103" i="5"/>
  <c r="Y93" i="5"/>
  <c r="X235" i="5"/>
  <c r="Z199" i="5"/>
  <c r="Y200" i="5"/>
  <c r="Y51" i="5" s="1"/>
  <c r="Y52" i="5" s="1"/>
  <c r="X73" i="4"/>
  <c r="X75" i="4"/>
  <c r="Y199" i="4"/>
  <c r="Y52" i="4" s="1"/>
  <c r="Z193" i="4"/>
  <c r="Y93" i="4"/>
  <c r="Y234" i="4"/>
  <c r="AA198" i="4"/>
  <c r="AO213" i="4"/>
  <c r="W7" i="4"/>
  <c r="AB102" i="4"/>
  <c r="X191" i="4"/>
  <c r="Y101" i="4"/>
  <c r="Z192" i="5" l="1"/>
  <c r="AA102" i="5"/>
  <c r="Y73" i="5"/>
  <c r="Y75" i="5"/>
  <c r="AA199" i="5"/>
  <c r="Y235" i="5"/>
  <c r="Z200" i="5"/>
  <c r="AC194" i="5"/>
  <c r="Z93" i="5"/>
  <c r="AA103" i="5"/>
  <c r="AP214" i="5"/>
  <c r="X7" i="5"/>
  <c r="Y191" i="4"/>
  <c r="Z101" i="4"/>
  <c r="AA193" i="4"/>
  <c r="Z199" i="4"/>
  <c r="Z93" i="4"/>
  <c r="AB198" i="4"/>
  <c r="Z234" i="4"/>
  <c r="AC102" i="4"/>
  <c r="Y75" i="4"/>
  <c r="Y73" i="4"/>
  <c r="AP213" i="4"/>
  <c r="X7" i="4"/>
  <c r="X83" i="4"/>
  <c r="Y83" i="5" l="1"/>
  <c r="AB199" i="5"/>
  <c r="Z235" i="5"/>
  <c r="AA200" i="5"/>
  <c r="AA51" i="5" s="1"/>
  <c r="AA52" i="5" s="1"/>
  <c r="AQ214" i="5"/>
  <c r="Y7" i="5"/>
  <c r="AA93" i="5"/>
  <c r="AB103" i="5"/>
  <c r="AA192" i="5"/>
  <c r="AB102" i="5"/>
  <c r="AD194" i="5"/>
  <c r="AD102" i="4"/>
  <c r="AA234" i="4"/>
  <c r="AC198" i="4"/>
  <c r="Y83" i="4"/>
  <c r="AA199" i="4"/>
  <c r="AA51" i="4" s="1"/>
  <c r="AA52" i="4" s="1"/>
  <c r="AB193" i="4"/>
  <c r="AA93" i="4"/>
  <c r="AQ213" i="4"/>
  <c r="Y7" i="4"/>
  <c r="Z191" i="4"/>
  <c r="AA101" i="4"/>
  <c r="AC103" i="5" l="1"/>
  <c r="AB93" i="5"/>
  <c r="AE194" i="5"/>
  <c r="AA73" i="5"/>
  <c r="AA75" i="5"/>
  <c r="AB192" i="5"/>
  <c r="AC102" i="5"/>
  <c r="AA235" i="5"/>
  <c r="AC199" i="5"/>
  <c r="AB200" i="5"/>
  <c r="AB51" i="5" s="1"/>
  <c r="AB52" i="5" s="1"/>
  <c r="AB199" i="4"/>
  <c r="AB51" i="4" s="1"/>
  <c r="AB52" i="4" s="1"/>
  <c r="AC193" i="4"/>
  <c r="AB93" i="4"/>
  <c r="AA73" i="4"/>
  <c r="AA75" i="4"/>
  <c r="AA191" i="4"/>
  <c r="AB101" i="4"/>
  <c r="AB234" i="4"/>
  <c r="AD198" i="4"/>
  <c r="AE102" i="4"/>
  <c r="AC192" i="5" l="1"/>
  <c r="AD102" i="5"/>
  <c r="AS214" i="5"/>
  <c r="AA7" i="5"/>
  <c r="AA83" i="5"/>
  <c r="AB75" i="5"/>
  <c r="AB73" i="5"/>
  <c r="AB83" i="5" s="1"/>
  <c r="AF194" i="5"/>
  <c r="AB235" i="5"/>
  <c r="AD199" i="5"/>
  <c r="AC200" i="5"/>
  <c r="AC51" i="5" s="1"/>
  <c r="AC52" i="5" s="1"/>
  <c r="AD103" i="5"/>
  <c r="AC93" i="5"/>
  <c r="AB191" i="4"/>
  <c r="AC101" i="4"/>
  <c r="AS213" i="4"/>
  <c r="AA7" i="4"/>
  <c r="AF102" i="4"/>
  <c r="AA83" i="4"/>
  <c r="AD193" i="4"/>
  <c r="AC199" i="4"/>
  <c r="AC51" i="4" s="1"/>
  <c r="AC52" i="4" s="1"/>
  <c r="AC93" i="4"/>
  <c r="AC234" i="4"/>
  <c r="AE198" i="4"/>
  <c r="AB73" i="4"/>
  <c r="AB75" i="4"/>
  <c r="B194" i="5" l="1"/>
  <c r="AT214" i="5"/>
  <c r="AB7" i="5"/>
  <c r="AD93" i="5"/>
  <c r="AE103" i="5"/>
  <c r="AC75" i="5"/>
  <c r="AC73" i="5"/>
  <c r="AC235" i="5"/>
  <c r="AE199" i="5"/>
  <c r="AD200" i="5"/>
  <c r="AD51" i="5" s="1"/>
  <c r="AD52" i="5" s="1"/>
  <c r="AD192" i="5"/>
  <c r="AE102" i="5"/>
  <c r="AC75" i="4"/>
  <c r="AC73" i="4"/>
  <c r="AD199" i="4"/>
  <c r="AD51" i="4" s="1"/>
  <c r="AD52" i="4" s="1"/>
  <c r="AE193" i="4"/>
  <c r="AD93" i="4"/>
  <c r="AT213" i="4"/>
  <c r="AB7" i="4"/>
  <c r="B102" i="4"/>
  <c r="AB83" i="4"/>
  <c r="AF198" i="4"/>
  <c r="AD234" i="4"/>
  <c r="AC191" i="4"/>
  <c r="AD101" i="4"/>
  <c r="AC83" i="4" l="1"/>
  <c r="AF103" i="5"/>
  <c r="AE93" i="5"/>
  <c r="AC83" i="5"/>
  <c r="AU214" i="5"/>
  <c r="AC7" i="5"/>
  <c r="AE192" i="5"/>
  <c r="AF102" i="5"/>
  <c r="AD73" i="5"/>
  <c r="AD75" i="5"/>
  <c r="AD235" i="5"/>
  <c r="AF199" i="5"/>
  <c r="AE200" i="5"/>
  <c r="AE51" i="5" s="1"/>
  <c r="AE52" i="5" s="1"/>
  <c r="AD191" i="4"/>
  <c r="AE101" i="4"/>
  <c r="AF193" i="4"/>
  <c r="AE199" i="4"/>
  <c r="AE51" i="4" s="1"/>
  <c r="AE52" i="4" s="1"/>
  <c r="AE93" i="4"/>
  <c r="B198" i="4"/>
  <c r="AF234" i="4" s="1"/>
  <c r="AE234" i="4"/>
  <c r="AD75" i="4"/>
  <c r="AD73" i="4"/>
  <c r="AU213" i="4"/>
  <c r="AC7" i="4"/>
  <c r="AD83" i="5" l="1"/>
  <c r="AD83" i="4"/>
  <c r="AF192" i="5"/>
  <c r="B102" i="5"/>
  <c r="AE73" i="5"/>
  <c r="AE75" i="5"/>
  <c r="B199" i="5"/>
  <c r="AE235" i="5"/>
  <c r="AF200" i="5"/>
  <c r="AF51" i="5" s="1"/>
  <c r="AF52" i="5" s="1"/>
  <c r="AV214" i="5"/>
  <c r="AD7" i="5"/>
  <c r="AF93" i="5"/>
  <c r="B103" i="5"/>
  <c r="B93" i="5" s="1"/>
  <c r="AV213" i="4"/>
  <c r="AD7" i="4"/>
  <c r="AE75" i="4"/>
  <c r="AE73" i="4"/>
  <c r="B193" i="4"/>
  <c r="AF199" i="4"/>
  <c r="AF51" i="4" s="1"/>
  <c r="AF52" i="4" s="1"/>
  <c r="AF93" i="4"/>
  <c r="AE191" i="4"/>
  <c r="AF101" i="4"/>
  <c r="AE83" i="5" l="1"/>
  <c r="B192" i="5"/>
  <c r="AE83" i="4"/>
  <c r="AF75" i="5"/>
  <c r="AF73" i="5"/>
  <c r="AF83" i="5" s="1"/>
  <c r="AF235" i="5"/>
  <c r="B200" i="5"/>
  <c r="B51" i="5" s="1"/>
  <c r="AW214" i="5"/>
  <c r="AE7" i="5"/>
  <c r="AI93" i="5"/>
  <c r="AH93" i="5"/>
  <c r="AF73" i="4"/>
  <c r="AF75" i="4"/>
  <c r="B199" i="4"/>
  <c r="B51" i="4" s="1"/>
  <c r="B93" i="4"/>
  <c r="AI93" i="4"/>
  <c r="AH93" i="4"/>
  <c r="AW213" i="4"/>
  <c r="AE7" i="4"/>
  <c r="AF191" i="4"/>
  <c r="B101" i="4"/>
  <c r="B191" i="4" s="1"/>
  <c r="B52" i="5" l="1"/>
  <c r="AI51" i="5"/>
  <c r="AH51" i="5"/>
  <c r="AX214" i="5"/>
  <c r="AF7" i="5"/>
  <c r="B52" i="4"/>
  <c r="AI51" i="4"/>
  <c r="AH51" i="4"/>
  <c r="AX213" i="4"/>
  <c r="AF7" i="4"/>
  <c r="AF83" i="4"/>
  <c r="AI52" i="5" l="1"/>
  <c r="AH52" i="5"/>
  <c r="B73" i="5"/>
  <c r="B75" i="5"/>
  <c r="AH52" i="4"/>
  <c r="AI52" i="4"/>
  <c r="B73" i="4"/>
  <c r="B75" i="4"/>
  <c r="T214" i="5" l="1"/>
  <c r="AI75" i="5"/>
  <c r="AH75" i="5"/>
  <c r="B7" i="5"/>
  <c r="A7" i="5" s="1"/>
  <c r="AH73" i="5"/>
  <c r="AI73" i="5"/>
  <c r="B83" i="5"/>
  <c r="AH73" i="4"/>
  <c r="AI73" i="4"/>
  <c r="B83" i="4"/>
  <c r="T213" i="4"/>
  <c r="AH75" i="4"/>
  <c r="AI75" i="4"/>
  <c r="B7" i="4"/>
  <c r="A7" i="4" s="1"/>
  <c r="AI83" i="5" l="1"/>
  <c r="AH83" i="5"/>
  <c r="AI83" i="4"/>
  <c r="AH83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<sst xmlns="http://schemas.openxmlformats.org/spreadsheetml/2006/main" count="7156" uniqueCount="233">
  <si>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</si>
  <si>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</si>
  <si>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</si>
  <si>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</si>
  <si>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</si>
  <si>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</si>
  <si>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</si>
  <si>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</si>
  <si>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</si>
  <si>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</si>
  <si>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</si>
  <si>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</si>
  <si>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</si>
  <si>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</si>
  <si>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</si>
  <si>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</si>
  <si>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</si>
  <si>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</si>
  <si>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</si>
  <si>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</si>
  <si>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</si>
  <si>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</si>
  <si>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</si>
  <si>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</si>
  <si>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</si>
  <si>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</si>
  <si>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</si>
  <si>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</si>
  <si>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</si>
  <si>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</si>
  <si>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</si>
  <si>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</si>
  <si>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</si>
  <si>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</si>
  <si>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</si>
  <si>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</si>
  <si>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</si>
  <si>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</si>
  <si>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</si>
  <si>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</si>
  <si>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</si>
  <si>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</si>
  <si>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</si>
  <si>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</si>
  <si>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</si>
  <si>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</si>
  <si>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</si>
  <si>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</si>
  <si>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</si>
  <si>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</si>
  <si>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</si>
  <si>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</si>
  <si>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</si>
  <si>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</si>
  <si>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</si>
  <si>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</si>
  <si>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</si>
  <si>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</si>
  <si>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</si>
  <si>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</si>
  <si>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</si>
  <si>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</si>
  <si>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</si>
  <si>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</si>
  <si>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</si>
  <si>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</si>
  <si>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</si>
  <si>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</si>
  <si>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</si>
  <si>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</si>
  <si>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</si>
  <si>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</si>
  <si>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</si>
  <si>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</si>
  <si>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</si>
  <si>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</si>
  <si>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</si>
  <si>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</si>
  <si>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</si>
  <si>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</si>
  <si>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</si>
  <si>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</si>
  <si>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</si>
  <si>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</si>
  <si>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</si>
  <si>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</si>
  <si>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</si>
  <si>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</si>
  <si>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</si>
  <si>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</si>
  <si>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</si>
  <si>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</si>
  <si>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</si>
  <si>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</si>
  <si>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</si>
  <si>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</si>
  <si>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</si>
  <si>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</si>
  <si>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</si>
  <si>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</si>
  <si>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</si>
  <si>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</si>
  <si>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</si>
  <si>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</si>
  <si>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</si>
  <si>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</si>
  <si>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</si>
  <si>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</si>
  <si>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</si>
  <si>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</si>
  <si>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</si>
  <si>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</si>
  <si>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</si>
  <si>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</si>
  <si>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</si>
  <si>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</si>
  <si>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</si>
  <si>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</si>
  <si>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</si>
  <si>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</si>
  <si>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</si>
  <si>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</si>
  <si>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</si>
  <si>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</si>
  <si>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</si>
  <si>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</si>
  <si>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</si>
  <si>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</si>
  <si>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</si>
  <si>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</si>
  <si>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</si>
  <si>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</si>
  <si>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</si>
  <si>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</si>
  <si>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</si>
  <si>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</si>
  <si>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</si>
  <si>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</si>
  <si>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</si>
  <si>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</si>
  <si>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</si>
  <si>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</si>
  <si>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</si>
  <si>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</si>
  <si>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</si>
  <si>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</si>
  <si>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</si>
  <si>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</si>
  <si>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</si>
  <si>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</si>
  <si>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</si>
  <si>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</si>
  <si>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</si>
  <si>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</si>
  <si>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</si>
  <si>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</si>
  <si>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</si>
  <si>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</si>
  <si>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</si>
  <si>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</si>
  <si>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</si>
  <si>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</si>
  <si>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</si>
  <si>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</si>
  <si>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</si>
  <si>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</si>
  <si>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</si>
  <si>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</si>
  <si>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</si>
  <si>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</si>
  <si>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</si>
  <si>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</si>
  <si>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</si>
  <si>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</si>
  <si>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</si>
  <si>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</si>
  <si>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</si>
  <si>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</si>
  <si>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</si>
  <si>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</si>
  <si>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</si>
  <si>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</si>
  <si>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</si>
  <si>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</si>
  <si>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</si>
  <si>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</si>
  <si>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</si>
  <si>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</si>
  <si>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</si>
  <si>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</si>
  <si>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</si>
  <si>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</si>
  <si>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</si>
  <si>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</si>
  <si>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</si>
  <si>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</si>
  <si>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</si>
  <si>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</si>
  <si>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</si>
  <si>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</si>
  <si>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</si>
  <si>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</si>
  <si>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</si>
  <si>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</si>
  <si>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</si>
  <si>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</si>
  <si>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</si>
  <si>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</si>
  <si>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</si>
  <si>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</si>
  <si>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</si>
  <si>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</si>
  <si>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</si>
  <si>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</si>
  <si>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</si>
  <si>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</si>
  <si>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</si>
  <si>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</si>
  <si>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65..4</t>
  </si>
  <si>
    <t>65..5</t>
  </si>
  <si>
    <t>system distubed</t>
  </si>
  <si>
    <t xml:space="preserve"> </t>
  </si>
  <si>
    <t>DHALKE-MIRCHYA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</si>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</sst>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3" xfId="0" applyFont="1" applyBorder="1" applyAlignment="1">
      <alignment horizontal="right" vertical="center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6" xfId="0" applyNumberFormat="1" applyFont="1" applyBorder="1" applyAlignment="1" applyProtection="1">
      <alignment horizontal="center" vertical="center"/>
      <protection locked="0"/>
    </xf>
    <xf numFmtId="2" fontId="12" fillId="0" borderId="24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167" fontId="12" fillId="0" borderId="24" xfId="0" applyNumberFormat="1" applyFont="1" applyBorder="1" applyAlignment="1">
      <alignment horizontal="center" vertical="center"/>
    </xf>
    <xf numFmtId="2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167" fontId="12" fillId="0" borderId="2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 vertical="center"/>
    </xf>
    <xf numFmtId="2" fontId="25" fillId="0" borderId="31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7" fontId="12" fillId="9" borderId="24" xfId="0" applyNumberFormat="1" applyFont="1" applyFill="1" applyBorder="1" applyAlignment="1" applyProtection="1">
      <alignment horizontal="center" vertical="center"/>
      <protection locked="0"/>
    </xf>
    <xf numFmtId="0" fontId="16" fillId="0" borderId="32" xfId="0" applyFont="1" applyBorder="1" applyAlignment="1">
      <alignment horizontal="left" vertical="center"/>
    </xf>
    <xf numFmtId="167" fontId="16" fillId="0" borderId="3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167" fontId="12" fillId="8" borderId="34" xfId="0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5" xfId="0" applyFont="1" applyBorder="1" applyAlignment="1">
      <alignment horizontal="right" vertical="center"/>
    </xf>
    <xf numFmtId="2" fontId="26" fillId="0" borderId="29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0" borderId="34" xfId="0" applyNumberFormat="1" applyFont="1" applyBorder="1" applyAlignment="1" applyProtection="1">
      <alignment horizontal="center" vertical="center"/>
      <protection locked="0"/>
    </xf>
    <xf numFmtId="167" fontId="12" fillId="5" borderId="34" xfId="0" applyNumberFormat="1" applyFont="1" applyFill="1" applyBorder="1" applyAlignment="1" applyProtection="1">
      <alignment horizontal="center" vertical="center"/>
      <protection locked="0"/>
    </xf>
    <xf numFmtId="2" fontId="25" fillId="0" borderId="22" xfId="0" applyNumberFormat="1" applyFont="1" applyBorder="1" applyAlignment="1">
      <alignment horizontal="center" vertical="center"/>
    </xf>
    <xf numFmtId="167" fontId="12" fillId="10" borderId="24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0" fontId="16" fillId="11" borderId="32" xfId="0" applyFont="1" applyFill="1" applyBorder="1" applyAlignment="1">
      <alignment vertical="center" wrapText="1"/>
    </xf>
    <xf numFmtId="167" fontId="12" fillId="0" borderId="33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4" xfId="0" applyNumberFormat="1" applyFont="1" applyBorder="1" applyAlignment="1" applyProtection="1">
      <alignment horizontal="center" vertical="center"/>
      <protection locked="0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167" fontId="12" fillId="0" borderId="42" xfId="0" applyNumberFormat="1" applyFont="1" applyBorder="1" applyAlignment="1" applyProtection="1">
      <alignment horizontal="center" vertical="center"/>
      <protection locked="0"/>
    </xf>
    <xf numFmtId="167" fontId="12" fillId="0" borderId="29" xfId="0" applyNumberFormat="1" applyFont="1" applyBorder="1" applyAlignment="1" applyProtection="1">
      <alignment horizontal="center" vertical="center"/>
      <protection locked="0"/>
    </xf>
    <xf numFmtId="2" fontId="12" fillId="0" borderId="43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vertical="center"/>
    </xf>
    <xf numFmtId="167" fontId="12" fillId="0" borderId="42" xfId="0" applyNumberFormat="1" applyFont="1" applyBorder="1" applyAlignment="1" applyProtection="1">
      <alignment horizontal="center"/>
      <protection locked="0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3" xfId="0" applyNumberFormat="1" applyFont="1" applyBorder="1" applyAlignment="1">
      <alignment horizontal="center"/>
    </xf>
    <xf numFmtId="167" fontId="12" fillId="0" borderId="10" xfId="0" applyNumberFormat="1" applyFont="1" applyBorder="1" applyAlignment="1" applyProtection="1">
      <alignment horizontal="center" vertical="center"/>
      <protection locked="0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5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46" xfId="0" applyNumberFormat="1" applyFont="1" applyBorder="1" applyAlignment="1" applyProtection="1">
      <alignment horizontal="center" vertical="center"/>
      <protection locked="0"/>
    </xf>
    <xf numFmtId="167" fontId="12" fillId="0" borderId="2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167" fontId="12" fillId="0" borderId="47" xfId="0" applyNumberFormat="1" applyFont="1" applyBorder="1" applyAlignment="1" applyProtection="1">
      <alignment horizontal="center" vertical="center"/>
      <protection locked="0"/>
    </xf>
    <xf numFmtId="0" fontId="12" fillId="0" borderId="48" xfId="0" applyFont="1" applyBorder="1" applyAlignment="1">
      <alignment vertical="center"/>
    </xf>
    <xf numFmtId="167" fontId="12" fillId="0" borderId="49" xfId="0" applyNumberFormat="1" applyFont="1" applyBorder="1" applyAlignment="1" applyProtection="1">
      <alignment horizontal="center"/>
      <protection locked="0"/>
    </xf>
    <xf numFmtId="167" fontId="12" fillId="0" borderId="29" xfId="0" applyNumberFormat="1" applyFont="1" applyBorder="1" applyAlignment="1" applyProtection="1">
      <alignment horizontal="center"/>
      <protection locked="0"/>
    </xf>
    <xf numFmtId="2" fontId="0" fillId="0" borderId="29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6" fillId="0" borderId="50" xfId="0" applyFont="1" applyBorder="1" applyAlignment="1">
      <alignment vertical="center"/>
    </xf>
    <xf numFmtId="0" fontId="0" fillId="0" borderId="51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2" xfId="0" applyFont="1" applyBorder="1" applyAlignment="1">
      <alignment vertical="center"/>
    </xf>
    <xf numFmtId="2" fontId="12" fillId="0" borderId="24" xfId="0" applyNumberFormat="1" applyFont="1" applyBorder="1" applyAlignment="1">
      <alignment horizontal="center" vertical="center"/>
    </xf>
    <xf numFmtId="170" fontId="25" fillId="0" borderId="5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42" xfId="0" applyNumberFormat="1" applyFont="1" applyBorder="1" applyAlignment="1">
      <alignment horizontal="center" vertical="center"/>
    </xf>
    <xf numFmtId="170" fontId="25" fillId="0" borderId="54" xfId="0" applyNumberFormat="1" applyFont="1" applyBorder="1" applyAlignment="1">
      <alignment horizontal="center" vertical="center"/>
    </xf>
    <xf numFmtId="0" fontId="12" fillId="0" borderId="55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42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2" fontId="28" fillId="0" borderId="54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33" xfId="0" applyNumberFormat="1" applyFont="1" applyBorder="1" applyAlignment="1">
      <alignment horizontal="center" vertical="center"/>
    </xf>
    <xf numFmtId="2" fontId="0" fillId="0" borderId="57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53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42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29" xfId="0" applyNumberFormat="1" applyFont="1" applyBorder="1" applyAlignment="1">
      <alignment vertical="center"/>
    </xf>
    <xf numFmtId="168" fontId="12" fillId="0" borderId="59" xfId="0" applyNumberFormat="1" applyFont="1" applyBorder="1" applyAlignment="1">
      <alignment vertical="center"/>
    </xf>
    <xf numFmtId="168" fontId="12" fillId="0" borderId="29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2" fontId="18" fillId="0" borderId="33" xfId="0" applyNumberFormat="1" applyFont="1" applyBorder="1"/>
    <xf numFmtId="0" fontId="0" fillId="0" borderId="60" xfId="0" applyBorder="1" applyAlignment="1">
      <alignment horizontal="center"/>
    </xf>
    <xf numFmtId="0" fontId="16" fillId="0" borderId="6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67" fontId="12" fillId="14" borderId="24" xfId="0" applyNumberFormat="1" applyFont="1" applyFill="1" applyBorder="1" applyAlignment="1" applyProtection="1">
      <alignment horizontal="center" vertical="center"/>
      <protection locked="0"/>
    </xf>
    <xf numFmtId="167" fontId="12" fillId="14" borderId="6" xfId="0" applyNumberFormat="1" applyFont="1" applyFill="1" applyBorder="1" applyAlignment="1" applyProtection="1">
      <alignment horizontal="center" vertical="center"/>
      <protection locked="0"/>
    </xf>
    <xf numFmtId="167" fontId="12" fillId="5" borderId="24" xfId="0" applyNumberFormat="1" applyFont="1" applyFill="1" applyBorder="1" applyAlignment="1" applyProtection="1">
      <alignment horizontal="center" vertical="center"/>
      <protection locked="0"/>
    </xf>
    <xf numFmtId="167" fontId="12" fillId="15" borderId="6" xfId="0" applyNumberFormat="1" applyFont="1" applyFill="1" applyBorder="1" applyAlignment="1" applyProtection="1">
      <alignment horizontal="center" vertical="center"/>
      <protection locked="0"/>
    </xf>
    <xf numFmtId="0" fontId="31" fillId="10" borderId="0" xfId="0" applyFont="1" applyFill="1" applyAlignment="1">
      <alignment horizont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169" fontId="24" fillId="7" borderId="19" xfId="0" applyNumberFormat="1" applyFont="1" applyFill="1" applyBorder="1" applyAlignment="1">
      <alignment horizontal="center" vertical="center" wrapText="1"/>
    </xf>
    <xf numFmtId="169" fontId="24" fillId="7" borderId="22" xfId="0" applyNumberFormat="1" applyFont="1" applyFill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167" fontId="12" fillId="9" borderId="18" xfId="0" applyNumberFormat="1" applyFont="1" applyFill="1" applyBorder="1" applyAlignment="1" applyProtection="1">
      <alignment horizontal="center" vertical="center" textRotation="90"/>
      <protection locked="0"/>
    </xf>
    <xf numFmtId="167" fontId="12" fillId="9" borderId="34" xfId="0" applyNumberFormat="1" applyFont="1" applyFill="1" applyBorder="1" applyAlignment="1" applyProtection="1">
      <alignment horizontal="center" vertical="center" textRotation="90"/>
      <protection locked="0"/>
    </xf>
    <xf numFmtId="167" fontId="12" fillId="9" borderId="9" xfId="0" applyNumberFormat="1" applyFont="1" applyFill="1" applyBorder="1" applyAlignment="1" applyProtection="1">
      <alignment horizontal="center" vertical="center" textRotation="90"/>
      <protection locked="0"/>
    </xf>
  </cellXfs>
  <cellStyles count="2">
    <cellStyle name="Comma" xfId="1" builtinId="3"/>
    <cellStyle name="Normal" xfId="0" builtinId="0"/>
  </cellStyles>
  <dxfs count="8960"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'1'!$T$211:$AX$211</c:f>
              <c:numCache>
                <c:formatCode>General</c:formatCode>
                <c:ptCount val="31"/>
              </c:numCache>
            </c:numRef>
          </c:cat>
          <c:val>
            <c:numRef>
              <c:f>'1'!$U$212:$AX$212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071616"/>
        <c:axId val="559073536"/>
      </c:lineChart>
      <c:catAx>
        <c:axId val="5590716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3536"/>
        <c:crosses val="autoZero"/>
        <c:auto val="1"/>
        <c:lblAlgn val="ctr"/>
        <c:lblOffset val="100"/>
        <c:noMultiLvlLbl val="0"/>
      </c:catAx>
      <c:valAx>
        <c:axId val="559073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'2'!$T$211:$AX$211</c:f>
              <c:numCache>
                <c:formatCode>General</c:formatCode>
                <c:ptCount val="31"/>
              </c:numCache>
            </c:numRef>
          </c:cat>
          <c:val>
            <c:numRef>
              <c:f>'2'!$U$212:$AX$212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345088"/>
        <c:axId val="560347008"/>
      </c:lineChart>
      <c:catAx>
        <c:axId val="560345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47008"/>
        <c:crosses val="autoZero"/>
        <c:auto val="1"/>
        <c:lblAlgn val="ctr"/>
        <c:lblOffset val="100"/>
        <c:noMultiLvlLbl val="0"/>
      </c:catAx>
      <c:valAx>
        <c:axId val="56034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'3'!$T$211:$AX$211</c:f>
              <c:numCache>
                <c:formatCode>General</c:formatCode>
                <c:ptCount val="31"/>
              </c:numCache>
            </c:numRef>
          </c:cat>
          <c:val>
            <c:numRef>
              <c:f>'3'!$U$212:$AX$212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086848"/>
        <c:axId val="561088768"/>
      </c:lineChart>
      <c:catAx>
        <c:axId val="561086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8768"/>
        <c:crosses val="autoZero"/>
        <c:auto val="1"/>
        <c:lblAlgn val="ctr"/>
        <c:lblOffset val="100"/>
        <c:noMultiLvlLbl val="0"/>
      </c:catAx>
      <c:valAx>
        <c:axId val="561088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'4'!$T$211:$AX$211</c:f>
              <c:numCache>
                <c:formatCode>General</c:formatCode>
                <c:ptCount val="31"/>
              </c:numCache>
            </c:numRef>
          </c:cat>
          <c:val>
            <c:numRef>
              <c:f>'4'!$U$212:$AX$212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984640"/>
        <c:axId val="561986560"/>
      </c:lineChart>
      <c:catAx>
        <c:axId val="5619846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6560"/>
        <c:crosses val="autoZero"/>
        <c:auto val="1"/>
        <c:lblAlgn val="ctr"/>
        <c:lblOffset val="100"/>
        <c:noMultiLvlLbl val="0"/>
      </c:catAx>
      <c:valAx>
        <c:axId val="561986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98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'5'!$T$211:$AX$211</c:f>
              <c:numCache>
                <c:formatCode>General</c:formatCode>
                <c:ptCount val="31"/>
              </c:numCache>
            </c:numRef>
          </c:cat>
          <c:val>
            <c:numRef>
              <c:f>'5'!$U$212:$AX$212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611328"/>
        <c:axId val="562613248"/>
      </c:lineChart>
      <c:catAx>
        <c:axId val="562611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13248"/>
        <c:crosses val="autoZero"/>
        <c:auto val="1"/>
        <c:lblAlgn val="ctr"/>
        <c:lblOffset val="100"/>
        <c:noMultiLvlLbl val="0"/>
      </c:catAx>
      <c:valAx>
        <c:axId val="5626132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6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'6'!$T$211:$AX$211</c:f>
              <c:numCache>
                <c:formatCode>General</c:formatCode>
                <c:ptCount val="31"/>
              </c:numCache>
            </c:numRef>
          </c:cat>
          <c:val>
            <c:numRef>
              <c:f>'6'!$U$212:$AX$212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185984"/>
        <c:axId val="570196352"/>
      </c:lineChart>
      <c:catAx>
        <c:axId val="570185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96352"/>
        <c:crosses val="autoZero"/>
        <c:auto val="1"/>
        <c:lblAlgn val="ctr"/>
        <c:lblOffset val="100"/>
        <c:noMultiLvlLbl val="0"/>
      </c:catAx>
      <c:valAx>
        <c:axId val="570196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'7'!$T$211:$AX$211</c:f>
              <c:numCache>
                <c:formatCode>General</c:formatCode>
                <c:ptCount val="31"/>
              </c:numCache>
            </c:numRef>
          </c:cat>
          <c:val>
            <c:numRef>
              <c:f>'7'!$U$212:$AX$212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878848"/>
        <c:axId val="576983424"/>
      </c:lineChart>
      <c:catAx>
        <c:axId val="576878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83424"/>
        <c:crosses val="autoZero"/>
        <c:auto val="1"/>
        <c:lblAlgn val="ctr"/>
        <c:lblOffset val="100"/>
        <c:noMultiLvlLbl val="0"/>
      </c:catAx>
      <c:valAx>
        <c:axId val="576983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87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'8'!$T$211:$AX$211</c:f>
              <c:numCache>
                <c:formatCode>General</c:formatCode>
                <c:ptCount val="31"/>
              </c:numCache>
            </c:numRef>
          </c:cat>
          <c:val>
            <c:numRef>
              <c:f>'8'!$U$212:$AX$212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265088"/>
        <c:axId val="584275456"/>
      </c:lineChart>
      <c:catAx>
        <c:axId val="584265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75456"/>
        <c:crosses val="autoZero"/>
        <c:auto val="1"/>
        <c:lblAlgn val="ctr"/>
        <c:lblOffset val="100"/>
        <c:noMultiLvlLbl val="0"/>
      </c:catAx>
      <c:valAx>
        <c:axId val="584275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'9'!$T$211:$AX$211</c:f>
              <c:numCache>
                <c:formatCode>General</c:formatCode>
                <c:ptCount val="31"/>
              </c:numCache>
            </c:numRef>
          </c:cat>
          <c:val>
            <c:numRef>
              <c:f>'9'!$U$212:$AX$212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967104"/>
        <c:axId val="647969024"/>
      </c:lineChart>
      <c:catAx>
        <c:axId val="64796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69024"/>
        <c:crosses val="autoZero"/>
        <c:auto val="1"/>
        <c:lblAlgn val="ctr"/>
        <c:lblOffset val="100"/>
        <c:noMultiLvlLbl val="0"/>
      </c:catAx>
      <c:valAx>
        <c:axId val="647969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'10'!$T$211:$AX$211</c:f>
              <c:numCache>
                <c:formatCode>General</c:formatCode>
                <c:ptCount val="31"/>
              </c:numCache>
            </c:numRef>
          </c:cat>
          <c:val>
            <c:numRef>
              <c:f>'10'!$U$212:$AX$212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893568"/>
        <c:axId val="648895488"/>
      </c:lineChart>
      <c:catAx>
        <c:axId val="648893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95488"/>
        <c:crosses val="autoZero"/>
        <c:auto val="1"/>
        <c:lblAlgn val="ctr"/>
        <c:lblOffset val="100"/>
        <c:noMultiLvlLbl val="0"/>
      </c:catAx>
      <c:valAx>
        <c:axId val="648895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8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'11'!$T$211:$AX$211</c:f>
              <c:numCache>
                <c:formatCode>General</c:formatCode>
                <c:ptCount val="31"/>
              </c:numCache>
            </c:numRef>
          </c:cat>
          <c:val>
            <c:numRef>
              <c:f>'11'!$U$212:$AX$212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394496"/>
        <c:axId val="654396416"/>
      </c:lineChart>
      <c:catAx>
        <c:axId val="65439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96416"/>
        <c:crosses val="autoZero"/>
        <c:auto val="1"/>
        <c:lblAlgn val="ctr"/>
        <c:lblOffset val="100"/>
        <c:noMultiLvlLbl val="0"/>
      </c:catAx>
      <c:valAx>
        <c:axId val="65439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'12'!$T$211:$AX$211</c:f>
              <c:numCache>
                <c:formatCode>General</c:formatCode>
                <c:ptCount val="31"/>
              </c:numCache>
            </c:numRef>
          </c:cat>
          <c:val>
            <c:numRef>
              <c:f>'12'!$U$212:$AX$212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434496"/>
        <c:axId val="719436416"/>
      </c:lineChart>
      <c:catAx>
        <c:axId val="71943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6416"/>
        <c:crosses val="autoZero"/>
        <c:auto val="1"/>
        <c:lblAlgn val="ctr"/>
        <c:lblOffset val="100"/>
        <c:noMultiLvlLbl val="0"/>
      </c:catAx>
      <c:valAx>
        <c:axId val="71943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3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'13'!$T$211:$AX$211</c:f>
              <c:numCache>
                <c:formatCode>General</c:formatCode>
                <c:ptCount val="31"/>
              </c:numCache>
            </c:numRef>
          </c:cat>
          <c:val>
            <c:numRef>
              <c:f>'13'!$U$212:$AX$212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267840"/>
        <c:axId val="731269760"/>
      </c:lineChart>
      <c:catAx>
        <c:axId val="7312678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69760"/>
        <c:crosses val="autoZero"/>
        <c:auto val="1"/>
        <c:lblAlgn val="ctr"/>
        <c:lblOffset val="100"/>
        <c:noMultiLvlLbl val="0"/>
      </c:catAx>
      <c:valAx>
        <c:axId val="731269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6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'14'!$T$211:$AX$211</c:f>
              <c:numCache>
                <c:formatCode>General</c:formatCode>
                <c:ptCount val="31"/>
              </c:numCache>
            </c:numRef>
          </c:cat>
          <c:val>
            <c:numRef>
              <c:f>'14'!$U$212:$AX$212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2599040"/>
        <c:axId val="732600960"/>
      </c:lineChart>
      <c:catAx>
        <c:axId val="732599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600960"/>
        <c:crosses val="autoZero"/>
        <c:auto val="1"/>
        <c:lblAlgn val="ctr"/>
        <c:lblOffset val="100"/>
        <c:noMultiLvlLbl val="0"/>
      </c:catAx>
      <c:valAx>
        <c:axId val="732600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9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'15'!$T$211:$AX$211</c:f>
              <c:numCache>
                <c:formatCode>General</c:formatCode>
                <c:ptCount val="31"/>
              </c:numCache>
            </c:numRef>
          </c:cat>
          <c:val>
            <c:numRef>
              <c:f>'15'!$U$212:$AX$212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544256"/>
        <c:axId val="734546176"/>
      </c:lineChart>
      <c:catAx>
        <c:axId val="734544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46176"/>
        <c:crosses val="autoZero"/>
        <c:auto val="1"/>
        <c:lblAlgn val="ctr"/>
        <c:lblOffset val="100"/>
        <c:noMultiLvlLbl val="0"/>
      </c:catAx>
      <c:valAx>
        <c:axId val="73454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4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'16'!$T$211:$AX$211</c:f>
              <c:numCache>
                <c:formatCode>General</c:formatCode>
                <c:ptCount val="31"/>
              </c:numCache>
            </c:numRef>
          </c:cat>
          <c:val>
            <c:numRef>
              <c:f>'16'!$U$212:$AX$212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929856"/>
        <c:axId val="735931776"/>
      </c:lineChart>
      <c:catAx>
        <c:axId val="735929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31776"/>
        <c:crosses val="autoZero"/>
        <c:auto val="1"/>
        <c:lblAlgn val="ctr"/>
        <c:lblOffset val="100"/>
        <c:noMultiLvlLbl val="0"/>
      </c:catAx>
      <c:valAx>
        <c:axId val="735931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'17'!$T$211:$AX$211</c:f>
              <c:numCache>
                <c:formatCode>General</c:formatCode>
                <c:ptCount val="31"/>
              </c:numCache>
            </c:numRef>
          </c:cat>
          <c:val>
            <c:numRef>
              <c:f>'17'!$U$212:$AX$212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6950528"/>
        <c:axId val="737026432"/>
      </c:lineChart>
      <c:catAx>
        <c:axId val="736950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26432"/>
        <c:crosses val="autoZero"/>
        <c:auto val="1"/>
        <c:lblAlgn val="ctr"/>
        <c:lblOffset val="100"/>
        <c:noMultiLvlLbl val="0"/>
      </c:catAx>
      <c:valAx>
        <c:axId val="737026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95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'18'!$T$211:$AX$211</c:f>
              <c:numCache>
                <c:formatCode>General</c:formatCode>
                <c:ptCount val="31"/>
              </c:numCache>
            </c:numRef>
          </c:cat>
          <c:val>
            <c:numRef>
              <c:f>'18'!$U$212:$AX$212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531200"/>
        <c:axId val="738537472"/>
      </c:lineChart>
      <c:catAx>
        <c:axId val="738531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7472"/>
        <c:crosses val="autoZero"/>
        <c:auto val="1"/>
        <c:lblAlgn val="ctr"/>
        <c:lblOffset val="100"/>
        <c:noMultiLvlLbl val="0"/>
      </c:catAx>
      <c:valAx>
        <c:axId val="738537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5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'19'!$T$211:$AX$211</c:f>
              <c:numCache>
                <c:formatCode>General</c:formatCode>
                <c:ptCount val="31"/>
              </c:numCache>
            </c:numRef>
          </c:cat>
          <c:val>
            <c:numRef>
              <c:f>'19'!$U$212:$AX$212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418880"/>
        <c:axId val="739420800"/>
      </c:lineChart>
      <c:catAx>
        <c:axId val="73941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0800"/>
        <c:crosses val="autoZero"/>
        <c:auto val="1"/>
        <c:lblAlgn val="ctr"/>
        <c:lblOffset val="100"/>
        <c:noMultiLvlLbl val="0"/>
      </c:catAx>
      <c:valAx>
        <c:axId val="739420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'20'!$T$211:$AX$211</c:f>
              <c:numCache>
                <c:formatCode>General</c:formatCode>
                <c:ptCount val="31"/>
              </c:numCache>
            </c:numRef>
          </c:cat>
          <c:val>
            <c:numRef>
              <c:f>'20'!$U$212:$AX$212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17216"/>
        <c:axId val="740219136"/>
      </c:lineChart>
      <c:catAx>
        <c:axId val="740217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19136"/>
        <c:crosses val="autoZero"/>
        <c:auto val="1"/>
        <c:lblAlgn val="ctr"/>
        <c:lblOffset val="100"/>
        <c:noMultiLvlLbl val="0"/>
      </c:catAx>
      <c:valAx>
        <c:axId val="740219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'21'!$T$211:$AX$211</c:f>
              <c:numCache>
                <c:formatCode>General</c:formatCode>
                <c:ptCount val="31"/>
              </c:numCache>
            </c:numRef>
          </c:cat>
          <c:val>
            <c:numRef>
              <c:f>'21'!$U$212:$AX$212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385984"/>
        <c:axId val="747387904"/>
      </c:lineChart>
      <c:catAx>
        <c:axId val="747385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87904"/>
        <c:crosses val="autoZero"/>
        <c:auto val="1"/>
        <c:lblAlgn val="ctr"/>
        <c:lblOffset val="100"/>
        <c:noMultiLvlLbl val="0"/>
      </c:catAx>
      <c:valAx>
        <c:axId val="747387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38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'22'!$A$211:$A$215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'22'!$B$211:$B$215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'22'!$S$213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'22'!$T$211:$AX$211</c:f>
              <c:numCache>
                <c:formatCode>General</c:formatCode>
                <c:ptCount val="31"/>
              </c:numCache>
            </c:numRef>
          </c:cat>
          <c:val>
            <c:numRef>
              <c:f>'22'!$U$212:$AX$212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016768"/>
        <c:axId val="750027136"/>
      </c:lineChart>
      <c:catAx>
        <c:axId val="750016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27136"/>
        <c:crosses val="autoZero"/>
        <c:auto val="1"/>
        <c:lblAlgn val="ctr"/>
        <c:lblOffset val="100"/>
        <c:noMultiLvlLbl val="0"/>
      </c:catAx>
      <c:valAx>
        <c:axId val="750027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1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'23'!$T$212:$AX$212</c:f>
              <c:numCache>
                <c:formatCode>General</c:formatCode>
                <c:ptCount val="31"/>
              </c:numCache>
            </c:numRef>
          </c:cat>
          <c:val>
            <c:numRef>
              <c:f>'23'!$U$213:$AX$213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585536"/>
        <c:axId val="751587712"/>
      </c:lineChart>
      <c:catAx>
        <c:axId val="751585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87712"/>
        <c:crosses val="autoZero"/>
        <c:auto val="1"/>
        <c:lblAlgn val="ctr"/>
        <c:lblOffset val="100"/>
        <c:noMultiLvlLbl val="0"/>
      </c:catAx>
      <c:valAx>
        <c:axId val="751587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58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'24'!$T$212:$AX$212</c:f>
              <c:numCache>
                <c:formatCode>General</c:formatCode>
                <c:ptCount val="31"/>
              </c:numCache>
            </c:numRef>
          </c:cat>
          <c:val>
            <c:numRef>
              <c:f>'24'!$U$213:$AX$213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942656"/>
        <c:axId val="767944576"/>
      </c:lineChart>
      <c:catAx>
        <c:axId val="767942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44576"/>
        <c:crosses val="autoZero"/>
        <c:auto val="1"/>
        <c:lblAlgn val="ctr"/>
        <c:lblOffset val="100"/>
        <c:noMultiLvlLbl val="0"/>
      </c:catAx>
      <c:valAx>
        <c:axId val="767944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4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'25'!$T$212:$AX$212</c:f>
              <c:numCache>
                <c:formatCode>General</c:formatCode>
                <c:ptCount val="31"/>
              </c:numCache>
            </c:numRef>
          </c:cat>
          <c:val>
            <c:numRef>
              <c:f>'25'!$U$213:$AX$213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505088"/>
        <c:axId val="780507008"/>
      </c:lineChart>
      <c:catAx>
        <c:axId val="780505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07008"/>
        <c:crosses val="autoZero"/>
        <c:auto val="1"/>
        <c:lblAlgn val="ctr"/>
        <c:lblOffset val="100"/>
        <c:noMultiLvlLbl val="0"/>
      </c:catAx>
      <c:valAx>
        <c:axId val="7805070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0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'26'!$T$212:$AX$212</c:f>
              <c:numCache>
                <c:formatCode>General</c:formatCode>
                <c:ptCount val="31"/>
              </c:numCache>
            </c:numRef>
          </c:cat>
          <c:val>
            <c:numRef>
              <c:f>'26'!$U$213:$AX$213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178560"/>
        <c:axId val="458180480"/>
      </c:lineChart>
      <c:catAx>
        <c:axId val="45817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80480"/>
        <c:crosses val="autoZero"/>
        <c:auto val="1"/>
        <c:lblAlgn val="ctr"/>
        <c:lblOffset val="100"/>
        <c:noMultiLvlLbl val="0"/>
      </c:catAx>
      <c:valAx>
        <c:axId val="45818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7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'27'!$T$212:$AX$212</c:f>
              <c:numCache>
                <c:formatCode>General</c:formatCode>
                <c:ptCount val="31"/>
              </c:numCache>
            </c:numRef>
          </c:cat>
          <c:val>
            <c:numRef>
              <c:f>'27'!$U$213:$AX$213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690112"/>
        <c:axId val="473692032"/>
      </c:lineChart>
      <c:catAx>
        <c:axId val="473690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92032"/>
        <c:crosses val="autoZero"/>
        <c:auto val="1"/>
        <c:lblAlgn val="ctr"/>
        <c:lblOffset val="100"/>
        <c:noMultiLvlLbl val="0"/>
      </c:catAx>
      <c:valAx>
        <c:axId val="473692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9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'28'!$T$212:$AX$212</c:f>
              <c:numCache>
                <c:formatCode>General</c:formatCode>
                <c:ptCount val="31"/>
              </c:numCache>
            </c:numRef>
          </c:cat>
          <c:val>
            <c:numRef>
              <c:f>'28'!$U$213:$AX$213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886656"/>
        <c:axId val="466888576"/>
      </c:lineChart>
      <c:catAx>
        <c:axId val="466886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8576"/>
        <c:crosses val="autoZero"/>
        <c:auto val="1"/>
        <c:lblAlgn val="ctr"/>
        <c:lblOffset val="100"/>
        <c:noMultiLvlLbl val="0"/>
      </c:catAx>
      <c:valAx>
        <c:axId val="466888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'29'!$T$212:$AX$212</c:f>
              <c:numCache>
                <c:formatCode>General</c:formatCode>
                <c:ptCount val="31"/>
              </c:numCache>
            </c:numRef>
          </c:cat>
          <c:val>
            <c:numRef>
              <c:f>'29'!$U$213:$AX$213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413312"/>
        <c:axId val="472415232"/>
      </c:lineChart>
      <c:catAx>
        <c:axId val="472413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15232"/>
        <c:crosses val="autoZero"/>
        <c:auto val="1"/>
        <c:lblAlgn val="ctr"/>
        <c:lblOffset val="100"/>
        <c:noMultiLvlLbl val="0"/>
      </c:catAx>
      <c:valAx>
        <c:axId val="472415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1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'30'!$T$212:$AX$212</c:f>
              <c:numCache>
                <c:formatCode>General</c:formatCode>
                <c:ptCount val="31"/>
              </c:numCache>
            </c:numRef>
          </c:cat>
          <c:val>
            <c:numRef>
              <c:f>'30'!$U$213:$AX$213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392000"/>
        <c:axId val="509393920"/>
      </c:lineChart>
      <c:catAx>
        <c:axId val="509392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93920"/>
        <c:crosses val="autoZero"/>
        <c:auto val="1"/>
        <c:lblAlgn val="ctr"/>
        <c:lblOffset val="100"/>
        <c:noMultiLvlLbl val="0"/>
      </c:catAx>
      <c:valAx>
        <c:axId val="5093939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3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'new_sample (3)'!$A$212:$A$216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'new_sample (3)'!$B$212:$B$216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'new_sample (3)'!$S$214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'new_sample (3)'!$T$212:$AX$212</c:f>
              <c:numCache>
                <c:formatCode>General</c:formatCode>
                <c:ptCount val="31"/>
              </c:numCache>
            </c:numRef>
          </c:cat>
          <c:val>
            <c:numRef>
              <c:f>'new_sample (3)'!$U$213:$AX$213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152448"/>
        <c:axId val="526154368"/>
      </c:lineChart>
      <c:catAx>
        <c:axId val="526152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4368"/>
        <c:crosses val="autoZero"/>
        <c:auto val="1"/>
        <c:lblAlgn val="ctr"/>
        <c:lblOffset val="100"/>
        <c:noMultiLvlLbl val="0"/>
      </c:catAx>
      <c:valAx>
        <c:axId val="526154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210</xdr:row>
      <xdr:rowOff>57156</xdr:rowOff>
    </xdr:from>
    <xdr:to>
      <xdr:col>15</xdr:col>
      <xdr:colOff>219074</xdr:colOff>
      <xdr:row>232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213</xdr:row>
      <xdr:rowOff>133356</xdr:rowOff>
    </xdr:from>
    <xdr:to>
      <xdr:col>32</xdr:col>
      <xdr:colOff>9524</xdr:colOff>
      <xdr:row>231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AB50" sqref="AB5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381.33</v>
      </c>
      <c r="C5" s="32">
        <f t="shared" si="0"/>
        <v>367.52</v>
      </c>
      <c r="D5" s="32">
        <f t="shared" si="0"/>
        <v>361</v>
      </c>
      <c r="E5" s="32">
        <f t="shared" si="0"/>
        <v>330.9</v>
      </c>
      <c r="F5" s="32">
        <f t="shared" si="0"/>
        <v>340.7</v>
      </c>
      <c r="G5" s="32">
        <f t="shared" si="0"/>
        <v>448.6</v>
      </c>
      <c r="H5" s="32">
        <f t="shared" si="0"/>
        <v>467.9</v>
      </c>
      <c r="I5" s="32">
        <f t="shared" si="0"/>
        <v>492</v>
      </c>
      <c r="J5" s="32">
        <f t="shared" si="0"/>
        <v>508.5</v>
      </c>
      <c r="K5" s="32">
        <f t="shared" si="0"/>
        <v>174.07</v>
      </c>
      <c r="L5" s="32">
        <f t="shared" si="0"/>
        <v>291.89999999999998</v>
      </c>
      <c r="M5" s="32">
        <f t="shared" si="0"/>
        <v>334.8</v>
      </c>
      <c r="N5" s="32">
        <f t="shared" si="0"/>
        <v>359.2</v>
      </c>
      <c r="O5" s="32">
        <f t="shared" si="0"/>
        <v>496</v>
      </c>
      <c r="P5" s="32">
        <f t="shared" si="0"/>
        <v>521.29999999999995</v>
      </c>
      <c r="Q5" s="32">
        <f t="shared" si="0"/>
        <v>560.37</v>
      </c>
      <c r="R5" s="32">
        <f t="shared" si="0"/>
        <v>561.5</v>
      </c>
      <c r="S5" s="32">
        <f t="shared" si="0"/>
        <v>562.29999999999995</v>
      </c>
      <c r="T5" s="32">
        <f t="shared" si="0"/>
        <v>552.41</v>
      </c>
      <c r="U5" s="32">
        <f t="shared" si="0"/>
        <v>377.4</v>
      </c>
      <c r="V5" s="32">
        <f t="shared" si="0"/>
        <v>379.17</v>
      </c>
      <c r="W5" s="32">
        <f t="shared" si="0"/>
        <v>354.09999999999997</v>
      </c>
      <c r="X5" s="32">
        <f t="shared" si="0"/>
        <v>295.2</v>
      </c>
      <c r="Y5" s="32">
        <f t="shared" si="0"/>
        <v>306.39</v>
      </c>
      <c r="Z5" s="32">
        <f t="shared" si="0"/>
        <v>398.56</v>
      </c>
      <c r="AA5" s="32">
        <f t="shared" si="0"/>
        <v>519</v>
      </c>
      <c r="AB5" s="32">
        <f t="shared" si="0"/>
        <v>505</v>
      </c>
      <c r="AC5" s="32">
        <f t="shared" si="0"/>
        <v>507</v>
      </c>
      <c r="AD5" s="32">
        <f t="shared" si="0"/>
        <v>500</v>
      </c>
      <c r="AE5" s="32">
        <f t="shared" si="0"/>
        <v>499.5</v>
      </c>
      <c r="AF5" s="32">
        <f>B68</f>
        <v>390.4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1531MW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Load=875</v>
      </c>
      <c r="B7" s="37">
        <f>B75</f>
        <v>970.64</v>
      </c>
      <c r="C7" s="37">
        <f t="shared" ref="C7:AF7" si="1">C75</f>
        <v>920.37</v>
      </c>
      <c r="D7" s="37">
        <f t="shared" si="1"/>
        <v>889.16</v>
      </c>
      <c r="E7" s="37">
        <f t="shared" si="1"/>
        <v>880.54</v>
      </c>
      <c r="F7" s="37">
        <f t="shared" si="1"/>
        <v>874.93999999999994</v>
      </c>
      <c r="G7" s="37">
        <f t="shared" si="1"/>
        <v>921.74</v>
      </c>
      <c r="H7" s="37">
        <f t="shared" si="1"/>
        <v>1009.94</v>
      </c>
      <c r="I7" s="37">
        <f t="shared" si="1"/>
        <v>1102.94</v>
      </c>
      <c r="J7" s="37">
        <f t="shared" si="1"/>
        <v>1207.8399999999999</v>
      </c>
      <c r="K7" s="37">
        <f t="shared" si="1"/>
        <v>1355.1399999999999</v>
      </c>
      <c r="L7" s="37">
        <f t="shared" si="1"/>
        <v>1374.8100000000002</v>
      </c>
      <c r="M7" s="37">
        <f t="shared" si="1"/>
        <v>1531.04</v>
      </c>
      <c r="N7" s="37">
        <f t="shared" si="1"/>
        <v>1425.9399999999998</v>
      </c>
      <c r="O7" s="37">
        <f t="shared" si="1"/>
        <v>1327.04</v>
      </c>
      <c r="P7" s="37">
        <f t="shared" si="1"/>
        <v>1326.34</v>
      </c>
      <c r="Q7" s="37">
        <f t="shared" si="1"/>
        <v>1280.1399999999999</v>
      </c>
      <c r="R7" s="37">
        <f t="shared" si="1"/>
        <v>1192.9100000000001</v>
      </c>
      <c r="S7" s="37">
        <f t="shared" si="1"/>
        <v>1204.1399999999999</v>
      </c>
      <c r="T7" s="37">
        <f t="shared" si="1"/>
        <v>1205.54</v>
      </c>
      <c r="U7" s="37">
        <f t="shared" si="1"/>
        <v>1213.8499999999999</v>
      </c>
      <c r="V7" s="37">
        <f t="shared" si="1"/>
        <v>1237.6399999999999</v>
      </c>
      <c r="W7" s="37">
        <f t="shared" si="1"/>
        <v>1280.7099999999998</v>
      </c>
      <c r="X7" s="37">
        <f t="shared" si="1"/>
        <v>1403.8399999999997</v>
      </c>
      <c r="Y7" s="37">
        <f t="shared" si="1"/>
        <v>1584.1399999999999</v>
      </c>
      <c r="Z7" s="37">
        <f t="shared" si="1"/>
        <v>1559.4299999999998</v>
      </c>
      <c r="AA7" s="37">
        <f t="shared" si="1"/>
        <v>1498.1999999999998</v>
      </c>
      <c r="AB7" s="37">
        <f t="shared" si="1"/>
        <v>1428.74</v>
      </c>
      <c r="AC7" s="37">
        <f t="shared" si="1"/>
        <v>1391.34</v>
      </c>
      <c r="AD7" s="37">
        <f t="shared" si="1"/>
        <v>1264.44</v>
      </c>
      <c r="AE7" s="37">
        <f t="shared" si="1"/>
        <v>1127.44</v>
      </c>
      <c r="AF7" s="37">
        <f t="shared" si="1"/>
        <v>1045.94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15</v>
      </c>
      <c r="C11" s="49">
        <v>15</v>
      </c>
      <c r="D11" s="49">
        <v>15</v>
      </c>
      <c r="E11" s="49">
        <v>15</v>
      </c>
      <c r="F11" s="49">
        <v>15</v>
      </c>
      <c r="G11" s="49">
        <v>45</v>
      </c>
      <c r="H11" s="49">
        <v>15</v>
      </c>
      <c r="I11" s="49">
        <v>15</v>
      </c>
      <c r="J11" s="49">
        <v>50</v>
      </c>
      <c r="K11" s="49">
        <v>60</v>
      </c>
      <c r="L11" s="49">
        <v>350</v>
      </c>
      <c r="M11" s="50">
        <v>370</v>
      </c>
      <c r="N11" s="50">
        <v>215</v>
      </c>
      <c r="O11" s="50">
        <v>130</v>
      </c>
      <c r="P11" s="50">
        <v>60</v>
      </c>
      <c r="Q11" s="50">
        <v>60</v>
      </c>
      <c r="R11" s="51">
        <v>15</v>
      </c>
      <c r="S11" s="50">
        <v>10</v>
      </c>
      <c r="T11" s="50">
        <v>10</v>
      </c>
      <c r="U11" s="50">
        <v>10</v>
      </c>
      <c r="V11" s="50">
        <v>120</v>
      </c>
      <c r="W11" s="50">
        <v>155</v>
      </c>
      <c r="X11" s="50">
        <v>220</v>
      </c>
      <c r="Y11" s="50">
        <v>390</v>
      </c>
      <c r="Z11" s="50">
        <v>360</v>
      </c>
      <c r="AA11" s="50">
        <v>230</v>
      </c>
      <c r="AB11" s="50">
        <v>69</v>
      </c>
      <c r="AC11" s="50">
        <v>90</v>
      </c>
      <c r="AD11" s="50">
        <v>50</v>
      </c>
      <c r="AE11" s="50">
        <v>12</v>
      </c>
      <c r="AF11" s="49">
        <v>12</v>
      </c>
      <c r="AG11" s="53">
        <v>456</v>
      </c>
      <c r="AH11" s="54">
        <f>MAX(B11:AF11)</f>
        <v>390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32</v>
      </c>
      <c r="C12" s="49">
        <v>32</v>
      </c>
      <c r="D12" s="49">
        <v>32</v>
      </c>
      <c r="E12" s="49">
        <v>32</v>
      </c>
      <c r="F12" s="49">
        <v>32</v>
      </c>
      <c r="G12" s="49">
        <v>32</v>
      </c>
      <c r="H12" s="49">
        <v>32</v>
      </c>
      <c r="I12" s="49">
        <v>32</v>
      </c>
      <c r="J12" s="49">
        <v>32</v>
      </c>
      <c r="K12" s="49">
        <v>32</v>
      </c>
      <c r="L12" s="49">
        <v>33</v>
      </c>
      <c r="M12" s="49">
        <v>33</v>
      </c>
      <c r="N12" s="49">
        <v>32.799999999999997</v>
      </c>
      <c r="O12" s="49">
        <v>32.799999999999997</v>
      </c>
      <c r="P12" s="49">
        <v>32.799999999999997</v>
      </c>
      <c r="Q12" s="49">
        <v>32.799999999999997</v>
      </c>
      <c r="R12" s="49">
        <v>32.799999999999997</v>
      </c>
      <c r="S12" s="49">
        <v>32.799999999999997</v>
      </c>
      <c r="T12" s="49">
        <v>32.799999999999997</v>
      </c>
      <c r="U12" s="49">
        <v>32.799999999999997</v>
      </c>
      <c r="V12" s="49">
        <v>32.799999999999997</v>
      </c>
      <c r="W12" s="49">
        <v>32.799999999999997</v>
      </c>
      <c r="X12" s="49">
        <v>32.799999999999997</v>
      </c>
      <c r="Y12" s="58">
        <v>32.799999999999997</v>
      </c>
      <c r="Z12" s="58">
        <v>32.799999999999997</v>
      </c>
      <c r="AA12" s="58">
        <v>32.799999999999997</v>
      </c>
      <c r="AB12" s="58">
        <v>32.799999999999997</v>
      </c>
      <c r="AC12" s="58">
        <v>32.799999999999997</v>
      </c>
      <c r="AD12" s="58">
        <v>32.799999999999997</v>
      </c>
      <c r="AE12" s="58">
        <v>32.799999999999997</v>
      </c>
      <c r="AF12" s="58">
        <v>32.799999999999997</v>
      </c>
      <c r="AG12" s="59">
        <v>60</v>
      </c>
      <c r="AH12" s="54">
        <f t="shared" ref="AH12:AH75" si="2">MAX(B12:AF12)</f>
        <v>33</v>
      </c>
      <c r="AI12" s="55">
        <f t="shared" ref="AI12:AI75" si="3">MIN(B12:AF12)</f>
        <v>32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19.2</v>
      </c>
      <c r="C13" s="49">
        <v>19.2</v>
      </c>
      <c r="D13" s="49">
        <v>19.2</v>
      </c>
      <c r="E13" s="49">
        <v>19.2</v>
      </c>
      <c r="F13" s="49">
        <v>19.2</v>
      </c>
      <c r="G13" s="49">
        <v>19.2</v>
      </c>
      <c r="H13" s="49">
        <v>19.2</v>
      </c>
      <c r="I13" s="49">
        <v>19.2</v>
      </c>
      <c r="J13" s="49">
        <v>19.2</v>
      </c>
      <c r="K13" s="49">
        <v>19.2</v>
      </c>
      <c r="L13" s="49">
        <v>19.100000000000001</v>
      </c>
      <c r="M13" s="49">
        <v>19.2</v>
      </c>
      <c r="N13" s="49">
        <v>19.2</v>
      </c>
      <c r="O13" s="49">
        <v>19.2</v>
      </c>
      <c r="P13" s="49">
        <v>19.2</v>
      </c>
      <c r="Q13" s="49">
        <v>19.2</v>
      </c>
      <c r="R13" s="49">
        <v>19.2</v>
      </c>
      <c r="S13" s="49">
        <v>19.2</v>
      </c>
      <c r="T13" s="49">
        <v>19.2</v>
      </c>
      <c r="U13" s="49">
        <v>19.2</v>
      </c>
      <c r="V13" s="49">
        <v>19.2</v>
      </c>
      <c r="W13" s="49">
        <v>19.2</v>
      </c>
      <c r="X13" s="49">
        <v>19.2</v>
      </c>
      <c r="Y13" s="58">
        <v>19.2</v>
      </c>
      <c r="Z13" s="58">
        <v>19.2</v>
      </c>
      <c r="AA13" s="58">
        <v>19.2</v>
      </c>
      <c r="AB13" s="58">
        <v>19.2</v>
      </c>
      <c r="AC13" s="58">
        <v>19.2</v>
      </c>
      <c r="AD13" s="58">
        <v>19.2</v>
      </c>
      <c r="AE13" s="58">
        <v>19.2</v>
      </c>
      <c r="AF13" s="58">
        <v>19.2</v>
      </c>
      <c r="AG13" s="59">
        <v>52.4</v>
      </c>
      <c r="AH13" s="54">
        <f t="shared" si="2"/>
        <v>19.2</v>
      </c>
      <c r="AI13" s="55">
        <f t="shared" si="3"/>
        <v>19.100000000000001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35.5</v>
      </c>
      <c r="C14" s="49">
        <v>35.5</v>
      </c>
      <c r="D14" s="49">
        <v>35.5</v>
      </c>
      <c r="E14" s="49">
        <v>35.5</v>
      </c>
      <c r="F14" s="49">
        <v>35.5</v>
      </c>
      <c r="G14" s="49">
        <v>35.5</v>
      </c>
      <c r="H14" s="49">
        <v>35.5</v>
      </c>
      <c r="I14" s="49">
        <v>35.5</v>
      </c>
      <c r="J14" s="49">
        <v>35.5</v>
      </c>
      <c r="K14" s="49">
        <v>35.5</v>
      </c>
      <c r="L14" s="49">
        <v>35.5</v>
      </c>
      <c r="M14" s="50">
        <v>36.4</v>
      </c>
      <c r="N14" s="50">
        <v>36</v>
      </c>
      <c r="O14" s="50">
        <v>36</v>
      </c>
      <c r="P14" s="50">
        <v>36</v>
      </c>
      <c r="Q14" s="50">
        <v>36</v>
      </c>
      <c r="R14" s="50">
        <v>36</v>
      </c>
      <c r="S14" s="50">
        <v>36</v>
      </c>
      <c r="T14" s="50">
        <v>36</v>
      </c>
      <c r="U14" s="50">
        <v>36</v>
      </c>
      <c r="V14" s="50">
        <v>36</v>
      </c>
      <c r="W14" s="50">
        <v>36</v>
      </c>
      <c r="X14" s="50">
        <v>36</v>
      </c>
      <c r="Y14" s="60">
        <v>36</v>
      </c>
      <c r="Z14" s="60">
        <v>36</v>
      </c>
      <c r="AA14" s="60">
        <v>36</v>
      </c>
      <c r="AB14" s="60">
        <v>36</v>
      </c>
      <c r="AC14" s="60">
        <v>36</v>
      </c>
      <c r="AD14" s="60">
        <v>36</v>
      </c>
      <c r="AE14" s="60">
        <v>36</v>
      </c>
      <c r="AF14" s="60">
        <v>36</v>
      </c>
      <c r="AG14" s="59">
        <v>50</v>
      </c>
      <c r="AH14" s="54">
        <f t="shared" si="2"/>
        <v>36.4</v>
      </c>
      <c r="AI14" s="55">
        <f t="shared" si="3"/>
        <v>35.5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20.9</v>
      </c>
      <c r="C15" s="61">
        <v>20.9</v>
      </c>
      <c r="D15" s="61">
        <v>20.9</v>
      </c>
      <c r="E15" s="61">
        <v>20.9</v>
      </c>
      <c r="F15" s="61">
        <v>20.9</v>
      </c>
      <c r="G15" s="61">
        <v>20.9</v>
      </c>
      <c r="H15" s="61">
        <v>20.9</v>
      </c>
      <c r="I15" s="61">
        <v>20.9</v>
      </c>
      <c r="J15" s="61">
        <v>20.9</v>
      </c>
      <c r="K15" s="61">
        <v>20.9</v>
      </c>
      <c r="L15" s="61">
        <v>20.9</v>
      </c>
      <c r="M15" s="50">
        <v>21</v>
      </c>
      <c r="N15" s="50">
        <v>20.399999999999999</v>
      </c>
      <c r="O15" s="50">
        <v>20.399999999999999</v>
      </c>
      <c r="P15" s="50">
        <v>20.399999999999999</v>
      </c>
      <c r="Q15" s="50">
        <v>20.399999999999999</v>
      </c>
      <c r="R15" s="50">
        <v>20.399999999999999</v>
      </c>
      <c r="S15" s="50">
        <v>20.399999999999999</v>
      </c>
      <c r="T15" s="50">
        <v>20.399999999999999</v>
      </c>
      <c r="U15" s="50">
        <v>20.399999999999999</v>
      </c>
      <c r="V15" s="50">
        <v>20.399999999999999</v>
      </c>
      <c r="W15" s="50">
        <v>20.399999999999999</v>
      </c>
      <c r="X15" s="50">
        <v>20.399999999999999</v>
      </c>
      <c r="Y15" s="60">
        <v>20.399999999999999</v>
      </c>
      <c r="Z15" s="60">
        <v>20.399999999999999</v>
      </c>
      <c r="AA15" s="60">
        <v>20.399999999999999</v>
      </c>
      <c r="AB15" s="60">
        <v>20.399999999999999</v>
      </c>
      <c r="AC15" s="60">
        <v>20.399999999999999</v>
      </c>
      <c r="AD15" s="60">
        <v>20.399999999999999</v>
      </c>
      <c r="AE15" s="60">
        <v>20.399999999999999</v>
      </c>
      <c r="AF15" s="60">
        <v>20.399999999999999</v>
      </c>
      <c r="AG15" s="62">
        <v>45</v>
      </c>
      <c r="AH15" s="54">
        <f t="shared" si="2"/>
        <v>21</v>
      </c>
      <c r="AI15" s="55">
        <f t="shared" si="3"/>
        <v>20.399999999999999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3">
        <v>10</v>
      </c>
      <c r="Z16" s="63">
        <v>10</v>
      </c>
      <c r="AA16" s="63">
        <v>10</v>
      </c>
      <c r="AB16" s="63">
        <v>10</v>
      </c>
      <c r="AC16" s="63">
        <v>10</v>
      </c>
      <c r="AD16" s="63">
        <v>10</v>
      </c>
      <c r="AE16" s="63">
        <v>10</v>
      </c>
      <c r="AF16" s="63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0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60">
        <v>9</v>
      </c>
      <c r="AF17" s="60">
        <v>9</v>
      </c>
      <c r="AG17" s="59">
        <v>42</v>
      </c>
      <c r="AH17" s="54">
        <f t="shared" si="2"/>
        <v>9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8.1</v>
      </c>
      <c r="C18" s="49">
        <v>8.1</v>
      </c>
      <c r="D18" s="49">
        <v>8.1</v>
      </c>
      <c r="E18" s="49">
        <v>8.1</v>
      </c>
      <c r="F18" s="49">
        <v>8.1</v>
      </c>
      <c r="G18" s="49">
        <v>8.1</v>
      </c>
      <c r="H18" s="49">
        <v>8.1</v>
      </c>
      <c r="I18" s="49">
        <v>8.1</v>
      </c>
      <c r="J18" s="49">
        <v>8.1</v>
      </c>
      <c r="K18" s="49">
        <v>8.1</v>
      </c>
      <c r="L18" s="49">
        <v>8.1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8.1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9.8000000000000007</v>
      </c>
      <c r="C19" s="49">
        <v>9.8000000000000007</v>
      </c>
      <c r="D19" s="49">
        <v>9.8000000000000007</v>
      </c>
      <c r="E19" s="49">
        <v>9.8000000000000007</v>
      </c>
      <c r="F19" s="49">
        <v>9.8000000000000007</v>
      </c>
      <c r="G19" s="49">
        <v>9.8000000000000007</v>
      </c>
      <c r="H19" s="49">
        <v>9.8000000000000007</v>
      </c>
      <c r="I19" s="49">
        <v>9.8000000000000007</v>
      </c>
      <c r="J19" s="49">
        <v>9.8000000000000007</v>
      </c>
      <c r="K19" s="49">
        <v>9.8000000000000007</v>
      </c>
      <c r="L19" s="49">
        <v>9.8000000000000007</v>
      </c>
      <c r="M19" s="50">
        <v>9.1999999999999993</v>
      </c>
      <c r="N19" s="50">
        <v>9.1999999999999993</v>
      </c>
      <c r="O19" s="50">
        <v>9.1999999999999993</v>
      </c>
      <c r="P19" s="50">
        <v>9.1999999999999993</v>
      </c>
      <c r="Q19" s="50">
        <v>9.1999999999999993</v>
      </c>
      <c r="R19" s="50">
        <v>9.1999999999999993</v>
      </c>
      <c r="S19" s="50">
        <v>9.1999999999999993</v>
      </c>
      <c r="T19" s="50">
        <v>9.1999999999999993</v>
      </c>
      <c r="U19" s="50">
        <v>9.1999999999999993</v>
      </c>
      <c r="V19" s="50">
        <v>9.1999999999999993</v>
      </c>
      <c r="W19" s="50">
        <v>9.1999999999999993</v>
      </c>
      <c r="X19" s="50">
        <v>9.1999999999999993</v>
      </c>
      <c r="Y19" s="50">
        <v>9.1999999999999993</v>
      </c>
      <c r="Z19" s="50">
        <v>9.1999999999999993</v>
      </c>
      <c r="AA19" s="50">
        <v>9.1999999999999993</v>
      </c>
      <c r="AB19" s="50">
        <v>9.1999999999999993</v>
      </c>
      <c r="AC19" s="50">
        <v>9.1999999999999993</v>
      </c>
      <c r="AD19" s="50">
        <v>9.1999999999999993</v>
      </c>
      <c r="AE19" s="50">
        <v>9.1999999999999993</v>
      </c>
      <c r="AF19" s="50">
        <v>9.1999999999999993</v>
      </c>
      <c r="AG19" s="59">
        <v>30</v>
      </c>
      <c r="AH19" s="54">
        <f t="shared" si="2"/>
        <v>9.8000000000000007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11.4</v>
      </c>
      <c r="C22" s="49">
        <v>11.4</v>
      </c>
      <c r="D22" s="49">
        <v>11.4</v>
      </c>
      <c r="E22" s="49">
        <v>11.4</v>
      </c>
      <c r="F22" s="49">
        <v>11.4</v>
      </c>
      <c r="G22" s="49">
        <v>11.4</v>
      </c>
      <c r="H22" s="49">
        <v>11.4</v>
      </c>
      <c r="I22" s="49">
        <v>11.4</v>
      </c>
      <c r="J22" s="49">
        <v>11.4</v>
      </c>
      <c r="K22" s="49">
        <v>11.4</v>
      </c>
      <c r="L22" s="49">
        <v>11.4</v>
      </c>
      <c r="M22" s="50">
        <v>10.9</v>
      </c>
      <c r="N22" s="50">
        <v>10.9</v>
      </c>
      <c r="O22" s="50">
        <v>10.9</v>
      </c>
      <c r="P22" s="50">
        <v>10.9</v>
      </c>
      <c r="Q22" s="50">
        <v>10.9</v>
      </c>
      <c r="R22" s="50">
        <v>10.9</v>
      </c>
      <c r="S22" s="50">
        <v>10.9</v>
      </c>
      <c r="T22" s="50">
        <v>10.9</v>
      </c>
      <c r="U22" s="50">
        <v>10.9</v>
      </c>
      <c r="V22" s="50">
        <v>10.9</v>
      </c>
      <c r="W22" s="50">
        <v>10.9</v>
      </c>
      <c r="X22" s="50">
        <v>10.9</v>
      </c>
      <c r="Y22" s="50">
        <v>17.3</v>
      </c>
      <c r="Z22" s="50">
        <v>17.3</v>
      </c>
      <c r="AA22" s="50">
        <v>17.3</v>
      </c>
      <c r="AB22" s="50">
        <v>17.3</v>
      </c>
      <c r="AC22" s="50">
        <v>17.3</v>
      </c>
      <c r="AD22" s="50">
        <v>11.6</v>
      </c>
      <c r="AE22" s="50">
        <v>11.6</v>
      </c>
      <c r="AF22" s="50">
        <v>11.6</v>
      </c>
      <c r="AG22" s="59">
        <v>25</v>
      </c>
      <c r="AH22" s="54">
        <f t="shared" si="2"/>
        <v>17.3</v>
      </c>
      <c r="AI22" s="55">
        <f t="shared" si="3"/>
        <v>10.9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9</v>
      </c>
      <c r="C24" s="49">
        <v>9</v>
      </c>
      <c r="D24" s="49">
        <v>9</v>
      </c>
      <c r="E24" s="49">
        <v>9</v>
      </c>
      <c r="F24" s="49">
        <v>9</v>
      </c>
      <c r="G24" s="49">
        <v>9</v>
      </c>
      <c r="H24" s="49">
        <v>9</v>
      </c>
      <c r="I24" s="49">
        <v>9</v>
      </c>
      <c r="J24" s="49">
        <v>9</v>
      </c>
      <c r="K24" s="49">
        <v>9</v>
      </c>
      <c r="L24" s="49">
        <v>9</v>
      </c>
      <c r="M24" s="50">
        <v>9</v>
      </c>
      <c r="N24" s="50">
        <v>9</v>
      </c>
      <c r="O24" s="50">
        <v>9</v>
      </c>
      <c r="P24" s="50">
        <v>9</v>
      </c>
      <c r="Q24" s="50">
        <v>9</v>
      </c>
      <c r="R24" s="50">
        <v>9</v>
      </c>
      <c r="S24" s="50">
        <v>9</v>
      </c>
      <c r="T24" s="50">
        <v>9</v>
      </c>
      <c r="U24" s="50">
        <v>9</v>
      </c>
      <c r="V24" s="50">
        <v>9</v>
      </c>
      <c r="W24" s="50">
        <v>9</v>
      </c>
      <c r="X24" s="50">
        <v>9</v>
      </c>
      <c r="Y24" s="50">
        <v>9</v>
      </c>
      <c r="Z24" s="50">
        <v>9</v>
      </c>
      <c r="AA24" s="50">
        <v>9</v>
      </c>
      <c r="AB24" s="50">
        <v>9</v>
      </c>
      <c r="AC24" s="50">
        <v>9</v>
      </c>
      <c r="AD24" s="50">
        <v>9</v>
      </c>
      <c r="AE24" s="50">
        <v>9</v>
      </c>
      <c r="AF24" s="50">
        <v>9</v>
      </c>
      <c r="AG24" s="59">
        <v>25</v>
      </c>
      <c r="AH24" s="54">
        <f t="shared" si="2"/>
        <v>9</v>
      </c>
      <c r="AI24" s="55">
        <f t="shared" si="3"/>
        <v>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42</v>
      </c>
      <c r="C37" s="61">
        <v>42.1</v>
      </c>
      <c r="D37" s="61">
        <f>29.1+12.5</f>
        <v>41.6</v>
      </c>
      <c r="E37" s="61">
        <f>29.1+12.5</f>
        <v>41.6</v>
      </c>
      <c r="F37" s="61">
        <f>29.1+12.5</f>
        <v>41.6</v>
      </c>
      <c r="G37" s="61">
        <f>29.1+12.5</f>
        <v>41.6</v>
      </c>
      <c r="H37" s="61">
        <f>29.1+12.5</f>
        <v>41.6</v>
      </c>
      <c r="I37" s="61">
        <v>40</v>
      </c>
      <c r="J37" s="61">
        <v>38.5</v>
      </c>
      <c r="K37" s="61">
        <v>38.5</v>
      </c>
      <c r="L37" s="61">
        <f>26.7+11.2</f>
        <v>37.9</v>
      </c>
      <c r="M37" s="70">
        <f>11.1+26.8</f>
        <v>37.9</v>
      </c>
      <c r="N37" s="70">
        <f>11.2+27.9</f>
        <v>39.099999999999994</v>
      </c>
      <c r="O37" s="70">
        <f>11.4+27.2</f>
        <v>38.6</v>
      </c>
      <c r="P37" s="70">
        <f>10.5+23.2</f>
        <v>33.700000000000003</v>
      </c>
      <c r="Q37" s="70">
        <f>10.5+23.2</f>
        <v>33.700000000000003</v>
      </c>
      <c r="R37" s="70">
        <f>11.3+26.2</f>
        <v>37.5</v>
      </c>
      <c r="S37" s="70">
        <f>11.1+25.9</f>
        <v>37</v>
      </c>
      <c r="T37" s="70">
        <v>35.4</v>
      </c>
      <c r="U37" s="70">
        <v>36.4</v>
      </c>
      <c r="V37" s="70">
        <v>34</v>
      </c>
      <c r="W37" s="70">
        <v>33</v>
      </c>
      <c r="X37" s="70">
        <v>31.1</v>
      </c>
      <c r="Y37" s="70">
        <v>48.8</v>
      </c>
      <c r="Z37" s="70">
        <v>48.8</v>
      </c>
      <c r="AA37" s="70">
        <v>30.6</v>
      </c>
      <c r="AB37" s="70">
        <v>30.6</v>
      </c>
      <c r="AC37" s="70">
        <v>30.6</v>
      </c>
      <c r="AD37" s="70">
        <v>30.6</v>
      </c>
      <c r="AE37" s="70">
        <v>43</v>
      </c>
      <c r="AF37" s="70">
        <v>43</v>
      </c>
      <c r="AG37" s="67">
        <v>240</v>
      </c>
      <c r="AH37" s="54">
        <f t="shared" si="2"/>
        <v>48.8</v>
      </c>
      <c r="AI37" s="55">
        <f t="shared" si="3"/>
        <v>30.6</v>
      </c>
      <c r="AK37" s="56"/>
    </row>
    <row r="38" spans="1:88" ht="15.75" thickBot="1" x14ac:dyDescent="0.3">
      <c r="A38" s="71" t="s">
        <v>46</v>
      </c>
      <c r="B38" s="72">
        <f>SUM(B11:B36)</f>
        <v>398.5</v>
      </c>
      <c r="C38" s="72">
        <f t="shared" ref="C38:AF38" si="4">SUM(C11:C36)</f>
        <v>398.5</v>
      </c>
      <c r="D38" s="72">
        <f t="shared" si="4"/>
        <v>398.5</v>
      </c>
      <c r="E38" s="72">
        <f t="shared" si="4"/>
        <v>398.5</v>
      </c>
      <c r="F38" s="72">
        <f t="shared" si="4"/>
        <v>398.5</v>
      </c>
      <c r="G38" s="72">
        <f t="shared" si="4"/>
        <v>428.49999999999994</v>
      </c>
      <c r="H38" s="72">
        <f t="shared" si="4"/>
        <v>398.5</v>
      </c>
      <c r="I38" s="72">
        <f t="shared" si="4"/>
        <v>398.5</v>
      </c>
      <c r="J38" s="72">
        <f t="shared" si="4"/>
        <v>433.49999999999994</v>
      </c>
      <c r="K38" s="72">
        <f t="shared" si="4"/>
        <v>443.49999999999994</v>
      </c>
      <c r="L38" s="72">
        <f t="shared" si="4"/>
        <v>734.40000000000009</v>
      </c>
      <c r="M38" s="72">
        <f t="shared" si="4"/>
        <v>754.30000000000007</v>
      </c>
      <c r="N38" s="72">
        <f t="shared" si="4"/>
        <v>598.09999999999991</v>
      </c>
      <c r="O38" s="72">
        <f t="shared" si="4"/>
        <v>513.09999999999991</v>
      </c>
      <c r="P38" s="72">
        <f t="shared" si="4"/>
        <v>443.09999999999997</v>
      </c>
      <c r="Q38" s="72">
        <f t="shared" si="4"/>
        <v>443.09999999999997</v>
      </c>
      <c r="R38" s="72">
        <f t="shared" si="4"/>
        <v>398.09999999999997</v>
      </c>
      <c r="S38" s="72">
        <f t="shared" si="4"/>
        <v>393.09999999999997</v>
      </c>
      <c r="T38" s="72">
        <f t="shared" si="4"/>
        <v>393.09999999999997</v>
      </c>
      <c r="U38" s="72">
        <f t="shared" si="4"/>
        <v>393.09999999999997</v>
      </c>
      <c r="V38" s="72">
        <f t="shared" si="4"/>
        <v>503.09999999999997</v>
      </c>
      <c r="W38" s="72">
        <f t="shared" si="4"/>
        <v>538.09999999999991</v>
      </c>
      <c r="X38" s="72">
        <f t="shared" si="4"/>
        <v>603.09999999999991</v>
      </c>
      <c r="Y38" s="72">
        <f t="shared" si="4"/>
        <v>779.50000000000011</v>
      </c>
      <c r="Z38" s="72">
        <f t="shared" si="4"/>
        <v>749.5</v>
      </c>
      <c r="AA38" s="72">
        <f t="shared" si="4"/>
        <v>619.5</v>
      </c>
      <c r="AB38" s="72">
        <f t="shared" si="4"/>
        <v>458.5</v>
      </c>
      <c r="AC38" s="72">
        <f t="shared" si="4"/>
        <v>479.49999999999994</v>
      </c>
      <c r="AD38" s="72">
        <f t="shared" si="4"/>
        <v>433.79999999999995</v>
      </c>
      <c r="AE38" s="72">
        <f t="shared" si="4"/>
        <v>404.79999999999995</v>
      </c>
      <c r="AF38" s="72">
        <f t="shared" si="4"/>
        <v>404.79999999999995</v>
      </c>
      <c r="AG38" s="67">
        <f>SUM(AG11:AG37)</f>
        <v>1492.8299999999997</v>
      </c>
      <c r="AH38" s="54">
        <f t="shared" si="2"/>
        <v>779.50000000000011</v>
      </c>
      <c r="AI38" s="55">
        <f t="shared" si="3"/>
        <v>393.09999999999997</v>
      </c>
      <c r="AK38" s="56"/>
    </row>
    <row r="39" spans="1:88" x14ac:dyDescent="0.25">
      <c r="A39" s="57" t="s">
        <v>47</v>
      </c>
      <c r="B39" s="49">
        <v>36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35.5</v>
      </c>
      <c r="I39" s="61">
        <v>81.3</v>
      </c>
      <c r="J39" s="61">
        <v>111</v>
      </c>
      <c r="K39" s="61">
        <v>142.30000000000001</v>
      </c>
      <c r="L39" s="61">
        <v>145.9</v>
      </c>
      <c r="M39" s="50">
        <v>145.80000000000001</v>
      </c>
      <c r="N39" s="50">
        <v>145.80000000000001</v>
      </c>
      <c r="O39" s="50">
        <v>136.6</v>
      </c>
      <c r="P39" s="50">
        <v>110.8</v>
      </c>
      <c r="Q39" s="50">
        <v>90</v>
      </c>
      <c r="R39" s="50">
        <v>61.1</v>
      </c>
      <c r="S39" s="50">
        <v>61</v>
      </c>
      <c r="T39" s="50">
        <v>61</v>
      </c>
      <c r="U39" s="50">
        <v>71.3</v>
      </c>
      <c r="V39" s="50">
        <v>107.4</v>
      </c>
      <c r="W39" s="50">
        <v>121.6</v>
      </c>
      <c r="X39" s="50">
        <v>145</v>
      </c>
      <c r="Y39" s="50">
        <v>145.19999999999999</v>
      </c>
      <c r="Z39" s="50">
        <v>145.19999999999999</v>
      </c>
      <c r="AA39" s="50">
        <v>145.19999999999999</v>
      </c>
      <c r="AB39" s="50">
        <v>144</v>
      </c>
      <c r="AC39" s="50">
        <v>144</v>
      </c>
      <c r="AD39" s="50">
        <v>110</v>
      </c>
      <c r="AE39" s="50">
        <v>30</v>
      </c>
      <c r="AF39" s="49">
        <v>0</v>
      </c>
      <c r="AG39" s="62">
        <v>144</v>
      </c>
      <c r="AH39" s="54">
        <f t="shared" si="2"/>
        <v>145.9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22.6</v>
      </c>
      <c r="C40" s="61">
        <v>22.6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25.7</v>
      </c>
      <c r="J40" s="61">
        <v>26</v>
      </c>
      <c r="K40" s="61">
        <v>59.2</v>
      </c>
      <c r="L40" s="61">
        <v>68.7</v>
      </c>
      <c r="M40" s="73">
        <v>69.2</v>
      </c>
      <c r="N40" s="73">
        <v>69.5</v>
      </c>
      <c r="O40" s="73">
        <v>70.2</v>
      </c>
      <c r="P40" s="73">
        <v>60</v>
      </c>
      <c r="Q40" s="73">
        <v>50</v>
      </c>
      <c r="R40" s="73">
        <v>22.8</v>
      </c>
      <c r="S40" s="73">
        <v>22.9</v>
      </c>
      <c r="T40" s="73">
        <v>22.9</v>
      </c>
      <c r="U40" s="73">
        <v>21.8</v>
      </c>
      <c r="V40" s="73">
        <v>45.8</v>
      </c>
      <c r="W40" s="73">
        <v>45.5</v>
      </c>
      <c r="X40" s="73">
        <v>71.099999999999994</v>
      </c>
      <c r="Y40" s="73">
        <v>71.099999999999994</v>
      </c>
      <c r="Z40" s="73">
        <v>71.099999999999994</v>
      </c>
      <c r="AA40" s="73">
        <v>71.099999999999994</v>
      </c>
      <c r="AB40" s="73">
        <v>60</v>
      </c>
      <c r="AC40" s="73">
        <v>46</v>
      </c>
      <c r="AD40" s="73">
        <v>35</v>
      </c>
      <c r="AE40" s="73">
        <v>25</v>
      </c>
      <c r="AF40" s="61">
        <v>0</v>
      </c>
      <c r="AG40" s="67">
        <v>70</v>
      </c>
      <c r="AH40" s="54">
        <f t="shared" si="2"/>
        <v>71.099999999999994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22.6</v>
      </c>
      <c r="C41" s="61">
        <v>17.399999999999999</v>
      </c>
      <c r="D41" s="61">
        <v>22.6</v>
      </c>
      <c r="E41" s="61">
        <v>22.7</v>
      </c>
      <c r="F41" s="61">
        <v>47.5</v>
      </c>
      <c r="G41" s="61">
        <v>44.8</v>
      </c>
      <c r="H41" s="61">
        <v>16.3</v>
      </c>
      <c r="I41" s="61">
        <v>22.2</v>
      </c>
      <c r="J41" s="61">
        <v>33</v>
      </c>
      <c r="K41" s="61">
        <v>42.6</v>
      </c>
      <c r="L41" s="61">
        <v>66.5</v>
      </c>
      <c r="M41" s="73">
        <v>66.5</v>
      </c>
      <c r="N41" s="73">
        <v>66.099999999999994</v>
      </c>
      <c r="O41" s="73">
        <v>65.7</v>
      </c>
      <c r="P41" s="73">
        <v>50.6</v>
      </c>
      <c r="Q41" s="73">
        <v>35</v>
      </c>
      <c r="R41" s="73">
        <v>33.6</v>
      </c>
      <c r="S41" s="73">
        <v>34</v>
      </c>
      <c r="T41" s="73">
        <v>34</v>
      </c>
      <c r="U41" s="73">
        <v>35.4</v>
      </c>
      <c r="V41" s="73">
        <v>46.6</v>
      </c>
      <c r="W41" s="73">
        <v>35</v>
      </c>
      <c r="X41" s="73">
        <v>52.3</v>
      </c>
      <c r="Y41" s="73">
        <v>68.599999999999994</v>
      </c>
      <c r="Z41" s="73">
        <v>68.599999999999994</v>
      </c>
      <c r="AA41" s="73">
        <v>68.599999999999994</v>
      </c>
      <c r="AB41" s="73">
        <v>66.599999999999994</v>
      </c>
      <c r="AC41" s="73">
        <v>66.7</v>
      </c>
      <c r="AD41" s="73">
        <v>66</v>
      </c>
      <c r="AE41" s="73">
        <v>66</v>
      </c>
      <c r="AF41" s="61">
        <v>40</v>
      </c>
      <c r="AG41" s="67">
        <v>69</v>
      </c>
      <c r="AH41" s="54">
        <f t="shared" si="2"/>
        <v>68.599999999999994</v>
      </c>
      <c r="AI41" s="55">
        <f t="shared" si="3"/>
        <v>16.3</v>
      </c>
      <c r="AK41" s="56"/>
    </row>
    <row r="42" spans="1:88" x14ac:dyDescent="0.25">
      <c r="A42" s="66" t="s">
        <v>50</v>
      </c>
      <c r="B42" s="61">
        <v>51.1</v>
      </c>
      <c r="C42" s="61">
        <v>51.1</v>
      </c>
      <c r="D42" s="61">
        <v>51.1</v>
      </c>
      <c r="E42" s="61">
        <v>48.9</v>
      </c>
      <c r="F42" s="61">
        <v>48.6</v>
      </c>
      <c r="G42" s="61">
        <v>48.3</v>
      </c>
      <c r="H42" s="61">
        <v>46.6</v>
      </c>
      <c r="I42" s="61">
        <v>47.9</v>
      </c>
      <c r="J42" s="61">
        <v>47.9</v>
      </c>
      <c r="K42" s="61">
        <v>49.6</v>
      </c>
      <c r="L42" s="61">
        <v>48.6</v>
      </c>
      <c r="M42" s="73">
        <v>48.6</v>
      </c>
      <c r="N42" s="73">
        <v>48.9</v>
      </c>
      <c r="O42" s="73">
        <v>49.1</v>
      </c>
      <c r="P42" s="73">
        <v>49.1</v>
      </c>
      <c r="Q42" s="73">
        <v>49.1</v>
      </c>
      <c r="R42" s="73">
        <v>49.6</v>
      </c>
      <c r="S42" s="73">
        <v>49.6</v>
      </c>
      <c r="T42" s="73">
        <v>49.6</v>
      </c>
      <c r="U42" s="73">
        <v>47.6</v>
      </c>
      <c r="V42" s="73">
        <v>43.1</v>
      </c>
      <c r="W42" s="73">
        <v>43.3</v>
      </c>
      <c r="X42" s="73">
        <v>47.4</v>
      </c>
      <c r="Y42" s="73">
        <v>47.4</v>
      </c>
      <c r="Z42" s="73">
        <v>47.4</v>
      </c>
      <c r="AA42" s="73">
        <v>47.4</v>
      </c>
      <c r="AB42" s="73">
        <v>48</v>
      </c>
      <c r="AC42" s="73">
        <v>48</v>
      </c>
      <c r="AD42" s="73">
        <v>48</v>
      </c>
      <c r="AE42" s="73">
        <v>52</v>
      </c>
      <c r="AF42" s="73">
        <v>52</v>
      </c>
      <c r="AG42" s="67">
        <v>60</v>
      </c>
      <c r="AH42" s="54">
        <f t="shared" si="2"/>
        <v>52</v>
      </c>
      <c r="AI42" s="55">
        <f t="shared" si="3"/>
        <v>43.1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10</v>
      </c>
      <c r="H43" s="61">
        <v>15</v>
      </c>
      <c r="I43" s="61">
        <v>10</v>
      </c>
      <c r="J43" s="61">
        <v>15</v>
      </c>
      <c r="K43" s="61">
        <v>30</v>
      </c>
      <c r="L43" s="61">
        <v>23</v>
      </c>
      <c r="M43" s="50">
        <v>23</v>
      </c>
      <c r="N43" s="50">
        <v>23</v>
      </c>
      <c r="O43" s="50">
        <v>10</v>
      </c>
      <c r="P43" s="5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10</v>
      </c>
      <c r="X43" s="50">
        <v>23</v>
      </c>
      <c r="Y43" s="50">
        <v>30</v>
      </c>
      <c r="Z43" s="50">
        <v>30</v>
      </c>
      <c r="AA43" s="50">
        <v>30</v>
      </c>
      <c r="AB43" s="73">
        <v>23</v>
      </c>
      <c r="AC43" s="73">
        <v>23</v>
      </c>
      <c r="AD43" s="73">
        <v>15</v>
      </c>
      <c r="AE43" s="73">
        <v>0</v>
      </c>
      <c r="AF43" s="73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74">
        <v>16</v>
      </c>
      <c r="D45" s="74">
        <v>16</v>
      </c>
      <c r="E45" s="74">
        <v>16</v>
      </c>
      <c r="F45" s="74">
        <v>16</v>
      </c>
      <c r="G45" s="74">
        <v>16</v>
      </c>
      <c r="H45" s="74">
        <v>16</v>
      </c>
      <c r="I45" s="74">
        <v>16</v>
      </c>
      <c r="J45" s="74">
        <v>16</v>
      </c>
      <c r="K45" s="74">
        <v>16</v>
      </c>
      <c r="L45" s="74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5.9</v>
      </c>
      <c r="C48" s="74">
        <v>5.9</v>
      </c>
      <c r="D48" s="74">
        <v>5.9</v>
      </c>
      <c r="E48" s="74">
        <v>5.9</v>
      </c>
      <c r="F48" s="74">
        <v>5.9</v>
      </c>
      <c r="G48" s="74">
        <v>5.9</v>
      </c>
      <c r="H48" s="74">
        <v>5.9</v>
      </c>
      <c r="I48" s="74">
        <v>5.9</v>
      </c>
      <c r="J48" s="74">
        <v>5.9</v>
      </c>
      <c r="K48" s="74">
        <v>5.9</v>
      </c>
      <c r="L48" s="74">
        <v>5.9</v>
      </c>
      <c r="M48" s="50">
        <v>5.9</v>
      </c>
      <c r="N48" s="50">
        <v>5.9</v>
      </c>
      <c r="O48" s="50">
        <v>5.9</v>
      </c>
      <c r="P48" s="50">
        <v>5.9</v>
      </c>
      <c r="Q48" s="50">
        <v>5.9</v>
      </c>
      <c r="R48" s="50">
        <v>5.9</v>
      </c>
      <c r="S48" s="50">
        <v>5.9</v>
      </c>
      <c r="T48" s="50">
        <v>5.9</v>
      </c>
      <c r="U48" s="50">
        <v>5.9</v>
      </c>
      <c r="V48" s="50">
        <v>5.9</v>
      </c>
      <c r="W48" s="50">
        <v>5.9</v>
      </c>
      <c r="X48" s="5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5.9</v>
      </c>
      <c r="AD48" s="50">
        <v>5.9</v>
      </c>
      <c r="AE48" s="50">
        <v>5.9</v>
      </c>
      <c r="AF48" s="50">
        <v>5.9</v>
      </c>
      <c r="AG48" s="67">
        <v>14</v>
      </c>
      <c r="AH48" s="54">
        <f t="shared" si="2"/>
        <v>5.9</v>
      </c>
      <c r="AI48" s="55">
        <f t="shared" si="3"/>
        <v>5.9</v>
      </c>
      <c r="AK48" s="56"/>
    </row>
    <row r="49" spans="1:37" x14ac:dyDescent="0.25">
      <c r="A49" s="66" t="s">
        <v>57</v>
      </c>
      <c r="B49" s="61">
        <v>6</v>
      </c>
      <c r="C49" s="61">
        <v>6</v>
      </c>
      <c r="D49" s="61">
        <v>6</v>
      </c>
      <c r="E49" s="61">
        <v>6</v>
      </c>
      <c r="F49" s="61">
        <v>6</v>
      </c>
      <c r="G49" s="61">
        <v>6</v>
      </c>
      <c r="H49" s="61">
        <v>6</v>
      </c>
      <c r="I49" s="61">
        <v>6</v>
      </c>
      <c r="J49" s="61">
        <v>6</v>
      </c>
      <c r="K49" s="61">
        <v>6</v>
      </c>
      <c r="L49" s="61">
        <v>6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6.2</v>
      </c>
      <c r="AC49" s="50">
        <v>6.2</v>
      </c>
      <c r="AD49" s="50">
        <v>6.2</v>
      </c>
      <c r="AE49" s="50">
        <v>6.2</v>
      </c>
      <c r="AF49" s="50">
        <v>6.2</v>
      </c>
      <c r="AG49" s="67">
        <v>10.050000000000001</v>
      </c>
      <c r="AH49" s="54">
        <f t="shared" si="2"/>
        <v>6.2</v>
      </c>
      <c r="AI49" s="55">
        <f t="shared" si="3"/>
        <v>6</v>
      </c>
      <c r="AK49" s="56"/>
    </row>
    <row r="50" spans="1:37" x14ac:dyDescent="0.25">
      <c r="A50" s="66" t="s">
        <v>58</v>
      </c>
      <c r="B50" s="61">
        <v>4</v>
      </c>
      <c r="C50" s="61">
        <v>4</v>
      </c>
      <c r="D50" s="61">
        <v>4</v>
      </c>
      <c r="E50" s="61">
        <v>4</v>
      </c>
      <c r="F50" s="61">
        <v>4</v>
      </c>
      <c r="G50" s="61">
        <v>4</v>
      </c>
      <c r="H50" s="61">
        <v>4</v>
      </c>
      <c r="I50" s="61">
        <v>4</v>
      </c>
      <c r="J50" s="61">
        <v>4</v>
      </c>
      <c r="K50" s="61">
        <v>4</v>
      </c>
      <c r="L50" s="61">
        <v>4</v>
      </c>
      <c r="M50" s="50">
        <v>4</v>
      </c>
      <c r="N50" s="50">
        <v>4</v>
      </c>
      <c r="O50" s="50">
        <v>4</v>
      </c>
      <c r="P50" s="50">
        <v>4</v>
      </c>
      <c r="Q50" s="50">
        <v>4</v>
      </c>
      <c r="R50" s="50">
        <v>4</v>
      </c>
      <c r="S50" s="50">
        <v>4</v>
      </c>
      <c r="T50" s="50">
        <v>4</v>
      </c>
      <c r="U50" s="50">
        <v>4</v>
      </c>
      <c r="V50" s="50">
        <v>4</v>
      </c>
      <c r="W50" s="50">
        <v>4</v>
      </c>
      <c r="X50" s="50">
        <v>4</v>
      </c>
      <c r="Y50" s="50">
        <v>4</v>
      </c>
      <c r="Z50" s="50">
        <v>4</v>
      </c>
      <c r="AA50" s="50">
        <v>4</v>
      </c>
      <c r="AB50" s="50">
        <v>4</v>
      </c>
      <c r="AC50" s="50">
        <v>4</v>
      </c>
      <c r="AD50" s="50">
        <v>4</v>
      </c>
      <c r="AE50" s="50">
        <v>4</v>
      </c>
      <c r="AF50" s="50">
        <v>4</v>
      </c>
      <c r="AG50" s="67">
        <v>6.2</v>
      </c>
      <c r="AH50" s="54">
        <f t="shared" si="2"/>
        <v>4</v>
      </c>
      <c r="AI50" s="55">
        <f t="shared" si="3"/>
        <v>4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181.74</v>
      </c>
      <c r="C52" s="72">
        <f t="shared" ref="C52:AF52" si="6">SUM(C39:C51)</f>
        <v>140.54</v>
      </c>
      <c r="D52" s="72">
        <f t="shared" si="6"/>
        <v>123.14000000000001</v>
      </c>
      <c r="E52" s="72">
        <f t="shared" si="6"/>
        <v>121.04</v>
      </c>
      <c r="F52" s="72">
        <f t="shared" si="6"/>
        <v>145.54</v>
      </c>
      <c r="G52" s="72">
        <f t="shared" si="6"/>
        <v>152.54</v>
      </c>
      <c r="H52" s="72">
        <f t="shared" si="6"/>
        <v>162.84</v>
      </c>
      <c r="I52" s="72">
        <f t="shared" si="6"/>
        <v>236.54</v>
      </c>
      <c r="J52" s="72">
        <f t="shared" si="6"/>
        <v>282.33999999999997</v>
      </c>
      <c r="K52" s="72">
        <f t="shared" si="6"/>
        <v>373.14</v>
      </c>
      <c r="L52" s="72">
        <f t="shared" si="6"/>
        <v>402.14000000000004</v>
      </c>
      <c r="M52" s="72">
        <f t="shared" si="6"/>
        <v>402.74</v>
      </c>
      <c r="N52" s="72">
        <f t="shared" si="6"/>
        <v>402.93999999999994</v>
      </c>
      <c r="O52" s="72">
        <f t="shared" si="6"/>
        <v>381.24</v>
      </c>
      <c r="P52" s="72">
        <f t="shared" si="6"/>
        <v>330.14</v>
      </c>
      <c r="Q52" s="72">
        <f t="shared" si="6"/>
        <v>273.74</v>
      </c>
      <c r="R52" s="72">
        <f t="shared" si="6"/>
        <v>216.73999999999998</v>
      </c>
      <c r="S52" s="72">
        <f t="shared" si="6"/>
        <v>217.14</v>
      </c>
      <c r="T52" s="72">
        <f t="shared" si="6"/>
        <v>217.14</v>
      </c>
      <c r="U52" s="72">
        <f t="shared" si="6"/>
        <v>225.73999999999998</v>
      </c>
      <c r="V52" s="72">
        <f t="shared" si="6"/>
        <v>302.53999999999996</v>
      </c>
      <c r="W52" s="72">
        <f t="shared" si="6"/>
        <v>305.03999999999996</v>
      </c>
      <c r="X52" s="72">
        <f t="shared" si="6"/>
        <v>388.43999999999994</v>
      </c>
      <c r="Y52" s="72">
        <f t="shared" si="6"/>
        <v>411.93999999999994</v>
      </c>
      <c r="Z52" s="72">
        <f t="shared" si="6"/>
        <v>411.93999999999994</v>
      </c>
      <c r="AA52" s="72">
        <f t="shared" si="6"/>
        <v>411.93999999999994</v>
      </c>
      <c r="AB52" s="72">
        <f t="shared" si="6"/>
        <v>391.24</v>
      </c>
      <c r="AC52" s="72">
        <f t="shared" si="6"/>
        <v>377.34</v>
      </c>
      <c r="AD52" s="72">
        <f t="shared" si="6"/>
        <v>323.64</v>
      </c>
      <c r="AE52" s="72">
        <f t="shared" si="6"/>
        <v>222.64</v>
      </c>
      <c r="AF52" s="72">
        <f t="shared" si="6"/>
        <v>141.63999999999999</v>
      </c>
      <c r="AG52" s="78">
        <f>SUM(AG39:AG51)</f>
        <v>489.91</v>
      </c>
      <c r="AH52" s="54">
        <f t="shared" si="2"/>
        <v>411.93999999999994</v>
      </c>
      <c r="AI52" s="55">
        <f t="shared" si="3"/>
        <v>121.04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20</v>
      </c>
      <c r="L53" s="61">
        <v>40.1</v>
      </c>
      <c r="M53" s="79">
        <v>50.2</v>
      </c>
      <c r="N53" s="79">
        <v>54.5</v>
      </c>
      <c r="O53" s="79">
        <v>45</v>
      </c>
      <c r="P53" s="79">
        <v>34.700000000000003</v>
      </c>
      <c r="Q53" s="50">
        <v>25</v>
      </c>
      <c r="R53" s="50">
        <v>12.8</v>
      </c>
      <c r="S53" s="50">
        <v>20.100000000000001</v>
      </c>
      <c r="T53" s="50">
        <v>20.2</v>
      </c>
      <c r="U53" s="50">
        <v>25.4</v>
      </c>
      <c r="V53" s="50">
        <v>33.700000000000003</v>
      </c>
      <c r="W53" s="50">
        <v>36.799999999999997</v>
      </c>
      <c r="X53" s="50">
        <v>36.799999999999997</v>
      </c>
      <c r="Y53" s="50">
        <v>59.7</v>
      </c>
      <c r="Z53" s="50">
        <v>55</v>
      </c>
      <c r="AA53" s="50">
        <v>45.3</v>
      </c>
      <c r="AB53" s="50">
        <v>35</v>
      </c>
      <c r="AC53" s="50">
        <v>20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59.7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7</v>
      </c>
      <c r="L54" s="61">
        <v>17.7</v>
      </c>
      <c r="M54" s="79">
        <v>23.4</v>
      </c>
      <c r="N54" s="79">
        <v>26.1</v>
      </c>
      <c r="O54" s="79">
        <v>20.9</v>
      </c>
      <c r="P54" s="79">
        <v>16.399999999999999</v>
      </c>
      <c r="Q54" s="73">
        <v>12</v>
      </c>
      <c r="R54" s="73">
        <v>3.6</v>
      </c>
      <c r="S54" s="50">
        <v>9</v>
      </c>
      <c r="T54" s="50">
        <v>9.4</v>
      </c>
      <c r="U54" s="50">
        <v>12.6</v>
      </c>
      <c r="V54" s="73">
        <v>15.3</v>
      </c>
      <c r="W54" s="73">
        <v>15.8</v>
      </c>
      <c r="X54" s="73">
        <v>15.7</v>
      </c>
      <c r="Y54" s="73">
        <v>27.7</v>
      </c>
      <c r="Z54" s="73">
        <v>26.8</v>
      </c>
      <c r="AA54" s="73">
        <v>16.8</v>
      </c>
      <c r="AB54" s="73">
        <v>18</v>
      </c>
      <c r="AC54" s="73">
        <v>7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27.7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3</v>
      </c>
      <c r="L55" s="74">
        <v>6.4</v>
      </c>
      <c r="M55" s="81">
        <v>8.5</v>
      </c>
      <c r="N55" s="81">
        <v>9.5</v>
      </c>
      <c r="O55" s="81">
        <v>7.6</v>
      </c>
      <c r="P55" s="81">
        <v>6</v>
      </c>
      <c r="Q55" s="80">
        <v>5</v>
      </c>
      <c r="R55" s="80">
        <v>1.3</v>
      </c>
      <c r="S55" s="50">
        <v>3.3</v>
      </c>
      <c r="T55" s="50">
        <v>3.4</v>
      </c>
      <c r="U55" s="50">
        <v>4.5999999999999996</v>
      </c>
      <c r="V55" s="80">
        <v>5.6</v>
      </c>
      <c r="W55" s="80">
        <v>5.8</v>
      </c>
      <c r="X55" s="80">
        <v>5.7</v>
      </c>
      <c r="Y55" s="80">
        <v>10.1</v>
      </c>
      <c r="Z55" s="80">
        <v>9.8000000000000007</v>
      </c>
      <c r="AA55" s="80">
        <v>6.1</v>
      </c>
      <c r="AB55" s="80">
        <v>7</v>
      </c>
      <c r="AC55" s="80">
        <v>2.5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10.1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30</v>
      </c>
      <c r="L56" s="72">
        <f t="shared" si="7"/>
        <v>64.2</v>
      </c>
      <c r="M56" s="72">
        <f t="shared" si="7"/>
        <v>82.1</v>
      </c>
      <c r="N56" s="72">
        <f t="shared" si="7"/>
        <v>90.1</v>
      </c>
      <c r="O56" s="72">
        <f t="shared" si="7"/>
        <v>73.5</v>
      </c>
      <c r="P56" s="72">
        <f t="shared" si="7"/>
        <v>57.1</v>
      </c>
      <c r="Q56" s="72">
        <f t="shared" si="7"/>
        <v>42</v>
      </c>
      <c r="R56" s="72">
        <f t="shared" si="7"/>
        <v>17.700000000000003</v>
      </c>
      <c r="S56" s="72">
        <f t="shared" si="7"/>
        <v>32.4</v>
      </c>
      <c r="T56" s="72">
        <f t="shared" si="7"/>
        <v>33</v>
      </c>
      <c r="U56" s="72">
        <f t="shared" si="7"/>
        <v>42.6</v>
      </c>
      <c r="V56" s="72">
        <f t="shared" si="7"/>
        <v>54.6</v>
      </c>
      <c r="W56" s="72">
        <f t="shared" si="7"/>
        <v>58.399999999999991</v>
      </c>
      <c r="X56" s="72">
        <f t="shared" si="7"/>
        <v>58.2</v>
      </c>
      <c r="Y56" s="72">
        <f t="shared" si="7"/>
        <v>97.5</v>
      </c>
      <c r="Z56" s="72">
        <f t="shared" si="7"/>
        <v>91.6</v>
      </c>
      <c r="AA56" s="72">
        <f t="shared" si="7"/>
        <v>68.199999999999989</v>
      </c>
      <c r="AB56" s="72">
        <f t="shared" si="7"/>
        <v>60</v>
      </c>
      <c r="AC56" s="72">
        <f t="shared" si="7"/>
        <v>29.5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97.5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70.2</v>
      </c>
      <c r="C57" s="50">
        <v>70.03</v>
      </c>
      <c r="D57" s="50">
        <v>69.12</v>
      </c>
      <c r="E57" s="50">
        <v>78</v>
      </c>
      <c r="F57" s="50">
        <v>78.2</v>
      </c>
      <c r="G57" s="50">
        <v>73.7</v>
      </c>
      <c r="H57" s="50">
        <v>76</v>
      </c>
      <c r="I57" s="50">
        <v>70</v>
      </c>
      <c r="J57" s="50">
        <v>78</v>
      </c>
      <c r="K57" s="50">
        <v>77</v>
      </c>
      <c r="L57" s="50">
        <v>66.17</v>
      </c>
      <c r="M57" s="50">
        <v>68.099999999999994</v>
      </c>
      <c r="N57" s="50">
        <v>62</v>
      </c>
      <c r="O57" s="50">
        <v>70</v>
      </c>
      <c r="P57" s="50">
        <v>65</v>
      </c>
      <c r="Q57" s="50">
        <v>65</v>
      </c>
      <c r="R57" s="50">
        <v>60.67</v>
      </c>
      <c r="S57" s="50">
        <v>65</v>
      </c>
      <c r="T57" s="50">
        <v>64</v>
      </c>
      <c r="U57" s="50">
        <v>76.31</v>
      </c>
      <c r="V57" s="50">
        <v>66</v>
      </c>
      <c r="W57" s="50">
        <v>71.97</v>
      </c>
      <c r="X57" s="50">
        <v>64.7</v>
      </c>
      <c r="Y57" s="50">
        <v>68.400000000000006</v>
      </c>
      <c r="Z57" s="50">
        <v>70.989999999999995</v>
      </c>
      <c r="AA57" s="50">
        <v>66.86</v>
      </c>
      <c r="AB57" s="50">
        <v>68</v>
      </c>
      <c r="AC57" s="50">
        <v>66</v>
      </c>
      <c r="AD57" s="50">
        <v>65</v>
      </c>
      <c r="AE57" s="50">
        <v>68</v>
      </c>
      <c r="AF57" s="50">
        <v>66</v>
      </c>
      <c r="AG57" s="62"/>
      <c r="AH57" s="54">
        <f t="shared" si="2"/>
        <v>78.2</v>
      </c>
      <c r="AI57" s="55">
        <f t="shared" si="3"/>
        <v>60.67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69.2</v>
      </c>
      <c r="N58" s="50">
        <v>68.599999999999994</v>
      </c>
      <c r="O58" s="50">
        <v>52.5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69.2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320.2</v>
      </c>
      <c r="C59" s="73">
        <v>256.10000000000002</v>
      </c>
      <c r="D59" s="73">
        <v>238.2</v>
      </c>
      <c r="E59" s="73">
        <v>283</v>
      </c>
      <c r="F59" s="73">
        <v>252.7</v>
      </c>
      <c r="G59" s="73">
        <v>267</v>
      </c>
      <c r="H59" s="50">
        <v>357</v>
      </c>
      <c r="I59" s="50">
        <v>397.9</v>
      </c>
      <c r="J59" s="50">
        <v>358</v>
      </c>
      <c r="K59" s="50">
        <v>376</v>
      </c>
      <c r="L59" s="50">
        <v>50.3</v>
      </c>
      <c r="M59" s="73">
        <v>35</v>
      </c>
      <c r="N59" s="73">
        <v>131</v>
      </c>
      <c r="O59" s="73">
        <v>177.3</v>
      </c>
      <c r="P59" s="73">
        <v>360.7</v>
      </c>
      <c r="Q59" s="73">
        <v>331</v>
      </c>
      <c r="R59" s="73">
        <v>397</v>
      </c>
      <c r="S59" s="73">
        <v>399.6</v>
      </c>
      <c r="T59" s="73">
        <v>391</v>
      </c>
      <c r="U59" s="73">
        <v>393.4</v>
      </c>
      <c r="V59" s="73">
        <v>222</v>
      </c>
      <c r="W59" s="73">
        <v>212</v>
      </c>
      <c r="X59" s="84">
        <v>188</v>
      </c>
      <c r="Y59" s="84">
        <v>104</v>
      </c>
      <c r="Z59" s="84">
        <v>97.8</v>
      </c>
      <c r="AA59" s="84">
        <v>203.4</v>
      </c>
      <c r="AB59" s="73">
        <v>320</v>
      </c>
      <c r="AC59" s="73">
        <v>310</v>
      </c>
      <c r="AD59" s="73">
        <v>320</v>
      </c>
      <c r="AE59" s="73">
        <v>380</v>
      </c>
      <c r="AF59" s="73">
        <v>380</v>
      </c>
      <c r="AG59" s="85"/>
      <c r="AH59" s="54">
        <f t="shared" si="2"/>
        <v>399.6</v>
      </c>
      <c r="AI59" s="55">
        <f t="shared" si="3"/>
        <v>35</v>
      </c>
      <c r="AK59" s="56"/>
    </row>
    <row r="60" spans="1:37" x14ac:dyDescent="0.25">
      <c r="A60" s="66" t="s">
        <v>68</v>
      </c>
      <c r="B60" s="58">
        <v>0</v>
      </c>
      <c r="C60" s="58">
        <v>55.2</v>
      </c>
      <c r="D60" s="58">
        <v>60.2</v>
      </c>
      <c r="E60" s="58">
        <v>0</v>
      </c>
      <c r="F60" s="58">
        <v>0</v>
      </c>
      <c r="G60" s="58">
        <v>0</v>
      </c>
      <c r="H60" s="58">
        <v>15.6</v>
      </c>
      <c r="I60" s="58">
        <v>0</v>
      </c>
      <c r="J60" s="58">
        <v>56</v>
      </c>
      <c r="K60" s="58">
        <v>55.5</v>
      </c>
      <c r="L60" s="58">
        <v>57.6</v>
      </c>
      <c r="M60" s="73">
        <v>55.1</v>
      </c>
      <c r="N60" s="73">
        <v>61.2</v>
      </c>
      <c r="O60" s="73">
        <v>47.4</v>
      </c>
      <c r="P60" s="73">
        <v>58.3</v>
      </c>
      <c r="Q60" s="73">
        <v>58.3</v>
      </c>
      <c r="R60" s="73">
        <v>47.6</v>
      </c>
      <c r="S60" s="73">
        <v>40.200000000000003</v>
      </c>
      <c r="T60" s="73">
        <v>50.7</v>
      </c>
      <c r="U60" s="73">
        <v>51.9</v>
      </c>
      <c r="V60" s="73">
        <v>57.7</v>
      </c>
      <c r="W60" s="73">
        <v>57.8</v>
      </c>
      <c r="X60" s="73">
        <v>54</v>
      </c>
      <c r="Y60" s="73">
        <v>61.6</v>
      </c>
      <c r="Z60" s="73">
        <v>59.7</v>
      </c>
      <c r="AA60" s="73">
        <v>57.1</v>
      </c>
      <c r="AB60" s="73">
        <v>51</v>
      </c>
      <c r="AC60" s="73">
        <v>54</v>
      </c>
      <c r="AD60" s="73">
        <v>58</v>
      </c>
      <c r="AE60" s="73">
        <v>52</v>
      </c>
      <c r="AF60" s="58">
        <v>53.5</v>
      </c>
      <c r="AG60" s="85"/>
      <c r="AH60" s="54">
        <f t="shared" si="2"/>
        <v>61.6</v>
      </c>
      <c r="AI60" s="55">
        <f t="shared" si="3"/>
        <v>0</v>
      </c>
      <c r="AK60" s="56"/>
    </row>
    <row r="61" spans="1:37" x14ac:dyDescent="0.25">
      <c r="A61" s="66" t="s">
        <v>69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0">
        <v>64.5</v>
      </c>
      <c r="N61" s="50">
        <v>0</v>
      </c>
      <c r="O61" s="50">
        <v>0</v>
      </c>
      <c r="P61" s="50">
        <v>0</v>
      </c>
      <c r="Q61" s="50">
        <v>55</v>
      </c>
      <c r="R61" s="50">
        <v>43.1</v>
      </c>
      <c r="S61" s="50">
        <v>45.7</v>
      </c>
      <c r="T61" s="50">
        <v>45.6</v>
      </c>
      <c r="U61" s="50">
        <v>19.8</v>
      </c>
      <c r="V61" s="50">
        <v>20.7</v>
      </c>
      <c r="W61" s="50">
        <v>26.4</v>
      </c>
      <c r="X61" s="50">
        <v>36.4</v>
      </c>
      <c r="Y61" s="50">
        <v>61.2</v>
      </c>
      <c r="Z61" s="50">
        <v>77.900000000000006</v>
      </c>
      <c r="AA61" s="50">
        <v>71.2</v>
      </c>
      <c r="AB61" s="50">
        <v>80</v>
      </c>
      <c r="AC61" s="50">
        <v>75</v>
      </c>
      <c r="AD61" s="50">
        <v>64</v>
      </c>
      <c r="AE61" s="50">
        <v>0</v>
      </c>
      <c r="AF61" s="50">
        <v>0</v>
      </c>
      <c r="AG61" s="85"/>
      <c r="AH61" s="54">
        <f t="shared" si="2"/>
        <v>80</v>
      </c>
      <c r="AI61" s="55">
        <f t="shared" si="3"/>
        <v>0</v>
      </c>
      <c r="AK61" s="56"/>
    </row>
    <row r="62" spans="1:37" x14ac:dyDescent="0.25">
      <c r="A62" s="66" t="s">
        <v>70</v>
      </c>
      <c r="B62" s="58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12</v>
      </c>
      <c r="O66" s="63">
        <v>12</v>
      </c>
      <c r="P66" s="63">
        <v>12</v>
      </c>
      <c r="Q66" s="63">
        <v>12</v>
      </c>
      <c r="R66" s="63">
        <v>12</v>
      </c>
      <c r="S66" s="63">
        <v>11</v>
      </c>
      <c r="T66" s="63">
        <v>11</v>
      </c>
      <c r="U66" s="63">
        <v>11</v>
      </c>
      <c r="V66" s="63">
        <v>11</v>
      </c>
      <c r="W66" s="63">
        <v>11</v>
      </c>
      <c r="X66" s="63">
        <v>11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12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390.4</v>
      </c>
      <c r="C68" s="72">
        <f>SUM(C57:C67)</f>
        <v>381.33</v>
      </c>
      <c r="D68" s="72">
        <f t="shared" ref="D68:AF68" si="8">SUM(D57:D67)</f>
        <v>367.52</v>
      </c>
      <c r="E68" s="72">
        <f t="shared" si="8"/>
        <v>361</v>
      </c>
      <c r="F68" s="72">
        <f t="shared" si="8"/>
        <v>330.9</v>
      </c>
      <c r="G68" s="72">
        <f t="shared" si="8"/>
        <v>340.7</v>
      </c>
      <c r="H68" s="72">
        <f t="shared" si="8"/>
        <v>448.6</v>
      </c>
      <c r="I68" s="72">
        <f t="shared" si="8"/>
        <v>467.9</v>
      </c>
      <c r="J68" s="72">
        <f t="shared" si="8"/>
        <v>492</v>
      </c>
      <c r="K68" s="72">
        <f t="shared" si="8"/>
        <v>508.5</v>
      </c>
      <c r="L68" s="72">
        <f t="shared" si="8"/>
        <v>174.07</v>
      </c>
      <c r="M68" s="72">
        <f t="shared" si="8"/>
        <v>291.89999999999998</v>
      </c>
      <c r="N68" s="72">
        <f t="shared" si="8"/>
        <v>334.8</v>
      </c>
      <c r="O68" s="72">
        <f t="shared" si="8"/>
        <v>359.2</v>
      </c>
      <c r="P68" s="72">
        <f t="shared" si="8"/>
        <v>496</v>
      </c>
      <c r="Q68" s="72">
        <f t="shared" si="8"/>
        <v>521.29999999999995</v>
      </c>
      <c r="R68" s="72">
        <f t="shared" si="8"/>
        <v>560.37</v>
      </c>
      <c r="S68" s="72">
        <f t="shared" si="8"/>
        <v>561.5</v>
      </c>
      <c r="T68" s="72">
        <f t="shared" si="8"/>
        <v>562.29999999999995</v>
      </c>
      <c r="U68" s="72">
        <f t="shared" si="8"/>
        <v>552.41</v>
      </c>
      <c r="V68" s="72">
        <f t="shared" si="8"/>
        <v>377.4</v>
      </c>
      <c r="W68" s="72">
        <f t="shared" si="8"/>
        <v>379.17</v>
      </c>
      <c r="X68" s="72">
        <f t="shared" si="8"/>
        <v>354.09999999999997</v>
      </c>
      <c r="Y68" s="72">
        <f t="shared" si="8"/>
        <v>295.2</v>
      </c>
      <c r="Z68" s="72">
        <f t="shared" si="8"/>
        <v>306.39</v>
      </c>
      <c r="AA68" s="72">
        <f t="shared" si="8"/>
        <v>398.56</v>
      </c>
      <c r="AB68" s="72">
        <f t="shared" si="8"/>
        <v>519</v>
      </c>
      <c r="AC68" s="72">
        <f t="shared" si="8"/>
        <v>505</v>
      </c>
      <c r="AD68" s="72">
        <f t="shared" si="8"/>
        <v>507</v>
      </c>
      <c r="AE68" s="72">
        <f t="shared" si="8"/>
        <v>500</v>
      </c>
      <c r="AF68" s="72">
        <f t="shared" si="8"/>
        <v>499.5</v>
      </c>
      <c r="AG68" s="78">
        <f>SUM(AG57:AG67)</f>
        <v>0</v>
      </c>
      <c r="AH68" s="54">
        <f t="shared" si="2"/>
        <v>562.29999999999995</v>
      </c>
      <c r="AI68" s="55">
        <f t="shared" si="3"/>
        <v>174.07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970.64</v>
      </c>
      <c r="C73" s="89">
        <f>C68+C56+C52+C38+C72</f>
        <v>920.37</v>
      </c>
      <c r="D73" s="89">
        <f t="shared" ref="D73:AG73" si="10">D68+D56+D52+D38+D72</f>
        <v>889.16</v>
      </c>
      <c r="E73" s="89">
        <f t="shared" si="10"/>
        <v>880.54</v>
      </c>
      <c r="F73" s="89">
        <f t="shared" si="10"/>
        <v>874.93999999999994</v>
      </c>
      <c r="G73" s="89">
        <f t="shared" si="10"/>
        <v>921.74</v>
      </c>
      <c r="H73" s="89">
        <f t="shared" si="10"/>
        <v>1009.94</v>
      </c>
      <c r="I73" s="89">
        <f t="shared" si="10"/>
        <v>1102.94</v>
      </c>
      <c r="J73" s="89">
        <f t="shared" si="10"/>
        <v>1207.8399999999999</v>
      </c>
      <c r="K73" s="89">
        <f t="shared" si="10"/>
        <v>1355.1399999999999</v>
      </c>
      <c r="L73" s="89">
        <f t="shared" si="10"/>
        <v>1374.8100000000002</v>
      </c>
      <c r="M73" s="89">
        <f t="shared" si="10"/>
        <v>1531.04</v>
      </c>
      <c r="N73" s="89">
        <f t="shared" si="10"/>
        <v>1425.9399999999998</v>
      </c>
      <c r="O73" s="89">
        <f t="shared" si="10"/>
        <v>1327.04</v>
      </c>
      <c r="P73" s="89">
        <f t="shared" si="10"/>
        <v>1326.34</v>
      </c>
      <c r="Q73" s="89">
        <f t="shared" si="10"/>
        <v>1280.1399999999999</v>
      </c>
      <c r="R73" s="89">
        <f t="shared" si="10"/>
        <v>1192.9100000000001</v>
      </c>
      <c r="S73" s="89">
        <f t="shared" si="10"/>
        <v>1204.1399999999999</v>
      </c>
      <c r="T73" s="89">
        <f t="shared" si="10"/>
        <v>1205.54</v>
      </c>
      <c r="U73" s="89">
        <f t="shared" si="10"/>
        <v>1213.8499999999999</v>
      </c>
      <c r="V73" s="89">
        <f t="shared" si="10"/>
        <v>1237.6399999999999</v>
      </c>
      <c r="W73" s="89">
        <f t="shared" si="10"/>
        <v>1280.7099999999998</v>
      </c>
      <c r="X73" s="89">
        <f t="shared" si="10"/>
        <v>1403.8399999999997</v>
      </c>
      <c r="Y73" s="89">
        <f t="shared" si="10"/>
        <v>1584.1399999999999</v>
      </c>
      <c r="Z73" s="89">
        <f t="shared" si="10"/>
        <v>1559.4299999999998</v>
      </c>
      <c r="AA73" s="89">
        <f t="shared" si="10"/>
        <v>1498.1999999999998</v>
      </c>
      <c r="AB73" s="89">
        <f t="shared" si="10"/>
        <v>1428.74</v>
      </c>
      <c r="AC73" s="89">
        <f t="shared" si="10"/>
        <v>1391.34</v>
      </c>
      <c r="AD73" s="89">
        <f t="shared" si="10"/>
        <v>1264.44</v>
      </c>
      <c r="AE73" s="89">
        <f t="shared" si="10"/>
        <v>1127.44</v>
      </c>
      <c r="AF73" s="89">
        <f t="shared" si="10"/>
        <v>1045.94</v>
      </c>
      <c r="AG73" s="89">
        <f t="shared" si="10"/>
        <v>2144.14</v>
      </c>
      <c r="AH73" s="54">
        <f t="shared" si="2"/>
        <v>1584.1399999999999</v>
      </c>
      <c r="AI73" s="55">
        <f t="shared" si="3"/>
        <v>874.93999999999994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970.64</v>
      </c>
      <c r="C75" s="89">
        <f>C73+C74</f>
        <v>920.37</v>
      </c>
      <c r="D75" s="89">
        <f t="shared" ref="D75:AF75" si="11">D72+D68+D56+D52+D38+D74</f>
        <v>889.16</v>
      </c>
      <c r="E75" s="89">
        <f t="shared" si="11"/>
        <v>880.54</v>
      </c>
      <c r="F75" s="89">
        <f t="shared" si="11"/>
        <v>874.93999999999994</v>
      </c>
      <c r="G75" s="89">
        <f t="shared" si="11"/>
        <v>921.74</v>
      </c>
      <c r="H75" s="89">
        <f t="shared" si="11"/>
        <v>1009.94</v>
      </c>
      <c r="I75" s="89">
        <f t="shared" si="11"/>
        <v>1102.94</v>
      </c>
      <c r="J75" s="89">
        <f t="shared" si="11"/>
        <v>1207.8399999999999</v>
      </c>
      <c r="K75" s="89">
        <f t="shared" si="11"/>
        <v>1355.1399999999999</v>
      </c>
      <c r="L75" s="89">
        <f t="shared" si="11"/>
        <v>1374.8100000000002</v>
      </c>
      <c r="M75" s="89">
        <f t="shared" si="11"/>
        <v>1531.04</v>
      </c>
      <c r="N75" s="89">
        <f t="shared" si="11"/>
        <v>1425.9399999999998</v>
      </c>
      <c r="O75" s="89">
        <f t="shared" si="11"/>
        <v>1327.04</v>
      </c>
      <c r="P75" s="89">
        <f t="shared" si="11"/>
        <v>1326.34</v>
      </c>
      <c r="Q75" s="89">
        <f t="shared" si="11"/>
        <v>1280.1399999999999</v>
      </c>
      <c r="R75" s="89">
        <f t="shared" si="11"/>
        <v>1192.9100000000001</v>
      </c>
      <c r="S75" s="89">
        <f t="shared" si="11"/>
        <v>1204.1399999999999</v>
      </c>
      <c r="T75" s="89">
        <f t="shared" si="11"/>
        <v>1205.54</v>
      </c>
      <c r="U75" s="89">
        <f t="shared" si="11"/>
        <v>1213.8499999999999</v>
      </c>
      <c r="V75" s="89">
        <f t="shared" si="11"/>
        <v>1237.6399999999999</v>
      </c>
      <c r="W75" s="89">
        <f t="shared" si="11"/>
        <v>1280.7099999999998</v>
      </c>
      <c r="X75" s="89">
        <f t="shared" si="11"/>
        <v>1403.8399999999997</v>
      </c>
      <c r="Y75" s="89">
        <f t="shared" si="11"/>
        <v>1584.1399999999999</v>
      </c>
      <c r="Z75" s="89">
        <f t="shared" si="11"/>
        <v>1559.4299999999998</v>
      </c>
      <c r="AA75" s="89">
        <f t="shared" si="11"/>
        <v>1498.1999999999998</v>
      </c>
      <c r="AB75" s="89">
        <f t="shared" si="11"/>
        <v>1428.74</v>
      </c>
      <c r="AC75" s="89">
        <f t="shared" si="11"/>
        <v>1391.34</v>
      </c>
      <c r="AD75" s="89">
        <f t="shared" si="11"/>
        <v>1264.44</v>
      </c>
      <c r="AE75" s="89">
        <f t="shared" si="11"/>
        <v>1127.44</v>
      </c>
      <c r="AF75" s="89">
        <f t="shared" si="11"/>
        <v>1045.94</v>
      </c>
      <c r="AG75" s="78">
        <f>AG72+AG68+AG56+AG52+AG38+AG74</f>
        <v>2144.14</v>
      </c>
      <c r="AH75" s="54">
        <f t="shared" si="2"/>
        <v>1584.1399999999999</v>
      </c>
      <c r="AI75" s="55">
        <f t="shared" si="3"/>
        <v>874.93999999999994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1941.28</v>
      </c>
      <c r="C83" s="72">
        <f t="shared" ref="C83:AG83" si="20">SUM(C70:C82)</f>
        <v>1840.74</v>
      </c>
      <c r="D83" s="72">
        <f t="shared" si="20"/>
        <v>1778.32</v>
      </c>
      <c r="E83" s="72">
        <f t="shared" si="20"/>
        <v>1761.08</v>
      </c>
      <c r="F83" s="72">
        <f t="shared" si="20"/>
        <v>1749.8799999999999</v>
      </c>
      <c r="G83" s="72">
        <f t="shared" si="20"/>
        <v>1843.48</v>
      </c>
      <c r="H83" s="72">
        <f t="shared" si="20"/>
        <v>2019.88</v>
      </c>
      <c r="I83" s="72">
        <f t="shared" si="20"/>
        <v>2205.88</v>
      </c>
      <c r="J83" s="72">
        <f t="shared" si="20"/>
        <v>2415.6799999999998</v>
      </c>
      <c r="K83" s="72">
        <f t="shared" si="20"/>
        <v>2710.2799999999997</v>
      </c>
      <c r="L83" s="72">
        <f t="shared" si="20"/>
        <v>2749.6200000000003</v>
      </c>
      <c r="M83" s="72">
        <f t="shared" si="20"/>
        <v>3062.08</v>
      </c>
      <c r="N83" s="72">
        <f t="shared" si="20"/>
        <v>2851.8799999999997</v>
      </c>
      <c r="O83" s="72">
        <f t="shared" si="20"/>
        <v>2654.08</v>
      </c>
      <c r="P83" s="72">
        <f t="shared" si="20"/>
        <v>2652.68</v>
      </c>
      <c r="Q83" s="72">
        <f t="shared" si="20"/>
        <v>2560.2799999999997</v>
      </c>
      <c r="R83" s="72">
        <f t="shared" si="20"/>
        <v>2385.8200000000002</v>
      </c>
      <c r="S83" s="72">
        <f t="shared" si="20"/>
        <v>2408.2799999999997</v>
      </c>
      <c r="T83" s="72">
        <f t="shared" si="20"/>
        <v>2411.08</v>
      </c>
      <c r="U83" s="72">
        <f t="shared" si="20"/>
        <v>2427.6999999999998</v>
      </c>
      <c r="V83" s="72">
        <f t="shared" si="20"/>
        <v>2475.2799999999997</v>
      </c>
      <c r="W83" s="72">
        <f t="shared" si="20"/>
        <v>2561.4199999999996</v>
      </c>
      <c r="X83" s="72">
        <f t="shared" si="20"/>
        <v>2807.6799999999994</v>
      </c>
      <c r="Y83" s="72">
        <f t="shared" si="20"/>
        <v>3168.2799999999997</v>
      </c>
      <c r="Z83" s="72">
        <f t="shared" si="20"/>
        <v>3118.8599999999997</v>
      </c>
      <c r="AA83" s="72">
        <f t="shared" si="20"/>
        <v>2996.3999999999996</v>
      </c>
      <c r="AB83" s="72">
        <f t="shared" si="20"/>
        <v>2857.48</v>
      </c>
      <c r="AC83" s="72">
        <f t="shared" si="20"/>
        <v>2782.68</v>
      </c>
      <c r="AD83" s="72">
        <f t="shared" si="20"/>
        <v>2528.88</v>
      </c>
      <c r="AE83" s="72">
        <f t="shared" si="20"/>
        <v>2254.88</v>
      </c>
      <c r="AF83" s="72">
        <f t="shared" si="20"/>
        <v>2091.88</v>
      </c>
      <c r="AG83" s="78">
        <f t="shared" si="20"/>
        <v>4360.08</v>
      </c>
      <c r="AH83" s="54">
        <f t="shared" si="13"/>
        <v>3168.2799999999997</v>
      </c>
      <c r="AI83" s="55">
        <f t="shared" si="14"/>
        <v>1749.8799999999999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50.04</v>
      </c>
      <c r="C84" s="96">
        <v>49.926000000000002</v>
      </c>
      <c r="D84" s="96">
        <v>49.926000000000002</v>
      </c>
      <c r="E84" s="96">
        <v>49.957000000000001</v>
      </c>
      <c r="F84" s="96">
        <v>49.957000000000001</v>
      </c>
      <c r="G84" s="96">
        <v>50.006</v>
      </c>
      <c r="H84" s="96">
        <v>50.031999999999996</v>
      </c>
      <c r="I84" s="96">
        <v>50.012999999999998</v>
      </c>
      <c r="J84" s="96">
        <v>49.978999999999999</v>
      </c>
      <c r="K84" s="96">
        <v>50.033999999999999</v>
      </c>
      <c r="L84" s="96">
        <v>50.116999999999997</v>
      </c>
      <c r="M84" s="96">
        <v>50.02</v>
      </c>
      <c r="N84" s="96">
        <v>50.058999999999997</v>
      </c>
      <c r="O84" s="96">
        <v>50.051000000000002</v>
      </c>
      <c r="P84" s="96">
        <v>50.037999999999997</v>
      </c>
      <c r="Q84" s="96">
        <v>49.997999999999998</v>
      </c>
      <c r="R84" s="96">
        <v>49.993000000000002</v>
      </c>
      <c r="S84" s="96">
        <v>50.067</v>
      </c>
      <c r="T84" s="96">
        <v>50.024999999999999</v>
      </c>
      <c r="U84" s="96">
        <v>49.954000000000001</v>
      </c>
      <c r="V84" s="96">
        <v>49.99</v>
      </c>
      <c r="W84" s="96">
        <v>50.04</v>
      </c>
      <c r="X84" s="96">
        <v>50.002000000000002</v>
      </c>
      <c r="Y84" s="96">
        <v>50.045999999999999</v>
      </c>
      <c r="Z84" s="96">
        <v>49.948999999999998</v>
      </c>
      <c r="AA84" s="96">
        <v>49.905999999999999</v>
      </c>
      <c r="AB84" s="96">
        <v>49.96</v>
      </c>
      <c r="AC84" s="96">
        <v>49.88</v>
      </c>
      <c r="AD84" s="96">
        <v>49.99</v>
      </c>
      <c r="AE84" s="96">
        <v>50</v>
      </c>
      <c r="AF84" s="96">
        <v>50.02</v>
      </c>
      <c r="AG84" s="97"/>
      <c r="AH84" s="54">
        <f t="shared" si="13"/>
        <v>50.116999999999997</v>
      </c>
      <c r="AI84" s="55">
        <f t="shared" si="14"/>
        <v>49.88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124.4</v>
      </c>
      <c r="C85" s="73">
        <v>127</v>
      </c>
      <c r="D85" s="73">
        <v>127</v>
      </c>
      <c r="E85" s="73">
        <v>125</v>
      </c>
      <c r="F85" s="73">
        <v>127</v>
      </c>
      <c r="G85" s="73">
        <v>125</v>
      </c>
      <c r="H85" s="73">
        <v>124</v>
      </c>
      <c r="I85" s="73">
        <v>124</v>
      </c>
      <c r="J85" s="73">
        <v>122</v>
      </c>
      <c r="K85" s="73">
        <v>122</v>
      </c>
      <c r="L85" s="73">
        <v>125.6</v>
      </c>
      <c r="M85" s="73">
        <v>124.7</v>
      </c>
      <c r="N85" s="73">
        <v>125.1</v>
      </c>
      <c r="O85" s="73">
        <v>124.4</v>
      </c>
      <c r="P85" s="73">
        <v>124.4</v>
      </c>
      <c r="Q85" s="73">
        <v>124.4</v>
      </c>
      <c r="R85" s="73">
        <v>124.5</v>
      </c>
      <c r="S85" s="73">
        <v>125.3</v>
      </c>
      <c r="T85" s="73">
        <v>125.9</v>
      </c>
      <c r="U85" s="100">
        <v>125.8</v>
      </c>
      <c r="V85" s="100">
        <v>127.3</v>
      </c>
      <c r="W85" s="100">
        <v>126.6</v>
      </c>
      <c r="X85" s="100">
        <v>126.1</v>
      </c>
      <c r="Y85" s="100">
        <v>125.1</v>
      </c>
      <c r="Z85" s="100">
        <v>125.1</v>
      </c>
      <c r="AA85" s="100">
        <v>125.8</v>
      </c>
      <c r="AB85" s="73">
        <v>125.9</v>
      </c>
      <c r="AC85" s="73">
        <v>125.5</v>
      </c>
      <c r="AD85" s="73">
        <v>126</v>
      </c>
      <c r="AE85" s="73">
        <v>126</v>
      </c>
      <c r="AF85" s="73">
        <v>125</v>
      </c>
      <c r="AG85" s="101"/>
      <c r="AH85" s="54">
        <f t="shared" si="13"/>
        <v>127.3</v>
      </c>
      <c r="AI85" s="55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128.4</v>
      </c>
      <c r="C86" s="73">
        <v>131.19999999999999</v>
      </c>
      <c r="D86" s="73">
        <v>131.19999999999999</v>
      </c>
      <c r="E86" s="73">
        <v>130</v>
      </c>
      <c r="F86" s="73">
        <v>131</v>
      </c>
      <c r="G86" s="73">
        <v>129</v>
      </c>
      <c r="H86" s="73">
        <v>128</v>
      </c>
      <c r="I86" s="73">
        <v>128</v>
      </c>
      <c r="J86" s="73">
        <v>126</v>
      </c>
      <c r="K86" s="73">
        <v>125.6</v>
      </c>
      <c r="L86" s="73">
        <v>127.4</v>
      </c>
      <c r="M86" s="73">
        <v>126.6</v>
      </c>
      <c r="N86" s="73">
        <v>127.3</v>
      </c>
      <c r="O86" s="73">
        <v>126.5</v>
      </c>
      <c r="P86" s="73">
        <v>126.5</v>
      </c>
      <c r="Q86" s="73">
        <v>126.5</v>
      </c>
      <c r="R86" s="73">
        <v>127.7</v>
      </c>
      <c r="S86" s="73">
        <v>128.4</v>
      </c>
      <c r="T86" s="73">
        <v>128.69999999999999</v>
      </c>
      <c r="U86" s="100">
        <v>128.80000000000001</v>
      </c>
      <c r="V86" s="100">
        <v>129.6</v>
      </c>
      <c r="W86" s="100">
        <v>128.9</v>
      </c>
      <c r="X86" s="100">
        <v>128.1</v>
      </c>
      <c r="Y86" s="100">
        <v>126.8</v>
      </c>
      <c r="Z86" s="100">
        <v>126.9</v>
      </c>
      <c r="AA86" s="100">
        <v>127.2</v>
      </c>
      <c r="AB86" s="73">
        <v>128</v>
      </c>
      <c r="AC86" s="73">
        <v>127.5</v>
      </c>
      <c r="AD86" s="73">
        <v>128</v>
      </c>
      <c r="AE86" s="73">
        <v>129</v>
      </c>
      <c r="AF86" s="73">
        <v>128.5</v>
      </c>
      <c r="AG86" s="101"/>
      <c r="AH86" s="54">
        <f t="shared" si="13"/>
        <v>131.19999999999999</v>
      </c>
      <c r="AI86" s="55">
        <f t="shared" si="14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131.69999999999999</v>
      </c>
      <c r="C87" s="73">
        <v>130.1</v>
      </c>
      <c r="D87" s="73">
        <v>130.1</v>
      </c>
      <c r="E87" s="73">
        <v>130</v>
      </c>
      <c r="F87" s="73">
        <v>130</v>
      </c>
      <c r="G87" s="73">
        <v>129</v>
      </c>
      <c r="H87" s="73">
        <v>127</v>
      </c>
      <c r="I87" s="73">
        <v>129</v>
      </c>
      <c r="J87" s="73">
        <v>125</v>
      </c>
      <c r="K87" s="73">
        <v>128</v>
      </c>
      <c r="L87" s="73">
        <v>127.3</v>
      </c>
      <c r="M87" s="73">
        <v>129.4</v>
      </c>
      <c r="N87" s="73">
        <v>128.6</v>
      </c>
      <c r="O87" s="73">
        <v>130.6</v>
      </c>
      <c r="P87" s="73">
        <v>130.6</v>
      </c>
      <c r="Q87" s="73">
        <v>130.6</v>
      </c>
      <c r="R87" s="73">
        <v>127.2</v>
      </c>
      <c r="S87" s="73">
        <v>129.5</v>
      </c>
      <c r="T87" s="73">
        <v>128.30000000000001</v>
      </c>
      <c r="U87" s="73">
        <v>128.6</v>
      </c>
      <c r="V87" s="73">
        <v>128.9</v>
      </c>
      <c r="W87" s="73">
        <v>128.1</v>
      </c>
      <c r="X87" s="100">
        <v>127</v>
      </c>
      <c r="Y87" s="100">
        <v>126.9</v>
      </c>
      <c r="Z87" s="100">
        <v>127.3</v>
      </c>
      <c r="AA87" s="100">
        <v>128.69999999999999</v>
      </c>
      <c r="AB87" s="73">
        <v>130</v>
      </c>
      <c r="AC87" s="73">
        <v>130.6</v>
      </c>
      <c r="AD87" s="73">
        <v>133</v>
      </c>
      <c r="AE87" s="73">
        <v>132</v>
      </c>
      <c r="AF87" s="73">
        <v>131</v>
      </c>
      <c r="AG87" s="101"/>
      <c r="AH87" s="54">
        <f t="shared" si="13"/>
        <v>133</v>
      </c>
      <c r="AI87" s="55">
        <f t="shared" si="14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134.30000000000001</v>
      </c>
      <c r="C88" s="73">
        <v>133.1</v>
      </c>
      <c r="D88" s="73">
        <v>133.1</v>
      </c>
      <c r="E88" s="73">
        <v>133</v>
      </c>
      <c r="F88" s="73">
        <v>133</v>
      </c>
      <c r="G88" s="73">
        <v>132</v>
      </c>
      <c r="H88" s="73">
        <v>130</v>
      </c>
      <c r="I88" s="73">
        <v>131</v>
      </c>
      <c r="J88" s="73">
        <v>129</v>
      </c>
      <c r="K88" s="73">
        <v>130</v>
      </c>
      <c r="L88" s="73">
        <v>130.4</v>
      </c>
      <c r="M88" s="73">
        <v>130.80000000000001</v>
      </c>
      <c r="N88" s="73">
        <v>131.19999999999999</v>
      </c>
      <c r="O88" s="73">
        <v>130.30000000000001</v>
      </c>
      <c r="P88" s="73">
        <v>130.30000000000001</v>
      </c>
      <c r="Q88" s="73">
        <v>130.30000000000001</v>
      </c>
      <c r="R88" s="73">
        <v>130.4</v>
      </c>
      <c r="S88" s="73">
        <v>132.1</v>
      </c>
      <c r="T88" s="73">
        <v>130.4</v>
      </c>
      <c r="U88" s="73">
        <v>131</v>
      </c>
      <c r="V88" s="73">
        <v>132.30000000000001</v>
      </c>
      <c r="W88" s="73">
        <v>131.6</v>
      </c>
      <c r="X88" s="100">
        <v>129.9</v>
      </c>
      <c r="Y88" s="100">
        <v>130.5</v>
      </c>
      <c r="Z88" s="100">
        <v>131.9</v>
      </c>
      <c r="AA88" s="100">
        <v>132.80000000000001</v>
      </c>
      <c r="AB88" s="73">
        <v>133.69999999999999</v>
      </c>
      <c r="AC88" s="73">
        <v>133.69999999999999</v>
      </c>
      <c r="AD88" s="73">
        <v>136</v>
      </c>
      <c r="AE88" s="73">
        <v>135</v>
      </c>
      <c r="AF88" s="73">
        <v>134</v>
      </c>
      <c r="AG88" s="101"/>
      <c r="AH88" s="54">
        <f t="shared" si="13"/>
        <v>136</v>
      </c>
      <c r="AI88" s="55">
        <f t="shared" si="14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130.6</v>
      </c>
      <c r="C89" s="104">
        <v>129.4</v>
      </c>
      <c r="D89" s="104">
        <v>129.4</v>
      </c>
      <c r="E89" s="104">
        <v>127</v>
      </c>
      <c r="F89" s="104">
        <v>130</v>
      </c>
      <c r="G89" s="104">
        <v>128</v>
      </c>
      <c r="H89" s="104">
        <v>130.5</v>
      </c>
      <c r="I89" s="104">
        <v>133</v>
      </c>
      <c r="J89" s="104">
        <v>131.6</v>
      </c>
      <c r="K89" s="104">
        <v>131.6</v>
      </c>
      <c r="L89" s="104">
        <v>132.80000000000001</v>
      </c>
      <c r="M89" s="104">
        <v>132.30000000000001</v>
      </c>
      <c r="N89" s="104">
        <v>136.1</v>
      </c>
      <c r="O89" s="104">
        <v>135</v>
      </c>
      <c r="P89" s="104">
        <v>135</v>
      </c>
      <c r="Q89" s="104">
        <v>135</v>
      </c>
      <c r="R89" s="104">
        <v>134.1</v>
      </c>
      <c r="S89" s="104">
        <v>133.5</v>
      </c>
      <c r="T89" s="104">
        <v>131.69999999999999</v>
      </c>
      <c r="U89" s="104">
        <v>133.5</v>
      </c>
      <c r="V89" s="104">
        <v>136.30000000000001</v>
      </c>
      <c r="W89" s="104">
        <v>136.19999999999999</v>
      </c>
      <c r="X89" s="100">
        <v>135</v>
      </c>
      <c r="Y89" s="100">
        <v>131.1</v>
      </c>
      <c r="Z89" s="100">
        <v>133.6</v>
      </c>
      <c r="AA89" s="100">
        <v>134.5</v>
      </c>
      <c r="AB89" s="104">
        <v>135.69999999999999</v>
      </c>
      <c r="AC89" s="104">
        <v>135.6</v>
      </c>
      <c r="AD89" s="104">
        <v>134</v>
      </c>
      <c r="AE89" s="104">
        <v>133</v>
      </c>
      <c r="AF89" s="104">
        <v>130</v>
      </c>
      <c r="AG89" s="105"/>
      <c r="AH89" s="54">
        <f t="shared" si="13"/>
        <v>136.30000000000001</v>
      </c>
      <c r="AI89" s="55">
        <f t="shared" si="14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135</v>
      </c>
      <c r="C90" s="73">
        <v>135.4</v>
      </c>
      <c r="D90" s="73">
        <v>135.4</v>
      </c>
      <c r="E90" s="73">
        <v>129</v>
      </c>
      <c r="F90" s="73">
        <v>130</v>
      </c>
      <c r="G90" s="73">
        <v>133</v>
      </c>
      <c r="H90" s="73">
        <v>130.80000000000001</v>
      </c>
      <c r="I90" s="73">
        <v>133</v>
      </c>
      <c r="J90" s="73">
        <v>129</v>
      </c>
      <c r="K90" s="73">
        <v>130</v>
      </c>
      <c r="L90" s="73">
        <v>128.30000000000001</v>
      </c>
      <c r="M90" s="73">
        <v>132.9</v>
      </c>
      <c r="N90" s="73">
        <v>131.9</v>
      </c>
      <c r="O90" s="73">
        <v>131.6</v>
      </c>
      <c r="P90" s="73">
        <v>131.6</v>
      </c>
      <c r="Q90" s="73">
        <v>131.6</v>
      </c>
      <c r="R90" s="73">
        <v>132.1</v>
      </c>
      <c r="S90" s="73">
        <v>131.9</v>
      </c>
      <c r="T90" s="73">
        <v>132</v>
      </c>
      <c r="U90" s="73">
        <v>129.4</v>
      </c>
      <c r="V90" s="73">
        <v>134.30000000000001</v>
      </c>
      <c r="W90" s="73">
        <v>129.9</v>
      </c>
      <c r="X90" s="100">
        <v>128.1</v>
      </c>
      <c r="Y90" s="100">
        <v>134.19999999999999</v>
      </c>
      <c r="Z90" s="100">
        <v>134.5</v>
      </c>
      <c r="AA90" s="100">
        <v>136.6</v>
      </c>
      <c r="AB90" s="73">
        <v>132.6</v>
      </c>
      <c r="AC90" s="73">
        <v>133</v>
      </c>
      <c r="AD90" s="73">
        <v>136</v>
      </c>
      <c r="AE90" s="73">
        <v>135</v>
      </c>
      <c r="AF90" s="73">
        <v>136</v>
      </c>
      <c r="AG90" s="101"/>
      <c r="AH90" s="54">
        <f t="shared" si="13"/>
        <v>136.6</v>
      </c>
      <c r="AI90" s="55">
        <f t="shared" si="14"/>
        <v>128.1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</v>
      </c>
      <c r="C91" s="107">
        <v>66.400000000000006</v>
      </c>
      <c r="D91" s="107">
        <v>66.400000000000006</v>
      </c>
      <c r="E91" s="107">
        <v>65.8</v>
      </c>
      <c r="F91" s="107">
        <v>66.7</v>
      </c>
      <c r="G91" s="107">
        <v>65.8</v>
      </c>
      <c r="H91" s="107">
        <v>64.7</v>
      </c>
      <c r="I91" s="107">
        <v>65.2</v>
      </c>
      <c r="J91" s="107">
        <v>64</v>
      </c>
      <c r="K91" s="107">
        <v>64</v>
      </c>
      <c r="L91" s="107">
        <v>64.900000000000006</v>
      </c>
      <c r="M91" s="107">
        <v>64</v>
      </c>
      <c r="N91" s="107">
        <v>64.2</v>
      </c>
      <c r="O91" s="107">
        <v>63.8</v>
      </c>
      <c r="P91" s="107">
        <v>63.8</v>
      </c>
      <c r="Q91" s="107">
        <v>63.8</v>
      </c>
      <c r="R91" s="107">
        <v>64.599999999999994</v>
      </c>
      <c r="S91" s="107">
        <v>65.099999999999994</v>
      </c>
      <c r="T91" s="107">
        <v>65.2</v>
      </c>
      <c r="U91" s="107">
        <v>65</v>
      </c>
      <c r="V91" s="107">
        <v>65.3</v>
      </c>
      <c r="W91" s="107">
        <v>65.2</v>
      </c>
      <c r="X91" s="107">
        <v>64.8</v>
      </c>
      <c r="Y91" s="107">
        <v>63.9</v>
      </c>
      <c r="Z91" s="107">
        <v>64.2</v>
      </c>
      <c r="AA91" s="107">
        <v>64.400000000000006</v>
      </c>
      <c r="AB91" s="107">
        <v>65</v>
      </c>
      <c r="AC91" s="107">
        <v>64.599999999999994</v>
      </c>
      <c r="AD91" s="107">
        <v>65</v>
      </c>
      <c r="AE91" s="107">
        <v>65.400000000000006</v>
      </c>
      <c r="AF91" s="107">
        <v>65.099999999999994</v>
      </c>
      <c r="AG91" s="108"/>
      <c r="AH91" s="54">
        <f t="shared" si="13"/>
        <v>66.7</v>
      </c>
      <c r="AI91" s="55">
        <f t="shared" si="14"/>
        <v>63.8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219.14</v>
      </c>
      <c r="C93" s="114">
        <f>SUM(C15,C18,C21:C22,C42,C44:C45,C47,C49,C94:C97,C102,C108,C114,C123,C125,C137,C144,C147:C148,C155,C157,C159,C163:C165,C167:C169,C174,C180:C181,C183:C185,C193,C198)</f>
        <v>179.23999999999998</v>
      </c>
      <c r="D93" s="114">
        <f t="shared" ref="D93:AF93" si="21">SUM(D15,D18,D21:D22,D42,D44:D45,D47,D49,D94:D97,D102,D108,D114,D123,D125,D137,D144,D147:D148,D155,D157,D159,D163:D165,D167:D169,D174,D180:D181,D183:D185,D193,D198)</f>
        <v>170.23999999999998</v>
      </c>
      <c r="E93" s="114">
        <f t="shared" si="21"/>
        <v>171.04</v>
      </c>
      <c r="F93" s="114">
        <f t="shared" si="21"/>
        <v>174.43999999999997</v>
      </c>
      <c r="G93" s="113">
        <f t="shared" si="21"/>
        <v>196.93999999999997</v>
      </c>
      <c r="H93" s="113">
        <f t="shared" si="21"/>
        <v>222.93999999999997</v>
      </c>
      <c r="I93" s="113">
        <f t="shared" si="21"/>
        <v>259.04000000000008</v>
      </c>
      <c r="J93" s="113">
        <f t="shared" si="21"/>
        <v>297.04000000000002</v>
      </c>
      <c r="K93" s="113">
        <f t="shared" si="21"/>
        <v>352.24000000000007</v>
      </c>
      <c r="L93" s="113">
        <f t="shared" si="21"/>
        <v>405.84000000000003</v>
      </c>
      <c r="M93" s="113">
        <f t="shared" si="21"/>
        <v>426.44000000000005</v>
      </c>
      <c r="N93" s="113">
        <f t="shared" si="21"/>
        <v>393.04</v>
      </c>
      <c r="O93" s="113">
        <f t="shared" si="21"/>
        <v>386.54</v>
      </c>
      <c r="P93" s="113">
        <f t="shared" si="21"/>
        <v>372.44</v>
      </c>
      <c r="Q93" s="113">
        <f t="shared" si="21"/>
        <v>343.94000000000005</v>
      </c>
      <c r="R93" s="113">
        <f t="shared" si="21"/>
        <v>338.34000000000003</v>
      </c>
      <c r="S93" s="113">
        <f t="shared" si="21"/>
        <v>339.94000000000005</v>
      </c>
      <c r="T93" s="113">
        <f t="shared" si="21"/>
        <v>339.24</v>
      </c>
      <c r="U93" s="113">
        <f t="shared" si="21"/>
        <v>355.44000000000005</v>
      </c>
      <c r="V93" s="113">
        <f t="shared" si="21"/>
        <v>362.54000000000008</v>
      </c>
      <c r="W93" s="113">
        <f t="shared" si="21"/>
        <v>373.24</v>
      </c>
      <c r="X93" s="113">
        <f t="shared" si="21"/>
        <v>417.84000000000003</v>
      </c>
      <c r="Y93" s="113">
        <f t="shared" si="21"/>
        <v>461.43999999999994</v>
      </c>
      <c r="Z93" s="113">
        <f t="shared" si="21"/>
        <v>458.44000000000005</v>
      </c>
      <c r="AA93" s="113">
        <f t="shared" si="21"/>
        <v>450.34000000000003</v>
      </c>
      <c r="AB93" s="113">
        <f t="shared" si="21"/>
        <v>425.24</v>
      </c>
      <c r="AC93" s="113">
        <f t="shared" si="21"/>
        <v>410.24</v>
      </c>
      <c r="AD93" s="113">
        <f t="shared" si="21"/>
        <v>363.54</v>
      </c>
      <c r="AE93" s="113">
        <f t="shared" si="21"/>
        <v>278.54000000000002</v>
      </c>
      <c r="AF93" s="113">
        <f t="shared" si="21"/>
        <v>240.53999999999996</v>
      </c>
      <c r="AG93" s="115"/>
      <c r="AH93" s="54">
        <f>MAX(C93:AF93)</f>
        <v>461.43999999999994</v>
      </c>
      <c r="AI93" s="55">
        <f>MIN(C93:AF93)</f>
        <v>170.23999999999998</v>
      </c>
    </row>
    <row r="94" spans="1:88" x14ac:dyDescent="0.25">
      <c r="A94" s="116" t="s">
        <v>98</v>
      </c>
      <c r="B94" s="117">
        <v>10.9</v>
      </c>
      <c r="C94" s="58">
        <v>8.4</v>
      </c>
      <c r="D94" s="58">
        <v>-19.3</v>
      </c>
      <c r="E94" s="58">
        <v>-19.8</v>
      </c>
      <c r="F94" s="58">
        <v>-8.4</v>
      </c>
      <c r="G94" s="118">
        <v>-15.6</v>
      </c>
      <c r="H94" s="118">
        <v>-14.9</v>
      </c>
      <c r="I94" s="118">
        <v>0</v>
      </c>
      <c r="J94" s="118">
        <v>30.2</v>
      </c>
      <c r="K94" s="118">
        <v>56.3</v>
      </c>
      <c r="L94" s="118">
        <v>57.3</v>
      </c>
      <c r="M94" s="119">
        <v>51.1</v>
      </c>
      <c r="N94" s="118">
        <v>61.3</v>
      </c>
      <c r="O94" s="118">
        <v>61.3</v>
      </c>
      <c r="P94" s="118">
        <v>42.8</v>
      </c>
      <c r="Q94" s="118">
        <v>15</v>
      </c>
      <c r="R94" s="118">
        <v>11.6</v>
      </c>
      <c r="S94" s="118">
        <v>11.7</v>
      </c>
      <c r="T94" s="118">
        <v>6.5</v>
      </c>
      <c r="U94" s="119">
        <v>10.3</v>
      </c>
      <c r="V94" s="119">
        <v>49.7</v>
      </c>
      <c r="W94" s="119">
        <v>43</v>
      </c>
      <c r="X94" s="118">
        <v>64.8</v>
      </c>
      <c r="Y94" s="118">
        <v>56.3</v>
      </c>
      <c r="Z94" s="118">
        <v>55.4</v>
      </c>
      <c r="AA94" s="118">
        <v>68.099999999999994</v>
      </c>
      <c r="AB94" s="119">
        <v>66</v>
      </c>
      <c r="AC94" s="119">
        <v>60</v>
      </c>
      <c r="AD94" s="119">
        <v>46</v>
      </c>
      <c r="AE94" s="119">
        <v>9</v>
      </c>
      <c r="AF94" s="119">
        <v>-12</v>
      </c>
      <c r="AG94" s="120">
        <v>75</v>
      </c>
      <c r="AH94" s="54">
        <f t="shared" ref="AH94:AH99" si="22">IF(ABS(MAX(C94:AF94))&gt;ABS(MIN(C94:AF94)),MAX(C94:AF94),MIN(C94:AF94))</f>
        <v>68.099999999999994</v>
      </c>
      <c r="AI94" s="121">
        <f t="shared" ref="AI94:AI99" si="23">INDEX($C$9:$AF$9,1,MATCH(AH94,C94:AF94,0))</f>
        <v>0.8125</v>
      </c>
    </row>
    <row r="95" spans="1:88" x14ac:dyDescent="0.25">
      <c r="A95" s="122" t="s">
        <v>99</v>
      </c>
      <c r="B95" s="123">
        <v>-40.1</v>
      </c>
      <c r="C95" s="60">
        <v>-42.6</v>
      </c>
      <c r="D95" s="60">
        <v>-40</v>
      </c>
      <c r="E95" s="60">
        <v>-39.799999999999997</v>
      </c>
      <c r="F95" s="60">
        <v>-40.200000000000003</v>
      </c>
      <c r="G95" s="60">
        <v>-28.5</v>
      </c>
      <c r="H95" s="60">
        <v>-16.899999999999999</v>
      </c>
      <c r="I95" s="60">
        <v>-9</v>
      </c>
      <c r="J95" s="60">
        <v>0</v>
      </c>
      <c r="K95" s="60">
        <v>12.9</v>
      </c>
      <c r="L95" s="60">
        <v>41.7</v>
      </c>
      <c r="M95" s="60">
        <f>28.3+24.4</f>
        <v>52.7</v>
      </c>
      <c r="N95" s="60">
        <v>35</v>
      </c>
      <c r="O95" s="60">
        <v>30</v>
      </c>
      <c r="P95" s="60">
        <v>27</v>
      </c>
      <c r="Q95" s="60">
        <v>31</v>
      </c>
      <c r="R95" s="60">
        <v>40</v>
      </c>
      <c r="S95" s="60">
        <v>41</v>
      </c>
      <c r="T95" s="60">
        <v>40.200000000000003</v>
      </c>
      <c r="U95" s="60">
        <v>49</v>
      </c>
      <c r="V95" s="60">
        <v>36</v>
      </c>
      <c r="W95" s="60">
        <v>39.6</v>
      </c>
      <c r="X95" s="60">
        <v>48.6</v>
      </c>
      <c r="Y95" s="60">
        <v>79.099999999999994</v>
      </c>
      <c r="Z95" s="60">
        <v>83.3</v>
      </c>
      <c r="AA95" s="60">
        <v>75.099999999999994</v>
      </c>
      <c r="AB95" s="73">
        <v>56</v>
      </c>
      <c r="AC95" s="73">
        <v>51</v>
      </c>
      <c r="AD95" s="73">
        <v>46</v>
      </c>
      <c r="AE95" s="73">
        <v>-15</v>
      </c>
      <c r="AF95" s="73">
        <v>-27</v>
      </c>
      <c r="AG95" s="120">
        <v>240</v>
      </c>
      <c r="AH95" s="54">
        <f t="shared" si="22"/>
        <v>83.3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-6.5</v>
      </c>
      <c r="C96" s="60">
        <v>-11.9</v>
      </c>
      <c r="D96" s="60">
        <v>-5</v>
      </c>
      <c r="E96" s="60">
        <v>-11.3</v>
      </c>
      <c r="F96" s="60">
        <v>-8.5</v>
      </c>
      <c r="G96" s="60">
        <v>-7.5</v>
      </c>
      <c r="H96" s="60">
        <v>-7.1</v>
      </c>
      <c r="I96" s="60">
        <v>-2.6</v>
      </c>
      <c r="J96" s="60">
        <v>-1.6</v>
      </c>
      <c r="K96" s="60">
        <v>14.3</v>
      </c>
      <c r="L96" s="60">
        <v>33.9</v>
      </c>
      <c r="M96" s="60">
        <v>47.1</v>
      </c>
      <c r="N96" s="60">
        <v>37</v>
      </c>
      <c r="O96" s="60">
        <v>40</v>
      </c>
      <c r="P96" s="60">
        <v>34.5</v>
      </c>
      <c r="Q96" s="60">
        <v>25</v>
      </c>
      <c r="R96" s="60">
        <v>17.5</v>
      </c>
      <c r="S96" s="60">
        <v>20.3</v>
      </c>
      <c r="T96" s="60">
        <v>26.1</v>
      </c>
      <c r="U96" s="60">
        <v>26.2</v>
      </c>
      <c r="V96" s="60">
        <v>30.9</v>
      </c>
      <c r="W96" s="60">
        <v>33.4</v>
      </c>
      <c r="X96" s="60">
        <v>40.700000000000003</v>
      </c>
      <c r="Y96" s="60">
        <v>59.9</v>
      </c>
      <c r="Z96" s="60">
        <v>55.3</v>
      </c>
      <c r="AA96" s="60">
        <v>47.4</v>
      </c>
      <c r="AB96" s="73">
        <v>34</v>
      </c>
      <c r="AC96" s="73">
        <v>27</v>
      </c>
      <c r="AD96" s="73">
        <v>11</v>
      </c>
      <c r="AE96" s="73">
        <v>12</v>
      </c>
      <c r="AF96" s="73">
        <v>12</v>
      </c>
      <c r="AG96" s="120">
        <v>60</v>
      </c>
      <c r="AH96" s="54">
        <f t="shared" si="22"/>
        <v>59.9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88</v>
      </c>
      <c r="C97" s="63">
        <v>58.5</v>
      </c>
      <c r="D97" s="63">
        <v>67.7</v>
      </c>
      <c r="E97" s="63">
        <v>77.3</v>
      </c>
      <c r="F97" s="63">
        <v>67.2</v>
      </c>
      <c r="G97" s="63">
        <v>84.5</v>
      </c>
      <c r="H97" s="63">
        <v>99.5</v>
      </c>
      <c r="I97" s="63">
        <v>107</v>
      </c>
      <c r="J97" s="63">
        <v>104.8</v>
      </c>
      <c r="K97" s="63">
        <v>103.4</v>
      </c>
      <c r="L97" s="63">
        <v>108.6</v>
      </c>
      <c r="M97" s="63">
        <v>111.5</v>
      </c>
      <c r="N97" s="63">
        <v>96</v>
      </c>
      <c r="O97" s="63">
        <v>91.3</v>
      </c>
      <c r="P97" s="63">
        <v>104.2</v>
      </c>
      <c r="Q97" s="63">
        <v>109</v>
      </c>
      <c r="R97" s="63">
        <v>104.8</v>
      </c>
      <c r="S97" s="63">
        <v>102.5</v>
      </c>
      <c r="T97" s="63">
        <v>102</v>
      </c>
      <c r="U97" s="63">
        <v>107.5</v>
      </c>
      <c r="V97" s="63">
        <v>88</v>
      </c>
      <c r="W97" s="63">
        <v>99.1</v>
      </c>
      <c r="X97" s="63">
        <v>101.5</v>
      </c>
      <c r="Y97" s="63">
        <v>97.5</v>
      </c>
      <c r="Z97" s="63">
        <v>95.8</v>
      </c>
      <c r="AA97" s="63">
        <v>91.1</v>
      </c>
      <c r="AB97" s="126">
        <v>100</v>
      </c>
      <c r="AC97" s="126">
        <v>103</v>
      </c>
      <c r="AD97" s="126">
        <v>97</v>
      </c>
      <c r="AE97" s="126">
        <v>105</v>
      </c>
      <c r="AF97" s="126">
        <v>100</v>
      </c>
      <c r="AG97" s="127">
        <v>120</v>
      </c>
      <c r="AH97" s="54">
        <f t="shared" si="22"/>
        <v>111.5</v>
      </c>
      <c r="AI97" s="121">
        <f t="shared" si="23"/>
        <v>0.33333333333333331</v>
      </c>
    </row>
    <row r="98" spans="1:37" x14ac:dyDescent="0.25">
      <c r="A98" s="124" t="s">
        <v>102</v>
      </c>
      <c r="B98" s="125">
        <v>84</v>
      </c>
      <c r="C98" s="63">
        <v>63.1</v>
      </c>
      <c r="D98" s="63">
        <v>70.900000000000006</v>
      </c>
      <c r="E98" s="63">
        <v>80.5</v>
      </c>
      <c r="F98" s="63">
        <v>70.3</v>
      </c>
      <c r="G98" s="63">
        <v>81.400000000000006</v>
      </c>
      <c r="H98" s="63">
        <v>97.5</v>
      </c>
      <c r="I98" s="63">
        <v>102.3</v>
      </c>
      <c r="J98" s="63">
        <v>96.9</v>
      </c>
      <c r="K98" s="63">
        <v>85.1</v>
      </c>
      <c r="L98" s="63">
        <v>60.9</v>
      </c>
      <c r="M98" s="63">
        <v>67</v>
      </c>
      <c r="N98" s="63">
        <v>70.2</v>
      </c>
      <c r="O98" s="63">
        <v>64</v>
      </c>
      <c r="P98" s="63">
        <v>86.6</v>
      </c>
      <c r="Q98" s="63">
        <v>96</v>
      </c>
      <c r="R98" s="63">
        <v>103.4</v>
      </c>
      <c r="S98" s="63">
        <v>99.5</v>
      </c>
      <c r="T98" s="63">
        <v>90.2</v>
      </c>
      <c r="U98" s="63">
        <v>98.3</v>
      </c>
      <c r="V98" s="63">
        <v>60.7</v>
      </c>
      <c r="W98" s="63">
        <v>69.7</v>
      </c>
      <c r="X98" s="63">
        <v>61</v>
      </c>
      <c r="Y98" s="63">
        <v>78.7</v>
      </c>
      <c r="Z98" s="63">
        <v>85.2</v>
      </c>
      <c r="AA98" s="63">
        <v>84.8</v>
      </c>
      <c r="AB98" s="126">
        <v>68</v>
      </c>
      <c r="AC98" s="126">
        <v>72</v>
      </c>
      <c r="AD98" s="126">
        <v>72</v>
      </c>
      <c r="AE98" s="126">
        <v>103</v>
      </c>
      <c r="AF98" s="126">
        <v>101</v>
      </c>
      <c r="AG98" s="127"/>
      <c r="AH98" s="54">
        <f t="shared" si="22"/>
        <v>103.4</v>
      </c>
      <c r="AI98" s="121">
        <f t="shared" si="23"/>
        <v>0.54166666666666696</v>
      </c>
    </row>
    <row r="99" spans="1:37" ht="15.75" thickBot="1" x14ac:dyDescent="0.3">
      <c r="A99" s="124" t="s">
        <v>103</v>
      </c>
      <c r="B99" s="125">
        <v>65</v>
      </c>
      <c r="C99" s="63">
        <v>35.4</v>
      </c>
      <c r="D99" s="63">
        <v>57.3</v>
      </c>
      <c r="E99" s="63">
        <v>60</v>
      </c>
      <c r="F99" s="63">
        <v>61.1</v>
      </c>
      <c r="G99" s="63">
        <v>64.099999999999994</v>
      </c>
      <c r="H99" s="63">
        <v>43.9</v>
      </c>
      <c r="I99" s="63">
        <v>49</v>
      </c>
      <c r="J99" s="63">
        <v>12.7</v>
      </c>
      <c r="K99" s="63">
        <v>-1.3</v>
      </c>
      <c r="L99" s="63">
        <v>14.7</v>
      </c>
      <c r="M99" s="63">
        <v>24.1</v>
      </c>
      <c r="N99" s="63">
        <v>22.1</v>
      </c>
      <c r="O99" s="63">
        <v>18.2</v>
      </c>
      <c r="P99" s="63">
        <v>26.9</v>
      </c>
      <c r="Q99" s="63">
        <v>31</v>
      </c>
      <c r="R99" s="63">
        <v>37</v>
      </c>
      <c r="S99" s="63">
        <v>37.4</v>
      </c>
      <c r="T99" s="63">
        <v>40.5</v>
      </c>
      <c r="U99" s="63">
        <v>34.6</v>
      </c>
      <c r="V99" s="63">
        <v>14</v>
      </c>
      <c r="W99" s="63">
        <v>10.9</v>
      </c>
      <c r="X99" s="63">
        <v>9.4</v>
      </c>
      <c r="Y99" s="63">
        <v>19.3</v>
      </c>
      <c r="Z99" s="63">
        <v>24.5</v>
      </c>
      <c r="AA99" s="63">
        <v>19.100000000000001</v>
      </c>
      <c r="AB99" s="126">
        <v>13</v>
      </c>
      <c r="AC99" s="126">
        <v>11</v>
      </c>
      <c r="AD99" s="126">
        <v>30</v>
      </c>
      <c r="AE99" s="126">
        <v>75</v>
      </c>
      <c r="AF99" s="126">
        <v>78</v>
      </c>
      <c r="AG99" s="128"/>
      <c r="AH99" s="54">
        <f t="shared" si="22"/>
        <v>78</v>
      </c>
      <c r="AI99" s="121">
        <f t="shared" si="23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1531.04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970.64</v>
      </c>
      <c r="U213" s="174">
        <f t="shared" si="60"/>
        <v>920.37</v>
      </c>
      <c r="V213" s="174">
        <f t="shared" si="60"/>
        <v>889.16</v>
      </c>
      <c r="W213" s="174">
        <f t="shared" si="60"/>
        <v>880.54</v>
      </c>
      <c r="X213" s="174">
        <f t="shared" si="60"/>
        <v>874.93999999999994</v>
      </c>
      <c r="Y213" s="174">
        <f t="shared" si="60"/>
        <v>921.74</v>
      </c>
      <c r="Z213" s="174">
        <f t="shared" si="60"/>
        <v>1009.94</v>
      </c>
      <c r="AA213" s="174">
        <f t="shared" si="60"/>
        <v>1102.94</v>
      </c>
      <c r="AB213" s="174">
        <f t="shared" si="60"/>
        <v>1207.8399999999999</v>
      </c>
      <c r="AC213" s="174">
        <f t="shared" si="60"/>
        <v>1355.1399999999999</v>
      </c>
      <c r="AD213" s="174">
        <f t="shared" si="60"/>
        <v>1374.8100000000002</v>
      </c>
      <c r="AE213" s="174">
        <f t="shared" si="60"/>
        <v>1531.04</v>
      </c>
      <c r="AF213" s="174">
        <f t="shared" si="60"/>
        <v>1425.9399999999998</v>
      </c>
      <c r="AG213" s="174">
        <f t="shared" si="60"/>
        <v>1327.04</v>
      </c>
      <c r="AH213" s="174">
        <f t="shared" si="60"/>
        <v>1326.34</v>
      </c>
      <c r="AI213" s="174">
        <f t="shared" si="60"/>
        <v>1280.1399999999999</v>
      </c>
      <c r="AJ213" s="174">
        <f t="shared" si="60"/>
        <v>1192.9100000000001</v>
      </c>
      <c r="AK213" s="174">
        <f t="shared" si="60"/>
        <v>1204.1399999999999</v>
      </c>
      <c r="AL213" s="174">
        <f t="shared" si="60"/>
        <v>1205.54</v>
      </c>
      <c r="AM213" s="174">
        <f t="shared" si="60"/>
        <v>1213.8499999999999</v>
      </c>
      <c r="AN213" s="174">
        <f t="shared" si="60"/>
        <v>1237.6399999999999</v>
      </c>
      <c r="AO213" s="174">
        <f t="shared" si="60"/>
        <v>1280.7099999999998</v>
      </c>
      <c r="AP213" s="174">
        <f t="shared" si="60"/>
        <v>1403.8399999999997</v>
      </c>
      <c r="AQ213" s="174">
        <f t="shared" si="60"/>
        <v>1584.1399999999999</v>
      </c>
      <c r="AR213" s="174">
        <f t="shared" si="60"/>
        <v>1559.4299999999998</v>
      </c>
      <c r="AS213" s="174">
        <f t="shared" si="60"/>
        <v>1498.1999999999998</v>
      </c>
      <c r="AT213" s="174">
        <f t="shared" si="60"/>
        <v>1428.74</v>
      </c>
      <c r="AU213" s="174">
        <f t="shared" si="60"/>
        <v>1391.34</v>
      </c>
      <c r="AV213" s="174">
        <f t="shared" si="60"/>
        <v>1264.44</v>
      </c>
      <c r="AW213" s="174">
        <f t="shared" si="60"/>
        <v>1127.44</v>
      </c>
      <c r="AX213" s="174">
        <f t="shared" si="60"/>
        <v>1045.94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P37 C57:L59 N62:N67 P39:R39 M39:O42 O61:O67 P40:Q42 R42 P60:P67 M58:P59 U40:Y42 X85:AA91 AB81:AF81 B81:R81 C56:AF56 B82:AF83 D193:AF199 B193:B199 C68:AF72 AB84:AF91 B84:B91 B73:AF80 B9:AF10 B191:AF191 AF57:AF61 B36 AG73 AB94:AF99 B94:B99 U212:AF212 B53:B72 L61:N61 G60:O60 C60:F67 G61:K67 L62:L67 D36:P36 Q39:Q42 R58:W59 R60:R67 Q58:Q67 Q36:R37 R40:T41 M11:U14 V12:X14 M16:X16 N45:X48 V11:AE11 Z40:AE43 M18:X32 M53:AF55 S36:AF36 AF42:AF43 Y18:AF30">
    <cfRule type="expression" dxfId="8959" priority="251">
      <formula>B$9&gt;=20/24</formula>
    </cfRule>
    <cfRule type="expression" dxfId="8958" priority="252">
      <formula>AND(B$9&gt;=14/24,B$9&lt;20/24)</formula>
    </cfRule>
    <cfRule type="expression" dxfId="8957" priority="253">
      <formula>AND(B$9&gt;=8/24,B$9&lt;14/24)</formula>
    </cfRule>
    <cfRule type="expression" dxfId="8956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955" priority="246">
      <formula>M$9&gt;=20/24</formula>
    </cfRule>
    <cfRule type="expression" dxfId="8954" priority="247">
      <formula>AND(M$9&gt;=14/24,M$9&lt;20/24)</formula>
    </cfRule>
    <cfRule type="expression" dxfId="8953" priority="248">
      <formula>AND(M$9&gt;=8/24,M$9&lt;14/24)</formula>
    </cfRule>
    <cfRule type="expression" dxfId="8952" priority="249">
      <formula>M$9&lt;8/24</formula>
    </cfRule>
  </conditionalFormatting>
  <conditionalFormatting sqref="M43:R43">
    <cfRule type="expression" dxfId="8951" priority="242">
      <formula>M$9&gt;=20/24</formula>
    </cfRule>
    <cfRule type="expression" dxfId="8950" priority="243">
      <formula>AND(M$9&gt;=14/24,M$9&lt;20/24)</formula>
    </cfRule>
    <cfRule type="expression" dxfId="8949" priority="244">
      <formula>AND(M$9&gt;=8/24,M$9&lt;14/24)</formula>
    </cfRule>
    <cfRule type="expression" dxfId="8948" priority="245">
      <formula>M$9&lt;8/24</formula>
    </cfRule>
  </conditionalFormatting>
  <conditionalFormatting sqref="S39:AE39">
    <cfRule type="expression" dxfId="8947" priority="234">
      <formula>S$9&gt;=20/24</formula>
    </cfRule>
    <cfRule type="expression" dxfId="8946" priority="235">
      <formula>AND(S$9&gt;=14/24,S$9&lt;20/24)</formula>
    </cfRule>
    <cfRule type="expression" dxfId="8945" priority="236">
      <formula>AND(S$9&gt;=8/24,S$9&lt;14/24)</formula>
    </cfRule>
    <cfRule type="expression" dxfId="8944" priority="237">
      <formula>S$9&lt;8/24</formula>
    </cfRule>
  </conditionalFormatting>
  <conditionalFormatting sqref="S57:AE57">
    <cfRule type="expression" dxfId="8943" priority="230">
      <formula>S$9&gt;=20/24</formula>
    </cfRule>
    <cfRule type="expression" dxfId="8942" priority="231">
      <formula>AND(S$9&gt;=14/24,S$9&lt;20/24)</formula>
    </cfRule>
    <cfRule type="expression" dxfId="8941" priority="232">
      <formula>AND(S$9&gt;=8/24,S$9&lt;14/24)</formula>
    </cfRule>
    <cfRule type="expression" dxfId="8940" priority="233">
      <formula>S$9&lt;8/24</formula>
    </cfRule>
  </conditionalFormatting>
  <conditionalFormatting sqref="S81:AA81">
    <cfRule type="expression" dxfId="8939" priority="226">
      <formula>S$9&gt;=20/24</formula>
    </cfRule>
    <cfRule type="expression" dxfId="8938" priority="227">
      <formula>AND(S$9&gt;=14/24,S$9&lt;20/24)</formula>
    </cfRule>
    <cfRule type="expression" dxfId="8937" priority="228">
      <formula>AND(S$9&gt;=8/24,S$9&lt;14/24)</formula>
    </cfRule>
    <cfRule type="expression" dxfId="8936" priority="229">
      <formula>S$9&lt;8/24</formula>
    </cfRule>
  </conditionalFormatting>
  <conditionalFormatting sqref="U84:AA84">
    <cfRule type="expression" dxfId="8935" priority="222">
      <formula>U$9&gt;=20/24</formula>
    </cfRule>
    <cfRule type="expression" dxfId="8934" priority="223">
      <formula>AND(U$9&gt;=14/24,U$9&lt;20/24)</formula>
    </cfRule>
    <cfRule type="expression" dxfId="8933" priority="224">
      <formula>AND(U$9&gt;=8/24,U$9&lt;14/24)</formula>
    </cfRule>
    <cfRule type="expression" dxfId="8932" priority="225">
      <formula>U$9&lt;8/24</formula>
    </cfRule>
  </conditionalFormatting>
  <conditionalFormatting sqref="M35:X35">
    <cfRule type="expression" dxfId="8931" priority="218">
      <formula>M$9&gt;=20/24</formula>
    </cfRule>
    <cfRule type="expression" dxfId="8930" priority="219">
      <formula>AND(M$9&gt;=14/24,M$9&lt;20/24)</formula>
    </cfRule>
    <cfRule type="expression" dxfId="8929" priority="220">
      <formula>AND(M$9&gt;=8/24,M$9&lt;14/24)</formula>
    </cfRule>
    <cfRule type="expression" dxfId="8928" priority="221">
      <formula>M$9&lt;8/24</formula>
    </cfRule>
  </conditionalFormatting>
  <conditionalFormatting sqref="M49:X49">
    <cfRule type="expression" dxfId="8927" priority="214">
      <formula>M$9&gt;=20/24</formula>
    </cfRule>
    <cfRule type="expression" dxfId="8926" priority="215">
      <formula>AND(M$9&gt;=14/24,M$9&lt;20/24)</formula>
    </cfRule>
    <cfRule type="expression" dxfId="8925" priority="216">
      <formula>AND(M$9&gt;=8/24,M$9&lt;14/24)</formula>
    </cfRule>
    <cfRule type="expression" dxfId="8924" priority="217">
      <formula>M$9&lt;8/24</formula>
    </cfRule>
  </conditionalFormatting>
  <conditionalFormatting sqref="M50:X50">
    <cfRule type="expression" dxfId="8923" priority="210">
      <formula>M$9&gt;=20/24</formula>
    </cfRule>
    <cfRule type="expression" dxfId="8922" priority="211">
      <formula>AND(M$9&gt;=14/24,M$9&lt;20/24)</formula>
    </cfRule>
    <cfRule type="expression" dxfId="8921" priority="212">
      <formula>AND(M$9&gt;=8/24,M$9&lt;14/24)</formula>
    </cfRule>
    <cfRule type="expression" dxfId="8920" priority="213">
      <formula>M$9&lt;8/24</formula>
    </cfRule>
  </conditionalFormatting>
  <conditionalFormatting sqref="M45:X48">
    <cfRule type="expression" dxfId="8919" priority="206">
      <formula>M$9&gt;=20/24</formula>
    </cfRule>
    <cfRule type="expression" dxfId="8918" priority="207">
      <formula>AND(M$9&gt;=14/24,M$9&lt;20/24)</formula>
    </cfRule>
    <cfRule type="expression" dxfId="8917" priority="208">
      <formula>AND(M$9&gt;=8/24,M$9&lt;14/24)</formula>
    </cfRule>
    <cfRule type="expression" dxfId="8916" priority="209">
      <formula>M$9&lt;8/24</formula>
    </cfRule>
  </conditionalFormatting>
  <conditionalFormatting sqref="S37:AF37">
    <cfRule type="expression" dxfId="8915" priority="202">
      <formula>S$9&gt;=20/24</formula>
    </cfRule>
    <cfRule type="expression" dxfId="8914" priority="203">
      <formula>AND(S$9&gt;=14/24,S$9&lt;20/24)</formula>
    </cfRule>
    <cfRule type="expression" dxfId="8913" priority="204">
      <formula>AND(S$9&gt;=8/24,S$9&lt;14/24)</formula>
    </cfRule>
    <cfRule type="expression" dxfId="8912" priority="205">
      <formula>S$9&lt;8/24</formula>
    </cfRule>
  </conditionalFormatting>
  <conditionalFormatting sqref="Y31:AF32 Y35:AF35">
    <cfRule type="expression" dxfId="8911" priority="198">
      <formula>Y$9&gt;=20/24</formula>
    </cfRule>
    <cfRule type="expression" dxfId="8910" priority="199">
      <formula>AND(Y$9&gt;=14/24,Y$9&lt;20/24)</formula>
    </cfRule>
    <cfRule type="expression" dxfId="8909" priority="200">
      <formula>AND(Y$9&gt;=8/24,Y$9&lt;14/24)</formula>
    </cfRule>
    <cfRule type="expression" dxfId="8908" priority="201">
      <formula>Y$9&lt;8/24</formula>
    </cfRule>
  </conditionalFormatting>
  <conditionalFormatting sqref="S42:T43 U43:AA43 S45:AF48">
    <cfRule type="expression" dxfId="8907" priority="194">
      <formula>S$9&gt;=20/24</formula>
    </cfRule>
    <cfRule type="expression" dxfId="8906" priority="195">
      <formula>AND(S$9&gt;=14/24,S$9&lt;20/24)</formula>
    </cfRule>
    <cfRule type="expression" dxfId="8905" priority="196">
      <formula>AND(S$9&gt;=8/24,S$9&lt;14/24)</formula>
    </cfRule>
    <cfRule type="expression" dxfId="8904" priority="197">
      <formula>S$9&lt;8/24</formula>
    </cfRule>
  </conditionalFormatting>
  <conditionalFormatting sqref="S49:AF49">
    <cfRule type="expression" dxfId="8903" priority="190">
      <formula>S$9&gt;=20/24</formula>
    </cfRule>
    <cfRule type="expression" dxfId="8902" priority="191">
      <formula>AND(S$9&gt;=14/24,S$9&lt;20/24)</formula>
    </cfRule>
    <cfRule type="expression" dxfId="8901" priority="192">
      <formula>AND(S$9&gt;=8/24,S$9&lt;14/24)</formula>
    </cfRule>
    <cfRule type="expression" dxfId="8900" priority="193">
      <formula>S$9&lt;8/24</formula>
    </cfRule>
  </conditionalFormatting>
  <conditionalFormatting sqref="S50:AF50">
    <cfRule type="expression" dxfId="8899" priority="186">
      <formula>S$9&gt;=20/24</formula>
    </cfRule>
    <cfRule type="expression" dxfId="8898" priority="187">
      <formula>AND(S$9&gt;=14/24,S$9&lt;20/24)</formula>
    </cfRule>
    <cfRule type="expression" dxfId="8897" priority="188">
      <formula>AND(S$9&gt;=8/24,S$9&lt;14/24)</formula>
    </cfRule>
    <cfRule type="expression" dxfId="8896" priority="189">
      <formula>S$9&lt;8/24</formula>
    </cfRule>
  </conditionalFormatting>
  <conditionalFormatting sqref="S60:T67 X60:AE61 Y62:AF67">
    <cfRule type="expression" dxfId="8895" priority="182">
      <formula>S$9&gt;=20/24</formula>
    </cfRule>
    <cfRule type="expression" dxfId="8894" priority="183">
      <formula>AND(S$9&gt;=14/24,S$9&lt;20/24)</formula>
    </cfRule>
    <cfRule type="expression" dxfId="8893" priority="184">
      <formula>AND(S$9&gt;=8/24,S$9&lt;14/24)</formula>
    </cfRule>
    <cfRule type="expression" dxfId="8892" priority="185">
      <formula>S$9&lt;8/24</formula>
    </cfRule>
  </conditionalFormatting>
  <conditionalFormatting sqref="U94:AA97">
    <cfRule type="expression" dxfId="8891" priority="174">
      <formula>U$9&gt;=20/24</formula>
    </cfRule>
    <cfRule type="expression" dxfId="8890" priority="175">
      <formula>AND(U$9&gt;=14/24,U$9&lt;20/24)</formula>
    </cfRule>
    <cfRule type="expression" dxfId="8889" priority="176">
      <formula>AND(U$9&gt;=8/24,U$9&lt;14/24)</formula>
    </cfRule>
    <cfRule type="expression" dxfId="8888" priority="177">
      <formula>U$9&lt;8/24</formula>
    </cfRule>
  </conditionalFormatting>
  <conditionalFormatting sqref="AG51 B11:B32 C11:U14 V12:X14 C16:X16 V11:AF11 C17:AD17 B34:AF56 C18:AF32">
    <cfRule type="expression" dxfId="8887" priority="173">
      <formula>B11&gt;$AG11</formula>
    </cfRule>
  </conditionalFormatting>
  <conditionalFormatting sqref="A100:A156 A84:A97 A11:A14 A16:A32 A45:A72 A80:A82 A74:A78 A35:A43 A169:A199">
    <cfRule type="expression" dxfId="8886" priority="172">
      <formula>$AH11=0</formula>
    </cfRule>
  </conditionalFormatting>
  <conditionalFormatting sqref="U98:AA98">
    <cfRule type="expression" dxfId="8885" priority="168">
      <formula>U$9&gt;=20/24</formula>
    </cfRule>
    <cfRule type="expression" dxfId="8884" priority="169">
      <formula>AND(U$9&gt;=14/24,U$9&lt;20/24)</formula>
    </cfRule>
    <cfRule type="expression" dxfId="8883" priority="170">
      <formula>AND(U$9&gt;=8/24,U$9&lt;14/24)</formula>
    </cfRule>
    <cfRule type="expression" dxfId="8882" priority="171">
      <formula>U$9&lt;8/24</formula>
    </cfRule>
  </conditionalFormatting>
  <conditionalFormatting sqref="A98">
    <cfRule type="expression" dxfId="8881" priority="167">
      <formula>$AH98=0</formula>
    </cfRule>
  </conditionalFormatting>
  <conditionalFormatting sqref="C36">
    <cfRule type="expression" dxfId="8880" priority="163">
      <formula>C$9&gt;=20/24</formula>
    </cfRule>
    <cfRule type="expression" dxfId="8879" priority="164">
      <formula>AND(C$9&gt;=14/24,C$9&lt;20/24)</formula>
    </cfRule>
    <cfRule type="expression" dxfId="8878" priority="165">
      <formula>AND(C$9&gt;=8/24,C$9&lt;14/24)</formula>
    </cfRule>
    <cfRule type="expression" dxfId="8877" priority="166">
      <formula>C$9&lt;8/24</formula>
    </cfRule>
  </conditionalFormatting>
  <conditionalFormatting sqref="M62:M67">
    <cfRule type="expression" dxfId="8876" priority="155">
      <formula>M$9&gt;=20/24</formula>
    </cfRule>
    <cfRule type="expression" dxfId="8875" priority="156">
      <formula>AND(M$9&gt;=14/24,M$9&lt;20/24)</formula>
    </cfRule>
    <cfRule type="expression" dxfId="8874" priority="157">
      <formula>AND(M$9&gt;=8/24,M$9&lt;14/24)</formula>
    </cfRule>
    <cfRule type="expression" dxfId="8873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M34:X34">
    <cfRule type="expression" dxfId="8872" priority="146">
      <formula>M$9&gt;=20/24</formula>
    </cfRule>
    <cfRule type="expression" dxfId="8871" priority="147">
      <formula>AND(M$9&gt;=14/24,M$9&lt;20/24)</formula>
    </cfRule>
    <cfRule type="expression" dxfId="8870" priority="148">
      <formula>AND(M$9&gt;=8/24,M$9&lt;14/24)</formula>
    </cfRule>
    <cfRule type="expression" dxfId="8869" priority="149">
      <formula>M$9&lt;8/24</formula>
    </cfRule>
  </conditionalFormatting>
  <conditionalFormatting sqref="Y34:AF34">
    <cfRule type="expression" dxfId="8868" priority="142">
      <formula>Y$9&gt;=20/24</formula>
    </cfRule>
    <cfRule type="expression" dxfId="8867" priority="143">
      <formula>AND(Y$9&gt;=14/24,Y$9&lt;20/24)</formula>
    </cfRule>
    <cfRule type="expression" dxfId="8866" priority="144">
      <formula>AND(Y$9&gt;=8/24,Y$9&lt;14/24)</formula>
    </cfRule>
    <cfRule type="expression" dxfId="8865" priority="145">
      <formula>Y$9&lt;8/24</formula>
    </cfRule>
  </conditionalFormatting>
  <conditionalFormatting sqref="A34">
    <cfRule type="expression" dxfId="8864" priority="141">
      <formula>$AH34=0</formula>
    </cfRule>
  </conditionalFormatting>
  <conditionalFormatting sqref="A83">
    <cfRule type="expression" dxfId="8863" priority="140">
      <formula>$AH83=0</formula>
    </cfRule>
  </conditionalFormatting>
  <conditionalFormatting sqref="M15:X15">
    <cfRule type="expression" dxfId="8862" priority="132">
      <formula>M$9&gt;=20/24</formula>
    </cfRule>
    <cfRule type="expression" dxfId="8861" priority="133">
      <formula>AND(M$9&gt;=14/24,M$9&lt;20/24)</formula>
    </cfRule>
    <cfRule type="expression" dxfId="8860" priority="134">
      <formula>AND(M$9&gt;=8/24,M$9&lt;14/24)</formula>
    </cfRule>
    <cfRule type="expression" dxfId="8859" priority="135">
      <formula>M$9&lt;8/24</formula>
    </cfRule>
  </conditionalFormatting>
  <conditionalFormatting sqref="C15:X15">
    <cfRule type="expression" dxfId="8858" priority="131">
      <formula>C15&gt;$AG15</formula>
    </cfRule>
  </conditionalFormatting>
  <conditionalFormatting sqref="A15">
    <cfRule type="expression" dxfId="8857" priority="130">
      <formula>$AH15=0</formula>
    </cfRule>
  </conditionalFormatting>
  <conditionalFormatting sqref="A163:A168">
    <cfRule type="expression" dxfId="8856" priority="129">
      <formula>$AH163=0</formula>
    </cfRule>
  </conditionalFormatting>
  <conditionalFormatting sqref="A157:A162">
    <cfRule type="expression" dxfId="8855" priority="128">
      <formula>$AH157=0</formula>
    </cfRule>
  </conditionalFormatting>
  <conditionalFormatting sqref="Z44:AF44">
    <cfRule type="expression" dxfId="8854" priority="124">
      <formula>Z$9&gt;=20/24</formula>
    </cfRule>
    <cfRule type="expression" dxfId="8853" priority="125">
      <formula>AND(Z$9&gt;=14/24,Z$9&lt;20/24)</formula>
    </cfRule>
    <cfRule type="expression" dxfId="8852" priority="126">
      <formula>AND(Z$9&gt;=8/24,Z$9&lt;14/24)</formula>
    </cfRule>
    <cfRule type="expression" dxfId="8851" priority="127">
      <formula>Z$9&lt;8/24</formula>
    </cfRule>
  </conditionalFormatting>
  <conditionalFormatting sqref="M44:R44">
    <cfRule type="expression" dxfId="8850" priority="120">
      <formula>M$9&gt;=20/24</formula>
    </cfRule>
    <cfRule type="expression" dxfId="8849" priority="121">
      <formula>AND(M$9&gt;=14/24,M$9&lt;20/24)</formula>
    </cfRule>
    <cfRule type="expression" dxfId="8848" priority="122">
      <formula>AND(M$9&gt;=8/24,M$9&lt;14/24)</formula>
    </cfRule>
    <cfRule type="expression" dxfId="8847" priority="123">
      <formula>M$9&lt;8/24</formula>
    </cfRule>
  </conditionalFormatting>
  <conditionalFormatting sqref="S44:AB44">
    <cfRule type="expression" dxfId="8846" priority="116">
      <formula>S$9&gt;=20/24</formula>
    </cfRule>
    <cfRule type="expression" dxfId="8845" priority="117">
      <formula>AND(S$9&gt;=14/24,S$9&lt;20/24)</formula>
    </cfRule>
    <cfRule type="expression" dxfId="8844" priority="118">
      <formula>AND(S$9&gt;=8/24,S$9&lt;14/24)</formula>
    </cfRule>
    <cfRule type="expression" dxfId="8843" priority="119">
      <formula>S$9&lt;8/24</formula>
    </cfRule>
  </conditionalFormatting>
  <conditionalFormatting sqref="A44">
    <cfRule type="expression" dxfId="8842" priority="115">
      <formula>$AH44=0</formula>
    </cfRule>
  </conditionalFormatting>
  <conditionalFormatting sqref="A79">
    <cfRule type="expression" dxfId="8841" priority="114">
      <formula>$AH79=0</formula>
    </cfRule>
  </conditionalFormatting>
  <conditionalFormatting sqref="A73">
    <cfRule type="expression" dxfId="8840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 X62:X67">
    <cfRule type="expression" dxfId="8839" priority="109">
      <formula>U$9&gt;=20/24</formula>
    </cfRule>
    <cfRule type="expression" dxfId="8838" priority="110">
      <formula>AND(U$9&gt;=14/24,U$9&lt;20/24)</formula>
    </cfRule>
    <cfRule type="expression" dxfId="8837" priority="111">
      <formula>AND(U$9&gt;=8/24,U$9&lt;14/24)</formula>
    </cfRule>
    <cfRule type="expression" dxfId="8836" priority="112">
      <formula>U$9&lt;8/24</formula>
    </cfRule>
  </conditionalFormatting>
  <conditionalFormatting sqref="U85:W91">
    <cfRule type="expression" dxfId="8835" priority="105">
      <formula>U$9&gt;=20/24</formula>
    </cfRule>
    <cfRule type="expression" dxfId="8834" priority="106">
      <formula>AND(U$9&gt;=14/24,U$9&lt;20/24)</formula>
    </cfRule>
    <cfRule type="expression" dxfId="8833" priority="107">
      <formula>AND(U$9&gt;=8/24,U$9&lt;14/24)</formula>
    </cfRule>
    <cfRule type="expression" dxfId="8832" priority="108">
      <formula>U$9&lt;8/24</formula>
    </cfRule>
  </conditionalFormatting>
  <conditionalFormatting sqref="S85:T91 C84:R91">
    <cfRule type="expression" dxfId="8831" priority="101">
      <formula>C$9&gt;=20/24</formula>
    </cfRule>
    <cfRule type="expression" dxfId="8830" priority="102">
      <formula>AND(C$9&gt;=14/24,C$9&lt;20/24)</formula>
    </cfRule>
    <cfRule type="expression" dxfId="8829" priority="103">
      <formula>AND(C$9&gt;=8/24,C$9&lt;14/24)</formula>
    </cfRule>
    <cfRule type="expression" dxfId="8828" priority="104">
      <formula>C$9&lt;8/24</formula>
    </cfRule>
  </conditionalFormatting>
  <conditionalFormatting sqref="S84:T84">
    <cfRule type="expression" dxfId="8827" priority="97">
      <formula>S$9&gt;=20/24</formula>
    </cfRule>
    <cfRule type="expression" dxfId="8826" priority="98">
      <formula>AND(S$9&gt;=14/24,S$9&lt;20/24)</formula>
    </cfRule>
    <cfRule type="expression" dxfId="8825" priority="99">
      <formula>AND(S$9&gt;=8/24,S$9&lt;14/24)</formula>
    </cfRule>
    <cfRule type="expression" dxfId="8824" priority="100">
      <formula>S$9&lt;8/24</formula>
    </cfRule>
  </conditionalFormatting>
  <conditionalFormatting sqref="C95:M97 C94:F94">
    <cfRule type="expression" dxfId="8823" priority="93">
      <formula>C$9&gt;=20/24</formula>
    </cfRule>
    <cfRule type="expression" dxfId="8822" priority="94">
      <formula>AND(C$9&gt;=14/24,C$9&lt;20/24)</formula>
    </cfRule>
    <cfRule type="expression" dxfId="8821" priority="95">
      <formula>AND(C$9&gt;=8/24,C$9&lt;14/24)</formula>
    </cfRule>
    <cfRule type="expression" dxfId="8820" priority="96">
      <formula>C$9&lt;8/24</formula>
    </cfRule>
  </conditionalFormatting>
  <conditionalFormatting sqref="N95:R97 O94:R94">
    <cfRule type="expression" dxfId="8819" priority="89">
      <formula>N$9&gt;=20/24</formula>
    </cfRule>
    <cfRule type="expression" dxfId="8818" priority="90">
      <formula>AND(N$9&gt;=14/24,N$9&lt;20/24)</formula>
    </cfRule>
    <cfRule type="expression" dxfId="8817" priority="91">
      <formula>AND(N$9&gt;=8/24,N$9&lt;14/24)</formula>
    </cfRule>
    <cfRule type="expression" dxfId="8816" priority="92">
      <formula>N$9&lt;8/24</formula>
    </cfRule>
  </conditionalFormatting>
  <conditionalFormatting sqref="S94:T97">
    <cfRule type="expression" dxfId="8815" priority="85">
      <formula>S$9&gt;=20/24</formula>
    </cfRule>
    <cfRule type="expression" dxfId="8814" priority="86">
      <formula>AND(S$9&gt;=14/24,S$9&lt;20/24)</formula>
    </cfRule>
    <cfRule type="expression" dxfId="8813" priority="87">
      <formula>AND(S$9&gt;=8/24,S$9&lt;14/24)</formula>
    </cfRule>
    <cfRule type="expression" dxfId="8812" priority="88">
      <formula>S$9&lt;8/24</formula>
    </cfRule>
  </conditionalFormatting>
  <conditionalFormatting sqref="C98:M98">
    <cfRule type="expression" dxfId="8811" priority="81">
      <formula>C$9&gt;=20/24</formula>
    </cfRule>
    <cfRule type="expression" dxfId="8810" priority="82">
      <formula>AND(C$9&gt;=14/24,C$9&lt;20/24)</formula>
    </cfRule>
    <cfRule type="expression" dxfId="8809" priority="83">
      <formula>AND(C$9&gt;=8/24,C$9&lt;14/24)</formula>
    </cfRule>
    <cfRule type="expression" dxfId="8808" priority="84">
      <formula>C$9&lt;8/24</formula>
    </cfRule>
  </conditionalFormatting>
  <conditionalFormatting sqref="N98:R98">
    <cfRule type="expression" dxfId="8807" priority="77">
      <formula>N$9&gt;=20/24</formula>
    </cfRule>
    <cfRule type="expression" dxfId="8806" priority="78">
      <formula>AND(N$9&gt;=14/24,N$9&lt;20/24)</formula>
    </cfRule>
    <cfRule type="expression" dxfId="8805" priority="79">
      <formula>AND(N$9&gt;=8/24,N$9&lt;14/24)</formula>
    </cfRule>
    <cfRule type="expression" dxfId="8804" priority="80">
      <formula>N$9&lt;8/24</formula>
    </cfRule>
  </conditionalFormatting>
  <conditionalFormatting sqref="S98:T98">
    <cfRule type="expression" dxfId="8803" priority="73">
      <formula>S$9&gt;=20/24</formula>
    </cfRule>
    <cfRule type="expression" dxfId="8802" priority="74">
      <formula>AND(S$9&gt;=14/24,S$9&lt;20/24)</formula>
    </cfRule>
    <cfRule type="expression" dxfId="8801" priority="75">
      <formula>AND(S$9&gt;=8/24,S$9&lt;14/24)</formula>
    </cfRule>
    <cfRule type="expression" dxfId="8800" priority="76">
      <formula>S$9&lt;8/24</formula>
    </cfRule>
  </conditionalFormatting>
  <conditionalFormatting sqref="M94:N94">
    <cfRule type="expression" dxfId="8799" priority="69">
      <formula>M$9&gt;=20/24</formula>
    </cfRule>
    <cfRule type="expression" dxfId="8798" priority="70">
      <formula>AND(M$9&gt;=14/24,M$9&lt;20/24)</formula>
    </cfRule>
    <cfRule type="expression" dxfId="8797" priority="71">
      <formula>AND(M$9&gt;=8/24,M$9&lt;14/24)</formula>
    </cfRule>
    <cfRule type="expression" dxfId="8796" priority="72">
      <formula>M$9&lt;8/24</formula>
    </cfRule>
  </conditionalFormatting>
  <conditionalFormatting sqref="G94:L94">
    <cfRule type="expression" dxfId="8795" priority="65">
      <formula>G$9&gt;=20/24</formula>
    </cfRule>
    <cfRule type="expression" dxfId="8794" priority="66">
      <formula>AND(G$9&gt;=14/24,G$9&lt;20/24)</formula>
    </cfRule>
    <cfRule type="expression" dxfId="8793" priority="67">
      <formula>AND(G$9&gt;=8/24,G$9&lt;14/24)</formula>
    </cfRule>
    <cfRule type="expression" dxfId="8792" priority="68">
      <formula>G$9&lt;8/24</formula>
    </cfRule>
  </conditionalFormatting>
  <conditionalFormatting sqref="U94:W94">
    <cfRule type="expression" dxfId="8791" priority="61">
      <formula>U$9&gt;=20/24</formula>
    </cfRule>
    <cfRule type="expression" dxfId="8790" priority="62">
      <formula>AND(U$9&gt;=14/24,U$9&lt;20/24)</formula>
    </cfRule>
    <cfRule type="expression" dxfId="8789" priority="63">
      <formula>AND(U$9&gt;=8/24,U$9&lt;14/24)</formula>
    </cfRule>
    <cfRule type="expression" dxfId="8788" priority="64">
      <formula>U$9&lt;8/24</formula>
    </cfRule>
  </conditionalFormatting>
  <conditionalFormatting sqref="N94:T94">
    <cfRule type="expression" dxfId="8787" priority="57">
      <formula>N$9&gt;=20/24</formula>
    </cfRule>
    <cfRule type="expression" dxfId="8786" priority="58">
      <formula>AND(N$9&gt;=14/24,N$9&lt;20/24)</formula>
    </cfRule>
    <cfRule type="expression" dxfId="8785" priority="59">
      <formula>AND(N$9&gt;=8/24,N$9&lt;14/24)</formula>
    </cfRule>
    <cfRule type="expression" dxfId="8784" priority="60">
      <formula>N$9&lt;8/24</formula>
    </cfRule>
  </conditionalFormatting>
  <conditionalFormatting sqref="U99:AA99">
    <cfRule type="expression" dxfId="8783" priority="53">
      <formula>U$9&gt;=20/24</formula>
    </cfRule>
    <cfRule type="expression" dxfId="8782" priority="54">
      <formula>AND(U$9&gt;=14/24,U$9&lt;20/24)</formula>
    </cfRule>
    <cfRule type="expression" dxfId="8781" priority="55">
      <formula>AND(U$9&gt;=8/24,U$9&lt;14/24)</formula>
    </cfRule>
    <cfRule type="expression" dxfId="8780" priority="56">
      <formula>U$9&lt;8/24</formula>
    </cfRule>
  </conditionalFormatting>
  <conditionalFormatting sqref="C99:M99">
    <cfRule type="expression" dxfId="8779" priority="49">
      <formula>C$9&gt;=20/24</formula>
    </cfRule>
    <cfRule type="expression" dxfId="8778" priority="50">
      <formula>AND(C$9&gt;=14/24,C$9&lt;20/24)</formula>
    </cfRule>
    <cfRule type="expression" dxfId="8777" priority="51">
      <formula>AND(C$9&gt;=8/24,C$9&lt;14/24)</formula>
    </cfRule>
    <cfRule type="expression" dxfId="8776" priority="52">
      <formula>C$9&lt;8/24</formula>
    </cfRule>
  </conditionalFormatting>
  <conditionalFormatting sqref="N99:R99">
    <cfRule type="expression" dxfId="8775" priority="45">
      <formula>N$9&gt;=20/24</formula>
    </cfRule>
    <cfRule type="expression" dxfId="8774" priority="46">
      <formula>AND(N$9&gt;=14/24,N$9&lt;20/24)</formula>
    </cfRule>
    <cfRule type="expression" dxfId="8773" priority="47">
      <formula>AND(N$9&gt;=8/24,N$9&lt;14/24)</formula>
    </cfRule>
    <cfRule type="expression" dxfId="8772" priority="48">
      <formula>N$9&lt;8/24</formula>
    </cfRule>
  </conditionalFormatting>
  <conditionalFormatting sqref="S99:T99">
    <cfRule type="expression" dxfId="8771" priority="41">
      <formula>S$9&gt;=20/24</formula>
    </cfRule>
    <cfRule type="expression" dxfId="8770" priority="42">
      <formula>AND(S$9&gt;=14/24,S$9&lt;20/24)</formula>
    </cfRule>
    <cfRule type="expression" dxfId="8769" priority="43">
      <formula>AND(S$9&gt;=8/24,S$9&lt;14/24)</formula>
    </cfRule>
    <cfRule type="expression" dxfId="8768" priority="44">
      <formula>S$9&lt;8/24</formula>
    </cfRule>
  </conditionalFormatting>
  <conditionalFormatting sqref="Y12:AF16">
    <cfRule type="expression" dxfId="8767" priority="37">
      <formula>Y$9&gt;=20/24</formula>
    </cfRule>
    <cfRule type="expression" dxfId="8766" priority="38">
      <formula>AND(Y$9&gt;=14/24,Y$9&lt;20/24)</formula>
    </cfRule>
    <cfRule type="expression" dxfId="8765" priority="39">
      <formula>AND(Y$9&gt;=8/24,Y$9&lt;14/24)</formula>
    </cfRule>
    <cfRule type="expression" dxfId="8764" priority="40">
      <formula>Y$9&lt;8/24</formula>
    </cfRule>
  </conditionalFormatting>
  <conditionalFormatting sqref="AE17:AF17">
    <cfRule type="expression" dxfId="8763" priority="33">
      <formula>AE$9&gt;=20/24</formula>
    </cfRule>
    <cfRule type="expression" dxfId="8762" priority="34">
      <formula>AND(AE$9&gt;=14/24,AE$9&lt;20/24)</formula>
    </cfRule>
    <cfRule type="expression" dxfId="8761" priority="35">
      <formula>AND(AE$9&gt;=8/24,AE$9&lt;14/24)</formula>
    </cfRule>
    <cfRule type="expression" dxfId="8760" priority="36">
      <formula>AE$9&lt;8/24</formula>
    </cfRule>
  </conditionalFormatting>
  <conditionalFormatting sqref="Y12:AF13">
    <cfRule type="expression" dxfId="8759" priority="29">
      <formula>Y$9&gt;=20/24</formula>
    </cfRule>
    <cfRule type="expression" dxfId="8758" priority="30">
      <formula>AND(Y$9&gt;=14/24,Y$9&lt;20/24)</formula>
    </cfRule>
    <cfRule type="expression" dxfId="8757" priority="31">
      <formula>AND(Y$9&gt;=8/24,Y$9&lt;14/24)</formula>
    </cfRule>
    <cfRule type="expression" dxfId="8756" priority="32">
      <formula>Y$9&lt;8/24</formula>
    </cfRule>
  </conditionalFormatting>
  <conditionalFormatting sqref="AB58:AE59">
    <cfRule type="expression" dxfId="8755" priority="25">
      <formula>AB$9&gt;=20/24</formula>
    </cfRule>
    <cfRule type="expression" dxfId="8754" priority="26">
      <formula>AND(AB$9&gt;=14/24,AB$9&lt;20/24)</formula>
    </cfRule>
    <cfRule type="expression" dxfId="8753" priority="27">
      <formula>AND(AB$9&gt;=8/24,AB$9&lt;14/24)</formula>
    </cfRule>
    <cfRule type="expression" dxfId="8752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751" priority="258">
      <formula>C$9&gt;=20/24</formula>
    </cfRule>
    <cfRule type="expression" dxfId="8750" priority="259">
      <formula>AND(C$9&gt;=14/24,C$9&lt;20/24)</formula>
    </cfRule>
    <cfRule type="expression" dxfId="8749" priority="260">
      <formula>AND(C$9&gt;=8/24,C$9&lt;14/24)</formula>
    </cfRule>
    <cfRule type="expression" dxfId="8748" priority="261">
      <formula>C$9&lt;8/24</formula>
    </cfRule>
  </conditionalFormatting>
  <conditionalFormatting sqref="A200">
    <cfRule type="expression" dxfId="8747" priority="262">
      <formula>$AH200=0</formula>
    </cfRule>
  </conditionalFormatting>
  <conditionalFormatting sqref="AG212">
    <cfRule type="expression" dxfId="8746" priority="263">
      <formula>B$9&gt;=20/24</formula>
    </cfRule>
    <cfRule type="expression" dxfId="8745" priority="264">
      <formula>AND(B$9&gt;=14/24,B$9&lt;20/24)</formula>
    </cfRule>
    <cfRule type="expression" dxfId="8744" priority="265">
      <formula>AND(B$9&gt;=8/24,B$9&lt;14/24)</formula>
    </cfRule>
    <cfRule type="expression" dxfId="8743" priority="266">
      <formula>B$9&lt;8/24</formula>
    </cfRule>
  </conditionalFormatting>
  <conditionalFormatting sqref="S8">
    <cfRule type="expression" dxfId="8742" priority="19">
      <formula>U$9&gt;=20/24</formula>
    </cfRule>
    <cfRule type="expression" dxfId="8741" priority="20">
      <formula>AND(U$9&gt;=14/24,U$9&lt;20/24)</formula>
    </cfRule>
    <cfRule type="expression" dxfId="8740" priority="21">
      <formula>AND(U$9&gt;=8/24,U$9&lt;14/24)</formula>
    </cfRule>
    <cfRule type="expression" dxfId="8739" priority="22">
      <formula>U$9&lt;8/24</formula>
    </cfRule>
  </conditionalFormatting>
  <conditionalFormatting sqref="AB8">
    <cfRule type="expression" dxfId="8738" priority="15">
      <formula>AD$9&gt;=20/24</formula>
    </cfRule>
    <cfRule type="expression" dxfId="8737" priority="16">
      <formula>AND(AD$9&gt;=14/24,AD$9&lt;20/24)</formula>
    </cfRule>
    <cfRule type="expression" dxfId="8736" priority="17">
      <formula>AND(AD$9&gt;=8/24,AD$9&lt;14/24)</formula>
    </cfRule>
    <cfRule type="expression" dxfId="8735" priority="18">
      <formula>AD$9&lt;8/24</formula>
    </cfRule>
  </conditionalFormatting>
  <conditionalFormatting sqref="AH212:AX212">
    <cfRule type="expression" dxfId="8734" priority="267">
      <formula>AG$9&gt;=20/24</formula>
    </cfRule>
    <cfRule type="expression" dxfId="8733" priority="268">
      <formula>AND(AG$9&gt;=14/24,AG$9&lt;20/24)</formula>
    </cfRule>
    <cfRule type="expression" dxfId="8732" priority="269">
      <formula>AND(AG$9&gt;=8/24,AG$9&lt;14/24)</formula>
    </cfRule>
    <cfRule type="expression" dxfId="8731" priority="270">
      <formula>AG$9&lt;8/24</formula>
    </cfRule>
  </conditionalFormatting>
  <conditionalFormatting sqref="T212">
    <cfRule type="expression" dxfId="8730" priority="271">
      <formula>AX$9&gt;=20/24</formula>
    </cfRule>
    <cfRule type="expression" dxfId="8729" priority="272">
      <formula>AND(AX$9&gt;=14/24,AX$9&lt;20/24)</formula>
    </cfRule>
    <cfRule type="expression" dxfId="8728" priority="273">
      <formula>AND(AX$9&gt;=8/24,AX$9&lt;14/24)</formula>
    </cfRule>
    <cfRule type="expression" dxfId="8727" priority="274">
      <formula>AX$9&lt;8/24</formula>
    </cfRule>
  </conditionalFormatting>
  <conditionalFormatting sqref="A99">
    <cfRule type="expression" dxfId="8726" priority="14">
      <formula>$AH99=0</formula>
    </cfRule>
  </conditionalFormatting>
  <conditionalFormatting sqref="M33:X33">
    <cfRule type="expression" dxfId="8725" priority="10">
      <formula>M$9&gt;=20/24</formula>
    </cfRule>
    <cfRule type="expression" dxfId="8724" priority="11">
      <formula>AND(M$9&gt;=14/24,M$9&lt;20/24)</formula>
    </cfRule>
    <cfRule type="expression" dxfId="8723" priority="12">
      <formula>AND(M$9&gt;=8/24,M$9&lt;14/24)</formula>
    </cfRule>
    <cfRule type="expression" dxfId="8722" priority="13">
      <formula>M$9&lt;8/24</formula>
    </cfRule>
  </conditionalFormatting>
  <conditionalFormatting sqref="Y33:AF33">
    <cfRule type="expression" dxfId="8721" priority="2">
      <formula>Y$9&gt;=20/24</formula>
    </cfRule>
    <cfRule type="expression" dxfId="8720" priority="3">
      <formula>AND(Y$9&gt;=14/24,Y$9&lt;20/24)</formula>
    </cfRule>
    <cfRule type="expression" dxfId="8719" priority="4">
      <formula>AND(Y$9&gt;=8/24,Y$9&lt;14/24)</formula>
    </cfRule>
    <cfRule type="expression" dxfId="8718" priority="5">
      <formula>Y$9&lt;8/24</formula>
    </cfRule>
  </conditionalFormatting>
  <conditionalFormatting sqref="B33:AF33">
    <cfRule type="expression" dxfId="8717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8AD21802-C42E-48F6-B70C-530B27F98F8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G43" sqref="G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421</v>
      </c>
      <c r="C5" s="32">
        <f t="shared" si="0"/>
        <v>399</v>
      </c>
      <c r="D5" s="32">
        <f t="shared" si="0"/>
        <v>399</v>
      </c>
      <c r="E5" s="32">
        <f t="shared" si="0"/>
        <v>395.8</v>
      </c>
      <c r="F5" s="32">
        <f t="shared" si="0"/>
        <v>411</v>
      </c>
      <c r="G5" s="32">
        <f t="shared" si="0"/>
        <v>469</v>
      </c>
      <c r="H5" s="32">
        <f t="shared" si="0"/>
        <v>513.79999999999995</v>
      </c>
      <c r="I5" s="32">
        <f t="shared" si="0"/>
        <v>532</v>
      </c>
      <c r="J5" s="32">
        <f t="shared" si="0"/>
        <v>398.6</v>
      </c>
      <c r="K5" s="32">
        <f t="shared" si="0"/>
        <v>409</v>
      </c>
      <c r="L5" s="32">
        <f t="shared" si="0"/>
        <v>293</v>
      </c>
      <c r="M5" s="32">
        <f t="shared" si="0"/>
        <v>255.1</v>
      </c>
      <c r="N5" s="32">
        <f t="shared" si="0"/>
        <v>386.15</v>
      </c>
      <c r="O5" s="32">
        <f t="shared" si="0"/>
        <v>493.89</v>
      </c>
      <c r="P5" s="32">
        <f t="shared" si="0"/>
        <v>493.89</v>
      </c>
      <c r="Q5" s="32">
        <f t="shared" si="0"/>
        <v>491.28999999999996</v>
      </c>
      <c r="R5" s="32">
        <f t="shared" si="0"/>
        <v>563.4</v>
      </c>
      <c r="S5" s="32">
        <f t="shared" si="0"/>
        <v>577.73</v>
      </c>
      <c r="T5" s="32">
        <f t="shared" si="0"/>
        <v>606.5</v>
      </c>
      <c r="U5" s="32">
        <f t="shared" si="0"/>
        <v>567.4</v>
      </c>
      <c r="V5" s="32">
        <f t="shared" si="0"/>
        <v>383.4</v>
      </c>
      <c r="W5" s="32">
        <f t="shared" si="0"/>
        <v>332.4</v>
      </c>
      <c r="X5" s="32">
        <f t="shared" si="0"/>
        <v>311.2</v>
      </c>
      <c r="Y5" s="32">
        <f t="shared" si="0"/>
        <v>247.1</v>
      </c>
      <c r="Z5" s="32">
        <f t="shared" si="0"/>
        <v>258.8</v>
      </c>
      <c r="AA5" s="32">
        <f t="shared" si="0"/>
        <v>331.9</v>
      </c>
      <c r="AB5" s="32">
        <f t="shared" si="0"/>
        <v>501.1</v>
      </c>
      <c r="AC5" s="32">
        <f t="shared" si="0"/>
        <v>577.91999999999996</v>
      </c>
      <c r="AD5" s="32">
        <f t="shared" si="0"/>
        <v>521.29999999999995</v>
      </c>
      <c r="AE5" s="32">
        <f t="shared" si="0"/>
        <v>457</v>
      </c>
      <c r="AF5" s="32">
        <f>B68</f>
        <v>432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1522MW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Load=897</v>
      </c>
      <c r="B7" s="37">
        <f>B75</f>
        <v>934.64</v>
      </c>
      <c r="C7" s="37">
        <f t="shared" ref="C7:AF7" si="1">C75</f>
        <v>923.64</v>
      </c>
      <c r="D7" s="37">
        <f t="shared" si="1"/>
        <v>898.14</v>
      </c>
      <c r="E7" s="37">
        <f t="shared" si="1"/>
        <v>899.34</v>
      </c>
      <c r="F7" s="37">
        <f t="shared" si="1"/>
        <v>897.04</v>
      </c>
      <c r="G7" s="37">
        <f t="shared" si="1"/>
        <v>933.64</v>
      </c>
      <c r="H7" s="37">
        <f t="shared" si="1"/>
        <v>1027.6399999999999</v>
      </c>
      <c r="I7" s="37">
        <f t="shared" si="1"/>
        <v>1105.44</v>
      </c>
      <c r="J7" s="37">
        <f t="shared" si="1"/>
        <v>1235.24</v>
      </c>
      <c r="K7" s="37">
        <f t="shared" si="1"/>
        <v>1368.8400000000001</v>
      </c>
      <c r="L7" s="37">
        <f t="shared" si="1"/>
        <v>1518.2399999999998</v>
      </c>
      <c r="M7" s="37">
        <f t="shared" si="1"/>
        <v>1522.24</v>
      </c>
      <c r="N7" s="37">
        <f t="shared" si="1"/>
        <v>1450.14</v>
      </c>
      <c r="O7" s="37">
        <f t="shared" si="1"/>
        <v>1351.8899999999999</v>
      </c>
      <c r="P7" s="37">
        <f t="shared" si="1"/>
        <v>1226.9299999999998</v>
      </c>
      <c r="Q7" s="37">
        <f t="shared" si="1"/>
        <v>1155.9299999999998</v>
      </c>
      <c r="R7" s="37">
        <f t="shared" si="1"/>
        <v>1138.1299999999999</v>
      </c>
      <c r="S7" s="37">
        <f t="shared" si="1"/>
        <v>1164.44</v>
      </c>
      <c r="T7" s="37">
        <f t="shared" si="1"/>
        <v>1184.3699999999999</v>
      </c>
      <c r="U7" s="37">
        <f t="shared" si="1"/>
        <v>1233.3400000000001</v>
      </c>
      <c r="V7" s="37">
        <f t="shared" si="1"/>
        <v>1266.8400000000001</v>
      </c>
      <c r="W7" s="37">
        <f t="shared" si="1"/>
        <v>1285.04</v>
      </c>
      <c r="X7" s="37">
        <f t="shared" si="1"/>
        <v>1423.44</v>
      </c>
      <c r="Y7" s="37">
        <f t="shared" si="1"/>
        <v>1545.04</v>
      </c>
      <c r="Z7" s="37">
        <f t="shared" si="1"/>
        <v>1524.8400000000001</v>
      </c>
      <c r="AA7" s="37">
        <f t="shared" si="1"/>
        <v>1493.54</v>
      </c>
      <c r="AB7" s="37">
        <f t="shared" si="1"/>
        <v>1412.24</v>
      </c>
      <c r="AC7" s="37">
        <f t="shared" si="1"/>
        <v>1354.7399999999998</v>
      </c>
      <c r="AD7" s="37">
        <f t="shared" si="1"/>
        <v>1270.26</v>
      </c>
      <c r="AE7" s="37">
        <f t="shared" si="1"/>
        <v>1111.4399999999998</v>
      </c>
      <c r="AF7" s="37">
        <f t="shared" si="1"/>
        <v>996.83999999999992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20</v>
      </c>
      <c r="H11" s="49">
        <v>20</v>
      </c>
      <c r="I11" s="49">
        <v>15</v>
      </c>
      <c r="J11" s="49">
        <v>65</v>
      </c>
      <c r="K11" s="49">
        <v>190</v>
      </c>
      <c r="L11" s="49">
        <v>280</v>
      </c>
      <c r="M11" s="50">
        <v>370</v>
      </c>
      <c r="N11" s="50">
        <v>335</v>
      </c>
      <c r="O11" s="50">
        <v>171</v>
      </c>
      <c r="P11" s="50">
        <v>15</v>
      </c>
      <c r="Q11" s="50">
        <v>15</v>
      </c>
      <c r="R11" s="50">
        <v>15</v>
      </c>
      <c r="S11" s="50">
        <v>10</v>
      </c>
      <c r="T11" s="50">
        <v>10</v>
      </c>
      <c r="U11" s="50">
        <v>10</v>
      </c>
      <c r="V11" s="50">
        <v>25</v>
      </c>
      <c r="W11" s="50">
        <v>150</v>
      </c>
      <c r="X11" s="50">
        <v>260</v>
      </c>
      <c r="Y11" s="50">
        <v>370</v>
      </c>
      <c r="Z11" s="52">
        <v>425</v>
      </c>
      <c r="AA11" s="50">
        <v>375</v>
      </c>
      <c r="AB11" s="50">
        <v>245</v>
      </c>
      <c r="AC11" s="50">
        <v>70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425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32.799999999999997</v>
      </c>
      <c r="C12" s="49">
        <v>32.799999999999997</v>
      </c>
      <c r="D12" s="49">
        <v>32.799999999999997</v>
      </c>
      <c r="E12" s="49">
        <v>32.799999999999997</v>
      </c>
      <c r="F12" s="49">
        <v>32.799999999999997</v>
      </c>
      <c r="G12" s="49">
        <v>32.799999999999997</v>
      </c>
      <c r="H12" s="49">
        <v>32.799999999999997</v>
      </c>
      <c r="I12" s="49">
        <v>32.799999999999997</v>
      </c>
      <c r="J12" s="49">
        <v>32.799999999999997</v>
      </c>
      <c r="K12" s="49">
        <v>32.799999999999997</v>
      </c>
      <c r="L12" s="49">
        <v>32.799999999999997</v>
      </c>
      <c r="M12" s="49">
        <v>32.799999999999997</v>
      </c>
      <c r="N12" s="49">
        <v>32.799999999999997</v>
      </c>
      <c r="O12" s="49">
        <v>32.799999999999997</v>
      </c>
      <c r="P12" s="49">
        <v>32.799999999999997</v>
      </c>
      <c r="Q12" s="49">
        <v>32.799999999999997</v>
      </c>
      <c r="R12" s="49">
        <v>32.799999999999997</v>
      </c>
      <c r="S12" s="49">
        <v>32.799999999999997</v>
      </c>
      <c r="T12" s="49">
        <v>32.799999999999997</v>
      </c>
      <c r="U12" s="49">
        <v>32.799999999999997</v>
      </c>
      <c r="V12" s="49">
        <v>32.799999999999997</v>
      </c>
      <c r="W12" s="49">
        <v>32.799999999999997</v>
      </c>
      <c r="X12" s="49">
        <v>32.799999999999997</v>
      </c>
      <c r="Y12" s="58">
        <v>32.799999999999997</v>
      </c>
      <c r="Z12" s="58">
        <v>32.799999999999997</v>
      </c>
      <c r="AA12" s="58">
        <v>32.799999999999997</v>
      </c>
      <c r="AB12" s="50">
        <v>32</v>
      </c>
      <c r="AC12" s="50">
        <v>32</v>
      </c>
      <c r="AD12" s="50">
        <v>32</v>
      </c>
      <c r="AE12" s="50">
        <v>32</v>
      </c>
      <c r="AF12" s="50">
        <v>32</v>
      </c>
      <c r="AG12" s="59">
        <v>60</v>
      </c>
      <c r="AH12" s="54">
        <f t="shared" ref="AH12:AH75" si="2">MAX(B12:AF12)</f>
        <v>32.799999999999997</v>
      </c>
      <c r="AI12" s="55">
        <f t="shared" ref="AI12:AI75" si="3">MIN(B12:AF12)</f>
        <v>32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19.2</v>
      </c>
      <c r="C13" s="49">
        <v>19.2</v>
      </c>
      <c r="D13" s="49">
        <v>19.2</v>
      </c>
      <c r="E13" s="49">
        <v>19.2</v>
      </c>
      <c r="F13" s="49">
        <v>19.2</v>
      </c>
      <c r="G13" s="49">
        <v>19.2</v>
      </c>
      <c r="H13" s="49">
        <v>19.2</v>
      </c>
      <c r="I13" s="49">
        <v>19.2</v>
      </c>
      <c r="J13" s="49">
        <v>19.2</v>
      </c>
      <c r="K13" s="49">
        <v>19.2</v>
      </c>
      <c r="L13" s="49">
        <v>19.2</v>
      </c>
      <c r="M13" s="49">
        <v>19.2</v>
      </c>
      <c r="N13" s="49">
        <v>19.2</v>
      </c>
      <c r="O13" s="49">
        <v>19.2</v>
      </c>
      <c r="P13" s="49">
        <v>19.2</v>
      </c>
      <c r="Q13" s="49">
        <v>19.2</v>
      </c>
      <c r="R13" s="49">
        <v>19.2</v>
      </c>
      <c r="S13" s="49">
        <v>19.2</v>
      </c>
      <c r="T13" s="49">
        <v>19.2</v>
      </c>
      <c r="U13" s="49">
        <v>19.2</v>
      </c>
      <c r="V13" s="49">
        <v>19.2</v>
      </c>
      <c r="W13" s="49">
        <v>19.2</v>
      </c>
      <c r="X13" s="49">
        <v>19.2</v>
      </c>
      <c r="Y13" s="58">
        <v>19.2</v>
      </c>
      <c r="Z13" s="58">
        <v>19.2</v>
      </c>
      <c r="AA13" s="58">
        <v>19.2</v>
      </c>
      <c r="AB13" s="50">
        <v>18.7</v>
      </c>
      <c r="AC13" s="50">
        <v>17.899999999999999</v>
      </c>
      <c r="AD13" s="50">
        <v>17.899999999999999</v>
      </c>
      <c r="AE13" s="50">
        <v>17.899999999999999</v>
      </c>
      <c r="AF13" s="50">
        <v>18</v>
      </c>
      <c r="AG13" s="59">
        <v>52.4</v>
      </c>
      <c r="AH13" s="54">
        <f t="shared" si="2"/>
        <v>19.2</v>
      </c>
      <c r="AI13" s="55">
        <f t="shared" si="3"/>
        <v>17.899999999999999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36</v>
      </c>
      <c r="C14" s="49">
        <v>36</v>
      </c>
      <c r="D14" s="49">
        <v>36</v>
      </c>
      <c r="E14" s="49">
        <v>36</v>
      </c>
      <c r="F14" s="49">
        <v>36</v>
      </c>
      <c r="G14" s="49">
        <v>36</v>
      </c>
      <c r="H14" s="49">
        <v>36</v>
      </c>
      <c r="I14" s="49">
        <v>36</v>
      </c>
      <c r="J14" s="49">
        <v>36</v>
      </c>
      <c r="K14" s="49">
        <v>36</v>
      </c>
      <c r="L14" s="49">
        <v>36</v>
      </c>
      <c r="M14" s="50">
        <v>36</v>
      </c>
      <c r="N14" s="50">
        <v>36</v>
      </c>
      <c r="O14" s="50">
        <v>36</v>
      </c>
      <c r="P14" s="50">
        <v>36</v>
      </c>
      <c r="Q14" s="50">
        <v>36</v>
      </c>
      <c r="R14" s="50">
        <v>36</v>
      </c>
      <c r="S14" s="50">
        <v>36</v>
      </c>
      <c r="T14" s="50">
        <v>36</v>
      </c>
      <c r="U14" s="50">
        <v>36</v>
      </c>
      <c r="V14" s="50">
        <v>36</v>
      </c>
      <c r="W14" s="50">
        <v>36</v>
      </c>
      <c r="X14" s="50">
        <v>36</v>
      </c>
      <c r="Y14" s="60">
        <v>36</v>
      </c>
      <c r="Z14" s="60">
        <v>36</v>
      </c>
      <c r="AA14" s="60">
        <v>36</v>
      </c>
      <c r="AB14" s="50">
        <v>35.700000000000003</v>
      </c>
      <c r="AC14" s="50">
        <v>36.1</v>
      </c>
      <c r="AD14" s="50">
        <v>36.1</v>
      </c>
      <c r="AE14" s="50">
        <v>35.700000000000003</v>
      </c>
      <c r="AF14" s="50">
        <v>35.799999999999997</v>
      </c>
      <c r="AG14" s="59">
        <v>50</v>
      </c>
      <c r="AH14" s="54">
        <f t="shared" si="2"/>
        <v>36.1</v>
      </c>
      <c r="AI14" s="55">
        <f t="shared" si="3"/>
        <v>35.700000000000003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20.399999999999999</v>
      </c>
      <c r="C15" s="61">
        <v>20.399999999999999</v>
      </c>
      <c r="D15" s="61">
        <v>20.399999999999999</v>
      </c>
      <c r="E15" s="61">
        <v>20.399999999999999</v>
      </c>
      <c r="F15" s="61">
        <v>20.399999999999999</v>
      </c>
      <c r="G15" s="61">
        <v>20.399999999999999</v>
      </c>
      <c r="H15" s="61">
        <v>20.399999999999999</v>
      </c>
      <c r="I15" s="61">
        <v>20.399999999999999</v>
      </c>
      <c r="J15" s="61">
        <v>20.399999999999999</v>
      </c>
      <c r="K15" s="61">
        <v>20.399999999999999</v>
      </c>
      <c r="L15" s="61">
        <v>20.399999999999999</v>
      </c>
      <c r="M15" s="50">
        <v>20.399999999999999</v>
      </c>
      <c r="N15" s="50">
        <v>20.399999999999999</v>
      </c>
      <c r="O15" s="50">
        <v>20.399999999999999</v>
      </c>
      <c r="P15" s="50">
        <v>20.399999999999999</v>
      </c>
      <c r="Q15" s="50">
        <v>20.399999999999999</v>
      </c>
      <c r="R15" s="50">
        <v>20.399999999999999</v>
      </c>
      <c r="S15" s="50">
        <v>20.399999999999999</v>
      </c>
      <c r="T15" s="50">
        <v>20.399999999999999</v>
      </c>
      <c r="U15" s="50">
        <v>20.399999999999999</v>
      </c>
      <c r="V15" s="50">
        <v>20.399999999999999</v>
      </c>
      <c r="W15" s="50">
        <v>20.399999999999999</v>
      </c>
      <c r="X15" s="50">
        <v>20.399999999999999</v>
      </c>
      <c r="Y15" s="60">
        <v>21.6</v>
      </c>
      <c r="Z15" s="60">
        <v>21.6</v>
      </c>
      <c r="AA15" s="60">
        <v>21.6</v>
      </c>
      <c r="AB15" s="50">
        <v>23.1</v>
      </c>
      <c r="AC15" s="50">
        <v>23.1</v>
      </c>
      <c r="AD15" s="50">
        <v>23.1</v>
      </c>
      <c r="AE15" s="50">
        <v>22.5</v>
      </c>
      <c r="AF15" s="50">
        <v>22.6</v>
      </c>
      <c r="AG15" s="62">
        <v>45</v>
      </c>
      <c r="AH15" s="54">
        <f t="shared" si="2"/>
        <v>23.1</v>
      </c>
      <c r="AI15" s="55">
        <f t="shared" si="3"/>
        <v>20.399999999999999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3">
        <v>10</v>
      </c>
      <c r="Z16" s="63">
        <v>10</v>
      </c>
      <c r="AA16" s="63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60">
        <v>9</v>
      </c>
      <c r="Z17" s="60">
        <v>9</v>
      </c>
      <c r="AA17" s="6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9">
        <v>42</v>
      </c>
      <c r="AH17" s="54">
        <f t="shared" si="2"/>
        <v>9</v>
      </c>
      <c r="AI17" s="55">
        <f t="shared" si="3"/>
        <v>9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9.1999999999999993</v>
      </c>
      <c r="C19" s="49">
        <v>9.1999999999999993</v>
      </c>
      <c r="D19" s="49">
        <v>9.8000000000000007</v>
      </c>
      <c r="E19" s="49">
        <v>9.8000000000000007</v>
      </c>
      <c r="F19" s="49">
        <v>9.8000000000000007</v>
      </c>
      <c r="G19" s="49">
        <v>9.8000000000000007</v>
      </c>
      <c r="H19" s="49">
        <v>9.8000000000000007</v>
      </c>
      <c r="I19" s="49">
        <v>9.8000000000000007</v>
      </c>
      <c r="J19" s="49">
        <v>9.8000000000000007</v>
      </c>
      <c r="K19" s="49">
        <v>9.8000000000000007</v>
      </c>
      <c r="L19" s="49">
        <v>9.8000000000000007</v>
      </c>
      <c r="M19" s="50">
        <v>9.8000000000000007</v>
      </c>
      <c r="N19" s="50">
        <v>9.8000000000000007</v>
      </c>
      <c r="O19" s="50">
        <v>9.8000000000000007</v>
      </c>
      <c r="P19" s="50">
        <v>9.8000000000000007</v>
      </c>
      <c r="Q19" s="50">
        <v>9.8000000000000007</v>
      </c>
      <c r="R19" s="50">
        <v>9.8000000000000007</v>
      </c>
      <c r="S19" s="50">
        <v>9.8000000000000007</v>
      </c>
      <c r="T19" s="50">
        <v>9.8000000000000007</v>
      </c>
      <c r="U19" s="50">
        <v>9.8000000000000007</v>
      </c>
      <c r="V19" s="50">
        <v>9.8000000000000007</v>
      </c>
      <c r="W19" s="50">
        <v>9.8000000000000007</v>
      </c>
      <c r="X19" s="50">
        <v>9.8000000000000007</v>
      </c>
      <c r="Y19" s="50">
        <v>9.8000000000000007</v>
      </c>
      <c r="Z19" s="50">
        <v>9.8000000000000007</v>
      </c>
      <c r="AA19" s="50">
        <v>9.8000000000000007</v>
      </c>
      <c r="AB19" s="50">
        <v>10.5</v>
      </c>
      <c r="AC19" s="50">
        <v>10.4</v>
      </c>
      <c r="AD19" s="50">
        <v>10.4</v>
      </c>
      <c r="AE19" s="50">
        <v>10.4</v>
      </c>
      <c r="AF19" s="50">
        <v>10.4</v>
      </c>
      <c r="AG19" s="59">
        <v>30</v>
      </c>
      <c r="AH19" s="54">
        <f t="shared" si="2"/>
        <v>10.5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11.6</v>
      </c>
      <c r="C22" s="49">
        <v>11.6</v>
      </c>
      <c r="D22" s="49">
        <v>11.6</v>
      </c>
      <c r="E22" s="49">
        <v>11.6</v>
      </c>
      <c r="F22" s="49">
        <v>11.6</v>
      </c>
      <c r="G22" s="49">
        <v>11.6</v>
      </c>
      <c r="H22" s="49">
        <v>11.6</v>
      </c>
      <c r="I22" s="49">
        <v>11.6</v>
      </c>
      <c r="J22" s="49">
        <v>11.6</v>
      </c>
      <c r="K22" s="49">
        <v>11.6</v>
      </c>
      <c r="L22" s="49">
        <v>11.6</v>
      </c>
      <c r="M22" s="50">
        <v>11.6</v>
      </c>
      <c r="N22" s="50">
        <v>11.6</v>
      </c>
      <c r="O22" s="50">
        <v>11.6</v>
      </c>
      <c r="P22" s="50">
        <v>11.6</v>
      </c>
      <c r="Q22" s="50">
        <v>11.6</v>
      </c>
      <c r="R22" s="50">
        <v>11.6</v>
      </c>
      <c r="S22" s="50">
        <v>11.6</v>
      </c>
      <c r="T22" s="50">
        <v>11.6</v>
      </c>
      <c r="U22" s="50">
        <v>11.6</v>
      </c>
      <c r="V22" s="50">
        <v>11.6</v>
      </c>
      <c r="W22" s="50">
        <v>11.6</v>
      </c>
      <c r="X22" s="50">
        <v>11.6</v>
      </c>
      <c r="Y22" s="50">
        <v>17</v>
      </c>
      <c r="Z22" s="50">
        <v>17</v>
      </c>
      <c r="AA22" s="50">
        <v>17</v>
      </c>
      <c r="AB22" s="50">
        <v>16.899999999999999</v>
      </c>
      <c r="AC22" s="50">
        <v>17.100000000000001</v>
      </c>
      <c r="AD22" s="50">
        <v>14</v>
      </c>
      <c r="AE22" s="50">
        <v>11</v>
      </c>
      <c r="AF22" s="50">
        <v>11.2</v>
      </c>
      <c r="AG22" s="59">
        <v>25</v>
      </c>
      <c r="AH22" s="54">
        <f t="shared" si="2"/>
        <v>17.100000000000001</v>
      </c>
      <c r="AI22" s="55">
        <f t="shared" si="3"/>
        <v>11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10</v>
      </c>
      <c r="C24" s="49">
        <v>10</v>
      </c>
      <c r="D24" s="49">
        <v>10</v>
      </c>
      <c r="E24" s="49">
        <v>10</v>
      </c>
      <c r="F24" s="49">
        <v>10</v>
      </c>
      <c r="G24" s="49">
        <v>10</v>
      </c>
      <c r="H24" s="49">
        <v>10</v>
      </c>
      <c r="I24" s="49">
        <v>10</v>
      </c>
      <c r="J24" s="49">
        <v>10</v>
      </c>
      <c r="K24" s="49">
        <v>10</v>
      </c>
      <c r="L24" s="49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9">
        <v>25</v>
      </c>
      <c r="AH24" s="54">
        <f t="shared" si="2"/>
        <v>10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49">
        <v>4.5</v>
      </c>
      <c r="AC27" s="49">
        <v>4.5</v>
      </c>
      <c r="AD27" s="49">
        <v>4.5</v>
      </c>
      <c r="AE27" s="49">
        <v>4.5</v>
      </c>
      <c r="AF27" s="49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140</v>
      </c>
      <c r="C36" s="61">
        <v>140</v>
      </c>
      <c r="D36" s="61">
        <v>140</v>
      </c>
      <c r="E36" s="61">
        <v>140</v>
      </c>
      <c r="F36" s="61">
        <v>140</v>
      </c>
      <c r="G36" s="61">
        <v>140</v>
      </c>
      <c r="H36" s="61">
        <v>140</v>
      </c>
      <c r="I36" s="61">
        <v>140</v>
      </c>
      <c r="J36" s="61">
        <v>140</v>
      </c>
      <c r="K36" s="61">
        <v>140</v>
      </c>
      <c r="L36" s="61">
        <v>140</v>
      </c>
      <c r="M36" s="61">
        <v>140</v>
      </c>
      <c r="N36" s="61">
        <v>140</v>
      </c>
      <c r="O36" s="61">
        <v>140</v>
      </c>
      <c r="P36" s="61">
        <v>140</v>
      </c>
      <c r="Q36" s="61">
        <v>140</v>
      </c>
      <c r="R36" s="61">
        <v>140</v>
      </c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140</v>
      </c>
      <c r="Z36" s="61">
        <v>140</v>
      </c>
      <c r="AA36" s="61">
        <v>140</v>
      </c>
      <c r="AB36" s="61">
        <v>140</v>
      </c>
      <c r="AC36" s="61">
        <v>140</v>
      </c>
      <c r="AD36" s="61">
        <v>140</v>
      </c>
      <c r="AE36" s="61">
        <v>140</v>
      </c>
      <c r="AF36" s="61">
        <v>140</v>
      </c>
      <c r="AG36" s="67">
        <v>85</v>
      </c>
      <c r="AH36" s="54">
        <f t="shared" si="2"/>
        <v>140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61">
        <v>43</v>
      </c>
      <c r="C37" s="61">
        <v>43</v>
      </c>
      <c r="D37" s="61">
        <v>44.3</v>
      </c>
      <c r="E37" s="61">
        <v>44.3</v>
      </c>
      <c r="F37" s="61">
        <v>46.4</v>
      </c>
      <c r="G37" s="61">
        <v>45.9</v>
      </c>
      <c r="H37" s="61">
        <v>45</v>
      </c>
      <c r="I37" s="61">
        <v>44.5</v>
      </c>
      <c r="J37" s="61">
        <v>42.7</v>
      </c>
      <c r="K37" s="61">
        <v>40</v>
      </c>
      <c r="L37" s="61">
        <v>40</v>
      </c>
      <c r="M37" s="70">
        <v>40</v>
      </c>
      <c r="N37" s="70">
        <v>40</v>
      </c>
      <c r="O37" s="70">
        <v>40</v>
      </c>
      <c r="P37" s="70">
        <v>40</v>
      </c>
      <c r="Q37" s="70">
        <v>40</v>
      </c>
      <c r="R37" s="70">
        <v>40</v>
      </c>
      <c r="S37" s="70">
        <v>46.8</v>
      </c>
      <c r="T37" s="70">
        <v>47.7</v>
      </c>
      <c r="U37" s="70">
        <v>47.2</v>
      </c>
      <c r="V37" s="70">
        <v>45.5</v>
      </c>
      <c r="W37" s="70">
        <f>14.7+29.2</f>
        <v>43.9</v>
      </c>
      <c r="X37" s="70">
        <v>41.2</v>
      </c>
      <c r="Y37" s="70">
        <v>48.8</v>
      </c>
      <c r="Z37" s="70">
        <v>41</v>
      </c>
      <c r="AA37" s="70">
        <v>41.6</v>
      </c>
      <c r="AB37" s="70">
        <f>14+28.6</f>
        <v>42.6</v>
      </c>
      <c r="AC37" s="70">
        <f>13.9+28.5</f>
        <v>42.4</v>
      </c>
      <c r="AD37" s="70">
        <f>14+28.1</f>
        <v>42.1</v>
      </c>
      <c r="AE37" s="70">
        <f>14.7+29.3</f>
        <v>44</v>
      </c>
      <c r="AF37" s="70">
        <f>15.2+30.5</f>
        <v>45.7</v>
      </c>
      <c r="AG37" s="67">
        <v>240</v>
      </c>
      <c r="AH37" s="54">
        <f t="shared" si="2"/>
        <v>48.8</v>
      </c>
      <c r="AI37" s="55">
        <f t="shared" si="3"/>
        <v>40</v>
      </c>
      <c r="AK37" s="56"/>
    </row>
    <row r="38" spans="1:88" ht="15.75" thickBot="1" x14ac:dyDescent="0.3">
      <c r="A38" s="71" t="s">
        <v>46</v>
      </c>
      <c r="B38" s="72">
        <f>SUM(B11:B36)</f>
        <v>385.79999999999995</v>
      </c>
      <c r="C38" s="72">
        <f t="shared" ref="C38:AF38" si="4">SUM(C11:C36)</f>
        <v>385.79999999999995</v>
      </c>
      <c r="D38" s="72">
        <f t="shared" si="4"/>
        <v>386.4</v>
      </c>
      <c r="E38" s="72">
        <f t="shared" si="4"/>
        <v>386.4</v>
      </c>
      <c r="F38" s="72">
        <f t="shared" si="4"/>
        <v>386.4</v>
      </c>
      <c r="G38" s="72">
        <f t="shared" si="4"/>
        <v>394.4</v>
      </c>
      <c r="H38" s="72">
        <f t="shared" si="4"/>
        <v>394.4</v>
      </c>
      <c r="I38" s="72">
        <f t="shared" si="4"/>
        <v>389.4</v>
      </c>
      <c r="J38" s="72">
        <f t="shared" si="4"/>
        <v>439.4</v>
      </c>
      <c r="K38" s="72">
        <f t="shared" si="4"/>
        <v>564.4</v>
      </c>
      <c r="L38" s="72">
        <f t="shared" si="4"/>
        <v>654.4</v>
      </c>
      <c r="M38" s="72">
        <f t="shared" si="4"/>
        <v>744.40000000000009</v>
      </c>
      <c r="N38" s="72">
        <f t="shared" si="4"/>
        <v>709.40000000000009</v>
      </c>
      <c r="O38" s="72">
        <f t="shared" si="4"/>
        <v>545.4</v>
      </c>
      <c r="P38" s="72">
        <f t="shared" si="4"/>
        <v>389.4</v>
      </c>
      <c r="Q38" s="72">
        <f t="shared" si="4"/>
        <v>389.4</v>
      </c>
      <c r="R38" s="72">
        <f t="shared" si="4"/>
        <v>389.4</v>
      </c>
      <c r="S38" s="72">
        <f t="shared" si="4"/>
        <v>384.4</v>
      </c>
      <c r="T38" s="72">
        <f t="shared" si="4"/>
        <v>384.4</v>
      </c>
      <c r="U38" s="72">
        <f t="shared" si="4"/>
        <v>384.4</v>
      </c>
      <c r="V38" s="72">
        <f t="shared" si="4"/>
        <v>399.4</v>
      </c>
      <c r="W38" s="72">
        <f t="shared" si="4"/>
        <v>524.4</v>
      </c>
      <c r="X38" s="72">
        <f t="shared" si="4"/>
        <v>634.4</v>
      </c>
      <c r="Y38" s="72">
        <f t="shared" si="4"/>
        <v>751.00000000000011</v>
      </c>
      <c r="Z38" s="72">
        <f t="shared" si="4"/>
        <v>806.00000000000011</v>
      </c>
      <c r="AA38" s="72">
        <f t="shared" si="4"/>
        <v>756.00000000000011</v>
      </c>
      <c r="AB38" s="72">
        <f t="shared" si="4"/>
        <v>626.5</v>
      </c>
      <c r="AC38" s="72">
        <f t="shared" si="4"/>
        <v>451.19999999999993</v>
      </c>
      <c r="AD38" s="72">
        <f t="shared" si="4"/>
        <v>390.09999999999997</v>
      </c>
      <c r="AE38" s="72">
        <f t="shared" si="4"/>
        <v>386.09999999999997</v>
      </c>
      <c r="AF38" s="72">
        <f t="shared" si="4"/>
        <v>386.59999999999997</v>
      </c>
      <c r="AG38" s="67">
        <f>SUM(AG11:AG37)</f>
        <v>1492.8299999999997</v>
      </c>
      <c r="AH38" s="54">
        <f t="shared" si="2"/>
        <v>806.00000000000011</v>
      </c>
      <c r="AI38" s="55">
        <f t="shared" si="3"/>
        <v>384.4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36</v>
      </c>
      <c r="I39" s="61">
        <v>36</v>
      </c>
      <c r="J39" s="61">
        <v>65.900000000000006</v>
      </c>
      <c r="K39" s="61">
        <v>147</v>
      </c>
      <c r="L39" s="61">
        <v>146</v>
      </c>
      <c r="M39" s="50">
        <v>146</v>
      </c>
      <c r="N39" s="50">
        <v>141.80000000000001</v>
      </c>
      <c r="O39" s="50">
        <v>112</v>
      </c>
      <c r="P39" s="50">
        <v>65.8</v>
      </c>
      <c r="Q39" s="50">
        <v>65.8</v>
      </c>
      <c r="R39" s="50">
        <v>48.6</v>
      </c>
      <c r="S39" s="50">
        <v>48.1</v>
      </c>
      <c r="T39" s="50">
        <v>48.1</v>
      </c>
      <c r="U39" s="50">
        <v>61.5</v>
      </c>
      <c r="V39" s="50">
        <v>81.2</v>
      </c>
      <c r="W39" s="50">
        <v>102.9</v>
      </c>
      <c r="X39" s="50">
        <v>145.19999999999999</v>
      </c>
      <c r="Y39" s="50">
        <v>145.19999999999999</v>
      </c>
      <c r="Z39" s="50">
        <v>145.19999999999999</v>
      </c>
      <c r="AA39" s="50">
        <v>145.1</v>
      </c>
      <c r="AB39" s="50">
        <v>144.80000000000001</v>
      </c>
      <c r="AC39" s="50">
        <v>121.6</v>
      </c>
      <c r="AD39" s="50">
        <v>102.3</v>
      </c>
      <c r="AE39" s="50">
        <v>35.6</v>
      </c>
      <c r="AF39" s="49">
        <v>30</v>
      </c>
      <c r="AG39" s="62">
        <v>144</v>
      </c>
      <c r="AH39" s="54">
        <f t="shared" si="2"/>
        <v>147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36</v>
      </c>
      <c r="J40" s="61">
        <v>47.4</v>
      </c>
      <c r="K40" s="61">
        <v>71</v>
      </c>
      <c r="L40" s="61">
        <v>70</v>
      </c>
      <c r="M40" s="73">
        <v>70</v>
      </c>
      <c r="N40" s="73">
        <v>69.599999999999994</v>
      </c>
      <c r="O40" s="73">
        <v>50</v>
      </c>
      <c r="P40" s="73">
        <v>42.6</v>
      </c>
      <c r="Q40" s="73">
        <v>22.6</v>
      </c>
      <c r="R40" s="73">
        <v>22.6</v>
      </c>
      <c r="S40" s="73">
        <v>22.9</v>
      </c>
      <c r="T40" s="73">
        <v>22.9</v>
      </c>
      <c r="U40" s="73">
        <v>25.8</v>
      </c>
      <c r="V40" s="73">
        <v>45</v>
      </c>
      <c r="W40" s="73">
        <v>61</v>
      </c>
      <c r="X40" s="73">
        <v>71.099999999999994</v>
      </c>
      <c r="Y40" s="73">
        <v>71.099999999999994</v>
      </c>
      <c r="Z40" s="73">
        <v>71.099999999999994</v>
      </c>
      <c r="AA40" s="73">
        <v>70.5</v>
      </c>
      <c r="AB40" s="73">
        <v>70.2</v>
      </c>
      <c r="AC40" s="73">
        <v>69</v>
      </c>
      <c r="AD40" s="73">
        <v>35</v>
      </c>
      <c r="AE40" s="73">
        <v>22.9</v>
      </c>
      <c r="AF40" s="61">
        <v>0</v>
      </c>
      <c r="AG40" s="67">
        <v>70</v>
      </c>
      <c r="AH40" s="54">
        <f t="shared" si="2"/>
        <v>71.099999999999994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16</v>
      </c>
      <c r="C41" s="61">
        <v>16</v>
      </c>
      <c r="D41" s="61">
        <v>15.5</v>
      </c>
      <c r="E41" s="61">
        <v>16.7</v>
      </c>
      <c r="F41" s="61">
        <v>17</v>
      </c>
      <c r="G41" s="61">
        <v>17</v>
      </c>
      <c r="H41" s="61">
        <v>16</v>
      </c>
      <c r="I41" s="61">
        <v>16</v>
      </c>
      <c r="J41" s="61">
        <v>22.7</v>
      </c>
      <c r="K41" s="61">
        <v>60</v>
      </c>
      <c r="L41" s="61">
        <v>67</v>
      </c>
      <c r="M41" s="73">
        <v>67</v>
      </c>
      <c r="N41" s="73">
        <v>53.9</v>
      </c>
      <c r="O41" s="73">
        <v>52.1</v>
      </c>
      <c r="P41" s="73">
        <v>51.3</v>
      </c>
      <c r="Q41" s="73">
        <v>32.9</v>
      </c>
      <c r="R41" s="73">
        <v>32.9</v>
      </c>
      <c r="S41" s="73">
        <v>16.2</v>
      </c>
      <c r="T41" s="73">
        <v>16.2</v>
      </c>
      <c r="U41" s="73">
        <v>23.2</v>
      </c>
      <c r="V41" s="73">
        <v>33</v>
      </c>
      <c r="W41" s="73">
        <v>58.8</v>
      </c>
      <c r="X41" s="73">
        <v>67.5</v>
      </c>
      <c r="Y41" s="73">
        <v>67.5</v>
      </c>
      <c r="Z41" s="73">
        <v>67.5</v>
      </c>
      <c r="AA41" s="73">
        <v>67.3</v>
      </c>
      <c r="AB41" s="73">
        <v>66.400000000000006</v>
      </c>
      <c r="AC41" s="73">
        <v>66.099999999999994</v>
      </c>
      <c r="AD41" s="73">
        <v>57.4</v>
      </c>
      <c r="AE41" s="73">
        <v>48</v>
      </c>
      <c r="AF41" s="61">
        <v>23.5</v>
      </c>
      <c r="AG41" s="67">
        <v>69</v>
      </c>
      <c r="AH41" s="54">
        <f t="shared" si="2"/>
        <v>67.5</v>
      </c>
      <c r="AI41" s="55">
        <f t="shared" si="3"/>
        <v>15.5</v>
      </c>
      <c r="AK41" s="56"/>
    </row>
    <row r="42" spans="1:88" x14ac:dyDescent="0.25">
      <c r="A42" s="66" t="s">
        <v>50</v>
      </c>
      <c r="B42" s="61">
        <v>52</v>
      </c>
      <c r="C42" s="61">
        <v>52</v>
      </c>
      <c r="D42" s="61">
        <v>48.4</v>
      </c>
      <c r="E42" s="61">
        <v>48.4</v>
      </c>
      <c r="F42" s="61">
        <v>49</v>
      </c>
      <c r="G42" s="61">
        <v>49.4</v>
      </c>
      <c r="H42" s="61">
        <v>50.4</v>
      </c>
      <c r="I42" s="61">
        <v>50.4</v>
      </c>
      <c r="J42" s="61">
        <v>49</v>
      </c>
      <c r="K42" s="61">
        <v>49</v>
      </c>
      <c r="L42" s="61">
        <v>49</v>
      </c>
      <c r="M42" s="73">
        <v>51</v>
      </c>
      <c r="N42" s="73">
        <v>51</v>
      </c>
      <c r="O42" s="73">
        <v>49.4</v>
      </c>
      <c r="P42" s="73">
        <v>49.4</v>
      </c>
      <c r="Q42" s="73">
        <v>49.1</v>
      </c>
      <c r="R42" s="73">
        <v>49.1</v>
      </c>
      <c r="S42" s="73">
        <v>48.3</v>
      </c>
      <c r="T42" s="73">
        <v>51.9</v>
      </c>
      <c r="U42" s="73">
        <v>50</v>
      </c>
      <c r="V42" s="73">
        <v>46.4</v>
      </c>
      <c r="W42" s="73">
        <v>58.8</v>
      </c>
      <c r="X42" s="73">
        <v>46.6</v>
      </c>
      <c r="Y42" s="73">
        <v>48.3</v>
      </c>
      <c r="Z42" s="73">
        <v>48.3</v>
      </c>
      <c r="AA42" s="73">
        <v>49.1</v>
      </c>
      <c r="AB42" s="73">
        <v>49.1</v>
      </c>
      <c r="AC42" s="73">
        <v>49.1</v>
      </c>
      <c r="AD42" s="73">
        <v>49.4</v>
      </c>
      <c r="AE42" s="73">
        <v>49.4</v>
      </c>
      <c r="AF42" s="61">
        <v>51.6</v>
      </c>
      <c r="AG42" s="67">
        <v>60</v>
      </c>
      <c r="AH42" s="54">
        <f t="shared" si="2"/>
        <v>58.8</v>
      </c>
      <c r="AI42" s="55">
        <f t="shared" si="3"/>
        <v>46.4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13</v>
      </c>
      <c r="H43" s="61">
        <v>13</v>
      </c>
      <c r="I43" s="61">
        <v>15</v>
      </c>
      <c r="J43" s="61">
        <v>30</v>
      </c>
      <c r="K43" s="61">
        <v>30</v>
      </c>
      <c r="L43" s="61">
        <v>23</v>
      </c>
      <c r="M43" s="50">
        <v>23</v>
      </c>
      <c r="N43" s="50">
        <v>23</v>
      </c>
      <c r="O43" s="50">
        <v>23</v>
      </c>
      <c r="P43" s="50">
        <v>23</v>
      </c>
      <c r="Q43" s="50">
        <v>23</v>
      </c>
      <c r="R43" s="50">
        <v>23</v>
      </c>
      <c r="S43" s="50">
        <v>0</v>
      </c>
      <c r="T43" s="50">
        <v>0</v>
      </c>
      <c r="U43" s="50">
        <v>0</v>
      </c>
      <c r="V43" s="50">
        <v>13</v>
      </c>
      <c r="W43" s="50">
        <v>13.1</v>
      </c>
      <c r="X43" s="50">
        <v>15</v>
      </c>
      <c r="Y43" s="50">
        <v>15</v>
      </c>
      <c r="Z43" s="50">
        <v>15</v>
      </c>
      <c r="AA43" s="73">
        <v>25</v>
      </c>
      <c r="AB43" s="73">
        <v>25</v>
      </c>
      <c r="AC43" s="73">
        <v>15</v>
      </c>
      <c r="AD43" s="73">
        <v>10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61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61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61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5.9</v>
      </c>
      <c r="C48" s="61">
        <v>5.9</v>
      </c>
      <c r="D48" s="61">
        <v>5.9</v>
      </c>
      <c r="E48" s="61">
        <v>5.9</v>
      </c>
      <c r="F48" s="61">
        <v>5.9</v>
      </c>
      <c r="G48" s="61">
        <v>5.9</v>
      </c>
      <c r="H48" s="61">
        <v>5.9</v>
      </c>
      <c r="I48" s="61">
        <v>5.9</v>
      </c>
      <c r="J48" s="61">
        <v>5.9</v>
      </c>
      <c r="K48" s="61">
        <v>5.9</v>
      </c>
      <c r="L48" s="61">
        <v>5.9</v>
      </c>
      <c r="M48" s="50">
        <v>5.9</v>
      </c>
      <c r="N48" s="50">
        <v>5.9</v>
      </c>
      <c r="O48" s="50">
        <v>5.9</v>
      </c>
      <c r="P48" s="50">
        <v>5.9</v>
      </c>
      <c r="Q48" s="50">
        <v>5.9</v>
      </c>
      <c r="R48" s="50">
        <v>5.9</v>
      </c>
      <c r="S48" s="50">
        <v>5.9</v>
      </c>
      <c r="T48" s="50">
        <v>5.9</v>
      </c>
      <c r="U48" s="50">
        <v>5.9</v>
      </c>
      <c r="V48" s="50">
        <v>5.9</v>
      </c>
      <c r="W48" s="50">
        <v>5.9</v>
      </c>
      <c r="X48" s="50">
        <v>5.9</v>
      </c>
      <c r="Y48" s="50">
        <v>5.9</v>
      </c>
      <c r="Z48" s="50">
        <v>5.9</v>
      </c>
      <c r="AA48" s="50">
        <v>5.9</v>
      </c>
      <c r="AB48" s="50">
        <v>5.9</v>
      </c>
      <c r="AC48" s="50">
        <v>5</v>
      </c>
      <c r="AD48" s="50">
        <v>5</v>
      </c>
      <c r="AE48" s="50">
        <v>5</v>
      </c>
      <c r="AF48" s="61">
        <v>5</v>
      </c>
      <c r="AG48" s="67">
        <v>14</v>
      </c>
      <c r="AH48" s="54">
        <f t="shared" si="2"/>
        <v>5.9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6.2</v>
      </c>
      <c r="C49" s="61">
        <v>6.2</v>
      </c>
      <c r="D49" s="61">
        <v>6.2</v>
      </c>
      <c r="E49" s="61">
        <v>6.2</v>
      </c>
      <c r="F49" s="61">
        <v>6.2</v>
      </c>
      <c r="G49" s="61">
        <v>6.2</v>
      </c>
      <c r="H49" s="61">
        <v>6.2</v>
      </c>
      <c r="I49" s="61">
        <v>6.2</v>
      </c>
      <c r="J49" s="61">
        <v>6.2</v>
      </c>
      <c r="K49" s="61">
        <v>6.2</v>
      </c>
      <c r="L49" s="61">
        <v>6.2</v>
      </c>
      <c r="M49" s="50">
        <v>6.2</v>
      </c>
      <c r="N49" s="50">
        <v>6.2</v>
      </c>
      <c r="O49" s="50">
        <v>6.2</v>
      </c>
      <c r="P49" s="50">
        <v>6.2</v>
      </c>
      <c r="Q49" s="50">
        <v>6.2</v>
      </c>
      <c r="R49" s="50">
        <v>6.2</v>
      </c>
      <c r="S49" s="50">
        <v>6.2</v>
      </c>
      <c r="T49" s="50">
        <v>6.2</v>
      </c>
      <c r="U49" s="50">
        <v>6.2</v>
      </c>
      <c r="V49" s="50">
        <v>6.2</v>
      </c>
      <c r="W49" s="50">
        <v>6.2</v>
      </c>
      <c r="X49" s="50">
        <v>6.2</v>
      </c>
      <c r="Y49" s="50">
        <v>6.2</v>
      </c>
      <c r="Z49" s="50">
        <v>6.2</v>
      </c>
      <c r="AA49" s="50">
        <v>6.2</v>
      </c>
      <c r="AB49" s="50">
        <v>6.4</v>
      </c>
      <c r="AC49" s="50">
        <v>6.4</v>
      </c>
      <c r="AD49" s="50">
        <v>6.4</v>
      </c>
      <c r="AE49" s="50">
        <v>6.4</v>
      </c>
      <c r="AF49" s="61">
        <v>6.4</v>
      </c>
      <c r="AG49" s="67">
        <v>10.050000000000001</v>
      </c>
      <c r="AH49" s="54">
        <f t="shared" si="2"/>
        <v>6.4</v>
      </c>
      <c r="AI49" s="55">
        <f t="shared" si="3"/>
        <v>6.2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50">
        <v>3.2</v>
      </c>
      <c r="N50" s="50">
        <v>3.2</v>
      </c>
      <c r="O50" s="50">
        <v>3.2</v>
      </c>
      <c r="P50" s="50">
        <v>3.2</v>
      </c>
      <c r="Q50" s="50">
        <v>3.2</v>
      </c>
      <c r="R50" s="50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61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116.84000000000002</v>
      </c>
      <c r="C52" s="72">
        <f t="shared" ref="C52:AF52" si="6">SUM(C39:C51)</f>
        <v>116.84000000000002</v>
      </c>
      <c r="D52" s="72">
        <f t="shared" si="6"/>
        <v>112.74000000000002</v>
      </c>
      <c r="E52" s="72">
        <f t="shared" si="6"/>
        <v>113.94000000000001</v>
      </c>
      <c r="F52" s="72">
        <f t="shared" si="6"/>
        <v>114.84000000000002</v>
      </c>
      <c r="G52" s="72">
        <f t="shared" si="6"/>
        <v>128.24</v>
      </c>
      <c r="H52" s="72">
        <f t="shared" si="6"/>
        <v>164.23999999999998</v>
      </c>
      <c r="I52" s="72">
        <f t="shared" si="6"/>
        <v>202.23999999999998</v>
      </c>
      <c r="J52" s="72">
        <f t="shared" si="6"/>
        <v>263.84000000000003</v>
      </c>
      <c r="K52" s="72">
        <f t="shared" si="6"/>
        <v>405.84</v>
      </c>
      <c r="L52" s="72">
        <f t="shared" si="6"/>
        <v>403.84</v>
      </c>
      <c r="M52" s="72">
        <f t="shared" si="6"/>
        <v>405.84</v>
      </c>
      <c r="N52" s="72">
        <f t="shared" si="6"/>
        <v>388.14</v>
      </c>
      <c r="O52" s="72">
        <f t="shared" si="6"/>
        <v>335.34</v>
      </c>
      <c r="P52" s="72">
        <f t="shared" si="6"/>
        <v>280.94</v>
      </c>
      <c r="Q52" s="72">
        <f t="shared" si="6"/>
        <v>242.23999999999998</v>
      </c>
      <c r="R52" s="72">
        <f t="shared" si="6"/>
        <v>225.03999999999996</v>
      </c>
      <c r="S52" s="72">
        <f t="shared" si="6"/>
        <v>184.33999999999997</v>
      </c>
      <c r="T52" s="72">
        <f t="shared" si="6"/>
        <v>187.93999999999997</v>
      </c>
      <c r="U52" s="72">
        <f t="shared" si="6"/>
        <v>209.33999999999997</v>
      </c>
      <c r="V52" s="72">
        <f t="shared" si="6"/>
        <v>267.44</v>
      </c>
      <c r="W52" s="72">
        <f t="shared" si="6"/>
        <v>343.44</v>
      </c>
      <c r="X52" s="72">
        <f t="shared" si="6"/>
        <v>394.23999999999995</v>
      </c>
      <c r="Y52" s="72">
        <f t="shared" si="6"/>
        <v>395.93999999999994</v>
      </c>
      <c r="Z52" s="72">
        <f t="shared" si="6"/>
        <v>395.93999999999994</v>
      </c>
      <c r="AA52" s="72">
        <f t="shared" si="6"/>
        <v>405.84</v>
      </c>
      <c r="AB52" s="72">
        <f t="shared" si="6"/>
        <v>404.53999999999996</v>
      </c>
      <c r="AC52" s="72">
        <f t="shared" si="6"/>
        <v>368.94</v>
      </c>
      <c r="AD52" s="72">
        <f t="shared" si="6"/>
        <v>302.24</v>
      </c>
      <c r="AE52" s="72">
        <f t="shared" si="6"/>
        <v>204.04</v>
      </c>
      <c r="AF52" s="72">
        <f t="shared" si="6"/>
        <v>153.23999999999998</v>
      </c>
      <c r="AG52" s="78">
        <f>SUM(AG39:AG51)</f>
        <v>489.91</v>
      </c>
      <c r="AH52" s="54">
        <f t="shared" si="2"/>
        <v>405.84</v>
      </c>
      <c r="AI52" s="55">
        <f t="shared" si="3"/>
        <v>112.74000000000002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30</v>
      </c>
      <c r="M53" s="79">
        <v>45</v>
      </c>
      <c r="N53" s="79">
        <v>59.1</v>
      </c>
      <c r="O53" s="79">
        <v>50.5</v>
      </c>
      <c r="P53" s="79">
        <v>40.1</v>
      </c>
      <c r="Q53" s="50">
        <v>19.600000000000001</v>
      </c>
      <c r="R53" s="50">
        <v>20.100000000000001</v>
      </c>
      <c r="S53" s="50">
        <v>20</v>
      </c>
      <c r="T53" s="50">
        <v>20</v>
      </c>
      <c r="U53" s="50">
        <v>20</v>
      </c>
      <c r="V53" s="50">
        <v>20</v>
      </c>
      <c r="W53" s="50">
        <v>20</v>
      </c>
      <c r="X53" s="50">
        <v>39.299999999999997</v>
      </c>
      <c r="Y53" s="50">
        <v>55</v>
      </c>
      <c r="Z53" s="50">
        <v>46.3</v>
      </c>
      <c r="AA53" s="50">
        <v>44.8</v>
      </c>
      <c r="AB53" s="50">
        <v>30.2</v>
      </c>
      <c r="AC53" s="50">
        <v>20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59.1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15</v>
      </c>
      <c r="M54" s="79">
        <v>25</v>
      </c>
      <c r="N54" s="79">
        <v>28.1</v>
      </c>
      <c r="O54" s="79">
        <v>25.3</v>
      </c>
      <c r="P54" s="79">
        <v>16.600000000000001</v>
      </c>
      <c r="Q54" s="73">
        <v>7.9</v>
      </c>
      <c r="R54" s="73">
        <v>9</v>
      </c>
      <c r="S54" s="50">
        <v>9</v>
      </c>
      <c r="T54" s="50">
        <v>10.5</v>
      </c>
      <c r="U54" s="50">
        <v>9.6</v>
      </c>
      <c r="V54" s="73">
        <v>9.1999999999999993</v>
      </c>
      <c r="W54" s="73">
        <v>10.1</v>
      </c>
      <c r="X54" s="73">
        <v>16.899999999999999</v>
      </c>
      <c r="Y54" s="73">
        <v>23.4</v>
      </c>
      <c r="Z54" s="73">
        <v>21.6</v>
      </c>
      <c r="AA54" s="73">
        <v>20.6</v>
      </c>
      <c r="AB54" s="73">
        <v>14</v>
      </c>
      <c r="AC54" s="73">
        <v>9.9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28.1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6</v>
      </c>
      <c r="M55" s="81">
        <v>9</v>
      </c>
      <c r="N55" s="81">
        <v>10.3</v>
      </c>
      <c r="O55" s="81">
        <v>9.1999999999999993</v>
      </c>
      <c r="P55" s="81">
        <v>6</v>
      </c>
      <c r="Q55" s="80">
        <v>2.9</v>
      </c>
      <c r="R55" s="80">
        <v>3.3</v>
      </c>
      <c r="S55" s="50">
        <v>3.3</v>
      </c>
      <c r="T55" s="50">
        <v>3.8</v>
      </c>
      <c r="U55" s="50">
        <v>3.5</v>
      </c>
      <c r="V55" s="80">
        <v>3.4</v>
      </c>
      <c r="W55" s="80">
        <v>3.7</v>
      </c>
      <c r="X55" s="80">
        <v>6.2</v>
      </c>
      <c r="Y55" s="80">
        <v>8.5</v>
      </c>
      <c r="Z55" s="80">
        <v>7.9</v>
      </c>
      <c r="AA55" s="80">
        <v>7.5</v>
      </c>
      <c r="AB55" s="80">
        <v>5.0999999999999996</v>
      </c>
      <c r="AC55" s="80">
        <v>3.6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10.3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51</v>
      </c>
      <c r="M56" s="72">
        <f t="shared" si="7"/>
        <v>79</v>
      </c>
      <c r="N56" s="72">
        <f t="shared" si="7"/>
        <v>97.5</v>
      </c>
      <c r="O56" s="72">
        <f t="shared" si="7"/>
        <v>85</v>
      </c>
      <c r="P56" s="72">
        <f t="shared" si="7"/>
        <v>62.7</v>
      </c>
      <c r="Q56" s="72">
        <f t="shared" si="7"/>
        <v>30.4</v>
      </c>
      <c r="R56" s="72">
        <f t="shared" si="7"/>
        <v>32.4</v>
      </c>
      <c r="S56" s="72">
        <f t="shared" si="7"/>
        <v>32.299999999999997</v>
      </c>
      <c r="T56" s="72">
        <f t="shared" si="7"/>
        <v>34.299999999999997</v>
      </c>
      <c r="U56" s="72">
        <f t="shared" si="7"/>
        <v>33.1</v>
      </c>
      <c r="V56" s="72">
        <f t="shared" si="7"/>
        <v>32.6</v>
      </c>
      <c r="W56" s="72">
        <f t="shared" si="7"/>
        <v>33.800000000000004</v>
      </c>
      <c r="X56" s="72">
        <f t="shared" si="7"/>
        <v>62.4</v>
      </c>
      <c r="Y56" s="72">
        <f t="shared" si="7"/>
        <v>86.9</v>
      </c>
      <c r="Z56" s="72">
        <f t="shared" si="7"/>
        <v>75.800000000000011</v>
      </c>
      <c r="AA56" s="72">
        <f t="shared" si="7"/>
        <v>72.900000000000006</v>
      </c>
      <c r="AB56" s="72">
        <f t="shared" si="7"/>
        <v>49.300000000000004</v>
      </c>
      <c r="AC56" s="72">
        <f t="shared" si="7"/>
        <v>33.5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97.5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72</v>
      </c>
      <c r="C57" s="50">
        <v>69</v>
      </c>
      <c r="D57" s="50">
        <v>68</v>
      </c>
      <c r="E57" s="50">
        <v>71</v>
      </c>
      <c r="F57" s="50">
        <v>70.8</v>
      </c>
      <c r="G57" s="50">
        <v>69</v>
      </c>
      <c r="H57" s="50">
        <v>69</v>
      </c>
      <c r="I57" s="50">
        <v>75</v>
      </c>
      <c r="J57" s="50">
        <v>70</v>
      </c>
      <c r="K57" s="50">
        <v>76</v>
      </c>
      <c r="L57" s="50">
        <v>68</v>
      </c>
      <c r="M57" s="50">
        <v>69</v>
      </c>
      <c r="N57" s="50">
        <v>68</v>
      </c>
      <c r="O57" s="50">
        <v>72.650000000000006</v>
      </c>
      <c r="P57" s="50">
        <v>98.89</v>
      </c>
      <c r="Q57" s="50">
        <v>98.89</v>
      </c>
      <c r="R57" s="50">
        <v>98.89</v>
      </c>
      <c r="S57" s="50">
        <v>74</v>
      </c>
      <c r="T57" s="50">
        <v>71.23</v>
      </c>
      <c r="U57" s="50">
        <v>75</v>
      </c>
      <c r="V57" s="50">
        <v>68</v>
      </c>
      <c r="W57" s="50">
        <v>66.400000000000006</v>
      </c>
      <c r="X57" s="50">
        <v>75.8</v>
      </c>
      <c r="Y57" s="50">
        <v>68</v>
      </c>
      <c r="Z57" s="50">
        <v>68</v>
      </c>
      <c r="AA57" s="50">
        <v>72</v>
      </c>
      <c r="AB57" s="50">
        <v>72</v>
      </c>
      <c r="AC57" s="50">
        <v>70</v>
      </c>
      <c r="AD57" s="50">
        <v>66.12</v>
      </c>
      <c r="AE57" s="50">
        <v>67</v>
      </c>
      <c r="AF57" s="50">
        <v>72</v>
      </c>
      <c r="AG57" s="62"/>
      <c r="AH57" s="54">
        <f t="shared" si="2"/>
        <v>98.89</v>
      </c>
      <c r="AI57" s="55">
        <f t="shared" si="3"/>
        <v>66.12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360</v>
      </c>
      <c r="C59" s="73">
        <v>352</v>
      </c>
      <c r="D59" s="73">
        <v>331</v>
      </c>
      <c r="E59" s="73">
        <v>328</v>
      </c>
      <c r="F59" s="73">
        <v>325</v>
      </c>
      <c r="G59" s="73">
        <v>342</v>
      </c>
      <c r="H59" s="50">
        <v>347</v>
      </c>
      <c r="I59" s="50">
        <v>384</v>
      </c>
      <c r="J59" s="50">
        <v>332</v>
      </c>
      <c r="K59" s="50">
        <v>190</v>
      </c>
      <c r="L59" s="50">
        <v>200</v>
      </c>
      <c r="M59" s="73">
        <v>87</v>
      </c>
      <c r="N59" s="73">
        <v>46</v>
      </c>
      <c r="O59" s="73">
        <v>177</v>
      </c>
      <c r="P59" s="73">
        <v>263</v>
      </c>
      <c r="Q59" s="73">
        <v>263</v>
      </c>
      <c r="R59" s="73">
        <v>269</v>
      </c>
      <c r="S59" s="73">
        <v>376.3</v>
      </c>
      <c r="T59" s="73">
        <v>373.3</v>
      </c>
      <c r="U59" s="73">
        <v>394</v>
      </c>
      <c r="V59" s="73">
        <v>378.3</v>
      </c>
      <c r="W59" s="73">
        <v>206</v>
      </c>
      <c r="X59" s="84">
        <v>118</v>
      </c>
      <c r="Y59" s="84">
        <v>117</v>
      </c>
      <c r="Z59" s="84">
        <v>49.3</v>
      </c>
      <c r="AA59" s="84">
        <v>55.7</v>
      </c>
      <c r="AB59" s="73">
        <v>125</v>
      </c>
      <c r="AC59" s="73">
        <v>300</v>
      </c>
      <c r="AD59" s="73">
        <v>375.8</v>
      </c>
      <c r="AE59" s="73">
        <v>382</v>
      </c>
      <c r="AF59" s="73">
        <v>385</v>
      </c>
      <c r="AG59" s="85"/>
      <c r="AH59" s="54">
        <f t="shared" si="2"/>
        <v>394</v>
      </c>
      <c r="AI59" s="55">
        <f t="shared" si="3"/>
        <v>46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53</v>
      </c>
      <c r="I60" s="58">
        <v>54.8</v>
      </c>
      <c r="J60" s="58">
        <v>55</v>
      </c>
      <c r="K60" s="58">
        <v>59.6</v>
      </c>
      <c r="L60" s="58">
        <v>58</v>
      </c>
      <c r="M60" s="73">
        <v>57</v>
      </c>
      <c r="N60" s="73">
        <v>53.5</v>
      </c>
      <c r="O60" s="73">
        <v>54.3</v>
      </c>
      <c r="P60" s="73">
        <v>60</v>
      </c>
      <c r="Q60" s="73">
        <v>60</v>
      </c>
      <c r="R60" s="73">
        <v>52.8</v>
      </c>
      <c r="S60" s="73">
        <v>41.4</v>
      </c>
      <c r="T60" s="73">
        <v>55.8</v>
      </c>
      <c r="U60" s="73">
        <v>56.4</v>
      </c>
      <c r="V60" s="73">
        <v>44.5</v>
      </c>
      <c r="W60" s="73">
        <v>50</v>
      </c>
      <c r="X60" s="73">
        <v>60.2</v>
      </c>
      <c r="Y60" s="73">
        <v>60.5</v>
      </c>
      <c r="Z60" s="73">
        <v>46.8</v>
      </c>
      <c r="AA60" s="73">
        <v>48.7</v>
      </c>
      <c r="AB60" s="73">
        <v>58.2</v>
      </c>
      <c r="AC60" s="73">
        <v>60.2</v>
      </c>
      <c r="AD60" s="73">
        <v>55.2</v>
      </c>
      <c r="AE60" s="73">
        <v>0</v>
      </c>
      <c r="AF60" s="58">
        <v>0</v>
      </c>
      <c r="AG60" s="85"/>
      <c r="AH60" s="54">
        <f t="shared" si="2"/>
        <v>60.5</v>
      </c>
      <c r="AI60" s="55">
        <f t="shared" si="3"/>
        <v>0</v>
      </c>
      <c r="AK60" s="56"/>
    </row>
    <row r="61" spans="1:37" x14ac:dyDescent="0.25">
      <c r="A61" s="66" t="s">
        <v>69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75</v>
      </c>
      <c r="K61" s="58">
        <v>73</v>
      </c>
      <c r="L61" s="58">
        <v>83</v>
      </c>
      <c r="M61" s="50">
        <v>80</v>
      </c>
      <c r="N61" s="50">
        <v>87.6</v>
      </c>
      <c r="O61" s="50">
        <v>82.2</v>
      </c>
      <c r="P61" s="50">
        <v>72</v>
      </c>
      <c r="Q61" s="50">
        <v>72</v>
      </c>
      <c r="R61" s="50">
        <v>70.599999999999994</v>
      </c>
      <c r="S61" s="50">
        <v>71.7</v>
      </c>
      <c r="T61" s="50">
        <v>77.400000000000006</v>
      </c>
      <c r="U61" s="50">
        <v>81.099999999999994</v>
      </c>
      <c r="V61" s="50">
        <v>76.599999999999994</v>
      </c>
      <c r="W61" s="50">
        <v>61</v>
      </c>
      <c r="X61" s="50">
        <v>78.400000000000006</v>
      </c>
      <c r="Y61" s="50">
        <v>65.7</v>
      </c>
      <c r="Z61" s="50">
        <v>83</v>
      </c>
      <c r="AA61" s="50">
        <v>82.4</v>
      </c>
      <c r="AB61" s="50">
        <v>76.7</v>
      </c>
      <c r="AC61" s="50">
        <v>70.900000000000006</v>
      </c>
      <c r="AD61" s="50">
        <v>80.8</v>
      </c>
      <c r="AE61" s="50">
        <v>72.3</v>
      </c>
      <c r="AF61" s="50">
        <v>0</v>
      </c>
      <c r="AG61" s="85"/>
      <c r="AH61" s="54">
        <f t="shared" si="2"/>
        <v>87.6</v>
      </c>
      <c r="AI61" s="55">
        <f t="shared" si="3"/>
        <v>0</v>
      </c>
      <c r="AK61" s="56"/>
    </row>
    <row r="62" spans="1:37" x14ac:dyDescent="0.25">
      <c r="A62" s="66" t="s">
        <v>70</v>
      </c>
      <c r="B62" s="58">
        <v>0</v>
      </c>
      <c r="C62" s="58">
        <v>0</v>
      </c>
      <c r="D62" s="58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432</v>
      </c>
      <c r="C68" s="72">
        <f>SUM(C57:C67)</f>
        <v>421</v>
      </c>
      <c r="D68" s="72">
        <f t="shared" ref="D68:AF68" si="8">SUM(D57:D67)</f>
        <v>399</v>
      </c>
      <c r="E68" s="72">
        <f t="shared" si="8"/>
        <v>399</v>
      </c>
      <c r="F68" s="72">
        <f t="shared" si="8"/>
        <v>395.8</v>
      </c>
      <c r="G68" s="72">
        <f t="shared" si="8"/>
        <v>411</v>
      </c>
      <c r="H68" s="72">
        <f t="shared" si="8"/>
        <v>469</v>
      </c>
      <c r="I68" s="72">
        <f t="shared" si="8"/>
        <v>513.79999999999995</v>
      </c>
      <c r="J68" s="72">
        <f t="shared" si="8"/>
        <v>532</v>
      </c>
      <c r="K68" s="72">
        <f t="shared" si="8"/>
        <v>398.6</v>
      </c>
      <c r="L68" s="72">
        <f t="shared" si="8"/>
        <v>409</v>
      </c>
      <c r="M68" s="72">
        <f t="shared" si="8"/>
        <v>293</v>
      </c>
      <c r="N68" s="72">
        <f t="shared" si="8"/>
        <v>255.1</v>
      </c>
      <c r="O68" s="72">
        <f t="shared" si="8"/>
        <v>386.15</v>
      </c>
      <c r="P68" s="72">
        <f t="shared" si="8"/>
        <v>493.89</v>
      </c>
      <c r="Q68" s="72">
        <f t="shared" si="8"/>
        <v>493.89</v>
      </c>
      <c r="R68" s="72">
        <f t="shared" si="8"/>
        <v>491.28999999999996</v>
      </c>
      <c r="S68" s="72">
        <f t="shared" si="8"/>
        <v>563.4</v>
      </c>
      <c r="T68" s="72">
        <f t="shared" si="8"/>
        <v>577.73</v>
      </c>
      <c r="U68" s="72">
        <f t="shared" si="8"/>
        <v>606.5</v>
      </c>
      <c r="V68" s="72">
        <f t="shared" si="8"/>
        <v>567.4</v>
      </c>
      <c r="W68" s="72">
        <f t="shared" si="8"/>
        <v>383.4</v>
      </c>
      <c r="X68" s="72">
        <f t="shared" si="8"/>
        <v>332.4</v>
      </c>
      <c r="Y68" s="72">
        <f t="shared" si="8"/>
        <v>311.2</v>
      </c>
      <c r="Z68" s="72">
        <f t="shared" si="8"/>
        <v>247.1</v>
      </c>
      <c r="AA68" s="72">
        <f t="shared" si="8"/>
        <v>258.8</v>
      </c>
      <c r="AB68" s="72">
        <f t="shared" si="8"/>
        <v>331.9</v>
      </c>
      <c r="AC68" s="72">
        <f t="shared" si="8"/>
        <v>501.1</v>
      </c>
      <c r="AD68" s="72">
        <f t="shared" si="8"/>
        <v>577.91999999999996</v>
      </c>
      <c r="AE68" s="72">
        <f t="shared" si="8"/>
        <v>521.29999999999995</v>
      </c>
      <c r="AF68" s="72">
        <f t="shared" si="8"/>
        <v>457</v>
      </c>
      <c r="AG68" s="78">
        <f>SUM(AG57:AG67)</f>
        <v>0</v>
      </c>
      <c r="AH68" s="54">
        <f t="shared" si="2"/>
        <v>606.5</v>
      </c>
      <c r="AI68" s="55">
        <f t="shared" si="3"/>
        <v>247.1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934.64</v>
      </c>
      <c r="C73" s="89">
        <f>C68+C56+C52+C38+C72</f>
        <v>923.64</v>
      </c>
      <c r="D73" s="89">
        <f t="shared" ref="D73:AG73" si="10">D68+D56+D52+D38+D72</f>
        <v>898.14</v>
      </c>
      <c r="E73" s="89">
        <f t="shared" si="10"/>
        <v>899.34</v>
      </c>
      <c r="F73" s="89">
        <f t="shared" si="10"/>
        <v>897.04</v>
      </c>
      <c r="G73" s="89">
        <f t="shared" si="10"/>
        <v>933.64</v>
      </c>
      <c r="H73" s="89">
        <f t="shared" si="10"/>
        <v>1027.6399999999999</v>
      </c>
      <c r="I73" s="89">
        <f t="shared" si="10"/>
        <v>1105.44</v>
      </c>
      <c r="J73" s="89">
        <f t="shared" si="10"/>
        <v>1235.24</v>
      </c>
      <c r="K73" s="89">
        <f t="shared" si="10"/>
        <v>1368.8400000000001</v>
      </c>
      <c r="L73" s="89">
        <f t="shared" si="10"/>
        <v>1518.2399999999998</v>
      </c>
      <c r="M73" s="89">
        <f t="shared" si="10"/>
        <v>1522.24</v>
      </c>
      <c r="N73" s="89">
        <f t="shared" si="10"/>
        <v>1450.14</v>
      </c>
      <c r="O73" s="89">
        <f t="shared" si="10"/>
        <v>1351.8899999999999</v>
      </c>
      <c r="P73" s="89">
        <f t="shared" si="10"/>
        <v>1226.9299999999998</v>
      </c>
      <c r="Q73" s="89">
        <f t="shared" si="10"/>
        <v>1155.9299999999998</v>
      </c>
      <c r="R73" s="89">
        <f t="shared" si="10"/>
        <v>1138.1299999999999</v>
      </c>
      <c r="S73" s="89">
        <f t="shared" si="10"/>
        <v>1164.44</v>
      </c>
      <c r="T73" s="89">
        <f t="shared" si="10"/>
        <v>1184.3699999999999</v>
      </c>
      <c r="U73" s="89">
        <f t="shared" si="10"/>
        <v>1233.3400000000001</v>
      </c>
      <c r="V73" s="89">
        <f t="shared" si="10"/>
        <v>1266.8400000000001</v>
      </c>
      <c r="W73" s="89">
        <f t="shared" si="10"/>
        <v>1285.04</v>
      </c>
      <c r="X73" s="89">
        <f t="shared" si="10"/>
        <v>1423.44</v>
      </c>
      <c r="Y73" s="89">
        <f t="shared" si="10"/>
        <v>1545.04</v>
      </c>
      <c r="Z73" s="89">
        <f t="shared" si="10"/>
        <v>1524.8400000000001</v>
      </c>
      <c r="AA73" s="89">
        <f t="shared" si="10"/>
        <v>1493.54</v>
      </c>
      <c r="AB73" s="89">
        <f t="shared" si="10"/>
        <v>1412.24</v>
      </c>
      <c r="AC73" s="89">
        <f t="shared" si="10"/>
        <v>1354.7399999999998</v>
      </c>
      <c r="AD73" s="89">
        <f t="shared" si="10"/>
        <v>1270.26</v>
      </c>
      <c r="AE73" s="89">
        <f t="shared" si="10"/>
        <v>1111.4399999999998</v>
      </c>
      <c r="AF73" s="89">
        <f t="shared" si="10"/>
        <v>996.83999999999992</v>
      </c>
      <c r="AG73" s="89">
        <f t="shared" si="10"/>
        <v>2144.14</v>
      </c>
      <c r="AH73" s="54">
        <f t="shared" si="2"/>
        <v>1545.04</v>
      </c>
      <c r="AI73" s="55">
        <f t="shared" si="3"/>
        <v>897.04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934.64</v>
      </c>
      <c r="C75" s="89">
        <f>C73+C74</f>
        <v>923.64</v>
      </c>
      <c r="D75" s="89">
        <f t="shared" ref="D75:AF75" si="11">D72+D68+D56+D52+D38+D74</f>
        <v>898.14</v>
      </c>
      <c r="E75" s="89">
        <f t="shared" si="11"/>
        <v>899.34</v>
      </c>
      <c r="F75" s="89">
        <f t="shared" si="11"/>
        <v>897.04</v>
      </c>
      <c r="G75" s="89">
        <f t="shared" si="11"/>
        <v>933.64</v>
      </c>
      <c r="H75" s="89">
        <f t="shared" si="11"/>
        <v>1027.6399999999999</v>
      </c>
      <c r="I75" s="89">
        <f t="shared" si="11"/>
        <v>1105.44</v>
      </c>
      <c r="J75" s="89">
        <f t="shared" si="11"/>
        <v>1235.24</v>
      </c>
      <c r="K75" s="89">
        <f t="shared" si="11"/>
        <v>1368.8400000000001</v>
      </c>
      <c r="L75" s="89">
        <f t="shared" si="11"/>
        <v>1518.2399999999998</v>
      </c>
      <c r="M75" s="89">
        <f t="shared" si="11"/>
        <v>1522.24</v>
      </c>
      <c r="N75" s="89">
        <f t="shared" si="11"/>
        <v>1450.14</v>
      </c>
      <c r="O75" s="89">
        <f t="shared" si="11"/>
        <v>1351.8899999999999</v>
      </c>
      <c r="P75" s="89">
        <f t="shared" si="11"/>
        <v>1226.9299999999998</v>
      </c>
      <c r="Q75" s="89">
        <f t="shared" si="11"/>
        <v>1155.9299999999998</v>
      </c>
      <c r="R75" s="89">
        <f t="shared" si="11"/>
        <v>1138.1299999999999</v>
      </c>
      <c r="S75" s="89">
        <f t="shared" si="11"/>
        <v>1164.44</v>
      </c>
      <c r="T75" s="89">
        <f t="shared" si="11"/>
        <v>1184.3699999999999</v>
      </c>
      <c r="U75" s="89">
        <f t="shared" si="11"/>
        <v>1233.3400000000001</v>
      </c>
      <c r="V75" s="89">
        <f t="shared" si="11"/>
        <v>1266.8400000000001</v>
      </c>
      <c r="W75" s="89">
        <f t="shared" si="11"/>
        <v>1285.04</v>
      </c>
      <c r="X75" s="89">
        <f t="shared" si="11"/>
        <v>1423.44</v>
      </c>
      <c r="Y75" s="89">
        <f t="shared" si="11"/>
        <v>1545.04</v>
      </c>
      <c r="Z75" s="89">
        <f t="shared" si="11"/>
        <v>1524.8400000000001</v>
      </c>
      <c r="AA75" s="89">
        <f t="shared" si="11"/>
        <v>1493.54</v>
      </c>
      <c r="AB75" s="89">
        <f t="shared" si="11"/>
        <v>1412.24</v>
      </c>
      <c r="AC75" s="89">
        <f t="shared" si="11"/>
        <v>1354.7399999999998</v>
      </c>
      <c r="AD75" s="89">
        <f t="shared" si="11"/>
        <v>1270.26</v>
      </c>
      <c r="AE75" s="89">
        <f t="shared" si="11"/>
        <v>1111.4399999999998</v>
      </c>
      <c r="AF75" s="89">
        <f t="shared" si="11"/>
        <v>996.83999999999992</v>
      </c>
      <c r="AG75" s="78">
        <f>AG72+AG68+AG56+AG52+AG38+AG74</f>
        <v>2144.14</v>
      </c>
      <c r="AH75" s="54">
        <f t="shared" si="2"/>
        <v>1545.04</v>
      </c>
      <c r="AI75" s="55">
        <f t="shared" si="3"/>
        <v>897.04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1869.28</v>
      </c>
      <c r="C83" s="72">
        <f t="shared" ref="C83:AG83" si="20">SUM(C70:C82)</f>
        <v>1847.28</v>
      </c>
      <c r="D83" s="72">
        <f t="shared" si="20"/>
        <v>1796.28</v>
      </c>
      <c r="E83" s="72">
        <f t="shared" si="20"/>
        <v>1798.68</v>
      </c>
      <c r="F83" s="72">
        <f t="shared" si="20"/>
        <v>1794.08</v>
      </c>
      <c r="G83" s="72">
        <f t="shared" si="20"/>
        <v>1867.28</v>
      </c>
      <c r="H83" s="72">
        <f t="shared" si="20"/>
        <v>2055.2799999999997</v>
      </c>
      <c r="I83" s="72">
        <f t="shared" si="20"/>
        <v>2210.88</v>
      </c>
      <c r="J83" s="72">
        <f t="shared" si="20"/>
        <v>2470.48</v>
      </c>
      <c r="K83" s="72">
        <f t="shared" si="20"/>
        <v>2737.6800000000003</v>
      </c>
      <c r="L83" s="72">
        <f t="shared" si="20"/>
        <v>3036.4799999999996</v>
      </c>
      <c r="M83" s="72">
        <f t="shared" si="20"/>
        <v>3044.48</v>
      </c>
      <c r="N83" s="72">
        <f t="shared" si="20"/>
        <v>2900.28</v>
      </c>
      <c r="O83" s="72">
        <f t="shared" si="20"/>
        <v>2703.7799999999997</v>
      </c>
      <c r="P83" s="72">
        <f t="shared" si="20"/>
        <v>2453.8599999999997</v>
      </c>
      <c r="Q83" s="72">
        <f t="shared" si="20"/>
        <v>2311.8599999999997</v>
      </c>
      <c r="R83" s="72">
        <f t="shared" si="20"/>
        <v>2276.2599999999998</v>
      </c>
      <c r="S83" s="72">
        <f t="shared" si="20"/>
        <v>2328.88</v>
      </c>
      <c r="T83" s="72">
        <f t="shared" si="20"/>
        <v>2368.7399999999998</v>
      </c>
      <c r="U83" s="72">
        <f t="shared" si="20"/>
        <v>2466.6800000000003</v>
      </c>
      <c r="V83" s="72">
        <f t="shared" si="20"/>
        <v>2533.6800000000003</v>
      </c>
      <c r="W83" s="72">
        <f t="shared" si="20"/>
        <v>2570.08</v>
      </c>
      <c r="X83" s="72">
        <f t="shared" si="20"/>
        <v>2846.88</v>
      </c>
      <c r="Y83" s="72">
        <f t="shared" si="20"/>
        <v>3090.08</v>
      </c>
      <c r="Z83" s="72">
        <f t="shared" si="20"/>
        <v>3049.6800000000003</v>
      </c>
      <c r="AA83" s="72">
        <f t="shared" si="20"/>
        <v>2987.08</v>
      </c>
      <c r="AB83" s="72">
        <f t="shared" si="20"/>
        <v>2824.48</v>
      </c>
      <c r="AC83" s="72">
        <f t="shared" si="20"/>
        <v>2709.4799999999996</v>
      </c>
      <c r="AD83" s="72">
        <f t="shared" si="20"/>
        <v>2540.52</v>
      </c>
      <c r="AE83" s="72">
        <f t="shared" si="20"/>
        <v>2222.8799999999997</v>
      </c>
      <c r="AF83" s="72">
        <f t="shared" si="20"/>
        <v>1993.6799999999998</v>
      </c>
      <c r="AG83" s="78">
        <f t="shared" si="20"/>
        <v>4360.08</v>
      </c>
      <c r="AH83" s="54">
        <f t="shared" si="13"/>
        <v>3090.08</v>
      </c>
      <c r="AI83" s="55">
        <f t="shared" si="14"/>
        <v>1794.08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50.3</v>
      </c>
      <c r="C84" s="96">
        <v>50.05</v>
      </c>
      <c r="D84" s="96">
        <v>49.975000000000001</v>
      </c>
      <c r="E84" s="96">
        <v>49.997999999999998</v>
      </c>
      <c r="F84" s="96">
        <v>49.921999999999997</v>
      </c>
      <c r="G84" s="96">
        <v>49.978000000000002</v>
      </c>
      <c r="H84" s="96">
        <v>50</v>
      </c>
      <c r="I84" s="96">
        <v>49.893000000000001</v>
      </c>
      <c r="J84" s="96">
        <v>49.774999999999999</v>
      </c>
      <c r="K84" s="96">
        <v>49.83</v>
      </c>
      <c r="L84" s="96">
        <v>49.968000000000004</v>
      </c>
      <c r="M84" s="96">
        <v>50.063000000000002</v>
      </c>
      <c r="N84" s="96">
        <v>50.09</v>
      </c>
      <c r="O84" s="96">
        <v>50.89</v>
      </c>
      <c r="P84" s="96">
        <v>50.89</v>
      </c>
      <c r="Q84" s="96">
        <v>50.03</v>
      </c>
      <c r="R84" s="96">
        <v>50.04</v>
      </c>
      <c r="S84" s="96">
        <v>50.042000000000002</v>
      </c>
      <c r="T84" s="96">
        <v>50.021000000000001</v>
      </c>
      <c r="U84" s="96">
        <v>49.941000000000003</v>
      </c>
      <c r="V84" s="96">
        <v>50.042999999999999</v>
      </c>
      <c r="W84" s="96">
        <v>49.996000000000002</v>
      </c>
      <c r="X84" s="96">
        <v>50.072000000000003</v>
      </c>
      <c r="Y84" s="96">
        <v>50.021000000000001</v>
      </c>
      <c r="Z84" s="96">
        <v>50.037999999999997</v>
      </c>
      <c r="AA84" s="96">
        <v>49.993000000000002</v>
      </c>
      <c r="AB84" s="96">
        <v>50.06</v>
      </c>
      <c r="AC84" s="96">
        <v>49.95</v>
      </c>
      <c r="AD84" s="96">
        <v>50.037999999999997</v>
      </c>
      <c r="AE84" s="96">
        <v>50.07</v>
      </c>
      <c r="AF84" s="96">
        <v>49.92</v>
      </c>
      <c r="AG84" s="97"/>
      <c r="AH84" s="54">
        <f t="shared" si="13"/>
        <v>50.89</v>
      </c>
      <c r="AI84" s="55">
        <f t="shared" si="14"/>
        <v>49.774999999999999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125.3</v>
      </c>
      <c r="C85" s="73">
        <v>124</v>
      </c>
      <c r="D85" s="73">
        <v>125</v>
      </c>
      <c r="E85" s="73">
        <v>125</v>
      </c>
      <c r="F85" s="73">
        <v>124</v>
      </c>
      <c r="G85" s="73">
        <v>124</v>
      </c>
      <c r="H85" s="73">
        <v>124</v>
      </c>
      <c r="I85" s="73">
        <v>124</v>
      </c>
      <c r="J85" s="73">
        <v>126</v>
      </c>
      <c r="K85" s="73">
        <v>126</v>
      </c>
      <c r="L85" s="73">
        <v>124</v>
      </c>
      <c r="M85" s="73">
        <v>124.1</v>
      </c>
      <c r="N85" s="73">
        <v>125.3</v>
      </c>
      <c r="O85" s="73">
        <v>124.5</v>
      </c>
      <c r="P85" s="73">
        <v>124.5</v>
      </c>
      <c r="Q85" s="73">
        <v>122.2</v>
      </c>
      <c r="R85" s="73">
        <v>122.9</v>
      </c>
      <c r="S85" s="73">
        <v>123.1</v>
      </c>
      <c r="T85" s="73">
        <v>124.3</v>
      </c>
      <c r="U85" s="100">
        <v>124.5</v>
      </c>
      <c r="V85" s="100">
        <v>124.3</v>
      </c>
      <c r="W85" s="100">
        <v>125.2</v>
      </c>
      <c r="X85" s="100">
        <v>125.5</v>
      </c>
      <c r="Y85" s="100">
        <v>124.6</v>
      </c>
      <c r="Z85" s="100">
        <v>125.5</v>
      </c>
      <c r="AA85" s="100">
        <v>126.2</v>
      </c>
      <c r="AB85" s="73">
        <v>126.9</v>
      </c>
      <c r="AC85" s="73">
        <v>125.7</v>
      </c>
      <c r="AD85" s="73">
        <v>126.6</v>
      </c>
      <c r="AE85" s="73">
        <v>125.8</v>
      </c>
      <c r="AF85" s="73">
        <v>125.6</v>
      </c>
      <c r="AG85" s="101"/>
      <c r="AH85" s="54">
        <f t="shared" si="13"/>
        <v>126.9</v>
      </c>
      <c r="AI85" s="55">
        <f t="shared" si="14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</v>
      </c>
      <c r="C86" s="73">
        <v>128</v>
      </c>
      <c r="D86" s="73">
        <v>129</v>
      </c>
      <c r="E86" s="73">
        <v>129</v>
      </c>
      <c r="F86" s="73">
        <v>129</v>
      </c>
      <c r="G86" s="73">
        <v>128</v>
      </c>
      <c r="H86" s="73">
        <v>128</v>
      </c>
      <c r="I86" s="73">
        <v>128</v>
      </c>
      <c r="J86" s="73">
        <v>129</v>
      </c>
      <c r="K86" s="73">
        <v>127</v>
      </c>
      <c r="L86" s="73">
        <v>126</v>
      </c>
      <c r="M86" s="73">
        <v>126.6</v>
      </c>
      <c r="N86" s="73">
        <v>127.5</v>
      </c>
      <c r="O86" s="73">
        <v>126.8</v>
      </c>
      <c r="P86" s="73">
        <v>126.8</v>
      </c>
      <c r="Q86" s="73">
        <v>124.8</v>
      </c>
      <c r="R86" s="73">
        <v>125.4</v>
      </c>
      <c r="S86" s="73">
        <v>125.7</v>
      </c>
      <c r="T86" s="73">
        <v>127.1</v>
      </c>
      <c r="U86" s="100">
        <v>127.1</v>
      </c>
      <c r="V86" s="100">
        <v>127</v>
      </c>
      <c r="W86" s="100">
        <v>127.3</v>
      </c>
      <c r="X86" s="100">
        <v>127.2</v>
      </c>
      <c r="Y86" s="100">
        <v>127.1</v>
      </c>
      <c r="Z86" s="100">
        <v>127.3</v>
      </c>
      <c r="AA86" s="100">
        <v>127.9</v>
      </c>
      <c r="AB86" s="73">
        <v>128.5</v>
      </c>
      <c r="AC86" s="73">
        <v>127.7</v>
      </c>
      <c r="AD86" s="73">
        <v>128.69999999999999</v>
      </c>
      <c r="AE86" s="73">
        <v>129</v>
      </c>
      <c r="AF86" s="73">
        <v>129.1</v>
      </c>
      <c r="AG86" s="101"/>
      <c r="AH86" s="54">
        <f t="shared" si="13"/>
        <v>129.1</v>
      </c>
      <c r="AI86" s="55">
        <f t="shared" si="14"/>
        <v>124.8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132</v>
      </c>
      <c r="C87" s="73">
        <v>129</v>
      </c>
      <c r="D87" s="73">
        <v>130</v>
      </c>
      <c r="E87" s="73">
        <v>130</v>
      </c>
      <c r="F87" s="73">
        <v>129</v>
      </c>
      <c r="G87" s="73">
        <v>129</v>
      </c>
      <c r="H87" s="73">
        <v>128</v>
      </c>
      <c r="I87" s="73">
        <v>126</v>
      </c>
      <c r="J87" s="73">
        <v>127</v>
      </c>
      <c r="K87" s="73">
        <v>126</v>
      </c>
      <c r="L87" s="73">
        <v>127</v>
      </c>
      <c r="M87" s="73">
        <v>124.2</v>
      </c>
      <c r="N87" s="73">
        <v>126.1</v>
      </c>
      <c r="O87" s="73">
        <v>128</v>
      </c>
      <c r="P87" s="73">
        <v>128</v>
      </c>
      <c r="Q87" s="73">
        <v>128.9</v>
      </c>
      <c r="R87" s="73">
        <v>129.1</v>
      </c>
      <c r="S87" s="73">
        <v>128.69999999999999</v>
      </c>
      <c r="T87" s="73">
        <v>128.69999999999999</v>
      </c>
      <c r="U87" s="73">
        <v>129.4</v>
      </c>
      <c r="V87" s="73">
        <v>129.69999999999999</v>
      </c>
      <c r="W87" s="73">
        <v>129.1</v>
      </c>
      <c r="X87" s="100">
        <v>127.9</v>
      </c>
      <c r="Y87" s="100">
        <v>126.1</v>
      </c>
      <c r="Z87" s="100">
        <v>128.30000000000001</v>
      </c>
      <c r="AA87" s="100">
        <v>130.9</v>
      </c>
      <c r="AB87" s="73">
        <v>130.4</v>
      </c>
      <c r="AC87" s="73">
        <v>131.19999999999999</v>
      </c>
      <c r="AD87" s="73">
        <v>130.19999999999999</v>
      </c>
      <c r="AE87" s="73">
        <v>127.5</v>
      </c>
      <c r="AF87" s="73">
        <v>130.69999999999999</v>
      </c>
      <c r="AG87" s="101"/>
      <c r="AH87" s="54">
        <f t="shared" si="13"/>
        <v>132</v>
      </c>
      <c r="AI87" s="55">
        <f t="shared" si="14"/>
        <v>124.2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134.9</v>
      </c>
      <c r="C88" s="73">
        <v>132.6</v>
      </c>
      <c r="D88" s="73">
        <v>133</v>
      </c>
      <c r="E88" s="73">
        <v>133</v>
      </c>
      <c r="F88" s="73">
        <v>132</v>
      </c>
      <c r="G88" s="73">
        <v>132</v>
      </c>
      <c r="H88" s="73">
        <v>131</v>
      </c>
      <c r="I88" s="73">
        <v>128</v>
      </c>
      <c r="J88" s="73">
        <v>129</v>
      </c>
      <c r="K88" s="73">
        <v>131</v>
      </c>
      <c r="L88" s="73">
        <v>131</v>
      </c>
      <c r="M88" s="73">
        <v>128.30000000000001</v>
      </c>
      <c r="N88" s="73">
        <v>130.30000000000001</v>
      </c>
      <c r="O88" s="73">
        <v>131.9</v>
      </c>
      <c r="P88" s="73">
        <v>131.9</v>
      </c>
      <c r="Q88" s="73">
        <v>132.1</v>
      </c>
      <c r="R88" s="73">
        <v>132.6</v>
      </c>
      <c r="S88" s="73">
        <v>131.9</v>
      </c>
      <c r="T88" s="73">
        <v>131.5</v>
      </c>
      <c r="U88" s="73">
        <v>131.4</v>
      </c>
      <c r="V88" s="73">
        <v>131.69999999999999</v>
      </c>
      <c r="W88" s="73">
        <v>131.30000000000001</v>
      </c>
      <c r="X88" s="100">
        <v>131.5</v>
      </c>
      <c r="Y88" s="100">
        <v>130.1</v>
      </c>
      <c r="Z88" s="100">
        <v>132.80000000000001</v>
      </c>
      <c r="AA88" s="100">
        <v>135.6</v>
      </c>
      <c r="AB88" s="73">
        <v>135.69999999999999</v>
      </c>
      <c r="AC88" s="73">
        <v>136.1</v>
      </c>
      <c r="AD88" s="73">
        <v>134.6</v>
      </c>
      <c r="AE88" s="73">
        <v>130.19999999999999</v>
      </c>
      <c r="AF88" s="73">
        <v>133.19999999999999</v>
      </c>
      <c r="AG88" s="101"/>
      <c r="AH88" s="54">
        <f t="shared" si="13"/>
        <v>136.1</v>
      </c>
      <c r="AI88" s="55">
        <f t="shared" si="14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129</v>
      </c>
      <c r="C89" s="104">
        <v>128</v>
      </c>
      <c r="D89" s="104">
        <v>131</v>
      </c>
      <c r="E89" s="104">
        <v>131</v>
      </c>
      <c r="F89" s="104">
        <v>128</v>
      </c>
      <c r="G89" s="104">
        <v>132</v>
      </c>
      <c r="H89" s="104">
        <v>134</v>
      </c>
      <c r="I89" s="104">
        <v>136</v>
      </c>
      <c r="J89" s="104">
        <v>132</v>
      </c>
      <c r="K89" s="104">
        <v>135</v>
      </c>
      <c r="L89" s="104">
        <v>133</v>
      </c>
      <c r="M89" s="104">
        <v>136.5</v>
      </c>
      <c r="N89" s="104">
        <v>135.19999999999999</v>
      </c>
      <c r="O89" s="104">
        <v>135.9</v>
      </c>
      <c r="P89" s="104">
        <v>135.9</v>
      </c>
      <c r="Q89" s="104">
        <v>129.9</v>
      </c>
      <c r="R89" s="104">
        <v>131.80000000000001</v>
      </c>
      <c r="S89" s="104">
        <v>131</v>
      </c>
      <c r="T89" s="104">
        <v>131.19999999999999</v>
      </c>
      <c r="U89" s="104">
        <v>134.19999999999999</v>
      </c>
      <c r="V89" s="104">
        <v>133.5</v>
      </c>
      <c r="W89" s="104">
        <v>133</v>
      </c>
      <c r="X89" s="100">
        <v>134</v>
      </c>
      <c r="Y89" s="100">
        <v>132</v>
      </c>
      <c r="Z89" s="100">
        <v>133.80000000000001</v>
      </c>
      <c r="AA89" s="100">
        <v>134.1</v>
      </c>
      <c r="AB89" s="104">
        <v>135.69999999999999</v>
      </c>
      <c r="AC89" s="104">
        <v>135.69999999999999</v>
      </c>
      <c r="AD89" s="104">
        <v>135.69999999999999</v>
      </c>
      <c r="AE89" s="104">
        <v>129.9</v>
      </c>
      <c r="AF89" s="104">
        <v>130.5</v>
      </c>
      <c r="AG89" s="105"/>
      <c r="AH89" s="54">
        <f t="shared" si="13"/>
        <v>136.5</v>
      </c>
      <c r="AI89" s="55">
        <f t="shared" si="14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138</v>
      </c>
      <c r="C90" s="73">
        <v>139</v>
      </c>
      <c r="D90" s="73">
        <v>136</v>
      </c>
      <c r="E90" s="73">
        <v>136</v>
      </c>
      <c r="F90" s="73">
        <v>132</v>
      </c>
      <c r="G90" s="73">
        <v>134</v>
      </c>
      <c r="H90" s="73">
        <v>132</v>
      </c>
      <c r="I90" s="73">
        <v>132</v>
      </c>
      <c r="J90" s="73">
        <v>133</v>
      </c>
      <c r="K90" s="73">
        <v>131</v>
      </c>
      <c r="L90" s="73">
        <v>129</v>
      </c>
      <c r="M90" s="73">
        <v>132.30000000000001</v>
      </c>
      <c r="N90" s="73">
        <v>132.1</v>
      </c>
      <c r="O90" s="73">
        <v>134</v>
      </c>
      <c r="P90" s="73">
        <v>134</v>
      </c>
      <c r="Q90" s="73">
        <v>136.30000000000001</v>
      </c>
      <c r="R90" s="73">
        <v>129.19999999999999</v>
      </c>
      <c r="S90" s="73">
        <v>132.80000000000001</v>
      </c>
      <c r="T90" s="73">
        <v>134.30000000000001</v>
      </c>
      <c r="U90" s="73">
        <v>133.80000000000001</v>
      </c>
      <c r="V90" s="73">
        <v>133.4</v>
      </c>
      <c r="W90" s="73">
        <v>135.5</v>
      </c>
      <c r="X90" s="100">
        <v>131.9</v>
      </c>
      <c r="Y90" s="100">
        <v>134.5</v>
      </c>
      <c r="Z90" s="100">
        <v>134.80000000000001</v>
      </c>
      <c r="AA90" s="100">
        <v>135.19999999999999</v>
      </c>
      <c r="AB90" s="73">
        <v>134.9</v>
      </c>
      <c r="AC90" s="73">
        <v>132.9</v>
      </c>
      <c r="AD90" s="73">
        <v>134.69999999999999</v>
      </c>
      <c r="AE90" s="73">
        <v>135.80000000000001</v>
      </c>
      <c r="AF90" s="73">
        <v>135</v>
      </c>
      <c r="AG90" s="101"/>
      <c r="AH90" s="54">
        <f t="shared" si="13"/>
        <v>139</v>
      </c>
      <c r="AI90" s="55">
        <f t="shared" si="14"/>
        <v>129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64.8</v>
      </c>
      <c r="C91" s="107">
        <v>64.400000000000006</v>
      </c>
      <c r="D91" s="107">
        <v>64.900000000000006</v>
      </c>
      <c r="E91" s="107">
        <v>65</v>
      </c>
      <c r="F91" s="107">
        <v>65</v>
      </c>
      <c r="G91" s="107">
        <v>65</v>
      </c>
      <c r="H91" s="107">
        <v>65.400000000000006</v>
      </c>
      <c r="I91" s="107">
        <v>65</v>
      </c>
      <c r="J91" s="107">
        <v>65.5</v>
      </c>
      <c r="K91" s="107">
        <v>64.400000000000006</v>
      </c>
      <c r="L91" s="107">
        <v>64</v>
      </c>
      <c r="M91" s="107">
        <v>64.2</v>
      </c>
      <c r="N91" s="107">
        <v>64.599999999999994</v>
      </c>
      <c r="O91" s="107">
        <v>64.099999999999994</v>
      </c>
      <c r="P91" s="107">
        <v>64.099999999999994</v>
      </c>
      <c r="Q91" s="107">
        <v>63.2</v>
      </c>
      <c r="R91" s="107">
        <v>63.6</v>
      </c>
      <c r="S91" s="107">
        <v>63.7</v>
      </c>
      <c r="T91" s="107">
        <v>64.400000000000006</v>
      </c>
      <c r="U91" s="107">
        <v>64.5</v>
      </c>
      <c r="V91" s="107">
        <v>64.5</v>
      </c>
      <c r="W91" s="107">
        <v>64.599999999999994</v>
      </c>
      <c r="X91" s="107">
        <v>64.599999999999994</v>
      </c>
      <c r="Y91" s="107">
        <v>64</v>
      </c>
      <c r="Z91" s="107">
        <v>64.5</v>
      </c>
      <c r="AA91" s="107">
        <v>64.900000000000006</v>
      </c>
      <c r="AB91" s="107">
        <v>65.3</v>
      </c>
      <c r="AC91" s="107">
        <v>64.8</v>
      </c>
      <c r="AD91" s="107">
        <v>65.400000000000006</v>
      </c>
      <c r="AE91" s="107">
        <v>65.3</v>
      </c>
      <c r="AF91" s="107">
        <v>65.599999999999994</v>
      </c>
      <c r="AG91" s="108"/>
      <c r="AH91" s="54">
        <f t="shared" si="13"/>
        <v>65.599999999999994</v>
      </c>
      <c r="AI91" s="55">
        <f t="shared" si="14"/>
        <v>63.2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201.53999999999996</v>
      </c>
      <c r="C93" s="114">
        <f>SUM(C15,C18,C21:C22,C42,C44:C45,C47,C49,C94:C97,C102,C108,C114,C123,C125,C137,C144,C147:C148,C155,C157,C159,C163:C165,C167:C169,C174,C180:C181,C183:C185,C193,C198)</f>
        <v>192.53999999999996</v>
      </c>
      <c r="D93" s="114">
        <f t="shared" ref="D93:AF93" si="21">SUM(D15,D18,D21:D22,D42,D44:D45,D47,D49,D94:D97,D102,D108,D114,D123,D125,D137,D144,D147:D148,D155,D157,D159,D163:D165,D167:D169,D174,D180:D181,D183:D185,D193,D198)</f>
        <v>175.64</v>
      </c>
      <c r="E93" s="114">
        <f t="shared" si="21"/>
        <v>180.93999999999997</v>
      </c>
      <c r="F93" s="114">
        <f t="shared" si="21"/>
        <v>175.13999999999996</v>
      </c>
      <c r="G93" s="113">
        <f t="shared" si="21"/>
        <v>196.33999999999997</v>
      </c>
      <c r="H93" s="113">
        <f t="shared" si="21"/>
        <v>227.33999999999997</v>
      </c>
      <c r="I93" s="113">
        <f t="shared" si="21"/>
        <v>260.74000000000007</v>
      </c>
      <c r="J93" s="113">
        <f t="shared" si="21"/>
        <v>308.54000000000002</v>
      </c>
      <c r="K93" s="113">
        <f t="shared" si="21"/>
        <v>364.04</v>
      </c>
      <c r="L93" s="113">
        <f t="shared" si="21"/>
        <v>405.34000000000003</v>
      </c>
      <c r="M93" s="113">
        <f t="shared" si="21"/>
        <v>419.24</v>
      </c>
      <c r="N93" s="113">
        <f t="shared" si="21"/>
        <v>397.94000000000005</v>
      </c>
      <c r="O93" s="113">
        <f t="shared" si="21"/>
        <v>382.14000000000004</v>
      </c>
      <c r="P93" s="113">
        <f t="shared" si="21"/>
        <v>367.34000000000003</v>
      </c>
      <c r="Q93" s="113">
        <f t="shared" si="21"/>
        <v>339.74</v>
      </c>
      <c r="R93" s="113">
        <f t="shared" si="21"/>
        <v>336.24</v>
      </c>
      <c r="S93" s="113">
        <f t="shared" si="21"/>
        <v>339.34000000000003</v>
      </c>
      <c r="T93" s="113">
        <f t="shared" si="21"/>
        <v>334.14000000000004</v>
      </c>
      <c r="U93" s="113">
        <f t="shared" si="21"/>
        <v>349.84000000000003</v>
      </c>
      <c r="V93" s="113">
        <f t="shared" si="21"/>
        <v>365.64</v>
      </c>
      <c r="W93" s="113">
        <f t="shared" si="21"/>
        <v>386.64000000000004</v>
      </c>
      <c r="X93" s="113">
        <f t="shared" si="21"/>
        <v>412.64</v>
      </c>
      <c r="Y93" s="113">
        <f t="shared" si="21"/>
        <v>460.14000000000004</v>
      </c>
      <c r="Z93" s="113">
        <f t="shared" si="21"/>
        <v>459.64000000000004</v>
      </c>
      <c r="AA93" s="113">
        <f t="shared" si="21"/>
        <v>446.34000000000003</v>
      </c>
      <c r="AB93" s="113">
        <f t="shared" si="21"/>
        <v>423.94</v>
      </c>
      <c r="AC93" s="113">
        <f t="shared" si="21"/>
        <v>403.24000000000012</v>
      </c>
      <c r="AD93" s="113">
        <f t="shared" si="21"/>
        <v>376.24</v>
      </c>
      <c r="AE93" s="113">
        <f t="shared" si="21"/>
        <v>308.94000000000005</v>
      </c>
      <c r="AF93" s="113">
        <f t="shared" si="21"/>
        <v>239.03999999999996</v>
      </c>
      <c r="AG93" s="115"/>
      <c r="AH93" s="54">
        <f>MAX(C93:AF93)</f>
        <v>460.14000000000004</v>
      </c>
      <c r="AI93" s="55">
        <f>MIN(C93:AF93)</f>
        <v>175.13999999999996</v>
      </c>
    </row>
    <row r="94" spans="1:88" x14ac:dyDescent="0.25">
      <c r="A94" s="116" t="s">
        <v>98</v>
      </c>
      <c r="B94" s="117">
        <v>-39</v>
      </c>
      <c r="C94" s="58">
        <v>-41</v>
      </c>
      <c r="D94" s="58">
        <v>-37</v>
      </c>
      <c r="E94" s="58">
        <v>-34.200000000000003</v>
      </c>
      <c r="F94" s="58">
        <v>-33.700000000000003</v>
      </c>
      <c r="G94" s="118">
        <v>-27.7</v>
      </c>
      <c r="H94" s="118">
        <v>-5.3</v>
      </c>
      <c r="I94" s="118">
        <v>6.8</v>
      </c>
      <c r="J94" s="118">
        <v>16.2</v>
      </c>
      <c r="K94" s="118">
        <v>64.5</v>
      </c>
      <c r="L94" s="118">
        <v>43.5</v>
      </c>
      <c r="M94" s="119">
        <v>51.7</v>
      </c>
      <c r="N94" s="118">
        <v>52.4</v>
      </c>
      <c r="O94" s="118">
        <v>46.5</v>
      </c>
      <c r="P94" s="118">
        <v>29.6</v>
      </c>
      <c r="Q94" s="118">
        <v>4.5999999999999996</v>
      </c>
      <c r="R94" s="118">
        <v>-0.8</v>
      </c>
      <c r="S94" s="118">
        <v>11.7</v>
      </c>
      <c r="T94" s="118">
        <v>-0.7</v>
      </c>
      <c r="U94" s="119">
        <v>4</v>
      </c>
      <c r="V94" s="119">
        <v>28.9</v>
      </c>
      <c r="W94" s="119">
        <v>53.7</v>
      </c>
      <c r="X94" s="118">
        <v>76.099999999999994</v>
      </c>
      <c r="Y94" s="118">
        <v>47.1</v>
      </c>
      <c r="Z94" s="118">
        <v>54.4</v>
      </c>
      <c r="AA94" s="118">
        <v>63</v>
      </c>
      <c r="AB94" s="119">
        <v>66.8</v>
      </c>
      <c r="AC94" s="119">
        <v>62.5</v>
      </c>
      <c r="AD94" s="119">
        <v>35.799999999999997</v>
      </c>
      <c r="AE94" s="119">
        <v>-2.5</v>
      </c>
      <c r="AF94" s="119">
        <v>-22.7</v>
      </c>
      <c r="AG94" s="120">
        <v>75</v>
      </c>
      <c r="AH94" s="54">
        <f t="shared" ref="AH94:AH99" si="22">IF(ABS(MAX(C94:AF94))&gt;ABS(MIN(C94:AF94)),MAX(C94:AF94),MIN(C94:AF94))</f>
        <v>76.099999999999994</v>
      </c>
      <c r="AI94" s="121">
        <f t="shared" ref="AI94:AI99" si="23">INDEX($C$9:$AF$9,1,MATCH(AH94,C94:AF94,0))</f>
        <v>0.75</v>
      </c>
    </row>
    <row r="95" spans="1:88" x14ac:dyDescent="0.25">
      <c r="A95" s="122" t="s">
        <v>99</v>
      </c>
      <c r="B95" s="123">
        <v>-36</v>
      </c>
      <c r="C95" s="60">
        <v>-45</v>
      </c>
      <c r="D95" s="60">
        <v>-35</v>
      </c>
      <c r="E95" s="60">
        <v>-35.799999999999997</v>
      </c>
      <c r="F95" s="60">
        <v>-35.299999999999997</v>
      </c>
      <c r="G95" s="60">
        <v>-30</v>
      </c>
      <c r="H95" s="60">
        <v>-21</v>
      </c>
      <c r="I95" s="60">
        <v>-12</v>
      </c>
      <c r="J95" s="60">
        <v>16.399999999999999</v>
      </c>
      <c r="K95" s="60">
        <v>35</v>
      </c>
      <c r="L95" s="60">
        <v>48.5</v>
      </c>
      <c r="M95" s="60">
        <v>45</v>
      </c>
      <c r="N95" s="60">
        <f>18.3+12.4</f>
        <v>30.700000000000003</v>
      </c>
      <c r="O95" s="60">
        <f>24.3+18.6</f>
        <v>42.900000000000006</v>
      </c>
      <c r="P95" s="60">
        <f>27.9+26.6</f>
        <v>54.5</v>
      </c>
      <c r="Q95" s="60">
        <f>16.4+16.1</f>
        <v>32.5</v>
      </c>
      <c r="R95" s="60">
        <f>18.3+17.3</f>
        <v>35.6</v>
      </c>
      <c r="S95" s="60">
        <v>41</v>
      </c>
      <c r="T95" s="60">
        <v>33</v>
      </c>
      <c r="U95" s="60">
        <v>40</v>
      </c>
      <c r="V95" s="60">
        <v>41.2</v>
      </c>
      <c r="W95" s="60">
        <v>36</v>
      </c>
      <c r="X95" s="60">
        <v>56</v>
      </c>
      <c r="Y95" s="60">
        <v>85.8</v>
      </c>
      <c r="Z95" s="60">
        <v>85</v>
      </c>
      <c r="AA95" s="60">
        <v>74</v>
      </c>
      <c r="AB95" s="73">
        <f>31.9+31</f>
        <v>62.9</v>
      </c>
      <c r="AC95" s="73">
        <v>60.5</v>
      </c>
      <c r="AD95" s="73">
        <v>43</v>
      </c>
      <c r="AE95" s="73">
        <v>34</v>
      </c>
      <c r="AF95" s="73">
        <f>-6.9-7.7</f>
        <v>-14.600000000000001</v>
      </c>
      <c r="AG95" s="120">
        <v>240</v>
      </c>
      <c r="AH95" s="54">
        <f t="shared" si="22"/>
        <v>85.8</v>
      </c>
      <c r="AI95" s="121">
        <f t="shared" si="23"/>
        <v>0.77083333333333337</v>
      </c>
    </row>
    <row r="96" spans="1:88" x14ac:dyDescent="0.25">
      <c r="A96" s="122" t="s">
        <v>100</v>
      </c>
      <c r="B96" s="123">
        <v>12</v>
      </c>
      <c r="C96" s="60">
        <v>12</v>
      </c>
      <c r="D96" s="60">
        <v>-11.2</v>
      </c>
      <c r="E96" s="60">
        <v>-5</v>
      </c>
      <c r="F96" s="60">
        <v>-10.9</v>
      </c>
      <c r="G96" s="60">
        <v>-5.8</v>
      </c>
      <c r="H96" s="60">
        <v>-7</v>
      </c>
      <c r="I96" s="60">
        <v>-6</v>
      </c>
      <c r="J96" s="60">
        <v>4.4000000000000004</v>
      </c>
      <c r="K96" s="60">
        <v>0</v>
      </c>
      <c r="L96" s="60">
        <v>28.3</v>
      </c>
      <c r="M96" s="60">
        <v>36</v>
      </c>
      <c r="N96" s="60">
        <v>40.5</v>
      </c>
      <c r="O96" s="60">
        <v>38.1</v>
      </c>
      <c r="P96" s="60">
        <v>33.299999999999997</v>
      </c>
      <c r="Q96" s="60">
        <v>23</v>
      </c>
      <c r="R96" s="60">
        <v>18.5</v>
      </c>
      <c r="S96" s="60">
        <v>20.3</v>
      </c>
      <c r="T96" s="60">
        <v>22</v>
      </c>
      <c r="U96" s="60">
        <v>26.6</v>
      </c>
      <c r="V96" s="60">
        <v>24.7</v>
      </c>
      <c r="W96" s="60">
        <v>25.8</v>
      </c>
      <c r="X96" s="60">
        <v>41.4</v>
      </c>
      <c r="Y96" s="60">
        <v>60.5</v>
      </c>
      <c r="Z96" s="60">
        <v>53.6</v>
      </c>
      <c r="AA96" s="60">
        <v>48.5</v>
      </c>
      <c r="AB96" s="73">
        <v>40.4</v>
      </c>
      <c r="AC96" s="73">
        <v>33.799999999999997</v>
      </c>
      <c r="AD96" s="73">
        <v>22.1</v>
      </c>
      <c r="AE96" s="73">
        <v>9.8000000000000007</v>
      </c>
      <c r="AF96" s="73">
        <v>3.2</v>
      </c>
      <c r="AG96" s="120">
        <v>60</v>
      </c>
      <c r="AH96" s="54">
        <f t="shared" si="22"/>
        <v>60.5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97</v>
      </c>
      <c r="C97" s="63">
        <v>99</v>
      </c>
      <c r="D97" s="63">
        <v>94.9</v>
      </c>
      <c r="E97" s="63">
        <v>92</v>
      </c>
      <c r="F97" s="63">
        <v>90.5</v>
      </c>
      <c r="G97" s="63">
        <v>94.9</v>
      </c>
      <c r="H97" s="63">
        <v>94.7</v>
      </c>
      <c r="I97" s="63">
        <v>106</v>
      </c>
      <c r="J97" s="63">
        <v>107</v>
      </c>
      <c r="K97" s="63">
        <v>100</v>
      </c>
      <c r="L97" s="63">
        <v>120.5</v>
      </c>
      <c r="M97" s="63">
        <v>120</v>
      </c>
      <c r="N97" s="63">
        <v>107.8</v>
      </c>
      <c r="O97" s="63">
        <v>89.7</v>
      </c>
      <c r="P97" s="63">
        <v>85</v>
      </c>
      <c r="Q97" s="63">
        <v>115</v>
      </c>
      <c r="R97" s="63">
        <v>118.3</v>
      </c>
      <c r="S97" s="63">
        <v>102.5</v>
      </c>
      <c r="T97" s="63">
        <v>112.4</v>
      </c>
      <c r="U97" s="63">
        <v>113.7</v>
      </c>
      <c r="V97" s="63">
        <v>108.9</v>
      </c>
      <c r="W97" s="63">
        <v>96.8</v>
      </c>
      <c r="X97" s="63">
        <v>77</v>
      </c>
      <c r="Y97" s="63">
        <v>96.3</v>
      </c>
      <c r="Z97" s="63">
        <v>96.2</v>
      </c>
      <c r="AA97" s="63">
        <v>89.6</v>
      </c>
      <c r="AB97" s="126">
        <v>81</v>
      </c>
      <c r="AC97" s="126">
        <v>73.400000000000006</v>
      </c>
      <c r="AD97" s="126">
        <v>105.1</v>
      </c>
      <c r="AE97" s="126">
        <v>101</v>
      </c>
      <c r="AF97" s="126">
        <v>104</v>
      </c>
      <c r="AG97" s="127">
        <v>120</v>
      </c>
      <c r="AH97" s="54">
        <f t="shared" si="22"/>
        <v>120.5</v>
      </c>
      <c r="AI97" s="121">
        <f t="shared" si="23"/>
        <v>0.3125</v>
      </c>
    </row>
    <row r="98" spans="1:37" x14ac:dyDescent="0.25">
      <c r="A98" s="124" t="s">
        <v>102</v>
      </c>
      <c r="B98" s="125">
        <v>100</v>
      </c>
      <c r="C98" s="63">
        <v>100</v>
      </c>
      <c r="D98" s="63">
        <v>100</v>
      </c>
      <c r="E98" s="63">
        <v>96</v>
      </c>
      <c r="F98" s="63">
        <v>94.8</v>
      </c>
      <c r="G98" s="63">
        <v>97.6</v>
      </c>
      <c r="H98" s="63">
        <v>91</v>
      </c>
      <c r="I98" s="63">
        <v>102</v>
      </c>
      <c r="J98" s="63">
        <v>86.8</v>
      </c>
      <c r="K98" s="63">
        <v>65</v>
      </c>
      <c r="L98" s="63">
        <v>89.3</v>
      </c>
      <c r="M98" s="63">
        <v>75</v>
      </c>
      <c r="N98" s="63">
        <v>50.1</v>
      </c>
      <c r="O98" s="63">
        <v>71.8</v>
      </c>
      <c r="P98" s="63">
        <v>97.8</v>
      </c>
      <c r="Q98" s="63">
        <v>98</v>
      </c>
      <c r="R98" s="63">
        <v>101</v>
      </c>
      <c r="S98" s="63">
        <v>99.5</v>
      </c>
      <c r="T98" s="63">
        <v>94.5</v>
      </c>
      <c r="U98" s="63">
        <v>95.7</v>
      </c>
      <c r="V98" s="63">
        <v>86.5</v>
      </c>
      <c r="W98" s="63">
        <v>65</v>
      </c>
      <c r="X98" s="63">
        <v>62.3</v>
      </c>
      <c r="Y98" s="63">
        <v>91.8</v>
      </c>
      <c r="Z98" s="63">
        <v>95.6</v>
      </c>
      <c r="AA98" s="63">
        <v>79.2</v>
      </c>
      <c r="AB98" s="126">
        <v>69.099999999999994</v>
      </c>
      <c r="AC98" s="126">
        <v>74</v>
      </c>
      <c r="AD98" s="126">
        <v>82.9</v>
      </c>
      <c r="AE98" s="126">
        <v>107.2</v>
      </c>
      <c r="AF98" s="126">
        <v>108</v>
      </c>
      <c r="AG98" s="127"/>
      <c r="AH98" s="54">
        <f t="shared" si="22"/>
        <v>108</v>
      </c>
      <c r="AI98" s="121">
        <f t="shared" si="23"/>
        <v>0.95833333333333304</v>
      </c>
    </row>
    <row r="99" spans="1:37" ht="15.75" thickBot="1" x14ac:dyDescent="0.3">
      <c r="A99" s="124" t="s">
        <v>103</v>
      </c>
      <c r="B99" s="125">
        <v>72</v>
      </c>
      <c r="C99" s="63">
        <v>80</v>
      </c>
      <c r="D99" s="63">
        <v>77.900000000000006</v>
      </c>
      <c r="E99" s="63">
        <v>75.900000000000006</v>
      </c>
      <c r="F99" s="63">
        <v>74.8</v>
      </c>
      <c r="G99" s="63">
        <v>64</v>
      </c>
      <c r="H99" s="63">
        <v>32.700000000000003</v>
      </c>
      <c r="I99" s="63">
        <v>35.200000000000003</v>
      </c>
      <c r="J99" s="63">
        <v>35.799999999999997</v>
      </c>
      <c r="K99" s="63">
        <v>10.199999999999999</v>
      </c>
      <c r="L99" s="63">
        <v>35.9</v>
      </c>
      <c r="M99" s="63">
        <v>24.3</v>
      </c>
      <c r="N99" s="63">
        <v>21</v>
      </c>
      <c r="O99" s="63">
        <v>24</v>
      </c>
      <c r="P99" s="63">
        <v>49.2</v>
      </c>
      <c r="Q99" s="63">
        <v>56.2</v>
      </c>
      <c r="R99" s="63">
        <v>45.3</v>
      </c>
      <c r="S99" s="63">
        <v>37.4</v>
      </c>
      <c r="T99" s="63">
        <v>45</v>
      </c>
      <c r="U99" s="63">
        <v>41.2</v>
      </c>
      <c r="V99" s="63">
        <v>32.1</v>
      </c>
      <c r="W99" s="63">
        <v>21.4</v>
      </c>
      <c r="X99" s="63">
        <v>5</v>
      </c>
      <c r="Y99" s="63">
        <v>35.5</v>
      </c>
      <c r="Z99" s="63">
        <v>31.8</v>
      </c>
      <c r="AA99" s="63">
        <v>19.899999999999999</v>
      </c>
      <c r="AB99" s="126">
        <v>14.8</v>
      </c>
      <c r="AC99" s="126">
        <v>20.3</v>
      </c>
      <c r="AD99" s="126">
        <v>28.7</v>
      </c>
      <c r="AE99" s="126">
        <v>75.400000000000006</v>
      </c>
      <c r="AF99" s="126">
        <v>59</v>
      </c>
      <c r="AG99" s="128"/>
      <c r="AH99" s="54">
        <f t="shared" si="22"/>
        <v>80</v>
      </c>
      <c r="AI99" s="121">
        <f t="shared" si="23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1522.24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934.64</v>
      </c>
      <c r="U213" s="174">
        <f t="shared" si="60"/>
        <v>923.64</v>
      </c>
      <c r="V213" s="174">
        <f t="shared" si="60"/>
        <v>898.14</v>
      </c>
      <c r="W213" s="174">
        <f t="shared" si="60"/>
        <v>899.34</v>
      </c>
      <c r="X213" s="174">
        <f t="shared" si="60"/>
        <v>897.04</v>
      </c>
      <c r="Y213" s="174">
        <f t="shared" si="60"/>
        <v>933.64</v>
      </c>
      <c r="Z213" s="174">
        <f t="shared" si="60"/>
        <v>1027.6399999999999</v>
      </c>
      <c r="AA213" s="174">
        <f t="shared" si="60"/>
        <v>1105.44</v>
      </c>
      <c r="AB213" s="174">
        <f t="shared" si="60"/>
        <v>1235.24</v>
      </c>
      <c r="AC213" s="174">
        <f t="shared" si="60"/>
        <v>1368.8400000000001</v>
      </c>
      <c r="AD213" s="174">
        <f t="shared" si="60"/>
        <v>1518.2399999999998</v>
      </c>
      <c r="AE213" s="174">
        <f t="shared" si="60"/>
        <v>1522.24</v>
      </c>
      <c r="AF213" s="174">
        <f t="shared" si="60"/>
        <v>1450.14</v>
      </c>
      <c r="AG213" s="174">
        <f t="shared" si="60"/>
        <v>1351.8899999999999</v>
      </c>
      <c r="AH213" s="174">
        <f t="shared" si="60"/>
        <v>1226.9299999999998</v>
      </c>
      <c r="AI213" s="174">
        <f t="shared" si="60"/>
        <v>1155.9299999999998</v>
      </c>
      <c r="AJ213" s="174">
        <f t="shared" si="60"/>
        <v>1138.1299999999999</v>
      </c>
      <c r="AK213" s="174">
        <f t="shared" si="60"/>
        <v>1164.44</v>
      </c>
      <c r="AL213" s="174">
        <f t="shared" si="60"/>
        <v>1184.3699999999999</v>
      </c>
      <c r="AM213" s="174">
        <f t="shared" si="60"/>
        <v>1233.3400000000001</v>
      </c>
      <c r="AN213" s="174">
        <f t="shared" si="60"/>
        <v>1266.8400000000001</v>
      </c>
      <c r="AO213" s="174">
        <f t="shared" si="60"/>
        <v>1285.04</v>
      </c>
      <c r="AP213" s="174">
        <f t="shared" si="60"/>
        <v>1423.44</v>
      </c>
      <c r="AQ213" s="174">
        <f t="shared" si="60"/>
        <v>1545.04</v>
      </c>
      <c r="AR213" s="174">
        <f t="shared" si="60"/>
        <v>1524.8400000000001</v>
      </c>
      <c r="AS213" s="174">
        <f t="shared" si="60"/>
        <v>1493.54</v>
      </c>
      <c r="AT213" s="174">
        <f t="shared" si="60"/>
        <v>1412.24</v>
      </c>
      <c r="AU213" s="174">
        <f t="shared" si="60"/>
        <v>1354.7399999999998</v>
      </c>
      <c r="AV213" s="174">
        <f t="shared" si="60"/>
        <v>1270.26</v>
      </c>
      <c r="AW213" s="174">
        <f t="shared" si="60"/>
        <v>1111.4399999999998</v>
      </c>
      <c r="AX213" s="174">
        <f t="shared" si="60"/>
        <v>996.83999999999992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 C57:L59 H60:M60 J61:M61 M58:M59 U40:Y42 X85:AA91 AB81:AF81 B81:R81 C56:AF56 B82:AF83 D193:AF199 B193:B199 C68:AF72 AB84:AF91 B84:B91 M53:AF55 B73:AF80 B9:AF10 B191:AF191 AF57:AF67 AG73 AB94:AF99 B94:B99 U212:AF212 B53:B72 C60:G67 H61:I67 J62:L67 S58:W59 N36:R37 M39:R42 N58:R61 R40:T41 M11:U14 V12:X14 M16:X32 N45:X48 Z40:AE43 Y18:AA30 V11:AD11 AB12:AD14 AB16:AF26 AB28:AF31 B36:AF36 AE11:AF14">
    <cfRule type="expression" dxfId="8715" priority="251">
      <formula>B$9&gt;=20/24</formula>
    </cfRule>
    <cfRule type="expression" dxfId="8714" priority="252">
      <formula>AND(B$9&gt;=14/24,B$9&lt;20/24)</formula>
    </cfRule>
    <cfRule type="expression" dxfId="8713" priority="253">
      <formula>AND(B$9&gt;=8/24,B$9&lt;14/24)</formula>
    </cfRule>
    <cfRule type="expression" dxfId="8712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711" priority="246">
      <formula>M$9&gt;=20/24</formula>
    </cfRule>
    <cfRule type="expression" dxfId="8710" priority="247">
      <formula>AND(M$9&gt;=14/24,M$9&lt;20/24)</formula>
    </cfRule>
    <cfRule type="expression" dxfId="8709" priority="248">
      <formula>AND(M$9&gt;=8/24,M$9&lt;14/24)</formula>
    </cfRule>
    <cfRule type="expression" dxfId="8708" priority="249">
      <formula>M$9&lt;8/24</formula>
    </cfRule>
  </conditionalFormatting>
  <conditionalFormatting sqref="M43:R43">
    <cfRule type="expression" dxfId="8707" priority="242">
      <formula>M$9&gt;=20/24</formula>
    </cfRule>
    <cfRule type="expression" dxfId="8706" priority="243">
      <formula>AND(M$9&gt;=14/24,M$9&lt;20/24)</formula>
    </cfRule>
    <cfRule type="expression" dxfId="8705" priority="244">
      <formula>AND(M$9&gt;=8/24,M$9&lt;14/24)</formula>
    </cfRule>
    <cfRule type="expression" dxfId="8704" priority="245">
      <formula>M$9&lt;8/24</formula>
    </cfRule>
  </conditionalFormatting>
  <conditionalFormatting sqref="AB32:AF32">
    <cfRule type="expression" dxfId="8703" priority="238">
      <formula>AB$9&gt;=20/24</formula>
    </cfRule>
    <cfRule type="expression" dxfId="8702" priority="239">
      <formula>AND(AB$9&gt;=14/24,AB$9&lt;20/24)</formula>
    </cfRule>
    <cfRule type="expression" dxfId="8701" priority="240">
      <formula>AND(AB$9&gt;=8/24,AB$9&lt;14/24)</formula>
    </cfRule>
    <cfRule type="expression" dxfId="8700" priority="241">
      <formula>AB$9&lt;8/24</formula>
    </cfRule>
  </conditionalFormatting>
  <conditionalFormatting sqref="S39:AE39">
    <cfRule type="expression" dxfId="8699" priority="234">
      <formula>S$9&gt;=20/24</formula>
    </cfRule>
    <cfRule type="expression" dxfId="8698" priority="235">
      <formula>AND(S$9&gt;=14/24,S$9&lt;20/24)</formula>
    </cfRule>
    <cfRule type="expression" dxfId="8697" priority="236">
      <formula>AND(S$9&gt;=8/24,S$9&lt;14/24)</formula>
    </cfRule>
    <cfRule type="expression" dxfId="8696" priority="237">
      <formula>S$9&lt;8/24</formula>
    </cfRule>
  </conditionalFormatting>
  <conditionalFormatting sqref="S57:AE57">
    <cfRule type="expression" dxfId="8695" priority="230">
      <formula>S$9&gt;=20/24</formula>
    </cfRule>
    <cfRule type="expression" dxfId="8694" priority="231">
      <formula>AND(S$9&gt;=14/24,S$9&lt;20/24)</formula>
    </cfRule>
    <cfRule type="expression" dxfId="8693" priority="232">
      <formula>AND(S$9&gt;=8/24,S$9&lt;14/24)</formula>
    </cfRule>
    <cfRule type="expression" dxfId="8692" priority="233">
      <formula>S$9&lt;8/24</formula>
    </cfRule>
  </conditionalFormatting>
  <conditionalFormatting sqref="S81:AA81">
    <cfRule type="expression" dxfId="8691" priority="226">
      <formula>S$9&gt;=20/24</formula>
    </cfRule>
    <cfRule type="expression" dxfId="8690" priority="227">
      <formula>AND(S$9&gt;=14/24,S$9&lt;20/24)</formula>
    </cfRule>
    <cfRule type="expression" dxfId="8689" priority="228">
      <formula>AND(S$9&gt;=8/24,S$9&lt;14/24)</formula>
    </cfRule>
    <cfRule type="expression" dxfId="8688" priority="229">
      <formula>S$9&lt;8/24</formula>
    </cfRule>
  </conditionalFormatting>
  <conditionalFormatting sqref="U84:AA84">
    <cfRule type="expression" dxfId="8687" priority="222">
      <formula>U$9&gt;=20/24</formula>
    </cfRule>
    <cfRule type="expression" dxfId="8686" priority="223">
      <formula>AND(U$9&gt;=14/24,U$9&lt;20/24)</formula>
    </cfRule>
    <cfRule type="expression" dxfId="8685" priority="224">
      <formula>AND(U$9&gt;=8/24,U$9&lt;14/24)</formula>
    </cfRule>
    <cfRule type="expression" dxfId="8684" priority="225">
      <formula>U$9&lt;8/24</formula>
    </cfRule>
  </conditionalFormatting>
  <conditionalFormatting sqref="M35:X35">
    <cfRule type="expression" dxfId="8683" priority="218">
      <formula>M$9&gt;=20/24</formula>
    </cfRule>
    <cfRule type="expression" dxfId="8682" priority="219">
      <formula>AND(M$9&gt;=14/24,M$9&lt;20/24)</formula>
    </cfRule>
    <cfRule type="expression" dxfId="8681" priority="220">
      <formula>AND(M$9&gt;=8/24,M$9&lt;14/24)</formula>
    </cfRule>
    <cfRule type="expression" dxfId="8680" priority="221">
      <formula>M$9&lt;8/24</formula>
    </cfRule>
  </conditionalFormatting>
  <conditionalFormatting sqref="M49:X49">
    <cfRule type="expression" dxfId="8679" priority="214">
      <formula>M$9&gt;=20/24</formula>
    </cfRule>
    <cfRule type="expression" dxfId="8678" priority="215">
      <formula>AND(M$9&gt;=14/24,M$9&lt;20/24)</formula>
    </cfRule>
    <cfRule type="expression" dxfId="8677" priority="216">
      <formula>AND(M$9&gt;=8/24,M$9&lt;14/24)</formula>
    </cfRule>
    <cfRule type="expression" dxfId="8676" priority="217">
      <formula>M$9&lt;8/24</formula>
    </cfRule>
  </conditionalFormatting>
  <conditionalFormatting sqref="M50:X50">
    <cfRule type="expression" dxfId="8675" priority="210">
      <formula>M$9&gt;=20/24</formula>
    </cfRule>
    <cfRule type="expression" dxfId="8674" priority="211">
      <formula>AND(M$9&gt;=14/24,M$9&lt;20/24)</formula>
    </cfRule>
    <cfRule type="expression" dxfId="8673" priority="212">
      <formula>AND(M$9&gt;=8/24,M$9&lt;14/24)</formula>
    </cfRule>
    <cfRule type="expression" dxfId="8672" priority="213">
      <formula>M$9&lt;8/24</formula>
    </cfRule>
  </conditionalFormatting>
  <conditionalFormatting sqref="M45:X48">
    <cfRule type="expression" dxfId="8671" priority="206">
      <formula>M$9&gt;=20/24</formula>
    </cfRule>
    <cfRule type="expression" dxfId="8670" priority="207">
      <formula>AND(M$9&gt;=14/24,M$9&lt;20/24)</formula>
    </cfRule>
    <cfRule type="expression" dxfId="8669" priority="208">
      <formula>AND(M$9&gt;=8/24,M$9&lt;14/24)</formula>
    </cfRule>
    <cfRule type="expression" dxfId="8668" priority="209">
      <formula>M$9&lt;8/24</formula>
    </cfRule>
  </conditionalFormatting>
  <conditionalFormatting sqref="S37:AF37">
    <cfRule type="expression" dxfId="8667" priority="202">
      <formula>S$9&gt;=20/24</formula>
    </cfRule>
    <cfRule type="expression" dxfId="8666" priority="203">
      <formula>AND(S$9&gt;=14/24,S$9&lt;20/24)</formula>
    </cfRule>
    <cfRule type="expression" dxfId="8665" priority="204">
      <formula>AND(S$9&gt;=8/24,S$9&lt;14/24)</formula>
    </cfRule>
    <cfRule type="expression" dxfId="8664" priority="205">
      <formula>S$9&lt;8/24</formula>
    </cfRule>
  </conditionalFormatting>
  <conditionalFormatting sqref="Y31:AA32 Y35:AF35">
    <cfRule type="expression" dxfId="8663" priority="198">
      <formula>Y$9&gt;=20/24</formula>
    </cfRule>
    <cfRule type="expression" dxfId="8662" priority="199">
      <formula>AND(Y$9&gt;=14/24,Y$9&lt;20/24)</formula>
    </cfRule>
    <cfRule type="expression" dxfId="8661" priority="200">
      <formula>AND(Y$9&gt;=8/24,Y$9&lt;14/24)</formula>
    </cfRule>
    <cfRule type="expression" dxfId="8660" priority="201">
      <formula>Y$9&lt;8/24</formula>
    </cfRule>
  </conditionalFormatting>
  <conditionalFormatting sqref="S42:T43 U43:Z43 S45:AE48">
    <cfRule type="expression" dxfId="8659" priority="194">
      <formula>S$9&gt;=20/24</formula>
    </cfRule>
    <cfRule type="expression" dxfId="8658" priority="195">
      <formula>AND(S$9&gt;=14/24,S$9&lt;20/24)</formula>
    </cfRule>
    <cfRule type="expression" dxfId="8657" priority="196">
      <formula>AND(S$9&gt;=8/24,S$9&lt;14/24)</formula>
    </cfRule>
    <cfRule type="expression" dxfId="8656" priority="197">
      <formula>S$9&lt;8/24</formula>
    </cfRule>
  </conditionalFormatting>
  <conditionalFormatting sqref="S49:AE49">
    <cfRule type="expression" dxfId="8655" priority="190">
      <formula>S$9&gt;=20/24</formula>
    </cfRule>
    <cfRule type="expression" dxfId="8654" priority="191">
      <formula>AND(S$9&gt;=14/24,S$9&lt;20/24)</formula>
    </cfRule>
    <cfRule type="expression" dxfId="8653" priority="192">
      <formula>AND(S$9&gt;=8/24,S$9&lt;14/24)</formula>
    </cfRule>
    <cfRule type="expression" dxfId="8652" priority="193">
      <formula>S$9&lt;8/24</formula>
    </cfRule>
  </conditionalFormatting>
  <conditionalFormatting sqref="S50:AE50">
    <cfRule type="expression" dxfId="8651" priority="186">
      <formula>S$9&gt;=20/24</formula>
    </cfRule>
    <cfRule type="expression" dxfId="8650" priority="187">
      <formula>AND(S$9&gt;=14/24,S$9&lt;20/24)</formula>
    </cfRule>
    <cfRule type="expression" dxfId="8649" priority="188">
      <formula>AND(S$9&gt;=8/24,S$9&lt;14/24)</formula>
    </cfRule>
    <cfRule type="expression" dxfId="8648" priority="189">
      <formula>S$9&lt;8/24</formula>
    </cfRule>
  </conditionalFormatting>
  <conditionalFormatting sqref="S60:T67 X60:AE67">
    <cfRule type="expression" dxfId="8647" priority="182">
      <formula>S$9&gt;=20/24</formula>
    </cfRule>
    <cfRule type="expression" dxfId="8646" priority="183">
      <formula>AND(S$9&gt;=14/24,S$9&lt;20/24)</formula>
    </cfRule>
    <cfRule type="expression" dxfId="8645" priority="184">
      <formula>AND(S$9&gt;=8/24,S$9&lt;14/24)</formula>
    </cfRule>
    <cfRule type="expression" dxfId="8644" priority="185">
      <formula>S$9&lt;8/24</formula>
    </cfRule>
  </conditionalFormatting>
  <conditionalFormatting sqref="U94:AA97">
    <cfRule type="expression" dxfId="8643" priority="174">
      <formula>U$9&gt;=20/24</formula>
    </cfRule>
    <cfRule type="expression" dxfId="8642" priority="175">
      <formula>AND(U$9&gt;=14/24,U$9&lt;20/24)</formula>
    </cfRule>
    <cfRule type="expression" dxfId="8641" priority="176">
      <formula>AND(U$9&gt;=8/24,U$9&lt;14/24)</formula>
    </cfRule>
    <cfRule type="expression" dxfId="8640" priority="177">
      <formula>U$9&lt;8/24</formula>
    </cfRule>
  </conditionalFormatting>
  <conditionalFormatting sqref="AG51 M12:M14 I11:M11 B11:H32 I12:L32 N11:U14 M16:X32 V12:X14 Y18:AA32 V11:AD11 AB12:AD32 AE11:AF32 B34:AF56">
    <cfRule type="expression" dxfId="8639" priority="173">
      <formula>B11&gt;$AG11</formula>
    </cfRule>
  </conditionalFormatting>
  <conditionalFormatting sqref="A100:A156 A84:A97 A11:A14 A16:A32 A45:A72 A80:A82 A74:A78 A35:A43 A169:A199">
    <cfRule type="expression" dxfId="8638" priority="172">
      <formula>$AH11=0</formula>
    </cfRule>
  </conditionalFormatting>
  <conditionalFormatting sqref="U98:AA98">
    <cfRule type="expression" dxfId="8637" priority="168">
      <formula>U$9&gt;=20/24</formula>
    </cfRule>
    <cfRule type="expression" dxfId="8636" priority="169">
      <formula>AND(U$9&gt;=14/24,U$9&lt;20/24)</formula>
    </cfRule>
    <cfRule type="expression" dxfId="8635" priority="170">
      <formula>AND(U$9&gt;=8/24,U$9&lt;14/24)</formula>
    </cfRule>
    <cfRule type="expression" dxfId="8634" priority="171">
      <formula>U$9&lt;8/24</formula>
    </cfRule>
  </conditionalFormatting>
  <conditionalFormatting sqref="A98">
    <cfRule type="expression" dxfId="8633" priority="167">
      <formula>$AH98=0</formula>
    </cfRule>
  </conditionalFormatting>
  <conditionalFormatting sqref="M62:R67">
    <cfRule type="expression" dxfId="8632" priority="155">
      <formula>M$9&gt;=20/24</formula>
    </cfRule>
    <cfRule type="expression" dxfId="8631" priority="156">
      <formula>AND(M$9&gt;=14/24,M$9&lt;20/24)</formula>
    </cfRule>
    <cfRule type="expression" dxfId="8630" priority="157">
      <formula>AND(M$9&gt;=8/24,M$9&lt;14/24)</formula>
    </cfRule>
    <cfRule type="expression" dxfId="8629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8628" priority="150">
      <formula>AB$9&gt;=20/24</formula>
    </cfRule>
    <cfRule type="expression" dxfId="8627" priority="151">
      <formula>AND(AB$9&gt;=14/24,AB$9&lt;20/24)</formula>
    </cfRule>
    <cfRule type="expression" dxfId="8626" priority="152">
      <formula>AND(AB$9&gt;=8/24,AB$9&lt;14/24)</formula>
    </cfRule>
    <cfRule type="expression" dxfId="8625" priority="153">
      <formula>AB$9&lt;8/24</formula>
    </cfRule>
  </conditionalFormatting>
  <conditionalFormatting sqref="M34:X34">
    <cfRule type="expression" dxfId="8624" priority="146">
      <formula>M$9&gt;=20/24</formula>
    </cfRule>
    <cfRule type="expression" dxfId="8623" priority="147">
      <formula>AND(M$9&gt;=14/24,M$9&lt;20/24)</formula>
    </cfRule>
    <cfRule type="expression" dxfId="8622" priority="148">
      <formula>AND(M$9&gt;=8/24,M$9&lt;14/24)</formula>
    </cfRule>
    <cfRule type="expression" dxfId="8621" priority="149">
      <formula>M$9&lt;8/24</formula>
    </cfRule>
  </conditionalFormatting>
  <conditionalFormatting sqref="Y34:AA34">
    <cfRule type="expression" dxfId="8620" priority="142">
      <formula>Y$9&gt;=20/24</formula>
    </cfRule>
    <cfRule type="expression" dxfId="8619" priority="143">
      <formula>AND(Y$9&gt;=14/24,Y$9&lt;20/24)</formula>
    </cfRule>
    <cfRule type="expression" dxfId="8618" priority="144">
      <formula>AND(Y$9&gt;=8/24,Y$9&lt;14/24)</formula>
    </cfRule>
    <cfRule type="expression" dxfId="8617" priority="145">
      <formula>Y$9&lt;8/24</formula>
    </cfRule>
  </conditionalFormatting>
  <conditionalFormatting sqref="A34">
    <cfRule type="expression" dxfId="8616" priority="141">
      <formula>$AH34=0</formula>
    </cfRule>
  </conditionalFormatting>
  <conditionalFormatting sqref="A83">
    <cfRule type="expression" dxfId="8615" priority="140">
      <formula>$AH83=0</formula>
    </cfRule>
  </conditionalFormatting>
  <conditionalFormatting sqref="AB15:AF15">
    <cfRule type="expression" dxfId="8614" priority="136">
      <formula>AB$9&gt;=20/24</formula>
    </cfRule>
    <cfRule type="expression" dxfId="8613" priority="137">
      <formula>AND(AB$9&gt;=14/24,AB$9&lt;20/24)</formula>
    </cfRule>
    <cfRule type="expression" dxfId="8612" priority="138">
      <formula>AND(AB$9&gt;=8/24,AB$9&lt;14/24)</formula>
    </cfRule>
    <cfRule type="expression" dxfId="8611" priority="139">
      <formula>AB$9&lt;8/24</formula>
    </cfRule>
  </conditionalFormatting>
  <conditionalFormatting sqref="M15:X15">
    <cfRule type="expression" dxfId="8610" priority="132">
      <formula>M$9&gt;=20/24</formula>
    </cfRule>
    <cfRule type="expression" dxfId="8609" priority="133">
      <formula>AND(M$9&gt;=14/24,M$9&lt;20/24)</formula>
    </cfRule>
    <cfRule type="expression" dxfId="8608" priority="134">
      <formula>AND(M$9&gt;=8/24,M$9&lt;14/24)</formula>
    </cfRule>
    <cfRule type="expression" dxfId="8607" priority="135">
      <formula>M$9&lt;8/24</formula>
    </cfRule>
  </conditionalFormatting>
  <conditionalFormatting sqref="M15:X15">
    <cfRule type="expression" dxfId="8606" priority="131">
      <formula>M15&gt;$AG15</formula>
    </cfRule>
  </conditionalFormatting>
  <conditionalFormatting sqref="A15">
    <cfRule type="expression" dxfId="8605" priority="130">
      <formula>$AH15=0</formula>
    </cfRule>
  </conditionalFormatting>
  <conditionalFormatting sqref="A163:A168">
    <cfRule type="expression" dxfId="8604" priority="129">
      <formula>$AH163=0</formula>
    </cfRule>
  </conditionalFormatting>
  <conditionalFormatting sqref="A157:A162">
    <cfRule type="expression" dxfId="8603" priority="128">
      <formula>$AH157=0</formula>
    </cfRule>
  </conditionalFormatting>
  <conditionalFormatting sqref="Z44:AE44">
    <cfRule type="expression" dxfId="8602" priority="124">
      <formula>Z$9&gt;=20/24</formula>
    </cfRule>
    <cfRule type="expression" dxfId="8601" priority="125">
      <formula>AND(Z$9&gt;=14/24,Z$9&lt;20/24)</formula>
    </cfRule>
    <cfRule type="expression" dxfId="8600" priority="126">
      <formula>AND(Z$9&gt;=8/24,Z$9&lt;14/24)</formula>
    </cfRule>
    <cfRule type="expression" dxfId="8599" priority="127">
      <formula>Z$9&lt;8/24</formula>
    </cfRule>
  </conditionalFormatting>
  <conditionalFormatting sqref="M44:X44">
    <cfRule type="expression" dxfId="8598" priority="120">
      <formula>M$9&gt;=20/24</formula>
    </cfRule>
    <cfRule type="expression" dxfId="8597" priority="121">
      <formula>AND(M$9&gt;=14/24,M$9&lt;20/24)</formula>
    </cfRule>
    <cfRule type="expression" dxfId="8596" priority="122">
      <formula>AND(M$9&gt;=8/24,M$9&lt;14/24)</formula>
    </cfRule>
    <cfRule type="expression" dxfId="8595" priority="123">
      <formula>M$9&lt;8/24</formula>
    </cfRule>
  </conditionalFormatting>
  <conditionalFormatting sqref="S44:AA44">
    <cfRule type="expression" dxfId="8594" priority="116">
      <formula>S$9&gt;=20/24</formula>
    </cfRule>
    <cfRule type="expression" dxfId="8593" priority="117">
      <formula>AND(S$9&gt;=14/24,S$9&lt;20/24)</formula>
    </cfRule>
    <cfRule type="expression" dxfId="8592" priority="118">
      <formula>AND(S$9&gt;=8/24,S$9&lt;14/24)</formula>
    </cfRule>
    <cfRule type="expression" dxfId="8591" priority="119">
      <formula>S$9&lt;8/24</formula>
    </cfRule>
  </conditionalFormatting>
  <conditionalFormatting sqref="A44">
    <cfRule type="expression" dxfId="8590" priority="115">
      <formula>$AH44=0</formula>
    </cfRule>
  </conditionalFormatting>
  <conditionalFormatting sqref="A79">
    <cfRule type="expression" dxfId="8589" priority="114">
      <formula>$AH79=0</formula>
    </cfRule>
  </conditionalFormatting>
  <conditionalFormatting sqref="A73">
    <cfRule type="expression" dxfId="8588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8587" priority="109">
      <formula>U$9&gt;=20/24</formula>
    </cfRule>
    <cfRule type="expression" dxfId="8586" priority="110">
      <formula>AND(U$9&gt;=14/24,U$9&lt;20/24)</formula>
    </cfRule>
    <cfRule type="expression" dxfId="8585" priority="111">
      <formula>AND(U$9&gt;=8/24,U$9&lt;14/24)</formula>
    </cfRule>
    <cfRule type="expression" dxfId="8584" priority="112">
      <formula>U$9&lt;8/24</formula>
    </cfRule>
  </conditionalFormatting>
  <conditionalFormatting sqref="U85:W91">
    <cfRule type="expression" dxfId="8583" priority="105">
      <formula>U$9&gt;=20/24</formula>
    </cfRule>
    <cfRule type="expression" dxfId="8582" priority="106">
      <formula>AND(U$9&gt;=14/24,U$9&lt;20/24)</formula>
    </cfRule>
    <cfRule type="expression" dxfId="8581" priority="107">
      <formula>AND(U$9&gt;=8/24,U$9&lt;14/24)</formula>
    </cfRule>
    <cfRule type="expression" dxfId="8580" priority="108">
      <formula>U$9&lt;8/24</formula>
    </cfRule>
  </conditionalFormatting>
  <conditionalFormatting sqref="S85:T91 C84:R91">
    <cfRule type="expression" dxfId="8579" priority="101">
      <formula>C$9&gt;=20/24</formula>
    </cfRule>
    <cfRule type="expression" dxfId="8578" priority="102">
      <formula>AND(C$9&gt;=14/24,C$9&lt;20/24)</formula>
    </cfRule>
    <cfRule type="expression" dxfId="8577" priority="103">
      <formula>AND(C$9&gt;=8/24,C$9&lt;14/24)</formula>
    </cfRule>
    <cfRule type="expression" dxfId="8576" priority="104">
      <formula>C$9&lt;8/24</formula>
    </cfRule>
  </conditionalFormatting>
  <conditionalFormatting sqref="S84:T84">
    <cfRule type="expression" dxfId="8575" priority="97">
      <formula>S$9&gt;=20/24</formula>
    </cfRule>
    <cfRule type="expression" dxfId="8574" priority="98">
      <formula>AND(S$9&gt;=14/24,S$9&lt;20/24)</formula>
    </cfRule>
    <cfRule type="expression" dxfId="8573" priority="99">
      <formula>AND(S$9&gt;=8/24,S$9&lt;14/24)</formula>
    </cfRule>
    <cfRule type="expression" dxfId="8572" priority="100">
      <formula>S$9&lt;8/24</formula>
    </cfRule>
  </conditionalFormatting>
  <conditionalFormatting sqref="C95:M97 C94:F94">
    <cfRule type="expression" dxfId="8571" priority="93">
      <formula>C$9&gt;=20/24</formula>
    </cfRule>
    <cfRule type="expression" dxfId="8570" priority="94">
      <formula>AND(C$9&gt;=14/24,C$9&lt;20/24)</formula>
    </cfRule>
    <cfRule type="expression" dxfId="8569" priority="95">
      <formula>AND(C$9&gt;=8/24,C$9&lt;14/24)</formula>
    </cfRule>
    <cfRule type="expression" dxfId="8568" priority="96">
      <formula>C$9&lt;8/24</formula>
    </cfRule>
  </conditionalFormatting>
  <conditionalFormatting sqref="N95:P97 O94:P94 Q94:R97">
    <cfRule type="expression" dxfId="8567" priority="89">
      <formula>N$9&gt;=20/24</formula>
    </cfRule>
    <cfRule type="expression" dxfId="8566" priority="90">
      <formula>AND(N$9&gt;=14/24,N$9&lt;20/24)</formula>
    </cfRule>
    <cfRule type="expression" dxfId="8565" priority="91">
      <formula>AND(N$9&gt;=8/24,N$9&lt;14/24)</formula>
    </cfRule>
    <cfRule type="expression" dxfId="8564" priority="92">
      <formula>N$9&lt;8/24</formula>
    </cfRule>
  </conditionalFormatting>
  <conditionalFormatting sqref="S94:T97">
    <cfRule type="expression" dxfId="8563" priority="85">
      <formula>S$9&gt;=20/24</formula>
    </cfRule>
    <cfRule type="expression" dxfId="8562" priority="86">
      <formula>AND(S$9&gt;=14/24,S$9&lt;20/24)</formula>
    </cfRule>
    <cfRule type="expression" dxfId="8561" priority="87">
      <formula>AND(S$9&gt;=8/24,S$9&lt;14/24)</formula>
    </cfRule>
    <cfRule type="expression" dxfId="8560" priority="88">
      <formula>S$9&lt;8/24</formula>
    </cfRule>
  </conditionalFormatting>
  <conditionalFormatting sqref="C98:M98">
    <cfRule type="expression" dxfId="8559" priority="81">
      <formula>C$9&gt;=20/24</formula>
    </cfRule>
    <cfRule type="expression" dxfId="8558" priority="82">
      <formula>AND(C$9&gt;=14/24,C$9&lt;20/24)</formula>
    </cfRule>
    <cfRule type="expression" dxfId="8557" priority="83">
      <formula>AND(C$9&gt;=8/24,C$9&lt;14/24)</formula>
    </cfRule>
    <cfRule type="expression" dxfId="8556" priority="84">
      <formula>C$9&lt;8/24</formula>
    </cfRule>
  </conditionalFormatting>
  <conditionalFormatting sqref="N98:R98">
    <cfRule type="expression" dxfId="8555" priority="77">
      <formula>N$9&gt;=20/24</formula>
    </cfRule>
    <cfRule type="expression" dxfId="8554" priority="78">
      <formula>AND(N$9&gt;=14/24,N$9&lt;20/24)</formula>
    </cfRule>
    <cfRule type="expression" dxfId="8553" priority="79">
      <formula>AND(N$9&gt;=8/24,N$9&lt;14/24)</formula>
    </cfRule>
    <cfRule type="expression" dxfId="8552" priority="80">
      <formula>N$9&lt;8/24</formula>
    </cfRule>
  </conditionalFormatting>
  <conditionalFormatting sqref="S98:T98">
    <cfRule type="expression" dxfId="8551" priority="73">
      <formula>S$9&gt;=20/24</formula>
    </cfRule>
    <cfRule type="expression" dxfId="8550" priority="74">
      <formula>AND(S$9&gt;=14/24,S$9&lt;20/24)</formula>
    </cfRule>
    <cfRule type="expression" dxfId="8549" priority="75">
      <formula>AND(S$9&gt;=8/24,S$9&lt;14/24)</formula>
    </cfRule>
    <cfRule type="expression" dxfId="8548" priority="76">
      <formula>S$9&lt;8/24</formula>
    </cfRule>
  </conditionalFormatting>
  <conditionalFormatting sqref="M94:N94">
    <cfRule type="expression" dxfId="8547" priority="69">
      <formula>M$9&gt;=20/24</formula>
    </cfRule>
    <cfRule type="expression" dxfId="8546" priority="70">
      <formula>AND(M$9&gt;=14/24,M$9&lt;20/24)</formula>
    </cfRule>
    <cfRule type="expression" dxfId="8545" priority="71">
      <formula>AND(M$9&gt;=8/24,M$9&lt;14/24)</formula>
    </cfRule>
    <cfRule type="expression" dxfId="8544" priority="72">
      <formula>M$9&lt;8/24</formula>
    </cfRule>
  </conditionalFormatting>
  <conditionalFormatting sqref="G94:L94">
    <cfRule type="expression" dxfId="8543" priority="65">
      <formula>G$9&gt;=20/24</formula>
    </cfRule>
    <cfRule type="expression" dxfId="8542" priority="66">
      <formula>AND(G$9&gt;=14/24,G$9&lt;20/24)</formula>
    </cfRule>
    <cfRule type="expression" dxfId="8541" priority="67">
      <formula>AND(G$9&gt;=8/24,G$9&lt;14/24)</formula>
    </cfRule>
    <cfRule type="expression" dxfId="8540" priority="68">
      <formula>G$9&lt;8/24</formula>
    </cfRule>
  </conditionalFormatting>
  <conditionalFormatting sqref="U94:W94">
    <cfRule type="expression" dxfId="8539" priority="61">
      <formula>U$9&gt;=20/24</formula>
    </cfRule>
    <cfRule type="expression" dxfId="8538" priority="62">
      <formula>AND(U$9&gt;=14/24,U$9&lt;20/24)</formula>
    </cfRule>
    <cfRule type="expression" dxfId="8537" priority="63">
      <formula>AND(U$9&gt;=8/24,U$9&lt;14/24)</formula>
    </cfRule>
    <cfRule type="expression" dxfId="8536" priority="64">
      <formula>U$9&lt;8/24</formula>
    </cfRule>
  </conditionalFormatting>
  <conditionalFormatting sqref="N94:T94">
    <cfRule type="expression" dxfId="8535" priority="57">
      <formula>N$9&gt;=20/24</formula>
    </cfRule>
    <cfRule type="expression" dxfId="8534" priority="58">
      <formula>AND(N$9&gt;=14/24,N$9&lt;20/24)</formula>
    </cfRule>
    <cfRule type="expression" dxfId="8533" priority="59">
      <formula>AND(N$9&gt;=8/24,N$9&lt;14/24)</formula>
    </cfRule>
    <cfRule type="expression" dxfId="8532" priority="60">
      <formula>N$9&lt;8/24</formula>
    </cfRule>
  </conditionalFormatting>
  <conditionalFormatting sqref="U99:AA99">
    <cfRule type="expression" dxfId="8531" priority="53">
      <formula>U$9&gt;=20/24</formula>
    </cfRule>
    <cfRule type="expression" dxfId="8530" priority="54">
      <formula>AND(U$9&gt;=14/24,U$9&lt;20/24)</formula>
    </cfRule>
    <cfRule type="expression" dxfId="8529" priority="55">
      <formula>AND(U$9&gt;=8/24,U$9&lt;14/24)</formula>
    </cfRule>
    <cfRule type="expression" dxfId="8528" priority="56">
      <formula>U$9&lt;8/24</formula>
    </cfRule>
  </conditionalFormatting>
  <conditionalFormatting sqref="C99:M99">
    <cfRule type="expression" dxfId="8527" priority="49">
      <formula>C$9&gt;=20/24</formula>
    </cfRule>
    <cfRule type="expression" dxfId="8526" priority="50">
      <formula>AND(C$9&gt;=14/24,C$9&lt;20/24)</formula>
    </cfRule>
    <cfRule type="expression" dxfId="8525" priority="51">
      <formula>AND(C$9&gt;=8/24,C$9&lt;14/24)</formula>
    </cfRule>
    <cfRule type="expression" dxfId="8524" priority="52">
      <formula>C$9&lt;8/24</formula>
    </cfRule>
  </conditionalFormatting>
  <conditionalFormatting sqref="N99:R99">
    <cfRule type="expression" dxfId="8523" priority="45">
      <formula>N$9&gt;=20/24</formula>
    </cfRule>
    <cfRule type="expression" dxfId="8522" priority="46">
      <formula>AND(N$9&gt;=14/24,N$9&lt;20/24)</formula>
    </cfRule>
    <cfRule type="expression" dxfId="8521" priority="47">
      <formula>AND(N$9&gt;=8/24,N$9&lt;14/24)</formula>
    </cfRule>
    <cfRule type="expression" dxfId="8520" priority="48">
      <formula>N$9&lt;8/24</formula>
    </cfRule>
  </conditionalFormatting>
  <conditionalFormatting sqref="S99:T99">
    <cfRule type="expression" dxfId="8519" priority="41">
      <formula>S$9&gt;=20/24</formula>
    </cfRule>
    <cfRule type="expression" dxfId="8518" priority="42">
      <formula>AND(S$9&gt;=14/24,S$9&lt;20/24)</formula>
    </cfRule>
    <cfRule type="expression" dxfId="8517" priority="43">
      <formula>AND(S$9&gt;=8/24,S$9&lt;14/24)</formula>
    </cfRule>
    <cfRule type="expression" dxfId="8516" priority="44">
      <formula>S$9&lt;8/24</formula>
    </cfRule>
  </conditionalFormatting>
  <conditionalFormatting sqref="Y12:AA16">
    <cfRule type="expression" dxfId="8515" priority="37">
      <formula>Y$9&gt;=20/24</formula>
    </cfRule>
    <cfRule type="expression" dxfId="8514" priority="38">
      <formula>AND(Y$9&gt;=14/24,Y$9&lt;20/24)</formula>
    </cfRule>
    <cfRule type="expression" dxfId="8513" priority="39">
      <formula>AND(Y$9&gt;=8/24,Y$9&lt;14/24)</formula>
    </cfRule>
    <cfRule type="expression" dxfId="8512" priority="40">
      <formula>Y$9&lt;8/24</formula>
    </cfRule>
  </conditionalFormatting>
  <conditionalFormatting sqref="Y17:AA17">
    <cfRule type="expression" dxfId="8511" priority="33">
      <formula>Y$9&gt;=20/24</formula>
    </cfRule>
    <cfRule type="expression" dxfId="8510" priority="34">
      <formula>AND(Y$9&gt;=14/24,Y$9&lt;20/24)</formula>
    </cfRule>
    <cfRule type="expression" dxfId="8509" priority="35">
      <formula>AND(Y$9&gt;=8/24,Y$9&lt;14/24)</formula>
    </cfRule>
    <cfRule type="expression" dxfId="8508" priority="36">
      <formula>Y$9&lt;8/24</formula>
    </cfRule>
  </conditionalFormatting>
  <conditionalFormatting sqref="Y12:AA13">
    <cfRule type="expression" dxfId="8507" priority="29">
      <formula>Y$9&gt;=20/24</formula>
    </cfRule>
    <cfRule type="expression" dxfId="8506" priority="30">
      <formula>AND(Y$9&gt;=14/24,Y$9&lt;20/24)</formula>
    </cfRule>
    <cfRule type="expression" dxfId="8505" priority="31">
      <formula>AND(Y$9&gt;=8/24,Y$9&lt;14/24)</formula>
    </cfRule>
    <cfRule type="expression" dxfId="8504" priority="32">
      <formula>Y$9&lt;8/24</formula>
    </cfRule>
  </conditionalFormatting>
  <conditionalFormatting sqref="AB58:AE59">
    <cfRule type="expression" dxfId="8503" priority="25">
      <formula>AB$9&gt;=20/24</formula>
    </cfRule>
    <cfRule type="expression" dxfId="8502" priority="26">
      <formula>AND(AB$9&gt;=14/24,AB$9&lt;20/24)</formula>
    </cfRule>
    <cfRule type="expression" dxfId="8501" priority="27">
      <formula>AND(AB$9&gt;=8/24,AB$9&lt;14/24)</formula>
    </cfRule>
    <cfRule type="expression" dxfId="8500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499" priority="258">
      <formula>C$9&gt;=20/24</formula>
    </cfRule>
    <cfRule type="expression" dxfId="8498" priority="259">
      <formula>AND(C$9&gt;=14/24,C$9&lt;20/24)</formula>
    </cfRule>
    <cfRule type="expression" dxfId="8497" priority="260">
      <formula>AND(C$9&gt;=8/24,C$9&lt;14/24)</formula>
    </cfRule>
    <cfRule type="expression" dxfId="8496" priority="261">
      <formula>C$9&lt;8/24</formula>
    </cfRule>
  </conditionalFormatting>
  <conditionalFormatting sqref="A200">
    <cfRule type="expression" dxfId="8495" priority="262">
      <formula>$AH200=0</formula>
    </cfRule>
  </conditionalFormatting>
  <conditionalFormatting sqref="AG212">
    <cfRule type="expression" dxfId="8494" priority="263">
      <formula>B$9&gt;=20/24</formula>
    </cfRule>
    <cfRule type="expression" dxfId="8493" priority="264">
      <formula>AND(B$9&gt;=14/24,B$9&lt;20/24)</formula>
    </cfRule>
    <cfRule type="expression" dxfId="8492" priority="265">
      <formula>AND(B$9&gt;=8/24,B$9&lt;14/24)</formula>
    </cfRule>
    <cfRule type="expression" dxfId="8491" priority="266">
      <formula>B$9&lt;8/24</formula>
    </cfRule>
  </conditionalFormatting>
  <conditionalFormatting sqref="S8">
    <cfRule type="expression" dxfId="8490" priority="19">
      <formula>U$9&gt;=20/24</formula>
    </cfRule>
    <cfRule type="expression" dxfId="8489" priority="20">
      <formula>AND(U$9&gt;=14/24,U$9&lt;20/24)</formula>
    </cfRule>
    <cfRule type="expression" dxfId="8488" priority="21">
      <formula>AND(U$9&gt;=8/24,U$9&lt;14/24)</formula>
    </cfRule>
    <cfRule type="expression" dxfId="8487" priority="22">
      <formula>U$9&lt;8/24</formula>
    </cfRule>
  </conditionalFormatting>
  <conditionalFormatting sqref="AB8">
    <cfRule type="expression" dxfId="8486" priority="15">
      <formula>AD$9&gt;=20/24</formula>
    </cfRule>
    <cfRule type="expression" dxfId="8485" priority="16">
      <formula>AND(AD$9&gt;=14/24,AD$9&lt;20/24)</formula>
    </cfRule>
    <cfRule type="expression" dxfId="8484" priority="17">
      <formula>AND(AD$9&gt;=8/24,AD$9&lt;14/24)</formula>
    </cfRule>
    <cfRule type="expression" dxfId="8483" priority="18">
      <formula>AD$9&lt;8/24</formula>
    </cfRule>
  </conditionalFormatting>
  <conditionalFormatting sqref="AH212:AX212">
    <cfRule type="expression" dxfId="8482" priority="267">
      <formula>AG$9&gt;=20/24</formula>
    </cfRule>
    <cfRule type="expression" dxfId="8481" priority="268">
      <formula>AND(AG$9&gt;=14/24,AG$9&lt;20/24)</formula>
    </cfRule>
    <cfRule type="expression" dxfId="8480" priority="269">
      <formula>AND(AG$9&gt;=8/24,AG$9&lt;14/24)</formula>
    </cfRule>
    <cfRule type="expression" dxfId="8479" priority="270">
      <formula>AG$9&lt;8/24</formula>
    </cfRule>
  </conditionalFormatting>
  <conditionalFormatting sqref="T212">
    <cfRule type="expression" dxfId="8478" priority="271">
      <formula>AX$9&gt;=20/24</formula>
    </cfRule>
    <cfRule type="expression" dxfId="8477" priority="272">
      <formula>AND(AX$9&gt;=14/24,AX$9&lt;20/24)</formula>
    </cfRule>
    <cfRule type="expression" dxfId="8476" priority="273">
      <formula>AND(AX$9&gt;=8/24,AX$9&lt;14/24)</formula>
    </cfRule>
    <cfRule type="expression" dxfId="8475" priority="274">
      <formula>AX$9&lt;8/24</formula>
    </cfRule>
  </conditionalFormatting>
  <conditionalFormatting sqref="A99">
    <cfRule type="expression" dxfId="8474" priority="14">
      <formula>$AH99=0</formula>
    </cfRule>
  </conditionalFormatting>
  <conditionalFormatting sqref="M33:X33">
    <cfRule type="expression" dxfId="8473" priority="10">
      <formula>M$9&gt;=20/24</formula>
    </cfRule>
    <cfRule type="expression" dxfId="8472" priority="11">
      <formula>AND(M$9&gt;=14/24,M$9&lt;20/24)</formula>
    </cfRule>
    <cfRule type="expression" dxfId="8471" priority="12">
      <formula>AND(M$9&gt;=8/24,M$9&lt;14/24)</formula>
    </cfRule>
    <cfRule type="expression" dxfId="8470" priority="13">
      <formula>M$9&lt;8/24</formula>
    </cfRule>
  </conditionalFormatting>
  <conditionalFormatting sqref="AB33:AF33">
    <cfRule type="expression" dxfId="8469" priority="6">
      <formula>AB$9&gt;=20/24</formula>
    </cfRule>
    <cfRule type="expression" dxfId="8468" priority="7">
      <formula>AND(AB$9&gt;=14/24,AB$9&lt;20/24)</formula>
    </cfRule>
    <cfRule type="expression" dxfId="8467" priority="8">
      <formula>AND(AB$9&gt;=8/24,AB$9&lt;14/24)</formula>
    </cfRule>
    <cfRule type="expression" dxfId="8466" priority="9">
      <formula>AB$9&lt;8/24</formula>
    </cfRule>
  </conditionalFormatting>
  <conditionalFormatting sqref="Y33:AA33">
    <cfRule type="expression" dxfId="8465" priority="2">
      <formula>Y$9&gt;=20/24</formula>
    </cfRule>
    <cfRule type="expression" dxfId="8464" priority="3">
      <formula>AND(Y$9&gt;=14/24,Y$9&lt;20/24)</formula>
    </cfRule>
    <cfRule type="expression" dxfId="8463" priority="4">
      <formula>AND(Y$9&gt;=8/24,Y$9&lt;14/24)</formula>
    </cfRule>
    <cfRule type="expression" dxfId="8462" priority="5">
      <formula>Y$9&lt;8/24</formula>
    </cfRule>
  </conditionalFormatting>
  <conditionalFormatting sqref="B33:AF33">
    <cfRule type="expression" dxfId="846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EBCDFE29-F8BF-4500-B1AC-76DD2098AC0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J60" sqref="J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2078/11/3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441</v>
      </c>
      <c r="C5" s="32">
        <f t="shared" si="0"/>
        <v>410.5</v>
      </c>
      <c r="D5" s="32">
        <f t="shared" si="0"/>
        <v>405.5</v>
      </c>
      <c r="E5" s="32">
        <f t="shared" si="0"/>
        <v>379.6</v>
      </c>
      <c r="F5" s="32">
        <f t="shared" si="0"/>
        <v>382</v>
      </c>
      <c r="G5" s="32">
        <f t="shared" si="0"/>
        <v>399</v>
      </c>
      <c r="H5" s="32">
        <f t="shared" si="0"/>
        <v>454</v>
      </c>
      <c r="I5" s="32">
        <f t="shared" si="0"/>
        <v>487.7</v>
      </c>
      <c r="J5" s="32">
        <f t="shared" si="0"/>
        <v>362.20000000000005</v>
      </c>
      <c r="K5" s="32">
        <f t="shared" si="0"/>
        <v>336.59999999999997</v>
      </c>
      <c r="L5" s="32">
        <f t="shared" si="0"/>
        <v>319.95</v>
      </c>
      <c r="M5" s="32">
        <f t="shared" si="0"/>
        <v>296.53000000000003</v>
      </c>
      <c r="N5" s="32">
        <f t="shared" si="0"/>
        <v>522.9</v>
      </c>
      <c r="O5" s="32">
        <f t="shared" si="0"/>
        <v>542.6</v>
      </c>
      <c r="P5" s="32">
        <f t="shared" si="0"/>
        <v>547.5</v>
      </c>
      <c r="Q5" s="32">
        <f t="shared" si="0"/>
        <v>579.72</v>
      </c>
      <c r="R5" s="32">
        <f t="shared" si="0"/>
        <v>573.82000000000005</v>
      </c>
      <c r="S5" s="32">
        <f t="shared" si="0"/>
        <v>554.5</v>
      </c>
      <c r="T5" s="32">
        <f t="shared" si="0"/>
        <v>563.4</v>
      </c>
      <c r="U5" s="32">
        <f t="shared" si="0"/>
        <v>569.29999999999995</v>
      </c>
      <c r="V5" s="32">
        <f t="shared" si="0"/>
        <v>397.9</v>
      </c>
      <c r="W5" s="32">
        <f t="shared" si="0"/>
        <v>260.36</v>
      </c>
      <c r="X5" s="32">
        <f t="shared" si="0"/>
        <v>315.39999999999998</v>
      </c>
      <c r="Y5" s="32">
        <f t="shared" si="0"/>
        <v>387.9</v>
      </c>
      <c r="Z5" s="32">
        <f t="shared" si="0"/>
        <v>386.06</v>
      </c>
      <c r="AA5" s="32">
        <f t="shared" si="0"/>
        <v>502.85</v>
      </c>
      <c r="AB5" s="32">
        <f t="shared" si="0"/>
        <v>501.30000000000007</v>
      </c>
      <c r="AC5" s="32">
        <f t="shared" si="0"/>
        <v>561.48</v>
      </c>
      <c r="AD5" s="32">
        <f t="shared" si="0"/>
        <v>464.2</v>
      </c>
      <c r="AE5" s="32">
        <f t="shared" si="0"/>
        <v>441.2</v>
      </c>
      <c r="AF5" s="32">
        <f>B68</f>
        <v>448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1536MW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Load=912</v>
      </c>
      <c r="B7" s="37">
        <f>B75</f>
        <v>950.93999999999994</v>
      </c>
      <c r="C7" s="37">
        <f t="shared" ref="C7:AF7" si="1">C75</f>
        <v>944.14</v>
      </c>
      <c r="D7" s="37">
        <f t="shared" si="1"/>
        <v>912.14</v>
      </c>
      <c r="E7" s="37">
        <f t="shared" si="1"/>
        <v>927.63999999999987</v>
      </c>
      <c r="F7" s="37">
        <f t="shared" si="1"/>
        <v>929.6400000000001</v>
      </c>
      <c r="G7" s="37">
        <f t="shared" si="1"/>
        <v>975.43999999999983</v>
      </c>
      <c r="H7" s="37">
        <f t="shared" si="1"/>
        <v>1027.1399999999999</v>
      </c>
      <c r="I7" s="37">
        <f t="shared" si="1"/>
        <v>1163.74</v>
      </c>
      <c r="J7" s="37">
        <f t="shared" si="1"/>
        <v>1286.04</v>
      </c>
      <c r="K7" s="37">
        <f t="shared" si="1"/>
        <v>1426.8400000000001</v>
      </c>
      <c r="L7" s="37">
        <f t="shared" si="1"/>
        <v>1512.24</v>
      </c>
      <c r="M7" s="37">
        <f t="shared" si="1"/>
        <v>1535.8900000000003</v>
      </c>
      <c r="N7" s="37">
        <f t="shared" si="1"/>
        <v>1461.4699999999998</v>
      </c>
      <c r="O7" s="37">
        <f t="shared" si="1"/>
        <v>1347.1399999999999</v>
      </c>
      <c r="P7" s="37">
        <f t="shared" si="1"/>
        <v>1243.3400000000001</v>
      </c>
      <c r="Q7" s="37">
        <f t="shared" si="1"/>
        <v>1218.2399999999998</v>
      </c>
      <c r="R7" s="37">
        <f t="shared" si="1"/>
        <v>1189.96</v>
      </c>
      <c r="S7" s="37">
        <f t="shared" si="1"/>
        <v>1169.96</v>
      </c>
      <c r="T7" s="37">
        <f t="shared" si="1"/>
        <v>1173.04</v>
      </c>
      <c r="U7" s="37">
        <f t="shared" si="1"/>
        <v>1208.8399999999999</v>
      </c>
      <c r="V7" s="37">
        <f t="shared" si="1"/>
        <v>1378.44</v>
      </c>
      <c r="W7" s="37">
        <f t="shared" si="1"/>
        <v>1312.84</v>
      </c>
      <c r="X7" s="37">
        <f t="shared" si="1"/>
        <v>1393.5</v>
      </c>
      <c r="Y7" s="37">
        <f t="shared" si="1"/>
        <v>1573.1399999999999</v>
      </c>
      <c r="Z7" s="37">
        <f t="shared" si="1"/>
        <v>1482.24</v>
      </c>
      <c r="AA7" s="37">
        <f t="shared" si="1"/>
        <v>1435.6999999999998</v>
      </c>
      <c r="AB7" s="37">
        <f t="shared" si="1"/>
        <v>1431.99</v>
      </c>
      <c r="AC7" s="37">
        <f t="shared" si="1"/>
        <v>1361.44</v>
      </c>
      <c r="AD7" s="37">
        <f t="shared" si="1"/>
        <v>1288.6199999999999</v>
      </c>
      <c r="AE7" s="37">
        <f t="shared" si="1"/>
        <v>1044.3399999999999</v>
      </c>
      <c r="AF7" s="37">
        <f t="shared" si="1"/>
        <v>983.2399999999999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12</v>
      </c>
      <c r="C11" s="50">
        <v>12</v>
      </c>
      <c r="D11" s="50">
        <v>12</v>
      </c>
      <c r="E11" s="49">
        <v>32</v>
      </c>
      <c r="F11" s="49">
        <v>50</v>
      </c>
      <c r="G11" s="49">
        <v>50</v>
      </c>
      <c r="H11" s="49">
        <v>50</v>
      </c>
      <c r="I11" s="49">
        <v>50</v>
      </c>
      <c r="J11" s="49">
        <v>100</v>
      </c>
      <c r="K11" s="49">
        <v>280</v>
      </c>
      <c r="L11" s="49">
        <v>355</v>
      </c>
      <c r="M11" s="50">
        <v>395</v>
      </c>
      <c r="N11" s="50">
        <v>360</v>
      </c>
      <c r="O11" s="50">
        <v>100</v>
      </c>
      <c r="P11" s="50">
        <v>10</v>
      </c>
      <c r="Q11" s="50">
        <v>10</v>
      </c>
      <c r="R11" s="51">
        <v>10</v>
      </c>
      <c r="S11" s="51">
        <v>10</v>
      </c>
      <c r="T11" s="51">
        <v>9.4</v>
      </c>
      <c r="U11" s="51">
        <v>9.4</v>
      </c>
      <c r="V11" s="51">
        <v>121</v>
      </c>
      <c r="W11" s="51">
        <v>113</v>
      </c>
      <c r="X11" s="51">
        <v>294</v>
      </c>
      <c r="Y11" s="50">
        <v>371</v>
      </c>
      <c r="Z11" s="51">
        <v>250</v>
      </c>
      <c r="AA11" s="51">
        <v>230</v>
      </c>
      <c r="AB11" s="50">
        <v>120</v>
      </c>
      <c r="AC11" s="50">
        <v>70</v>
      </c>
      <c r="AD11" s="50">
        <v>15.6</v>
      </c>
      <c r="AE11" s="50">
        <v>10</v>
      </c>
      <c r="AF11" s="49">
        <v>12</v>
      </c>
      <c r="AG11" s="53">
        <v>456</v>
      </c>
      <c r="AH11" s="54">
        <f>MAX(B11:AF11)</f>
        <v>395</v>
      </c>
      <c r="AI11" s="55">
        <f>MIN(B11:AF11)</f>
        <v>9.4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32</v>
      </c>
      <c r="C12" s="50">
        <v>32</v>
      </c>
      <c r="D12" s="50">
        <v>32</v>
      </c>
      <c r="E12" s="50">
        <v>32</v>
      </c>
      <c r="F12" s="50">
        <v>32</v>
      </c>
      <c r="G12" s="50">
        <v>32</v>
      </c>
      <c r="H12" s="50">
        <v>32</v>
      </c>
      <c r="I12" s="50">
        <v>32</v>
      </c>
      <c r="J12" s="50">
        <v>32</v>
      </c>
      <c r="K12" s="50">
        <v>32</v>
      </c>
      <c r="L12" s="50">
        <v>32</v>
      </c>
      <c r="M12" s="49">
        <v>32</v>
      </c>
      <c r="N12" s="49">
        <v>32</v>
      </c>
      <c r="O12" s="49">
        <v>32</v>
      </c>
      <c r="P12" s="49">
        <v>32</v>
      </c>
      <c r="Q12" s="49">
        <v>32</v>
      </c>
      <c r="R12" s="49">
        <v>32</v>
      </c>
      <c r="S12" s="49">
        <v>32</v>
      </c>
      <c r="T12" s="49">
        <v>33</v>
      </c>
      <c r="U12" s="49">
        <v>33</v>
      </c>
      <c r="V12" s="49">
        <v>33</v>
      </c>
      <c r="W12" s="49">
        <v>33</v>
      </c>
      <c r="X12" s="49">
        <v>33</v>
      </c>
      <c r="Y12" s="58">
        <v>33</v>
      </c>
      <c r="Z12" s="49">
        <v>33</v>
      </c>
      <c r="AA12" s="49">
        <v>33</v>
      </c>
      <c r="AB12" s="50">
        <v>33</v>
      </c>
      <c r="AC12" s="50">
        <v>33</v>
      </c>
      <c r="AD12" s="50">
        <v>33</v>
      </c>
      <c r="AE12" s="50">
        <v>33</v>
      </c>
      <c r="AF12" s="50">
        <v>33</v>
      </c>
      <c r="AG12" s="59">
        <v>60</v>
      </c>
      <c r="AH12" s="54">
        <f t="shared" ref="AH12:AH75" si="2">MAX(B12:AF12)</f>
        <v>33</v>
      </c>
      <c r="AI12" s="55">
        <f t="shared" ref="AI12:AI75" si="3">MIN(B12:AF12)</f>
        <v>32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18.3</v>
      </c>
      <c r="C13" s="50">
        <v>18.399999999999999</v>
      </c>
      <c r="D13" s="50">
        <v>18.3</v>
      </c>
      <c r="E13" s="50">
        <v>18.3</v>
      </c>
      <c r="F13" s="50">
        <v>18.3</v>
      </c>
      <c r="G13" s="50">
        <v>18.3</v>
      </c>
      <c r="H13" s="50">
        <v>18.3</v>
      </c>
      <c r="I13" s="50">
        <v>18.3</v>
      </c>
      <c r="J13" s="50">
        <v>18.3</v>
      </c>
      <c r="K13" s="50">
        <v>18.3</v>
      </c>
      <c r="L13" s="50">
        <v>18.3</v>
      </c>
      <c r="M13" s="49">
        <v>18.3</v>
      </c>
      <c r="N13" s="49">
        <v>18.399999999999999</v>
      </c>
      <c r="O13" s="49">
        <v>18.399999999999999</v>
      </c>
      <c r="P13" s="49">
        <v>18.399999999999999</v>
      </c>
      <c r="Q13" s="49">
        <v>18.399999999999999</v>
      </c>
      <c r="R13" s="49">
        <v>18.399999999999999</v>
      </c>
      <c r="S13" s="49">
        <v>18.399999999999999</v>
      </c>
      <c r="T13" s="49">
        <v>18.399999999999999</v>
      </c>
      <c r="U13" s="49">
        <v>18.399999999999999</v>
      </c>
      <c r="V13" s="49">
        <v>18.399999999999999</v>
      </c>
      <c r="W13" s="49">
        <v>18.399999999999999</v>
      </c>
      <c r="X13" s="49">
        <v>18.399999999999999</v>
      </c>
      <c r="Y13" s="58">
        <v>18.399999999999999</v>
      </c>
      <c r="Z13" s="49">
        <v>18.399999999999999</v>
      </c>
      <c r="AA13" s="49">
        <v>18.399999999999999</v>
      </c>
      <c r="AB13" s="50">
        <v>18.600000000000001</v>
      </c>
      <c r="AC13" s="50">
        <v>18.600000000000001</v>
      </c>
      <c r="AD13" s="50">
        <v>18.600000000000001</v>
      </c>
      <c r="AE13" s="50">
        <v>18.600000000000001</v>
      </c>
      <c r="AF13" s="50">
        <v>18.600000000000001</v>
      </c>
      <c r="AG13" s="59">
        <v>52.4</v>
      </c>
      <c r="AH13" s="54">
        <f t="shared" si="2"/>
        <v>18.600000000000001</v>
      </c>
      <c r="AI13" s="55">
        <f t="shared" si="3"/>
        <v>18.3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36.4</v>
      </c>
      <c r="C14" s="50">
        <v>36.299999999999997</v>
      </c>
      <c r="D14" s="50">
        <v>36.6</v>
      </c>
      <c r="E14" s="50">
        <v>36.6</v>
      </c>
      <c r="F14" s="50">
        <v>36.6</v>
      </c>
      <c r="G14" s="50">
        <v>36.6</v>
      </c>
      <c r="H14" s="50">
        <v>36.6</v>
      </c>
      <c r="I14" s="50">
        <v>36.6</v>
      </c>
      <c r="J14" s="50">
        <v>36.6</v>
      </c>
      <c r="K14" s="50">
        <v>36.6</v>
      </c>
      <c r="L14" s="50">
        <v>36.6</v>
      </c>
      <c r="M14" s="50">
        <v>36.6</v>
      </c>
      <c r="N14" s="50">
        <v>36.4</v>
      </c>
      <c r="O14" s="50">
        <v>36.4</v>
      </c>
      <c r="P14" s="50">
        <v>36.4</v>
      </c>
      <c r="Q14" s="50">
        <v>36.4</v>
      </c>
      <c r="R14" s="50">
        <v>36.4</v>
      </c>
      <c r="S14" s="50">
        <v>36.4</v>
      </c>
      <c r="T14" s="50">
        <v>35.799999999999997</v>
      </c>
      <c r="U14" s="50">
        <v>35.799999999999997</v>
      </c>
      <c r="V14" s="50">
        <v>35.799999999999997</v>
      </c>
      <c r="W14" s="50">
        <v>35.799999999999997</v>
      </c>
      <c r="X14" s="50">
        <v>35.799999999999997</v>
      </c>
      <c r="Y14" s="60">
        <v>35.799999999999997</v>
      </c>
      <c r="Z14" s="50">
        <v>35.799999999999997</v>
      </c>
      <c r="AA14" s="50">
        <v>35.799999999999997</v>
      </c>
      <c r="AB14" s="50">
        <v>34.5</v>
      </c>
      <c r="AC14" s="50">
        <v>34.5</v>
      </c>
      <c r="AD14" s="50">
        <v>34.5</v>
      </c>
      <c r="AE14" s="50">
        <v>34.5</v>
      </c>
      <c r="AF14" s="50">
        <v>34.5</v>
      </c>
      <c r="AG14" s="59">
        <v>50</v>
      </c>
      <c r="AH14" s="54">
        <f t="shared" si="2"/>
        <v>36.6</v>
      </c>
      <c r="AI14" s="55">
        <f t="shared" si="3"/>
        <v>34.5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22.6</v>
      </c>
      <c r="C15" s="50">
        <v>22.4</v>
      </c>
      <c r="D15" s="50">
        <v>22.4</v>
      </c>
      <c r="E15" s="50">
        <v>22.4</v>
      </c>
      <c r="F15" s="50">
        <v>22.4</v>
      </c>
      <c r="G15" s="50">
        <v>22.4</v>
      </c>
      <c r="H15" s="50">
        <v>22.4</v>
      </c>
      <c r="I15" s="50">
        <v>22.4</v>
      </c>
      <c r="J15" s="50">
        <v>22.4</v>
      </c>
      <c r="K15" s="50">
        <v>22.4</v>
      </c>
      <c r="L15" s="50">
        <v>22.4</v>
      </c>
      <c r="M15" s="50">
        <v>22.4</v>
      </c>
      <c r="N15" s="50">
        <v>20.399999999999999</v>
      </c>
      <c r="O15" s="50">
        <v>20.399999999999999</v>
      </c>
      <c r="P15" s="50">
        <v>20.399999999999999</v>
      </c>
      <c r="Q15" s="50">
        <v>20.399999999999999</v>
      </c>
      <c r="R15" s="50">
        <v>20.399999999999999</v>
      </c>
      <c r="S15" s="50">
        <v>20.399999999999999</v>
      </c>
      <c r="T15" s="50">
        <v>20.399999999999999</v>
      </c>
      <c r="U15" s="50">
        <v>20.399999999999999</v>
      </c>
      <c r="V15" s="50">
        <v>20.399999999999999</v>
      </c>
      <c r="W15" s="50">
        <v>20.399999999999999</v>
      </c>
      <c r="X15" s="50">
        <v>20.399999999999999</v>
      </c>
      <c r="Y15" s="60">
        <v>20.399999999999999</v>
      </c>
      <c r="Z15" s="50">
        <v>20.399999999999999</v>
      </c>
      <c r="AA15" s="50">
        <v>20.399999999999999</v>
      </c>
      <c r="AB15" s="50">
        <v>22.2</v>
      </c>
      <c r="AC15" s="50">
        <v>22.2</v>
      </c>
      <c r="AD15" s="50">
        <v>22.2</v>
      </c>
      <c r="AE15" s="50">
        <v>22.2</v>
      </c>
      <c r="AF15" s="50">
        <v>22</v>
      </c>
      <c r="AG15" s="62">
        <v>45</v>
      </c>
      <c r="AH15" s="54">
        <f t="shared" si="2"/>
        <v>22.6</v>
      </c>
      <c r="AI15" s="55">
        <f t="shared" si="3"/>
        <v>20.399999999999999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63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9</v>
      </c>
      <c r="C17" s="50">
        <v>9</v>
      </c>
      <c r="D17" s="50">
        <v>9</v>
      </c>
      <c r="E17" s="50">
        <v>9</v>
      </c>
      <c r="F17" s="50">
        <v>9</v>
      </c>
      <c r="G17" s="50">
        <v>9</v>
      </c>
      <c r="H17" s="50">
        <v>9</v>
      </c>
      <c r="I17" s="50">
        <v>9</v>
      </c>
      <c r="J17" s="50">
        <v>9</v>
      </c>
      <c r="K17" s="50">
        <v>9</v>
      </c>
      <c r="L17" s="50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60">
        <v>9</v>
      </c>
      <c r="Z17" s="50">
        <v>9</v>
      </c>
      <c r="AA17" s="50">
        <v>9</v>
      </c>
      <c r="AB17" s="50">
        <v>9</v>
      </c>
      <c r="AC17" s="50">
        <v>9</v>
      </c>
      <c r="AD17" s="50">
        <v>9</v>
      </c>
      <c r="AE17" s="50">
        <v>9</v>
      </c>
      <c r="AF17" s="50">
        <v>9</v>
      </c>
      <c r="AG17" s="59">
        <v>42</v>
      </c>
      <c r="AH17" s="54">
        <f t="shared" si="2"/>
        <v>9</v>
      </c>
      <c r="AI17" s="55">
        <f t="shared" si="3"/>
        <v>9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10.3</v>
      </c>
      <c r="C19" s="50">
        <v>10.199999999999999</v>
      </c>
      <c r="D19" s="50">
        <v>10.3</v>
      </c>
      <c r="E19" s="50">
        <v>10.3</v>
      </c>
      <c r="F19" s="50">
        <v>10.3</v>
      </c>
      <c r="G19" s="50">
        <v>10.3</v>
      </c>
      <c r="H19" s="50">
        <v>10</v>
      </c>
      <c r="I19" s="50">
        <v>9.9</v>
      </c>
      <c r="J19" s="50">
        <v>10</v>
      </c>
      <c r="K19" s="50">
        <v>10</v>
      </c>
      <c r="L19" s="50">
        <v>10</v>
      </c>
      <c r="M19" s="50">
        <v>10</v>
      </c>
      <c r="N19" s="50">
        <v>10</v>
      </c>
      <c r="O19" s="50">
        <v>10</v>
      </c>
      <c r="P19" s="50">
        <v>10</v>
      </c>
      <c r="Q19" s="50">
        <v>10</v>
      </c>
      <c r="R19" s="50">
        <v>10</v>
      </c>
      <c r="S19" s="50">
        <v>10</v>
      </c>
      <c r="T19" s="50">
        <v>10</v>
      </c>
      <c r="U19" s="50">
        <v>10</v>
      </c>
      <c r="V19" s="50">
        <v>10</v>
      </c>
      <c r="W19" s="50">
        <v>10</v>
      </c>
      <c r="X19" s="50">
        <v>10</v>
      </c>
      <c r="Y19" s="50">
        <v>10</v>
      </c>
      <c r="Z19" s="50">
        <v>10</v>
      </c>
      <c r="AA19" s="50">
        <v>10</v>
      </c>
      <c r="AB19" s="50">
        <v>10</v>
      </c>
      <c r="AC19" s="50">
        <v>10</v>
      </c>
      <c r="AD19" s="50">
        <v>10</v>
      </c>
      <c r="AE19" s="50">
        <v>10</v>
      </c>
      <c r="AF19" s="50">
        <v>10</v>
      </c>
      <c r="AG19" s="59">
        <v>30</v>
      </c>
      <c r="AH19" s="54">
        <f t="shared" si="2"/>
        <v>10.3</v>
      </c>
      <c r="AI19" s="55">
        <f t="shared" si="3"/>
        <v>9.9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8.5</v>
      </c>
      <c r="C21" s="50">
        <v>8.5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8.5</v>
      </c>
      <c r="Z21" s="50">
        <v>8.5</v>
      </c>
      <c r="AA21" s="50">
        <v>8.5</v>
      </c>
      <c r="AB21" s="50">
        <v>8.5</v>
      </c>
      <c r="AC21" s="50">
        <v>8.5</v>
      </c>
      <c r="AD21" s="50">
        <v>8.5</v>
      </c>
      <c r="AE21" s="50">
        <v>8.5</v>
      </c>
      <c r="AF21" s="50">
        <v>8.5</v>
      </c>
      <c r="AG21" s="59">
        <v>25</v>
      </c>
      <c r="AH21" s="54">
        <f t="shared" si="2"/>
        <v>8.5</v>
      </c>
      <c r="AI21" s="55">
        <f t="shared" si="3"/>
        <v>8.5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11.2</v>
      </c>
      <c r="C22" s="50">
        <v>11.3</v>
      </c>
      <c r="D22" s="50">
        <v>11.4</v>
      </c>
      <c r="E22" s="50">
        <v>11.4</v>
      </c>
      <c r="F22" s="50">
        <v>11.4</v>
      </c>
      <c r="G22" s="50">
        <v>11.4</v>
      </c>
      <c r="H22" s="50">
        <v>11.4</v>
      </c>
      <c r="I22" s="50">
        <v>11.4</v>
      </c>
      <c r="J22" s="50">
        <v>12.8</v>
      </c>
      <c r="K22" s="50">
        <v>12.8</v>
      </c>
      <c r="L22" s="50">
        <v>16.600000000000001</v>
      </c>
      <c r="M22" s="50">
        <v>16.600000000000001</v>
      </c>
      <c r="N22" s="50">
        <v>10.1</v>
      </c>
      <c r="O22" s="50">
        <v>10.1</v>
      </c>
      <c r="P22" s="50">
        <v>10.1</v>
      </c>
      <c r="Q22" s="50">
        <v>10.1</v>
      </c>
      <c r="R22" s="50">
        <v>10.1</v>
      </c>
      <c r="S22" s="50">
        <v>10.1</v>
      </c>
      <c r="T22" s="50">
        <v>10.1</v>
      </c>
      <c r="U22" s="50">
        <v>10.1</v>
      </c>
      <c r="V22" s="50">
        <v>10.1</v>
      </c>
      <c r="W22" s="50">
        <v>10.1</v>
      </c>
      <c r="X22" s="50">
        <v>10.1</v>
      </c>
      <c r="Y22" s="50">
        <v>10.1</v>
      </c>
      <c r="Z22" s="50">
        <v>10.1</v>
      </c>
      <c r="AA22" s="50">
        <v>10.1</v>
      </c>
      <c r="AB22" s="50">
        <v>17.100000000000001</v>
      </c>
      <c r="AC22" s="50">
        <v>17.100000000000001</v>
      </c>
      <c r="AD22" s="50">
        <v>10.9</v>
      </c>
      <c r="AE22" s="50">
        <v>10.9</v>
      </c>
      <c r="AF22" s="50">
        <v>11</v>
      </c>
      <c r="AG22" s="59">
        <v>25</v>
      </c>
      <c r="AH22" s="54">
        <f t="shared" si="2"/>
        <v>17.100000000000001</v>
      </c>
      <c r="AI22" s="55">
        <f t="shared" si="3"/>
        <v>10.1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8</v>
      </c>
      <c r="C23" s="50">
        <v>8</v>
      </c>
      <c r="D23" s="50">
        <v>8</v>
      </c>
      <c r="E23" s="50">
        <v>8</v>
      </c>
      <c r="F23" s="50">
        <v>8</v>
      </c>
      <c r="G23" s="50">
        <v>8</v>
      </c>
      <c r="H23" s="50">
        <v>8</v>
      </c>
      <c r="I23" s="50">
        <v>8</v>
      </c>
      <c r="J23" s="50">
        <v>8</v>
      </c>
      <c r="K23" s="50">
        <v>8</v>
      </c>
      <c r="L23" s="50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8</v>
      </c>
      <c r="Z23" s="50">
        <v>8</v>
      </c>
      <c r="AA23" s="50">
        <v>8</v>
      </c>
      <c r="AB23" s="50">
        <v>8</v>
      </c>
      <c r="AC23" s="50">
        <v>8</v>
      </c>
      <c r="AD23" s="50">
        <v>8</v>
      </c>
      <c r="AE23" s="50">
        <v>8</v>
      </c>
      <c r="AF23" s="50">
        <v>8</v>
      </c>
      <c r="AG23" s="59">
        <v>25</v>
      </c>
      <c r="AH23" s="54">
        <f t="shared" si="2"/>
        <v>8</v>
      </c>
      <c r="AI23" s="55">
        <f t="shared" si="3"/>
        <v>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</v>
      </c>
      <c r="C24" s="50">
        <v>10</v>
      </c>
      <c r="D24" s="50">
        <v>10</v>
      </c>
      <c r="E24" s="50">
        <v>10</v>
      </c>
      <c r="F24" s="50">
        <v>10</v>
      </c>
      <c r="G24" s="50">
        <v>10</v>
      </c>
      <c r="H24" s="50">
        <v>10</v>
      </c>
      <c r="I24" s="50">
        <v>10</v>
      </c>
      <c r="J24" s="50">
        <v>10</v>
      </c>
      <c r="K24" s="50">
        <v>10</v>
      </c>
      <c r="L24" s="50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9">
        <v>25</v>
      </c>
      <c r="AH24" s="54">
        <f t="shared" si="2"/>
        <v>10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8</v>
      </c>
      <c r="C25" s="50">
        <v>8</v>
      </c>
      <c r="D25" s="50">
        <v>8</v>
      </c>
      <c r="E25" s="50">
        <v>8</v>
      </c>
      <c r="F25" s="50">
        <v>8</v>
      </c>
      <c r="G25" s="50">
        <v>8</v>
      </c>
      <c r="H25" s="50">
        <v>8</v>
      </c>
      <c r="I25" s="50">
        <v>8</v>
      </c>
      <c r="J25" s="50">
        <v>8</v>
      </c>
      <c r="K25" s="50">
        <v>8</v>
      </c>
      <c r="L25" s="50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8</v>
      </c>
      <c r="Z25" s="50">
        <v>8</v>
      </c>
      <c r="AA25" s="50">
        <v>8</v>
      </c>
      <c r="AB25" s="50">
        <v>8</v>
      </c>
      <c r="AC25" s="50">
        <v>8</v>
      </c>
      <c r="AD25" s="50">
        <v>8</v>
      </c>
      <c r="AE25" s="50">
        <v>8</v>
      </c>
      <c r="AF25" s="50">
        <v>8</v>
      </c>
      <c r="AG25" s="59">
        <v>24.2</v>
      </c>
      <c r="AH25" s="54">
        <f t="shared" si="2"/>
        <v>8</v>
      </c>
      <c r="AI25" s="55">
        <f t="shared" si="3"/>
        <v>8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4.5</v>
      </c>
      <c r="Z27" s="50">
        <v>4.5</v>
      </c>
      <c r="AA27" s="50">
        <v>4.5</v>
      </c>
      <c r="AB27" s="50">
        <v>4.5</v>
      </c>
      <c r="AC27" s="50">
        <v>4.5</v>
      </c>
      <c r="AD27" s="50">
        <v>4.5</v>
      </c>
      <c r="AE27" s="50">
        <v>4.5</v>
      </c>
      <c r="AF27" s="50">
        <v>4.5</v>
      </c>
      <c r="AG27" s="59">
        <v>23.5</v>
      </c>
      <c r="AH27" s="54">
        <f t="shared" si="2"/>
        <v>4.5</v>
      </c>
      <c r="AI27" s="55">
        <f t="shared" si="3"/>
        <v>4.5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140</v>
      </c>
      <c r="C36" s="61">
        <v>140</v>
      </c>
      <c r="D36" s="61">
        <v>140</v>
      </c>
      <c r="E36" s="61">
        <v>140</v>
      </c>
      <c r="F36" s="61">
        <v>140</v>
      </c>
      <c r="G36" s="61">
        <v>140</v>
      </c>
      <c r="H36" s="61">
        <v>140</v>
      </c>
      <c r="I36" s="61">
        <v>140</v>
      </c>
      <c r="J36" s="61">
        <v>140</v>
      </c>
      <c r="K36" s="61">
        <v>140</v>
      </c>
      <c r="L36" s="61">
        <v>140</v>
      </c>
      <c r="M36" s="61">
        <v>140</v>
      </c>
      <c r="N36" s="61">
        <v>140</v>
      </c>
      <c r="O36" s="61">
        <v>140</v>
      </c>
      <c r="P36" s="61">
        <v>140</v>
      </c>
      <c r="Q36" s="61">
        <v>140</v>
      </c>
      <c r="R36" s="61">
        <v>140</v>
      </c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160</v>
      </c>
      <c r="Z36" s="61">
        <v>140</v>
      </c>
      <c r="AA36" s="61">
        <v>140</v>
      </c>
      <c r="AB36" s="61">
        <v>140</v>
      </c>
      <c r="AC36" s="61">
        <v>140</v>
      </c>
      <c r="AD36" s="61">
        <v>140</v>
      </c>
      <c r="AE36" s="61">
        <v>140</v>
      </c>
      <c r="AF36" s="61">
        <v>140</v>
      </c>
      <c r="AG36" s="67">
        <v>85</v>
      </c>
      <c r="AH36" s="54">
        <f t="shared" si="2"/>
        <v>160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70">
        <f>15.5+31</f>
        <v>46.5</v>
      </c>
      <c r="C37" s="70">
        <f>15.3+31</f>
        <v>46.3</v>
      </c>
      <c r="D37" s="70">
        <f>15.3+30.9</f>
        <v>46.2</v>
      </c>
      <c r="E37" s="61">
        <f>15.4+30.6</f>
        <v>46</v>
      </c>
      <c r="F37" s="61">
        <f>15.6+31</f>
        <v>46.6</v>
      </c>
      <c r="G37" s="61">
        <v>44</v>
      </c>
      <c r="H37" s="61">
        <v>43.5</v>
      </c>
      <c r="I37" s="61">
        <f>14+28.5</f>
        <v>42.5</v>
      </c>
      <c r="J37" s="61">
        <f>14+28.5</f>
        <v>42.5</v>
      </c>
      <c r="K37" s="61">
        <f>14.6+28.1</f>
        <v>42.7</v>
      </c>
      <c r="L37" s="61">
        <f>14.5+28.2</f>
        <v>42.7</v>
      </c>
      <c r="M37" s="70">
        <f>29.1+14.6</f>
        <v>43.7</v>
      </c>
      <c r="N37" s="70">
        <v>44.9</v>
      </c>
      <c r="O37" s="70">
        <v>42.8</v>
      </c>
      <c r="P37" s="70">
        <f>29.9+14.3</f>
        <v>44.2</v>
      </c>
      <c r="Q37" s="70">
        <v>44.2</v>
      </c>
      <c r="R37" s="70">
        <f>29.3+15.2</f>
        <v>44.5</v>
      </c>
      <c r="S37" s="70">
        <f>14.9+27.3</f>
        <v>42.2</v>
      </c>
      <c r="T37" s="70">
        <f>14.1+26.7</f>
        <v>40.799999999999997</v>
      </c>
      <c r="U37" s="70">
        <f>14.3+28</f>
        <v>42.3</v>
      </c>
      <c r="V37" s="70">
        <f>14.3+28</f>
        <v>42.3</v>
      </c>
      <c r="W37" s="70">
        <f>14.3+28</f>
        <v>42.3</v>
      </c>
      <c r="X37" s="70">
        <f>14.3+28</f>
        <v>42.3</v>
      </c>
      <c r="Y37" s="70">
        <v>48.8</v>
      </c>
      <c r="Z37" s="70">
        <f>14.3+28</f>
        <v>42.3</v>
      </c>
      <c r="AA37" s="70">
        <f>14.3+28</f>
        <v>42.3</v>
      </c>
      <c r="AB37" s="70">
        <f>9.7+23</f>
        <v>32.700000000000003</v>
      </c>
      <c r="AC37" s="70">
        <f>9.7+23</f>
        <v>32.700000000000003</v>
      </c>
      <c r="AD37" s="70">
        <f>10.1+24</f>
        <v>34.1</v>
      </c>
      <c r="AE37" s="70">
        <f>14.3+28.2</f>
        <v>42.5</v>
      </c>
      <c r="AF37" s="61">
        <f>14.9+29.1</f>
        <v>44</v>
      </c>
      <c r="AG37" s="67">
        <v>240</v>
      </c>
      <c r="AH37" s="54">
        <f t="shared" si="2"/>
        <v>48.8</v>
      </c>
      <c r="AI37" s="55">
        <f t="shared" si="3"/>
        <v>32.700000000000003</v>
      </c>
      <c r="AK37" s="56"/>
    </row>
    <row r="38" spans="1:88" ht="15.75" thickBot="1" x14ac:dyDescent="0.3">
      <c r="A38" s="71" t="s">
        <v>46</v>
      </c>
      <c r="B38" s="72">
        <f>SUM(B11:B36)</f>
        <v>387.4</v>
      </c>
      <c r="C38" s="72">
        <f t="shared" ref="C38:AF38" si="4">SUM(C11:C36)</f>
        <v>387.19999999999993</v>
      </c>
      <c r="D38" s="72">
        <f t="shared" si="4"/>
        <v>387.6</v>
      </c>
      <c r="E38" s="72">
        <f t="shared" si="4"/>
        <v>407.59999999999997</v>
      </c>
      <c r="F38" s="72">
        <f t="shared" si="4"/>
        <v>425.59999999999997</v>
      </c>
      <c r="G38" s="72">
        <f t="shared" si="4"/>
        <v>425.59999999999997</v>
      </c>
      <c r="H38" s="72">
        <f t="shared" si="4"/>
        <v>425.3</v>
      </c>
      <c r="I38" s="72">
        <f t="shared" si="4"/>
        <v>425.2</v>
      </c>
      <c r="J38" s="72">
        <f t="shared" si="4"/>
        <v>476.7</v>
      </c>
      <c r="K38" s="72">
        <f t="shared" si="4"/>
        <v>656.7</v>
      </c>
      <c r="L38" s="72">
        <f t="shared" si="4"/>
        <v>735.50000000000011</v>
      </c>
      <c r="M38" s="72">
        <f t="shared" si="4"/>
        <v>775.50000000000011</v>
      </c>
      <c r="N38" s="72">
        <f t="shared" si="4"/>
        <v>731.9</v>
      </c>
      <c r="O38" s="72">
        <f t="shared" si="4"/>
        <v>471.9</v>
      </c>
      <c r="P38" s="72">
        <f t="shared" si="4"/>
        <v>381.9</v>
      </c>
      <c r="Q38" s="72">
        <f t="shared" si="4"/>
        <v>381.9</v>
      </c>
      <c r="R38" s="72">
        <f t="shared" si="4"/>
        <v>381.9</v>
      </c>
      <c r="S38" s="72">
        <f t="shared" si="4"/>
        <v>381.9</v>
      </c>
      <c r="T38" s="72">
        <f t="shared" si="4"/>
        <v>381.69999999999993</v>
      </c>
      <c r="U38" s="72">
        <f t="shared" si="4"/>
        <v>381.69999999999993</v>
      </c>
      <c r="V38" s="72">
        <f t="shared" si="4"/>
        <v>493.3</v>
      </c>
      <c r="W38" s="72">
        <f t="shared" si="4"/>
        <v>485.3</v>
      </c>
      <c r="X38" s="72">
        <f t="shared" si="4"/>
        <v>666.3</v>
      </c>
      <c r="Y38" s="72">
        <v>763.30000000000007</v>
      </c>
      <c r="Z38" s="72">
        <f t="shared" si="4"/>
        <v>622.29999999999995</v>
      </c>
      <c r="AA38" s="72">
        <f t="shared" si="4"/>
        <v>602.29999999999995</v>
      </c>
      <c r="AB38" s="72">
        <f t="shared" si="4"/>
        <v>499.99999999999994</v>
      </c>
      <c r="AC38" s="72">
        <f t="shared" si="4"/>
        <v>449.99999999999994</v>
      </c>
      <c r="AD38" s="72">
        <f t="shared" si="4"/>
        <v>389.4</v>
      </c>
      <c r="AE38" s="72">
        <f t="shared" si="4"/>
        <v>383.79999999999995</v>
      </c>
      <c r="AF38" s="72">
        <f t="shared" si="4"/>
        <v>385.69999999999993</v>
      </c>
      <c r="AG38" s="67">
        <f>SUM(AG11:AG37)</f>
        <v>1492.8299999999997</v>
      </c>
      <c r="AH38" s="54">
        <f t="shared" si="2"/>
        <v>775.50000000000011</v>
      </c>
      <c r="AI38" s="55">
        <f t="shared" si="3"/>
        <v>381.69999999999993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30</v>
      </c>
      <c r="I39" s="61">
        <v>81.099999999999994</v>
      </c>
      <c r="J39" s="61">
        <v>102.1</v>
      </c>
      <c r="K39" s="61">
        <v>146.4</v>
      </c>
      <c r="L39" s="61">
        <v>145.9</v>
      </c>
      <c r="M39" s="50">
        <v>145.9</v>
      </c>
      <c r="N39" s="50">
        <v>131.69999999999999</v>
      </c>
      <c r="O39" s="50">
        <v>95.4</v>
      </c>
      <c r="P39" s="50">
        <v>95</v>
      </c>
      <c r="Q39" s="50">
        <v>86.2</v>
      </c>
      <c r="R39" s="50">
        <v>75.900000000000006</v>
      </c>
      <c r="S39" s="50">
        <v>71</v>
      </c>
      <c r="T39" s="50">
        <v>71</v>
      </c>
      <c r="U39" s="50">
        <v>71</v>
      </c>
      <c r="V39" s="50">
        <v>81</v>
      </c>
      <c r="W39" s="50">
        <v>146.6</v>
      </c>
      <c r="X39" s="50">
        <v>145.4</v>
      </c>
      <c r="Y39" s="50">
        <v>145.4</v>
      </c>
      <c r="Z39" s="50">
        <v>145.1</v>
      </c>
      <c r="AA39" s="50">
        <v>145.1</v>
      </c>
      <c r="AB39" s="50">
        <v>120.6</v>
      </c>
      <c r="AC39" s="50">
        <v>121.7</v>
      </c>
      <c r="AD39" s="50">
        <v>108</v>
      </c>
      <c r="AE39" s="50">
        <v>35</v>
      </c>
      <c r="AF39" s="49">
        <v>30.7</v>
      </c>
      <c r="AG39" s="62">
        <v>144</v>
      </c>
      <c r="AH39" s="54">
        <f t="shared" si="2"/>
        <v>146.6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25</v>
      </c>
      <c r="H40" s="61">
        <v>25</v>
      </c>
      <c r="I40" s="61">
        <v>60</v>
      </c>
      <c r="J40" s="61">
        <v>50.2</v>
      </c>
      <c r="K40" s="61">
        <v>72</v>
      </c>
      <c r="L40" s="61">
        <v>70.900000000000006</v>
      </c>
      <c r="M40" s="73">
        <v>70.099999999999994</v>
      </c>
      <c r="N40" s="73">
        <v>59.4</v>
      </c>
      <c r="O40" s="73">
        <v>44.8</v>
      </c>
      <c r="P40" s="73">
        <v>34.6</v>
      </c>
      <c r="Q40" s="73">
        <v>34.9</v>
      </c>
      <c r="R40" s="73">
        <v>35.1</v>
      </c>
      <c r="S40" s="73">
        <v>29.8</v>
      </c>
      <c r="T40" s="73">
        <v>29.8</v>
      </c>
      <c r="U40" s="73">
        <v>30.8</v>
      </c>
      <c r="V40" s="73">
        <v>46.3</v>
      </c>
      <c r="W40" s="73">
        <v>71</v>
      </c>
      <c r="X40" s="73">
        <v>69</v>
      </c>
      <c r="Y40" s="73">
        <v>70.900000000000006</v>
      </c>
      <c r="Z40" s="73">
        <v>70.5</v>
      </c>
      <c r="AA40" s="73">
        <v>71</v>
      </c>
      <c r="AB40" s="73">
        <v>60.1</v>
      </c>
      <c r="AC40" s="73">
        <v>60</v>
      </c>
      <c r="AD40" s="73">
        <v>46</v>
      </c>
      <c r="AE40" s="73">
        <v>25</v>
      </c>
      <c r="AF40" s="61">
        <v>0</v>
      </c>
      <c r="AG40" s="67">
        <v>70</v>
      </c>
      <c r="AH40" s="54">
        <f t="shared" si="2"/>
        <v>72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16</v>
      </c>
      <c r="C41" s="61">
        <v>16.7</v>
      </c>
      <c r="D41" s="61">
        <v>16</v>
      </c>
      <c r="E41" s="61">
        <v>16.5</v>
      </c>
      <c r="F41" s="61">
        <v>16.600000000000001</v>
      </c>
      <c r="G41" s="61">
        <v>35</v>
      </c>
      <c r="H41" s="61">
        <v>40</v>
      </c>
      <c r="I41" s="61">
        <v>35.6</v>
      </c>
      <c r="J41" s="61">
        <v>48.6</v>
      </c>
      <c r="K41" s="61">
        <v>65.5</v>
      </c>
      <c r="L41" s="61">
        <v>65.099999999999994</v>
      </c>
      <c r="M41" s="73">
        <v>60.1</v>
      </c>
      <c r="N41" s="73">
        <v>60.9</v>
      </c>
      <c r="O41" s="73">
        <v>54.1</v>
      </c>
      <c r="P41" s="73">
        <v>45.4</v>
      </c>
      <c r="Q41" s="73">
        <v>34.4</v>
      </c>
      <c r="R41" s="73">
        <v>22.6</v>
      </c>
      <c r="S41" s="73">
        <v>16.7</v>
      </c>
      <c r="T41" s="73">
        <v>16.7</v>
      </c>
      <c r="U41" s="73">
        <v>38</v>
      </c>
      <c r="V41" s="73">
        <v>45.8</v>
      </c>
      <c r="W41" s="73">
        <v>32.4</v>
      </c>
      <c r="X41" s="73">
        <v>64</v>
      </c>
      <c r="Y41" s="73">
        <v>67.599999999999994</v>
      </c>
      <c r="Z41" s="73">
        <v>67.5</v>
      </c>
      <c r="AA41" s="73">
        <v>67.2</v>
      </c>
      <c r="AB41" s="73">
        <v>64.8</v>
      </c>
      <c r="AC41" s="73">
        <v>63.3</v>
      </c>
      <c r="AD41" s="73">
        <v>52.9</v>
      </c>
      <c r="AE41" s="73">
        <v>23.6</v>
      </c>
      <c r="AF41" s="61">
        <v>16.399999999999999</v>
      </c>
      <c r="AG41" s="67">
        <v>69</v>
      </c>
      <c r="AH41" s="54">
        <f t="shared" si="2"/>
        <v>67.599999999999994</v>
      </c>
      <c r="AI41" s="55">
        <f t="shared" si="3"/>
        <v>16</v>
      </c>
      <c r="AK41" s="56"/>
    </row>
    <row r="42" spans="1:88" x14ac:dyDescent="0.25">
      <c r="A42" s="66" t="s">
        <v>50</v>
      </c>
      <c r="B42" s="61">
        <v>51.4</v>
      </c>
      <c r="C42" s="61">
        <v>51.1</v>
      </c>
      <c r="D42" s="61">
        <v>49.9</v>
      </c>
      <c r="E42" s="61">
        <v>49.9</v>
      </c>
      <c r="F42" s="61">
        <v>49.7</v>
      </c>
      <c r="G42" s="61">
        <v>49.7</v>
      </c>
      <c r="H42" s="61">
        <v>49.7</v>
      </c>
      <c r="I42" s="61">
        <v>49.7</v>
      </c>
      <c r="J42" s="61">
        <v>49.6</v>
      </c>
      <c r="K42" s="61">
        <v>46.9</v>
      </c>
      <c r="L42" s="61">
        <v>47.9</v>
      </c>
      <c r="M42" s="73">
        <v>48.1</v>
      </c>
      <c r="N42" s="73">
        <v>53.9</v>
      </c>
      <c r="O42" s="73">
        <v>50.4</v>
      </c>
      <c r="P42" s="73">
        <v>51.7</v>
      </c>
      <c r="Q42" s="73">
        <v>48.9</v>
      </c>
      <c r="R42" s="73">
        <v>46.6</v>
      </c>
      <c r="S42" s="73">
        <v>48.6</v>
      </c>
      <c r="T42" s="73">
        <v>48.6</v>
      </c>
      <c r="U42" s="73">
        <v>48.4</v>
      </c>
      <c r="V42" s="73">
        <v>47.9</v>
      </c>
      <c r="W42" s="73">
        <v>41.8</v>
      </c>
      <c r="X42" s="73">
        <v>41.8</v>
      </c>
      <c r="Y42" s="73">
        <v>48.3</v>
      </c>
      <c r="Z42" s="73">
        <v>41.8</v>
      </c>
      <c r="AA42" s="73">
        <v>41.8</v>
      </c>
      <c r="AB42" s="73">
        <v>51.1</v>
      </c>
      <c r="AC42" s="73">
        <v>49.1</v>
      </c>
      <c r="AD42" s="73">
        <v>49.4</v>
      </c>
      <c r="AE42" s="73">
        <v>49.6</v>
      </c>
      <c r="AF42" s="61">
        <v>51.1</v>
      </c>
      <c r="AG42" s="67">
        <v>60</v>
      </c>
      <c r="AH42" s="54">
        <f t="shared" si="2"/>
        <v>53.9</v>
      </c>
      <c r="AI42" s="55">
        <f t="shared" si="3"/>
        <v>41.8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10</v>
      </c>
      <c r="I43" s="61">
        <v>10</v>
      </c>
      <c r="J43" s="61">
        <v>23</v>
      </c>
      <c r="K43" s="61">
        <v>29</v>
      </c>
      <c r="L43" s="61">
        <v>29</v>
      </c>
      <c r="M43" s="50">
        <v>29</v>
      </c>
      <c r="N43" s="50">
        <v>29</v>
      </c>
      <c r="O43" s="50">
        <v>10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15</v>
      </c>
      <c r="Z43" s="50">
        <v>0</v>
      </c>
      <c r="AA43" s="50">
        <v>0</v>
      </c>
      <c r="AB43" s="73">
        <v>15</v>
      </c>
      <c r="AC43" s="73">
        <v>13</v>
      </c>
      <c r="AD43" s="73">
        <v>13</v>
      </c>
      <c r="AE43" s="73">
        <v>15</v>
      </c>
      <c r="AF43" s="61">
        <v>10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74">
        <v>16</v>
      </c>
      <c r="D45" s="74">
        <v>16</v>
      </c>
      <c r="E45" s="74">
        <v>16</v>
      </c>
      <c r="F45" s="74">
        <v>16</v>
      </c>
      <c r="G45" s="74">
        <v>16</v>
      </c>
      <c r="H45" s="74">
        <v>16</v>
      </c>
      <c r="I45" s="74">
        <v>16</v>
      </c>
      <c r="J45" s="74">
        <v>16</v>
      </c>
      <c r="K45" s="74">
        <v>16</v>
      </c>
      <c r="L45" s="74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74">
        <v>5</v>
      </c>
      <c r="D48" s="74">
        <v>5</v>
      </c>
      <c r="E48" s="74">
        <v>5</v>
      </c>
      <c r="F48" s="74">
        <v>5</v>
      </c>
      <c r="G48" s="74">
        <v>5</v>
      </c>
      <c r="H48" s="74">
        <v>5</v>
      </c>
      <c r="I48" s="74">
        <v>5</v>
      </c>
      <c r="J48" s="74">
        <v>5</v>
      </c>
      <c r="K48" s="74">
        <v>5</v>
      </c>
      <c r="L48" s="74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6.4</v>
      </c>
      <c r="C49" s="61">
        <v>6.4</v>
      </c>
      <c r="D49" s="61">
        <v>6.4</v>
      </c>
      <c r="E49" s="61">
        <v>6.4</v>
      </c>
      <c r="F49" s="61">
        <v>6.4</v>
      </c>
      <c r="G49" s="61">
        <v>6.4</v>
      </c>
      <c r="H49" s="61">
        <v>6.4</v>
      </c>
      <c r="I49" s="61">
        <v>6.4</v>
      </c>
      <c r="J49" s="61">
        <v>6.4</v>
      </c>
      <c r="K49" s="61">
        <v>6.4</v>
      </c>
      <c r="L49" s="61">
        <v>6.4</v>
      </c>
      <c r="M49" s="50">
        <v>6.4</v>
      </c>
      <c r="N49" s="50">
        <v>6.4</v>
      </c>
      <c r="O49" s="50">
        <v>6.4</v>
      </c>
      <c r="P49" s="50">
        <v>6.4</v>
      </c>
      <c r="Q49" s="50">
        <v>6.4</v>
      </c>
      <c r="R49" s="50">
        <v>6.4</v>
      </c>
      <c r="S49" s="50">
        <v>6.4</v>
      </c>
      <c r="T49" s="50">
        <v>6.4</v>
      </c>
      <c r="U49" s="50">
        <v>6.4</v>
      </c>
      <c r="V49" s="50">
        <v>6.4</v>
      </c>
      <c r="W49" s="50">
        <v>6.4</v>
      </c>
      <c r="X49" s="50">
        <v>6.4</v>
      </c>
      <c r="Y49" s="50">
        <v>6.4</v>
      </c>
      <c r="Z49" s="50">
        <v>6.4</v>
      </c>
      <c r="AA49" s="50">
        <v>6.4</v>
      </c>
      <c r="AB49" s="50">
        <v>6.4</v>
      </c>
      <c r="AC49" s="50">
        <v>6.4</v>
      </c>
      <c r="AD49" s="50">
        <v>6.4</v>
      </c>
      <c r="AE49" s="50">
        <v>6.4</v>
      </c>
      <c r="AF49" s="50">
        <v>6.4</v>
      </c>
      <c r="AG49" s="67">
        <v>10.050000000000001</v>
      </c>
      <c r="AH49" s="54">
        <f t="shared" si="2"/>
        <v>6.4</v>
      </c>
      <c r="AI49" s="55">
        <f t="shared" si="3"/>
        <v>6.4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50">
        <v>3.2</v>
      </c>
      <c r="N50" s="50">
        <v>3.2</v>
      </c>
      <c r="O50" s="50">
        <v>3.2</v>
      </c>
      <c r="P50" s="50">
        <v>3.2</v>
      </c>
      <c r="Q50" s="50">
        <v>3.2</v>
      </c>
      <c r="R50" s="50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v>3.54</v>
      </c>
      <c r="Z51" s="77">
        <f>Z199</f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115.54000000000002</v>
      </c>
      <c r="C52" s="72">
        <f t="shared" ref="C52:AF52" si="6">SUM(C39:C51)</f>
        <v>115.94000000000001</v>
      </c>
      <c r="D52" s="72">
        <f t="shared" si="6"/>
        <v>114.04000000000002</v>
      </c>
      <c r="E52" s="72">
        <f t="shared" si="6"/>
        <v>114.54000000000002</v>
      </c>
      <c r="F52" s="72">
        <f t="shared" si="6"/>
        <v>124.44000000000003</v>
      </c>
      <c r="G52" s="72">
        <f t="shared" si="6"/>
        <v>167.83999999999997</v>
      </c>
      <c r="H52" s="72">
        <f t="shared" si="6"/>
        <v>202.83999999999997</v>
      </c>
      <c r="I52" s="72">
        <f t="shared" si="6"/>
        <v>284.53999999999996</v>
      </c>
      <c r="J52" s="72">
        <f t="shared" si="6"/>
        <v>321.64</v>
      </c>
      <c r="K52" s="72">
        <f t="shared" si="6"/>
        <v>407.93999999999994</v>
      </c>
      <c r="L52" s="72">
        <f t="shared" si="6"/>
        <v>406.93999999999994</v>
      </c>
      <c r="M52" s="72">
        <f t="shared" si="6"/>
        <v>401.34000000000003</v>
      </c>
      <c r="N52" s="72">
        <f t="shared" si="6"/>
        <v>383.03999999999996</v>
      </c>
      <c r="O52" s="72">
        <f t="shared" si="6"/>
        <v>302.83999999999997</v>
      </c>
      <c r="P52" s="72">
        <f t="shared" si="6"/>
        <v>284.83999999999997</v>
      </c>
      <c r="Q52" s="72">
        <f t="shared" si="6"/>
        <v>262.54000000000002</v>
      </c>
      <c r="R52" s="72">
        <f t="shared" si="6"/>
        <v>228.33999999999997</v>
      </c>
      <c r="S52" s="72">
        <f t="shared" si="6"/>
        <v>214.23999999999998</v>
      </c>
      <c r="T52" s="72">
        <f t="shared" si="6"/>
        <v>214.23999999999998</v>
      </c>
      <c r="U52" s="72">
        <f t="shared" si="6"/>
        <v>236.34</v>
      </c>
      <c r="V52" s="72">
        <f t="shared" si="6"/>
        <v>269.14</v>
      </c>
      <c r="W52" s="72">
        <f t="shared" si="6"/>
        <v>339.94</v>
      </c>
      <c r="X52" s="72">
        <f t="shared" si="6"/>
        <v>368.34</v>
      </c>
      <c r="Y52" s="72">
        <v>395.34</v>
      </c>
      <c r="Z52" s="72">
        <f>SUM(Z39:Z51)</f>
        <v>373.04</v>
      </c>
      <c r="AA52" s="72">
        <f t="shared" si="6"/>
        <v>373.24</v>
      </c>
      <c r="AB52" s="72">
        <f t="shared" si="6"/>
        <v>359.74</v>
      </c>
      <c r="AC52" s="72">
        <f t="shared" si="6"/>
        <v>355.24</v>
      </c>
      <c r="AD52" s="72">
        <f t="shared" si="6"/>
        <v>317.44</v>
      </c>
      <c r="AE52" s="72">
        <f t="shared" si="6"/>
        <v>196.33999999999997</v>
      </c>
      <c r="AF52" s="72">
        <f t="shared" si="6"/>
        <v>156.33999999999997</v>
      </c>
      <c r="AG52" s="78">
        <f>SUM(AG39:AG51)</f>
        <v>489.91</v>
      </c>
      <c r="AH52" s="54">
        <f t="shared" si="2"/>
        <v>407.93999999999994</v>
      </c>
      <c r="AI52" s="55">
        <f t="shared" si="3"/>
        <v>114.04000000000002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20.2</v>
      </c>
      <c r="M53" s="79">
        <v>29.8</v>
      </c>
      <c r="N53" s="79">
        <v>29.7</v>
      </c>
      <c r="O53" s="79">
        <v>29.7</v>
      </c>
      <c r="P53" s="79">
        <v>20</v>
      </c>
      <c r="Q53" s="50">
        <v>11.1</v>
      </c>
      <c r="R53" s="50">
        <v>0</v>
      </c>
      <c r="S53" s="50">
        <v>0</v>
      </c>
      <c r="T53" s="50">
        <v>14</v>
      </c>
      <c r="U53" s="50">
        <v>13.5</v>
      </c>
      <c r="V53" s="50">
        <v>30</v>
      </c>
      <c r="W53" s="50">
        <v>59.1</v>
      </c>
      <c r="X53" s="50">
        <v>59.3</v>
      </c>
      <c r="Y53" s="50">
        <v>60.2</v>
      </c>
      <c r="Z53" s="50">
        <v>59.3</v>
      </c>
      <c r="AA53" s="50">
        <v>43.8</v>
      </c>
      <c r="AB53" s="50">
        <v>43.4</v>
      </c>
      <c r="AC53" s="50">
        <v>33.200000000000003</v>
      </c>
      <c r="AD53" s="50">
        <v>13.8</v>
      </c>
      <c r="AE53" s="50">
        <v>0</v>
      </c>
      <c r="AF53" s="50">
        <v>0</v>
      </c>
      <c r="AG53" s="62">
        <v>60</v>
      </c>
      <c r="AH53" s="54">
        <f t="shared" si="2"/>
        <v>60.2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9.5</v>
      </c>
      <c r="M54" s="79">
        <v>6.8</v>
      </c>
      <c r="N54" s="79">
        <v>14.9</v>
      </c>
      <c r="O54" s="79">
        <v>14.5</v>
      </c>
      <c r="P54" s="79">
        <v>10.3</v>
      </c>
      <c r="Q54" s="73">
        <v>11.1</v>
      </c>
      <c r="R54" s="50">
        <v>0</v>
      </c>
      <c r="S54" s="50">
        <v>0</v>
      </c>
      <c r="T54" s="50">
        <v>6.3</v>
      </c>
      <c r="U54" s="50">
        <v>10.199999999999999</v>
      </c>
      <c r="V54" s="73">
        <v>12.2</v>
      </c>
      <c r="W54" s="73">
        <v>22.4</v>
      </c>
      <c r="X54" s="73">
        <v>28.7</v>
      </c>
      <c r="Y54" s="73">
        <v>28.5</v>
      </c>
      <c r="Z54" s="73">
        <v>29.1</v>
      </c>
      <c r="AA54" s="73">
        <v>22.2</v>
      </c>
      <c r="AB54" s="73">
        <v>19</v>
      </c>
      <c r="AC54" s="73">
        <v>15.9</v>
      </c>
      <c r="AD54" s="73">
        <v>4.8</v>
      </c>
      <c r="AE54" s="73">
        <v>0</v>
      </c>
      <c r="AF54" s="73">
        <v>0</v>
      </c>
      <c r="AG54" s="67">
        <v>32</v>
      </c>
      <c r="AH54" s="54">
        <f t="shared" si="2"/>
        <v>29.1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3.5</v>
      </c>
      <c r="M55" s="81">
        <v>2.5</v>
      </c>
      <c r="N55" s="81">
        <v>5.4</v>
      </c>
      <c r="O55" s="81">
        <v>5.3</v>
      </c>
      <c r="P55" s="81">
        <v>3.7</v>
      </c>
      <c r="Q55" s="80">
        <v>4.0999999999999996</v>
      </c>
      <c r="R55" s="50">
        <v>0</v>
      </c>
      <c r="S55" s="50">
        <v>0</v>
      </c>
      <c r="T55" s="50">
        <v>2.2999999999999998</v>
      </c>
      <c r="U55" s="50">
        <v>3.7</v>
      </c>
      <c r="V55" s="80">
        <v>4.5</v>
      </c>
      <c r="W55" s="80">
        <v>8.1999999999999993</v>
      </c>
      <c r="X55" s="80">
        <v>10.5</v>
      </c>
      <c r="Y55" s="80">
        <v>10.4</v>
      </c>
      <c r="Z55" s="80">
        <v>10.6</v>
      </c>
      <c r="AA55" s="80">
        <v>8.1</v>
      </c>
      <c r="AB55" s="80">
        <v>7</v>
      </c>
      <c r="AC55" s="80">
        <v>5.8</v>
      </c>
      <c r="AD55" s="80">
        <v>1.7</v>
      </c>
      <c r="AE55" s="80">
        <v>0</v>
      </c>
      <c r="AF55" s="80">
        <v>0</v>
      </c>
      <c r="AG55" s="82">
        <v>14</v>
      </c>
      <c r="AH55" s="54">
        <f t="shared" si="2"/>
        <v>10.6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33.200000000000003</v>
      </c>
      <c r="M56" s="72">
        <f t="shared" si="7"/>
        <v>39.1</v>
      </c>
      <c r="N56" s="72">
        <f t="shared" si="7"/>
        <v>50</v>
      </c>
      <c r="O56" s="72">
        <f t="shared" si="7"/>
        <v>49.5</v>
      </c>
      <c r="P56" s="72">
        <f t="shared" si="7"/>
        <v>34</v>
      </c>
      <c r="Q56" s="72">
        <f t="shared" si="7"/>
        <v>26.299999999999997</v>
      </c>
      <c r="R56" s="72">
        <f t="shared" si="7"/>
        <v>0</v>
      </c>
      <c r="S56" s="72">
        <f t="shared" si="7"/>
        <v>0</v>
      </c>
      <c r="T56" s="72">
        <f t="shared" si="7"/>
        <v>22.6</v>
      </c>
      <c r="U56" s="72">
        <f t="shared" si="7"/>
        <v>27.4</v>
      </c>
      <c r="V56" s="72">
        <f t="shared" si="7"/>
        <v>46.7</v>
      </c>
      <c r="W56" s="72">
        <f t="shared" si="7"/>
        <v>89.7</v>
      </c>
      <c r="X56" s="72">
        <f t="shared" si="7"/>
        <v>98.5</v>
      </c>
      <c r="Y56" s="72">
        <v>99.100000000000009</v>
      </c>
      <c r="Z56" s="72">
        <f>SUM(Z53:Z55)</f>
        <v>99</v>
      </c>
      <c r="AA56" s="72">
        <f t="shared" si="7"/>
        <v>74.099999999999994</v>
      </c>
      <c r="AB56" s="72">
        <f t="shared" si="7"/>
        <v>69.400000000000006</v>
      </c>
      <c r="AC56" s="72">
        <f t="shared" si="7"/>
        <v>54.9</v>
      </c>
      <c r="AD56" s="72">
        <f t="shared" si="7"/>
        <v>20.3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99.100000000000009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70</v>
      </c>
      <c r="C57" s="50">
        <v>66</v>
      </c>
      <c r="D57" s="50">
        <v>70.5</v>
      </c>
      <c r="E57" s="50">
        <v>73</v>
      </c>
      <c r="F57" s="50">
        <v>70</v>
      </c>
      <c r="G57" s="50">
        <v>66</v>
      </c>
      <c r="H57" s="50">
        <v>67</v>
      </c>
      <c r="I57" s="50">
        <v>69</v>
      </c>
      <c r="J57" s="50">
        <v>67</v>
      </c>
      <c r="K57" s="50">
        <v>69</v>
      </c>
      <c r="L57" s="50">
        <v>72.7</v>
      </c>
      <c r="M57" s="50">
        <v>76.650000000000006</v>
      </c>
      <c r="N57" s="50">
        <v>73.83</v>
      </c>
      <c r="O57" s="50">
        <v>68.599999999999994</v>
      </c>
      <c r="P57" s="50">
        <v>68.599999999999994</v>
      </c>
      <c r="Q57" s="50">
        <v>68.2</v>
      </c>
      <c r="R57" s="50">
        <v>70.319999999999993</v>
      </c>
      <c r="S57" s="50">
        <v>70.319999999999993</v>
      </c>
      <c r="T57" s="50">
        <v>61.3</v>
      </c>
      <c r="U57" s="50">
        <v>70.5</v>
      </c>
      <c r="V57" s="50">
        <v>70.5</v>
      </c>
      <c r="W57" s="50">
        <v>60</v>
      </c>
      <c r="X57" s="50">
        <v>60.36</v>
      </c>
      <c r="Y57" s="50">
        <v>69</v>
      </c>
      <c r="Z57" s="50">
        <v>68.5</v>
      </c>
      <c r="AA57" s="50">
        <v>68.260000000000005</v>
      </c>
      <c r="AB57" s="50">
        <v>65.25</v>
      </c>
      <c r="AC57" s="50">
        <v>69</v>
      </c>
      <c r="AD57" s="50">
        <v>70.48</v>
      </c>
      <c r="AE57" s="50">
        <v>60</v>
      </c>
      <c r="AF57" s="50">
        <v>64</v>
      </c>
      <c r="AG57" s="62"/>
      <c r="AH57" s="54">
        <f t="shared" si="2"/>
        <v>76.650000000000006</v>
      </c>
      <c r="AI57" s="55">
        <f t="shared" si="3"/>
        <v>60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98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83">
        <v>0</v>
      </c>
      <c r="Z58" s="50">
        <v>0</v>
      </c>
      <c r="AA58" s="50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98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378</v>
      </c>
      <c r="C59" s="73">
        <v>375</v>
      </c>
      <c r="D59" s="73">
        <v>340</v>
      </c>
      <c r="E59" s="73">
        <v>332.5</v>
      </c>
      <c r="F59" s="73">
        <v>309.60000000000002</v>
      </c>
      <c r="G59" s="73">
        <v>316</v>
      </c>
      <c r="H59" s="50">
        <v>332</v>
      </c>
      <c r="I59" s="50">
        <v>385</v>
      </c>
      <c r="J59" s="50">
        <v>367</v>
      </c>
      <c r="K59" s="50">
        <v>155</v>
      </c>
      <c r="L59" s="50">
        <v>127.8</v>
      </c>
      <c r="M59" s="73">
        <v>103.5</v>
      </c>
      <c r="N59" s="73">
        <v>89.4</v>
      </c>
      <c r="O59" s="73">
        <v>226.1</v>
      </c>
      <c r="P59" s="73">
        <v>347.8</v>
      </c>
      <c r="Q59" s="73">
        <v>356.5</v>
      </c>
      <c r="R59" s="73">
        <v>391</v>
      </c>
      <c r="S59" s="73">
        <v>394</v>
      </c>
      <c r="T59" s="73">
        <v>378.3</v>
      </c>
      <c r="U59" s="73">
        <v>379</v>
      </c>
      <c r="V59" s="73">
        <v>379</v>
      </c>
      <c r="W59" s="73">
        <v>210</v>
      </c>
      <c r="X59" s="73">
        <v>75</v>
      </c>
      <c r="Y59" s="84">
        <v>112</v>
      </c>
      <c r="Z59" s="73">
        <v>193</v>
      </c>
      <c r="AA59" s="73">
        <v>196</v>
      </c>
      <c r="AB59" s="73">
        <v>310.10000000000002</v>
      </c>
      <c r="AC59" s="73">
        <v>309.10000000000002</v>
      </c>
      <c r="AD59" s="73">
        <v>375</v>
      </c>
      <c r="AE59" s="73">
        <v>352</v>
      </c>
      <c r="AF59" s="73">
        <v>377.2</v>
      </c>
      <c r="AG59" s="85"/>
      <c r="AH59" s="54">
        <f t="shared" si="2"/>
        <v>394</v>
      </c>
      <c r="AI59" s="55">
        <f t="shared" si="3"/>
        <v>75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53.7</v>
      </c>
      <c r="K60" s="58">
        <v>60.8</v>
      </c>
      <c r="L60" s="58">
        <v>61.9</v>
      </c>
      <c r="M60" s="73">
        <v>58.1</v>
      </c>
      <c r="N60" s="73">
        <v>54.8</v>
      </c>
      <c r="O60" s="73">
        <v>58.6</v>
      </c>
      <c r="P60" s="73">
        <v>58.6</v>
      </c>
      <c r="Q60" s="73">
        <v>50.2</v>
      </c>
      <c r="R60" s="73">
        <v>52.2</v>
      </c>
      <c r="S60" s="73">
        <v>50.4</v>
      </c>
      <c r="T60" s="73">
        <v>52.4</v>
      </c>
      <c r="U60" s="73">
        <v>45.5</v>
      </c>
      <c r="V60" s="73">
        <v>57.3</v>
      </c>
      <c r="W60" s="73">
        <v>58</v>
      </c>
      <c r="X60" s="73">
        <v>61.3</v>
      </c>
      <c r="Y60" s="73">
        <v>62.8</v>
      </c>
      <c r="Z60" s="73">
        <v>54.8</v>
      </c>
      <c r="AA60" s="73">
        <v>55.1</v>
      </c>
      <c r="AB60" s="73">
        <v>56.3</v>
      </c>
      <c r="AC60" s="73">
        <v>56.6</v>
      </c>
      <c r="AD60" s="73">
        <v>55</v>
      </c>
      <c r="AE60" s="73">
        <v>52.2</v>
      </c>
      <c r="AF60" s="58">
        <v>0</v>
      </c>
      <c r="AG60" s="85"/>
      <c r="AH60" s="54">
        <f t="shared" si="2"/>
        <v>62.8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77.400000000000006</v>
      </c>
      <c r="L61" s="58">
        <v>74.2</v>
      </c>
      <c r="M61" s="50">
        <v>81.7</v>
      </c>
      <c r="N61" s="50">
        <v>78.5</v>
      </c>
      <c r="O61" s="50">
        <v>71.599999999999994</v>
      </c>
      <c r="P61" s="50">
        <v>67.599999999999994</v>
      </c>
      <c r="Q61" s="50">
        <v>72.599999999999994</v>
      </c>
      <c r="R61" s="50">
        <v>66.2</v>
      </c>
      <c r="S61" s="50">
        <v>59.1</v>
      </c>
      <c r="T61" s="50">
        <v>62.5</v>
      </c>
      <c r="U61" s="50">
        <v>68.400000000000006</v>
      </c>
      <c r="V61" s="50">
        <v>62.5</v>
      </c>
      <c r="W61" s="50">
        <v>69.900000000000006</v>
      </c>
      <c r="X61" s="50">
        <v>63.7</v>
      </c>
      <c r="Y61" s="50">
        <v>71.599999999999994</v>
      </c>
      <c r="Z61" s="50">
        <v>71.599999999999994</v>
      </c>
      <c r="AA61" s="50">
        <v>66.7</v>
      </c>
      <c r="AB61" s="50">
        <v>71.2</v>
      </c>
      <c r="AC61" s="50">
        <v>66.599999999999994</v>
      </c>
      <c r="AD61" s="50">
        <v>61</v>
      </c>
      <c r="AE61" s="50">
        <v>0</v>
      </c>
      <c r="AF61" s="50">
        <v>0</v>
      </c>
      <c r="AG61" s="85"/>
      <c r="AH61" s="54">
        <f t="shared" si="2"/>
        <v>81.7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0">
        <v>0</v>
      </c>
      <c r="K63" s="50">
        <v>0</v>
      </c>
      <c r="L63" s="50">
        <v>0</v>
      </c>
      <c r="M63" s="73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73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73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73">
        <v>0</v>
      </c>
      <c r="K66" s="73">
        <v>0</v>
      </c>
      <c r="L66" s="73">
        <v>0</v>
      </c>
      <c r="M66" s="73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0">
        <v>0</v>
      </c>
      <c r="K67" s="50">
        <v>0</v>
      </c>
      <c r="L67" s="50">
        <v>0</v>
      </c>
      <c r="M67" s="73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448</v>
      </c>
      <c r="C68" s="72">
        <f>SUM(C57:C67)</f>
        <v>441</v>
      </c>
      <c r="D68" s="72">
        <f t="shared" ref="D68:AF68" si="8">SUM(D57:D67)</f>
        <v>410.5</v>
      </c>
      <c r="E68" s="72">
        <f t="shared" si="8"/>
        <v>405.5</v>
      </c>
      <c r="F68" s="72">
        <f t="shared" si="8"/>
        <v>379.6</v>
      </c>
      <c r="G68" s="72">
        <f t="shared" si="8"/>
        <v>382</v>
      </c>
      <c r="H68" s="72">
        <f t="shared" si="8"/>
        <v>399</v>
      </c>
      <c r="I68" s="72">
        <f t="shared" si="8"/>
        <v>454</v>
      </c>
      <c r="J68" s="72">
        <f t="shared" si="8"/>
        <v>487.7</v>
      </c>
      <c r="K68" s="72">
        <f t="shared" si="8"/>
        <v>362.20000000000005</v>
      </c>
      <c r="L68" s="72">
        <f t="shared" si="8"/>
        <v>336.59999999999997</v>
      </c>
      <c r="M68" s="72">
        <f t="shared" si="8"/>
        <v>319.95</v>
      </c>
      <c r="N68" s="72">
        <f t="shared" si="8"/>
        <v>296.53000000000003</v>
      </c>
      <c r="O68" s="72">
        <f t="shared" si="8"/>
        <v>522.9</v>
      </c>
      <c r="P68" s="72">
        <f t="shared" si="8"/>
        <v>542.6</v>
      </c>
      <c r="Q68" s="72">
        <f t="shared" si="8"/>
        <v>547.5</v>
      </c>
      <c r="R68" s="72">
        <f t="shared" si="8"/>
        <v>579.72</v>
      </c>
      <c r="S68" s="72">
        <f t="shared" si="8"/>
        <v>573.82000000000005</v>
      </c>
      <c r="T68" s="72">
        <f t="shared" si="8"/>
        <v>554.5</v>
      </c>
      <c r="U68" s="72">
        <f t="shared" si="8"/>
        <v>563.4</v>
      </c>
      <c r="V68" s="72">
        <f t="shared" si="8"/>
        <v>569.29999999999995</v>
      </c>
      <c r="W68" s="72">
        <f t="shared" si="8"/>
        <v>397.9</v>
      </c>
      <c r="X68" s="72">
        <f t="shared" si="8"/>
        <v>260.36</v>
      </c>
      <c r="Y68" s="72">
        <v>315.39999999999998</v>
      </c>
      <c r="Z68" s="72">
        <f>SUM(Z57:Z67)</f>
        <v>387.9</v>
      </c>
      <c r="AA68" s="72">
        <f t="shared" si="8"/>
        <v>386.06</v>
      </c>
      <c r="AB68" s="72">
        <f t="shared" si="8"/>
        <v>502.85</v>
      </c>
      <c r="AC68" s="72">
        <f t="shared" si="8"/>
        <v>501.30000000000007</v>
      </c>
      <c r="AD68" s="72">
        <f t="shared" si="8"/>
        <v>561.48</v>
      </c>
      <c r="AE68" s="72">
        <f t="shared" si="8"/>
        <v>464.2</v>
      </c>
      <c r="AF68" s="72">
        <f t="shared" si="8"/>
        <v>441.2</v>
      </c>
      <c r="AG68" s="78">
        <f>SUM(AG57:AG67)</f>
        <v>0</v>
      </c>
      <c r="AH68" s="54">
        <f t="shared" si="2"/>
        <v>579.72</v>
      </c>
      <c r="AI68" s="55">
        <f t="shared" si="3"/>
        <v>260.36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v>0</v>
      </c>
      <c r="Z72" s="72">
        <f>SUM(Z69:Z71)</f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950.93999999999994</v>
      </c>
      <c r="C73" s="89">
        <f>C68+C56+C52+C38+C72</f>
        <v>944.14</v>
      </c>
      <c r="D73" s="89">
        <f t="shared" ref="D73:AG73" si="10">D68+D56+D52+D38+D72</f>
        <v>912.14</v>
      </c>
      <c r="E73" s="89">
        <f t="shared" si="10"/>
        <v>927.63999999999987</v>
      </c>
      <c r="F73" s="89">
        <f t="shared" si="10"/>
        <v>929.6400000000001</v>
      </c>
      <c r="G73" s="89">
        <f t="shared" si="10"/>
        <v>975.43999999999983</v>
      </c>
      <c r="H73" s="89">
        <f t="shared" si="10"/>
        <v>1027.1399999999999</v>
      </c>
      <c r="I73" s="89">
        <f t="shared" si="10"/>
        <v>1163.74</v>
      </c>
      <c r="J73" s="89">
        <f t="shared" si="10"/>
        <v>1286.04</v>
      </c>
      <c r="K73" s="89">
        <f t="shared" si="10"/>
        <v>1426.8400000000001</v>
      </c>
      <c r="L73" s="89">
        <f t="shared" si="10"/>
        <v>1512.24</v>
      </c>
      <c r="M73" s="89">
        <f t="shared" si="10"/>
        <v>1535.8900000000003</v>
      </c>
      <c r="N73" s="89">
        <f t="shared" si="10"/>
        <v>1461.4699999999998</v>
      </c>
      <c r="O73" s="89">
        <f t="shared" si="10"/>
        <v>1347.1399999999999</v>
      </c>
      <c r="P73" s="89">
        <f t="shared" si="10"/>
        <v>1243.3400000000001</v>
      </c>
      <c r="Q73" s="89">
        <f t="shared" si="10"/>
        <v>1218.2399999999998</v>
      </c>
      <c r="R73" s="89">
        <f t="shared" si="10"/>
        <v>1189.96</v>
      </c>
      <c r="S73" s="89">
        <f t="shared" si="10"/>
        <v>1169.96</v>
      </c>
      <c r="T73" s="89">
        <f t="shared" si="10"/>
        <v>1173.04</v>
      </c>
      <c r="U73" s="89">
        <f t="shared" si="10"/>
        <v>1208.8399999999999</v>
      </c>
      <c r="V73" s="89">
        <f t="shared" si="10"/>
        <v>1378.44</v>
      </c>
      <c r="W73" s="89">
        <f t="shared" si="10"/>
        <v>1312.84</v>
      </c>
      <c r="X73" s="89">
        <f t="shared" si="10"/>
        <v>1393.5</v>
      </c>
      <c r="Y73" s="89">
        <v>1573.1399999999999</v>
      </c>
      <c r="Z73" s="89">
        <f>Z68+Z56+Z52+Z38+Z72</f>
        <v>1482.24</v>
      </c>
      <c r="AA73" s="89">
        <f t="shared" si="10"/>
        <v>1435.6999999999998</v>
      </c>
      <c r="AB73" s="89">
        <f t="shared" si="10"/>
        <v>1431.99</v>
      </c>
      <c r="AC73" s="89">
        <f t="shared" si="10"/>
        <v>1361.44</v>
      </c>
      <c r="AD73" s="89">
        <f t="shared" si="10"/>
        <v>1288.6199999999999</v>
      </c>
      <c r="AE73" s="89">
        <f t="shared" si="10"/>
        <v>1044.3399999999999</v>
      </c>
      <c r="AF73" s="89">
        <f t="shared" si="10"/>
        <v>983.2399999999999</v>
      </c>
      <c r="AG73" s="89">
        <f t="shared" si="10"/>
        <v>2144.14</v>
      </c>
      <c r="AH73" s="54">
        <f t="shared" si="2"/>
        <v>1573.1399999999999</v>
      </c>
      <c r="AI73" s="55">
        <f t="shared" si="3"/>
        <v>912.14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950.93999999999994</v>
      </c>
      <c r="C75" s="89">
        <f>C73+C74</f>
        <v>944.14</v>
      </c>
      <c r="D75" s="89">
        <f t="shared" ref="D75:AF75" si="11">D72+D68+D56+D52+D38+D74</f>
        <v>912.14</v>
      </c>
      <c r="E75" s="89">
        <f t="shared" si="11"/>
        <v>927.63999999999987</v>
      </c>
      <c r="F75" s="89">
        <f t="shared" si="11"/>
        <v>929.6400000000001</v>
      </c>
      <c r="G75" s="89">
        <f t="shared" si="11"/>
        <v>975.43999999999983</v>
      </c>
      <c r="H75" s="89">
        <f t="shared" si="11"/>
        <v>1027.1399999999999</v>
      </c>
      <c r="I75" s="89">
        <f t="shared" si="11"/>
        <v>1163.74</v>
      </c>
      <c r="J75" s="89">
        <f t="shared" si="11"/>
        <v>1286.04</v>
      </c>
      <c r="K75" s="89">
        <f t="shared" si="11"/>
        <v>1426.8400000000001</v>
      </c>
      <c r="L75" s="89">
        <f t="shared" si="11"/>
        <v>1512.24</v>
      </c>
      <c r="M75" s="89">
        <f t="shared" si="11"/>
        <v>1535.8900000000003</v>
      </c>
      <c r="N75" s="89">
        <f t="shared" si="11"/>
        <v>1461.4699999999998</v>
      </c>
      <c r="O75" s="89">
        <f t="shared" si="11"/>
        <v>1347.1399999999999</v>
      </c>
      <c r="P75" s="89">
        <f t="shared" si="11"/>
        <v>1243.3400000000001</v>
      </c>
      <c r="Q75" s="89">
        <f t="shared" si="11"/>
        <v>1218.2399999999998</v>
      </c>
      <c r="R75" s="89">
        <f t="shared" si="11"/>
        <v>1189.96</v>
      </c>
      <c r="S75" s="89">
        <f t="shared" si="11"/>
        <v>1169.96</v>
      </c>
      <c r="T75" s="89">
        <f t="shared" si="11"/>
        <v>1173.04</v>
      </c>
      <c r="U75" s="89">
        <f t="shared" si="11"/>
        <v>1208.8399999999999</v>
      </c>
      <c r="V75" s="89">
        <f t="shared" si="11"/>
        <v>1378.44</v>
      </c>
      <c r="W75" s="89">
        <f t="shared" si="11"/>
        <v>1312.84</v>
      </c>
      <c r="X75" s="89">
        <f t="shared" si="11"/>
        <v>1393.5</v>
      </c>
      <c r="Y75" s="89">
        <v>1573.1399999999999</v>
      </c>
      <c r="Z75" s="89">
        <f>Z72+Z68+Z56+Z52+Z38+Z74</f>
        <v>1482.24</v>
      </c>
      <c r="AA75" s="89">
        <f t="shared" si="11"/>
        <v>1435.6999999999998</v>
      </c>
      <c r="AB75" s="89">
        <f t="shared" si="11"/>
        <v>1431.99</v>
      </c>
      <c r="AC75" s="89">
        <f t="shared" si="11"/>
        <v>1361.44</v>
      </c>
      <c r="AD75" s="89">
        <f t="shared" si="11"/>
        <v>1288.6199999999999</v>
      </c>
      <c r="AE75" s="89">
        <f t="shared" si="11"/>
        <v>1044.3399999999999</v>
      </c>
      <c r="AF75" s="89">
        <f t="shared" si="11"/>
        <v>983.2399999999999</v>
      </c>
      <c r="AG75" s="78">
        <f>AG72+AG68+AG56+AG52+AG38+AG74</f>
        <v>2144.14</v>
      </c>
      <c r="AH75" s="54">
        <f t="shared" si="2"/>
        <v>1573.1399999999999</v>
      </c>
      <c r="AI75" s="55">
        <f t="shared" si="3"/>
        <v>912.14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v>0</v>
      </c>
      <c r="Z76" s="58">
        <f>IF(Z60&lt;0,Z60*-1,0)</f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v>0</v>
      </c>
      <c r="Z77" s="58">
        <f>IF(Z58&lt;0,Z58*-1,0)</f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v>0</v>
      </c>
      <c r="Z78" s="58">
        <f>IF(Z61&lt;0,Z61*-1,0)</f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v>0</v>
      </c>
      <c r="Z79" s="58">
        <f>IF(Z59&lt;0,Z59*-1,0)</f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v>0</v>
      </c>
      <c r="Z80" s="58">
        <f>IF(Z57&lt;0,Z57*-1,0)</f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v>0</v>
      </c>
      <c r="Z82" s="72">
        <f>SUM(Z76:Z81)</f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1901.8799999999999</v>
      </c>
      <c r="C83" s="72">
        <f t="shared" ref="C83:AG83" si="20">SUM(C70:C82)</f>
        <v>1888.28</v>
      </c>
      <c r="D83" s="72">
        <f t="shared" si="20"/>
        <v>1824.28</v>
      </c>
      <c r="E83" s="72">
        <f t="shared" si="20"/>
        <v>1855.2799999999997</v>
      </c>
      <c r="F83" s="72">
        <f t="shared" si="20"/>
        <v>1859.2800000000002</v>
      </c>
      <c r="G83" s="72">
        <f t="shared" si="20"/>
        <v>1950.8799999999997</v>
      </c>
      <c r="H83" s="72">
        <f t="shared" si="20"/>
        <v>2054.2799999999997</v>
      </c>
      <c r="I83" s="72">
        <f t="shared" si="20"/>
        <v>2327.48</v>
      </c>
      <c r="J83" s="72">
        <f t="shared" si="20"/>
        <v>2572.08</v>
      </c>
      <c r="K83" s="72">
        <f t="shared" si="20"/>
        <v>2853.6800000000003</v>
      </c>
      <c r="L83" s="72">
        <f t="shared" si="20"/>
        <v>3024.48</v>
      </c>
      <c r="M83" s="72">
        <f t="shared" si="20"/>
        <v>3071.7800000000007</v>
      </c>
      <c r="N83" s="72">
        <f t="shared" si="20"/>
        <v>2922.9399999999996</v>
      </c>
      <c r="O83" s="72">
        <f t="shared" si="20"/>
        <v>2694.2799999999997</v>
      </c>
      <c r="P83" s="72">
        <f t="shared" si="20"/>
        <v>2486.6800000000003</v>
      </c>
      <c r="Q83" s="72">
        <f t="shared" si="20"/>
        <v>2436.4799999999996</v>
      </c>
      <c r="R83" s="72">
        <f t="shared" si="20"/>
        <v>2379.92</v>
      </c>
      <c r="S83" s="72">
        <f t="shared" si="20"/>
        <v>2339.92</v>
      </c>
      <c r="T83" s="72">
        <f t="shared" si="20"/>
        <v>2346.08</v>
      </c>
      <c r="U83" s="72">
        <f t="shared" si="20"/>
        <v>2417.6799999999998</v>
      </c>
      <c r="V83" s="72">
        <f t="shared" si="20"/>
        <v>2756.88</v>
      </c>
      <c r="W83" s="72">
        <f t="shared" si="20"/>
        <v>2625.68</v>
      </c>
      <c r="X83" s="72">
        <f t="shared" si="20"/>
        <v>2787</v>
      </c>
      <c r="Y83" s="72">
        <v>315.39999999999998</v>
      </c>
      <c r="Z83" s="72">
        <f>SUM(Z70:Z82)</f>
        <v>2964.48</v>
      </c>
      <c r="AA83" s="72">
        <f t="shared" si="20"/>
        <v>2871.3999999999996</v>
      </c>
      <c r="AB83" s="72">
        <f t="shared" si="20"/>
        <v>2863.98</v>
      </c>
      <c r="AC83" s="72">
        <f t="shared" si="20"/>
        <v>2722.88</v>
      </c>
      <c r="AD83" s="72">
        <f t="shared" si="20"/>
        <v>2577.2399999999998</v>
      </c>
      <c r="AE83" s="72">
        <f t="shared" si="20"/>
        <v>2088.6799999999998</v>
      </c>
      <c r="AF83" s="72">
        <f t="shared" si="20"/>
        <v>1966.4799999999998</v>
      </c>
      <c r="AG83" s="78">
        <f t="shared" si="20"/>
        <v>4360.08</v>
      </c>
      <c r="AH83" s="54">
        <f t="shared" si="13"/>
        <v>3071.7800000000007</v>
      </c>
      <c r="AI83" s="55">
        <f t="shared" si="14"/>
        <v>315.39999999999998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49.99</v>
      </c>
      <c r="C84" s="96">
        <v>50.05</v>
      </c>
      <c r="D84" s="96">
        <v>49.99</v>
      </c>
      <c r="E84" s="96">
        <v>50.024000000000001</v>
      </c>
      <c r="F84" s="96">
        <v>50.023000000000003</v>
      </c>
      <c r="G84" s="96">
        <v>50.015000000000001</v>
      </c>
      <c r="H84" s="96">
        <v>49.988999999999997</v>
      </c>
      <c r="I84" s="96">
        <v>49.981999999999999</v>
      </c>
      <c r="J84" s="96">
        <v>49.918999999999997</v>
      </c>
      <c r="K84" s="96">
        <v>50.005000000000003</v>
      </c>
      <c r="L84" s="96">
        <v>49.962000000000003</v>
      </c>
      <c r="M84" s="96">
        <v>49.963999999999999</v>
      </c>
      <c r="N84" s="96">
        <v>50.052999999999997</v>
      </c>
      <c r="O84" s="96">
        <v>50.012</v>
      </c>
      <c r="P84" s="96">
        <v>50.003999999999998</v>
      </c>
      <c r="Q84" s="96">
        <v>49.874000000000002</v>
      </c>
      <c r="R84" s="96">
        <v>49.969000000000001</v>
      </c>
      <c r="S84" s="96">
        <v>49.89</v>
      </c>
      <c r="T84" s="96">
        <v>50.045999999999999</v>
      </c>
      <c r="U84" s="96">
        <v>49.79</v>
      </c>
      <c r="V84" s="96">
        <v>49.93</v>
      </c>
      <c r="W84" s="96">
        <v>49.99</v>
      </c>
      <c r="X84" s="96">
        <v>49.93</v>
      </c>
      <c r="Y84" s="96">
        <v>49.91</v>
      </c>
      <c r="Z84" s="96">
        <v>49.96</v>
      </c>
      <c r="AA84" s="96">
        <v>49.89</v>
      </c>
      <c r="AB84" s="96">
        <v>50.02</v>
      </c>
      <c r="AC84" s="96">
        <v>49.987000000000002</v>
      </c>
      <c r="AD84" s="96">
        <v>50.048999999999999</v>
      </c>
      <c r="AE84" s="96">
        <v>49.95</v>
      </c>
      <c r="AF84" s="96">
        <v>49.988</v>
      </c>
      <c r="AG84" s="97"/>
      <c r="AH84" s="54">
        <f t="shared" si="13"/>
        <v>50.052999999999997</v>
      </c>
      <c r="AI84" s="55">
        <f t="shared" si="14"/>
        <v>49.79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125.6</v>
      </c>
      <c r="C85" s="73">
        <v>124.4</v>
      </c>
      <c r="D85" s="73">
        <v>128.19999999999999</v>
      </c>
      <c r="E85" s="73">
        <v>124.9</v>
      </c>
      <c r="F85" s="73">
        <v>125.4</v>
      </c>
      <c r="G85" s="73">
        <v>125.4</v>
      </c>
      <c r="H85" s="73">
        <v>125.4</v>
      </c>
      <c r="I85" s="73">
        <v>123</v>
      </c>
      <c r="J85" s="73">
        <v>124.5</v>
      </c>
      <c r="K85" s="73">
        <v>126.3</v>
      </c>
      <c r="L85" s="73">
        <v>122.4</v>
      </c>
      <c r="M85" s="73">
        <v>121.4</v>
      </c>
      <c r="N85" s="73">
        <v>124.1</v>
      </c>
      <c r="O85" s="73">
        <v>125.6</v>
      </c>
      <c r="P85" s="73">
        <v>125.5</v>
      </c>
      <c r="Q85" s="73">
        <v>124.4</v>
      </c>
      <c r="R85" s="73">
        <v>120.7</v>
      </c>
      <c r="S85" s="73">
        <v>122.1</v>
      </c>
      <c r="T85" s="73">
        <v>124</v>
      </c>
      <c r="U85" s="73">
        <v>124.2</v>
      </c>
      <c r="V85" s="73">
        <v>127.3</v>
      </c>
      <c r="W85" s="73">
        <v>126</v>
      </c>
      <c r="X85" s="73">
        <v>125</v>
      </c>
      <c r="Y85" s="100">
        <v>123.5</v>
      </c>
      <c r="Z85" s="73">
        <v>124.4</v>
      </c>
      <c r="AA85" s="73">
        <v>125.7</v>
      </c>
      <c r="AB85" s="73">
        <v>125.6</v>
      </c>
      <c r="AC85" s="73">
        <v>127.7</v>
      </c>
      <c r="AD85" s="73">
        <v>127.7</v>
      </c>
      <c r="AE85" s="73">
        <v>125.6</v>
      </c>
      <c r="AF85" s="73">
        <v>124.4</v>
      </c>
      <c r="AG85" s="101"/>
      <c r="AH85" s="54">
        <f t="shared" si="13"/>
        <v>128.19999999999999</v>
      </c>
      <c r="AI85" s="55">
        <f t="shared" si="14"/>
        <v>120.7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129.1</v>
      </c>
      <c r="C86" s="73">
        <v>128.19999999999999</v>
      </c>
      <c r="D86" s="73">
        <v>131.5</v>
      </c>
      <c r="E86" s="73">
        <v>129.1</v>
      </c>
      <c r="F86" s="73">
        <v>129.5</v>
      </c>
      <c r="G86" s="73">
        <v>129.5</v>
      </c>
      <c r="H86" s="73">
        <v>129.5</v>
      </c>
      <c r="I86" s="73">
        <v>126.9</v>
      </c>
      <c r="J86" s="73">
        <v>127.5</v>
      </c>
      <c r="K86" s="73">
        <v>126.9</v>
      </c>
      <c r="L86" s="73">
        <v>124.9</v>
      </c>
      <c r="M86" s="73">
        <v>123.8</v>
      </c>
      <c r="N86" s="73">
        <v>126.6</v>
      </c>
      <c r="O86" s="73">
        <v>127.2</v>
      </c>
      <c r="P86" s="73">
        <v>127.3</v>
      </c>
      <c r="Q86" s="73">
        <v>127.4</v>
      </c>
      <c r="R86" s="73">
        <v>123.9</v>
      </c>
      <c r="S86" s="73">
        <v>124.7</v>
      </c>
      <c r="T86" s="73">
        <v>127.4</v>
      </c>
      <c r="U86" s="73">
        <v>127.2</v>
      </c>
      <c r="V86" s="73">
        <v>129.80000000000001</v>
      </c>
      <c r="W86" s="73">
        <v>128.1</v>
      </c>
      <c r="X86" s="73">
        <v>127</v>
      </c>
      <c r="Y86" s="100">
        <v>125.7</v>
      </c>
      <c r="Z86" s="73">
        <v>126.1</v>
      </c>
      <c r="AA86" s="73">
        <v>127.1</v>
      </c>
      <c r="AB86" s="73">
        <v>128</v>
      </c>
      <c r="AC86" s="73">
        <v>129.30000000000001</v>
      </c>
      <c r="AD86" s="73">
        <v>129.30000000000001</v>
      </c>
      <c r="AE86" s="73">
        <v>129.1</v>
      </c>
      <c r="AF86" s="73">
        <v>128</v>
      </c>
      <c r="AG86" s="101"/>
      <c r="AH86" s="54">
        <f t="shared" si="13"/>
        <v>131.5</v>
      </c>
      <c r="AI86" s="55">
        <f t="shared" si="14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130.69999999999999</v>
      </c>
      <c r="C87" s="73">
        <v>130.5</v>
      </c>
      <c r="D87" s="73">
        <v>130.9</v>
      </c>
      <c r="E87" s="73">
        <v>130</v>
      </c>
      <c r="F87" s="73">
        <v>129.5</v>
      </c>
      <c r="G87" s="73">
        <v>129.5</v>
      </c>
      <c r="H87" s="73">
        <v>129.5</v>
      </c>
      <c r="I87" s="73">
        <v>127.5</v>
      </c>
      <c r="J87" s="73">
        <v>125.4</v>
      </c>
      <c r="K87" s="73">
        <v>124.7</v>
      </c>
      <c r="L87" s="73">
        <v>126.2</v>
      </c>
      <c r="M87" s="73">
        <v>120.3</v>
      </c>
      <c r="N87" s="73">
        <v>125</v>
      </c>
      <c r="O87" s="73">
        <v>131.1</v>
      </c>
      <c r="P87" s="73">
        <v>128</v>
      </c>
      <c r="Q87" s="73">
        <v>129.69999999999999</v>
      </c>
      <c r="R87" s="73">
        <v>130.1</v>
      </c>
      <c r="S87" s="73">
        <v>128.9</v>
      </c>
      <c r="T87" s="73">
        <v>129.5</v>
      </c>
      <c r="U87" s="73">
        <v>129.4</v>
      </c>
      <c r="V87" s="73">
        <v>129.5</v>
      </c>
      <c r="W87" s="73">
        <v>128.19999999999999</v>
      </c>
      <c r="X87" s="73">
        <v>127.5</v>
      </c>
      <c r="Y87" s="100">
        <v>126.4</v>
      </c>
      <c r="Z87" s="73">
        <v>130.69999999999999</v>
      </c>
      <c r="AA87" s="73">
        <v>131.1</v>
      </c>
      <c r="AB87" s="73">
        <v>128.4</v>
      </c>
      <c r="AC87" s="73">
        <v>130.4</v>
      </c>
      <c r="AD87" s="73">
        <v>130.4</v>
      </c>
      <c r="AE87" s="73">
        <v>129.19999999999999</v>
      </c>
      <c r="AF87" s="73">
        <v>128.69999999999999</v>
      </c>
      <c r="AG87" s="101"/>
      <c r="AH87" s="54">
        <f t="shared" si="13"/>
        <v>131.1</v>
      </c>
      <c r="AI87" s="55">
        <f t="shared" si="14"/>
        <v>120.3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133.19999999999999</v>
      </c>
      <c r="C88" s="73">
        <v>132.9</v>
      </c>
      <c r="D88" s="73">
        <v>133.5</v>
      </c>
      <c r="E88" s="73">
        <v>133.19999999999999</v>
      </c>
      <c r="F88" s="73">
        <v>132.69999999999999</v>
      </c>
      <c r="G88" s="73">
        <v>132.69999999999999</v>
      </c>
      <c r="H88" s="73">
        <v>132.69999999999999</v>
      </c>
      <c r="I88" s="73">
        <v>131.5</v>
      </c>
      <c r="J88" s="73">
        <v>130.6</v>
      </c>
      <c r="K88" s="73">
        <v>129</v>
      </c>
      <c r="L88" s="73">
        <v>129.6</v>
      </c>
      <c r="M88" s="73">
        <v>123.9</v>
      </c>
      <c r="N88" s="73">
        <v>128.1</v>
      </c>
      <c r="O88" s="73">
        <v>133.80000000000001</v>
      </c>
      <c r="P88" s="73">
        <v>131.19999999999999</v>
      </c>
      <c r="Q88" s="73">
        <v>133.69999999999999</v>
      </c>
      <c r="R88" s="73">
        <v>134.4</v>
      </c>
      <c r="S88" s="73">
        <v>133</v>
      </c>
      <c r="T88" s="73">
        <v>133.9</v>
      </c>
      <c r="U88" s="73">
        <v>133.1</v>
      </c>
      <c r="V88" s="73">
        <v>133.30000000000001</v>
      </c>
      <c r="W88" s="73">
        <v>131.9</v>
      </c>
      <c r="X88" s="73">
        <v>130.80000000000001</v>
      </c>
      <c r="Y88" s="100">
        <v>129.9</v>
      </c>
      <c r="Z88" s="73">
        <v>134.5</v>
      </c>
      <c r="AA88" s="73">
        <v>135.5</v>
      </c>
      <c r="AB88" s="73">
        <v>134.4</v>
      </c>
      <c r="AC88" s="73">
        <v>136.19999999999999</v>
      </c>
      <c r="AD88" s="73">
        <v>136.19999999999999</v>
      </c>
      <c r="AE88" s="73">
        <v>134.6</v>
      </c>
      <c r="AF88" s="73">
        <v>134.1</v>
      </c>
      <c r="AG88" s="101"/>
      <c r="AH88" s="54">
        <f t="shared" si="13"/>
        <v>136.19999999999999</v>
      </c>
      <c r="AI88" s="55">
        <f t="shared" si="14"/>
        <v>123.9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130.5</v>
      </c>
      <c r="C89" s="104">
        <v>126.8</v>
      </c>
      <c r="D89" s="104">
        <v>133</v>
      </c>
      <c r="E89" s="104">
        <v>129.9</v>
      </c>
      <c r="F89" s="104">
        <v>130.1</v>
      </c>
      <c r="G89" s="104">
        <v>130.1</v>
      </c>
      <c r="H89" s="104">
        <v>130.1</v>
      </c>
      <c r="I89" s="104">
        <v>130</v>
      </c>
      <c r="J89" s="104">
        <v>134.6</v>
      </c>
      <c r="K89" s="104">
        <v>131.6</v>
      </c>
      <c r="L89" s="104">
        <v>132.5</v>
      </c>
      <c r="M89" s="104">
        <v>132.1</v>
      </c>
      <c r="N89" s="104">
        <v>131.80000000000001</v>
      </c>
      <c r="O89" s="104">
        <v>135.19999999999999</v>
      </c>
      <c r="P89" s="104">
        <v>133.5</v>
      </c>
      <c r="Q89" s="104">
        <v>134</v>
      </c>
      <c r="R89" s="104">
        <v>131.30000000000001</v>
      </c>
      <c r="S89" s="104">
        <v>132.5</v>
      </c>
      <c r="T89" s="104">
        <v>133.69999999999999</v>
      </c>
      <c r="U89" s="104">
        <v>132.5</v>
      </c>
      <c r="V89" s="104">
        <v>136.9</v>
      </c>
      <c r="W89" s="104">
        <v>135.1</v>
      </c>
      <c r="X89" s="104">
        <v>134.69999999999999</v>
      </c>
      <c r="Y89" s="100">
        <v>133.19999999999999</v>
      </c>
      <c r="Z89" s="104">
        <v>132.19999999999999</v>
      </c>
      <c r="AA89" s="104">
        <v>133.80000000000001</v>
      </c>
      <c r="AB89" s="104">
        <v>135</v>
      </c>
      <c r="AC89" s="104">
        <v>136</v>
      </c>
      <c r="AD89" s="104">
        <v>136</v>
      </c>
      <c r="AE89" s="104">
        <v>134.69999999999999</v>
      </c>
      <c r="AF89" s="104">
        <v>130</v>
      </c>
      <c r="AG89" s="105"/>
      <c r="AH89" s="54">
        <f t="shared" si="13"/>
        <v>136.9</v>
      </c>
      <c r="AI89" s="55">
        <f t="shared" si="14"/>
        <v>126.8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135</v>
      </c>
      <c r="C90" s="73">
        <v>135</v>
      </c>
      <c r="D90" s="73">
        <v>130.4</v>
      </c>
      <c r="E90" s="73">
        <v>129.4</v>
      </c>
      <c r="F90" s="73">
        <v>129.4</v>
      </c>
      <c r="G90" s="73">
        <v>129.4</v>
      </c>
      <c r="H90" s="73">
        <v>129.4</v>
      </c>
      <c r="I90" s="73">
        <v>132.6</v>
      </c>
      <c r="J90" s="73">
        <v>123.7</v>
      </c>
      <c r="K90" s="73">
        <v>132.5</v>
      </c>
      <c r="L90" s="73">
        <v>131</v>
      </c>
      <c r="M90" s="73">
        <v>130.80000000000001</v>
      </c>
      <c r="N90" s="73">
        <v>130.4</v>
      </c>
      <c r="O90" s="73">
        <v>130.9</v>
      </c>
      <c r="P90" s="73">
        <v>135.19999999999999</v>
      </c>
      <c r="Q90" s="73">
        <v>135.6</v>
      </c>
      <c r="R90" s="73">
        <v>131.1</v>
      </c>
      <c r="S90" s="73">
        <v>132.1</v>
      </c>
      <c r="T90" s="73">
        <v>133.4</v>
      </c>
      <c r="U90" s="73">
        <v>132.19999999999999</v>
      </c>
      <c r="V90" s="73">
        <v>135.4</v>
      </c>
      <c r="W90" s="73">
        <v>134.19999999999999</v>
      </c>
      <c r="X90" s="73">
        <v>132.69999999999999</v>
      </c>
      <c r="Y90" s="100">
        <v>137.30000000000001</v>
      </c>
      <c r="Z90" s="73">
        <v>132.9</v>
      </c>
      <c r="AA90" s="73">
        <v>133.9</v>
      </c>
      <c r="AB90" s="73">
        <v>135.80000000000001</v>
      </c>
      <c r="AC90" s="73">
        <v>132.4</v>
      </c>
      <c r="AD90" s="73">
        <v>132.4</v>
      </c>
      <c r="AE90" s="73">
        <v>135.69999999999999</v>
      </c>
      <c r="AF90" s="73">
        <v>136</v>
      </c>
      <c r="AG90" s="101"/>
      <c r="AH90" s="54">
        <f t="shared" si="13"/>
        <v>137.30000000000001</v>
      </c>
      <c r="AI90" s="55">
        <f t="shared" si="14"/>
        <v>123.7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65.599999999999994</v>
      </c>
      <c r="C91" s="107">
        <v>65</v>
      </c>
      <c r="D91" s="107">
        <v>66.7</v>
      </c>
      <c r="E91" s="107">
        <v>65.400000000000006</v>
      </c>
      <c r="F91" s="107">
        <v>65.599999999999994</v>
      </c>
      <c r="G91" s="107">
        <v>65.599999999999994</v>
      </c>
      <c r="H91" s="107">
        <v>65.599999999999994</v>
      </c>
      <c r="I91" s="107">
        <v>64.900000000000006</v>
      </c>
      <c r="J91" s="107">
        <v>64.900000000000006</v>
      </c>
      <c r="K91" s="107">
        <v>63.4</v>
      </c>
      <c r="L91" s="107">
        <v>63.4</v>
      </c>
      <c r="M91" s="107">
        <v>62.9</v>
      </c>
      <c r="N91" s="107">
        <v>63.9</v>
      </c>
      <c r="O91" s="107">
        <v>64.2</v>
      </c>
      <c r="P91" s="107">
        <v>64.5</v>
      </c>
      <c r="Q91" s="107">
        <v>64.5</v>
      </c>
      <c r="R91" s="107">
        <v>62.4</v>
      </c>
      <c r="S91" s="107">
        <v>63</v>
      </c>
      <c r="T91" s="107">
        <v>64.8</v>
      </c>
      <c r="U91" s="107">
        <v>64.8</v>
      </c>
      <c r="V91" s="107">
        <v>65.400000000000006</v>
      </c>
      <c r="W91" s="107">
        <v>64.8</v>
      </c>
      <c r="X91" s="107">
        <v>64.3</v>
      </c>
      <c r="Y91" s="107">
        <v>63.5</v>
      </c>
      <c r="Z91" s="107">
        <v>63.9</v>
      </c>
      <c r="AA91" s="107">
        <v>64.5</v>
      </c>
      <c r="AB91" s="107">
        <v>64.8</v>
      </c>
      <c r="AC91" s="107">
        <v>65.599999999999994</v>
      </c>
      <c r="AD91" s="107">
        <v>65.599999999999994</v>
      </c>
      <c r="AE91" s="107">
        <v>65.099999999999994</v>
      </c>
      <c r="AF91" s="107">
        <v>65</v>
      </c>
      <c r="AG91" s="108"/>
      <c r="AH91" s="54">
        <f t="shared" si="13"/>
        <v>66.7</v>
      </c>
      <c r="AI91" s="55">
        <f t="shared" si="14"/>
        <v>62.4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199.43999999999997</v>
      </c>
      <c r="C93" s="114">
        <f>SUM(C15,C18,C21:C22,C42,C44:C45,C47,C49,C94:C97,C102,C108,C114,C123,C125,C137,C144,C147:C148,C155,C157,C159,C163:C165,C167:C169,C174,C180:C181,C183:C185,C193,C198)</f>
        <v>184.54</v>
      </c>
      <c r="D93" s="114">
        <f t="shared" ref="D93:AF93" si="21">SUM(D15,D18,D21:D22,D42,D44:D45,D47,D49,D94:D97,D102,D108,D114,D123,D125,D137,D144,D147:D148,D155,D157,D159,D163:D165,D167:D169,D174,D180:D181,D183:D185,D193,D198)</f>
        <v>178.33999999999997</v>
      </c>
      <c r="E93" s="114">
        <f t="shared" si="21"/>
        <v>175.73999999999995</v>
      </c>
      <c r="F93" s="114">
        <f t="shared" si="21"/>
        <v>184.33999999999997</v>
      </c>
      <c r="G93" s="113">
        <f t="shared" si="21"/>
        <v>212.64</v>
      </c>
      <c r="H93" s="113">
        <f t="shared" si="21"/>
        <v>248.03999999999996</v>
      </c>
      <c r="I93" s="113">
        <f t="shared" si="21"/>
        <v>280.64</v>
      </c>
      <c r="J93" s="113">
        <f t="shared" si="21"/>
        <v>333.94000000000005</v>
      </c>
      <c r="K93" s="113">
        <f t="shared" si="21"/>
        <v>399.44</v>
      </c>
      <c r="L93" s="113">
        <f t="shared" si="21"/>
        <v>416.14000000000004</v>
      </c>
      <c r="M93" s="113">
        <f t="shared" si="21"/>
        <v>427.14000000000004</v>
      </c>
      <c r="N93" s="113">
        <f t="shared" si="21"/>
        <v>391.64000000000004</v>
      </c>
      <c r="O93" s="113">
        <f t="shared" si="21"/>
        <v>380.94000000000005</v>
      </c>
      <c r="P93" s="113">
        <f t="shared" si="21"/>
        <v>374.94</v>
      </c>
      <c r="Q93" s="113">
        <f t="shared" si="21"/>
        <v>349.34000000000003</v>
      </c>
      <c r="R93" s="113">
        <f t="shared" si="21"/>
        <v>336.74</v>
      </c>
      <c r="S93" s="113">
        <f t="shared" si="21"/>
        <v>329.44000000000005</v>
      </c>
      <c r="T93" s="113">
        <f t="shared" si="21"/>
        <v>333.64000000000004</v>
      </c>
      <c r="U93" s="113">
        <f t="shared" si="21"/>
        <v>344.14000000000004</v>
      </c>
      <c r="V93" s="113">
        <f t="shared" si="21"/>
        <v>371.74000000000007</v>
      </c>
      <c r="W93" s="113">
        <f t="shared" si="21"/>
        <v>381.74</v>
      </c>
      <c r="X93" s="113">
        <f t="shared" si="21"/>
        <v>404.44000000000005</v>
      </c>
      <c r="Y93" s="113">
        <v>453.49708333333336</v>
      </c>
      <c r="Z93" s="113">
        <f t="shared" si="21"/>
        <v>436.44000000000005</v>
      </c>
      <c r="AA93" s="113">
        <f t="shared" si="21"/>
        <v>435.44000000000005</v>
      </c>
      <c r="AB93" s="113">
        <f t="shared" si="21"/>
        <v>422.94</v>
      </c>
      <c r="AC93" s="113">
        <f t="shared" si="21"/>
        <v>401.94000000000005</v>
      </c>
      <c r="AD93" s="113">
        <f t="shared" si="21"/>
        <v>342.54</v>
      </c>
      <c r="AE93" s="113">
        <f t="shared" si="21"/>
        <v>266.24000000000007</v>
      </c>
      <c r="AF93" s="113">
        <f t="shared" si="21"/>
        <v>213.83999999999997</v>
      </c>
      <c r="AG93" s="115"/>
      <c r="AH93" s="54">
        <f>MAX(C93:AF93)</f>
        <v>453.49708333333336</v>
      </c>
      <c r="AI93" s="55">
        <f>MIN(C93:AF93)</f>
        <v>175.73999999999995</v>
      </c>
    </row>
    <row r="94" spans="1:88" x14ac:dyDescent="0.25">
      <c r="A94" s="116" t="s">
        <v>98</v>
      </c>
      <c r="B94" s="119">
        <v>-36.200000000000003</v>
      </c>
      <c r="C94" s="58">
        <v>-40.799999999999997</v>
      </c>
      <c r="D94" s="58">
        <v>-36</v>
      </c>
      <c r="E94" s="58">
        <v>-41.8</v>
      </c>
      <c r="F94" s="58">
        <v>-38.9</v>
      </c>
      <c r="G94" s="58">
        <v>-26</v>
      </c>
      <c r="H94" s="58">
        <v>-5.8</v>
      </c>
      <c r="I94" s="118">
        <v>20</v>
      </c>
      <c r="J94" s="118">
        <v>42.1</v>
      </c>
      <c r="K94" s="118">
        <v>64</v>
      </c>
      <c r="L94" s="118">
        <v>60.9</v>
      </c>
      <c r="M94" s="119">
        <v>53.2</v>
      </c>
      <c r="N94" s="118">
        <v>48</v>
      </c>
      <c r="O94" s="118">
        <v>30.5</v>
      </c>
      <c r="P94" s="118">
        <v>41.3</v>
      </c>
      <c r="Q94" s="118">
        <v>32.9</v>
      </c>
      <c r="R94" s="118">
        <v>22.4</v>
      </c>
      <c r="S94" s="118">
        <v>21.3</v>
      </c>
      <c r="T94" s="118">
        <v>8.8000000000000007</v>
      </c>
      <c r="U94" s="119">
        <v>23.7</v>
      </c>
      <c r="V94" s="119">
        <v>40.1</v>
      </c>
      <c r="W94" s="119">
        <v>50.3</v>
      </c>
      <c r="X94" s="119">
        <v>60.2</v>
      </c>
      <c r="Y94" s="118">
        <v>41</v>
      </c>
      <c r="Z94" s="119">
        <v>50.5</v>
      </c>
      <c r="AA94" s="119">
        <v>59.1</v>
      </c>
      <c r="AB94" s="119">
        <v>47.7</v>
      </c>
      <c r="AC94" s="119">
        <v>52.4</v>
      </c>
      <c r="AD94" s="119">
        <v>24.8</v>
      </c>
      <c r="AE94" s="119">
        <v>9.5</v>
      </c>
      <c r="AF94" s="119">
        <v>-25.6</v>
      </c>
      <c r="AG94" s="120">
        <v>75</v>
      </c>
      <c r="AH94" s="54">
        <f t="shared" ref="AH94:AH99" si="22">IF(ABS(MAX(C94:AF94))&gt;ABS(MIN(C94:AF94)),MAX(C94:AF94),MIN(C94:AF94))</f>
        <v>64</v>
      </c>
      <c r="AI94" s="121">
        <f t="shared" ref="AI94:AI99" si="23">INDEX($C$9:$AF$9,1,MATCH(AH94,C94:AF94,0))</f>
        <v>0.29166666666666669</v>
      </c>
    </row>
    <row r="95" spans="1:88" x14ac:dyDescent="0.25">
      <c r="A95" s="122" t="s">
        <v>99</v>
      </c>
      <c r="B95" s="73">
        <f>-13.3-14.9</f>
        <v>-28.200000000000003</v>
      </c>
      <c r="C95" s="60">
        <f>-14.5-16.4</f>
        <v>-30.9</v>
      </c>
      <c r="D95" s="60">
        <f>-15.7-17.7</f>
        <v>-33.4</v>
      </c>
      <c r="E95" s="60">
        <v>-36.1</v>
      </c>
      <c r="F95" s="60">
        <v>-32.700000000000003</v>
      </c>
      <c r="G95" s="60">
        <v>-23</v>
      </c>
      <c r="H95" s="60">
        <v>-12.9</v>
      </c>
      <c r="I95" s="60">
        <v>-9.6999999999999993</v>
      </c>
      <c r="J95" s="60">
        <v>0.2</v>
      </c>
      <c r="K95" s="60">
        <v>80.900000000000006</v>
      </c>
      <c r="L95" s="60">
        <v>72.3</v>
      </c>
      <c r="M95" s="60">
        <v>57.1</v>
      </c>
      <c r="N95" s="60">
        <v>19.8</v>
      </c>
      <c r="O95" s="60">
        <v>34.9</v>
      </c>
      <c r="P95" s="60">
        <v>24.5</v>
      </c>
      <c r="Q95" s="60">
        <v>21.9</v>
      </c>
      <c r="R95" s="60">
        <v>40.5</v>
      </c>
      <c r="S95" s="60">
        <f>18.3+20.5</f>
        <v>38.799999999999997</v>
      </c>
      <c r="T95" s="60">
        <v>46</v>
      </c>
      <c r="U95" s="60">
        <f>18.6+18.7</f>
        <v>37.299999999999997</v>
      </c>
      <c r="V95" s="60">
        <f>10.7+8.7</f>
        <v>19.399999999999999</v>
      </c>
      <c r="W95" s="60">
        <f>23.1+18.8</f>
        <v>41.900000000000006</v>
      </c>
      <c r="X95" s="60">
        <f>31.4+27.1</f>
        <v>58.5</v>
      </c>
      <c r="Y95" s="60">
        <v>85</v>
      </c>
      <c r="Z95" s="60">
        <f>42.4+38.3</f>
        <v>80.699999999999989</v>
      </c>
      <c r="AA95" s="60">
        <f>42.4+38.3</f>
        <v>80.699999999999989</v>
      </c>
      <c r="AB95" s="73">
        <v>76.400000000000006</v>
      </c>
      <c r="AC95" s="73">
        <v>46</v>
      </c>
      <c r="AD95" s="73">
        <v>35</v>
      </c>
      <c r="AE95" s="73">
        <v>-5.2</v>
      </c>
      <c r="AF95" s="73">
        <v>-21.7</v>
      </c>
      <c r="AG95" s="120">
        <v>240</v>
      </c>
      <c r="AH95" s="54">
        <f t="shared" si="22"/>
        <v>85</v>
      </c>
      <c r="AI95" s="121">
        <f t="shared" si="23"/>
        <v>0.77083333333333337</v>
      </c>
    </row>
    <row r="96" spans="1:88" x14ac:dyDescent="0.25">
      <c r="A96" s="122" t="s">
        <v>100</v>
      </c>
      <c r="B96" s="73">
        <v>-4.0999999999999996</v>
      </c>
      <c r="C96" s="60">
        <v>-10.3</v>
      </c>
      <c r="D96" s="60">
        <v>-4.7</v>
      </c>
      <c r="E96" s="60">
        <v>-10.1</v>
      </c>
      <c r="F96" s="60">
        <v>-6.8</v>
      </c>
      <c r="G96" s="60">
        <v>-5.4</v>
      </c>
      <c r="H96" s="60">
        <v>-5</v>
      </c>
      <c r="I96" s="60">
        <v>-3.3</v>
      </c>
      <c r="J96" s="60">
        <v>9.6</v>
      </c>
      <c r="K96" s="60">
        <v>9.5</v>
      </c>
      <c r="L96" s="60">
        <v>29</v>
      </c>
      <c r="M96" s="60">
        <v>37.700000000000003</v>
      </c>
      <c r="N96" s="60">
        <v>37.700000000000003</v>
      </c>
      <c r="O96" s="60">
        <v>38.1</v>
      </c>
      <c r="P96" s="60">
        <v>28.2</v>
      </c>
      <c r="Q96" s="60">
        <v>18.8</v>
      </c>
      <c r="R96" s="60">
        <v>8</v>
      </c>
      <c r="S96" s="60">
        <v>7.8</v>
      </c>
      <c r="T96" s="60">
        <v>18.100000000000001</v>
      </c>
      <c r="U96" s="60">
        <v>18.2</v>
      </c>
      <c r="V96" s="60">
        <v>40.4</v>
      </c>
      <c r="W96" s="60">
        <v>45.4</v>
      </c>
      <c r="X96" s="60">
        <v>53.2</v>
      </c>
      <c r="Y96" s="60">
        <v>61.5</v>
      </c>
      <c r="Z96" s="60">
        <v>54.1</v>
      </c>
      <c r="AA96" s="60">
        <v>49.3</v>
      </c>
      <c r="AB96" s="73">
        <v>43.2</v>
      </c>
      <c r="AC96" s="73">
        <v>37.6</v>
      </c>
      <c r="AD96" s="73">
        <v>10.7</v>
      </c>
      <c r="AE96" s="73">
        <v>3.3</v>
      </c>
      <c r="AF96" s="73">
        <v>-6.1</v>
      </c>
      <c r="AG96" s="120">
        <v>60</v>
      </c>
      <c r="AH96" s="54">
        <f t="shared" si="22"/>
        <v>61.5</v>
      </c>
      <c r="AI96" s="121">
        <f t="shared" si="23"/>
        <v>0.77083333333333337</v>
      </c>
    </row>
    <row r="97" spans="1:37" x14ac:dyDescent="0.25">
      <c r="A97" s="124" t="s">
        <v>101</v>
      </c>
      <c r="B97" s="126">
        <v>99</v>
      </c>
      <c r="C97" s="63">
        <v>98</v>
      </c>
      <c r="D97" s="63">
        <v>85</v>
      </c>
      <c r="E97" s="63">
        <v>96.3</v>
      </c>
      <c r="F97" s="63">
        <v>95.5</v>
      </c>
      <c r="G97" s="63">
        <v>99.8</v>
      </c>
      <c r="H97" s="63">
        <v>104.5</v>
      </c>
      <c r="I97" s="63">
        <v>106.4</v>
      </c>
      <c r="J97" s="63">
        <v>113.5</v>
      </c>
      <c r="K97" s="63">
        <v>79.2</v>
      </c>
      <c r="L97" s="63">
        <v>83.3</v>
      </c>
      <c r="M97" s="63">
        <v>108.3</v>
      </c>
      <c r="N97" s="63">
        <v>118</v>
      </c>
      <c r="O97" s="63">
        <v>112.8</v>
      </c>
      <c r="P97" s="63">
        <v>115</v>
      </c>
      <c r="Q97" s="63">
        <v>112.6</v>
      </c>
      <c r="R97" s="63">
        <v>105</v>
      </c>
      <c r="S97" s="63">
        <v>98.7</v>
      </c>
      <c r="T97" s="63">
        <v>97.9</v>
      </c>
      <c r="U97" s="63">
        <v>102.3</v>
      </c>
      <c r="V97" s="63">
        <v>109.7</v>
      </c>
      <c r="W97" s="63">
        <v>88.1</v>
      </c>
      <c r="X97" s="63">
        <v>76.5</v>
      </c>
      <c r="Y97" s="63">
        <v>95.5</v>
      </c>
      <c r="Z97" s="63">
        <v>95.1</v>
      </c>
      <c r="AA97" s="63">
        <v>90.3</v>
      </c>
      <c r="AB97" s="126">
        <v>81.5</v>
      </c>
      <c r="AC97" s="126">
        <v>93.8</v>
      </c>
      <c r="AD97" s="126">
        <v>105.8</v>
      </c>
      <c r="AE97" s="126">
        <v>92.2</v>
      </c>
      <c r="AF97" s="126">
        <v>99.4</v>
      </c>
      <c r="AG97" s="127">
        <v>120</v>
      </c>
      <c r="AH97" s="54">
        <f t="shared" si="22"/>
        <v>118</v>
      </c>
      <c r="AI97" s="121">
        <f t="shared" si="23"/>
        <v>0.375</v>
      </c>
    </row>
    <row r="98" spans="1:37" x14ac:dyDescent="0.25">
      <c r="A98" s="124" t="s">
        <v>102</v>
      </c>
      <c r="B98" s="126">
        <v>105</v>
      </c>
      <c r="C98" s="63">
        <v>105.3</v>
      </c>
      <c r="D98" s="63">
        <v>92.1</v>
      </c>
      <c r="E98" s="63">
        <v>103.1</v>
      </c>
      <c r="F98" s="63">
        <v>99.3</v>
      </c>
      <c r="G98" s="63">
        <v>100.2</v>
      </c>
      <c r="H98" s="63">
        <v>104.2</v>
      </c>
      <c r="I98" s="63">
        <v>101.3</v>
      </c>
      <c r="J98" s="63">
        <v>102.5</v>
      </c>
      <c r="K98" s="63">
        <v>77.400000000000006</v>
      </c>
      <c r="L98" s="63">
        <v>104.6</v>
      </c>
      <c r="M98" s="63">
        <v>94.1</v>
      </c>
      <c r="N98" s="63">
        <v>72.2</v>
      </c>
      <c r="O98" s="63">
        <v>76.2</v>
      </c>
      <c r="P98" s="63">
        <v>83.6</v>
      </c>
      <c r="Q98" s="63">
        <v>77.099999999999994</v>
      </c>
      <c r="R98" s="63">
        <v>101.8</v>
      </c>
      <c r="S98" s="63">
        <v>101.1</v>
      </c>
      <c r="T98" s="63">
        <v>105</v>
      </c>
      <c r="U98" s="63">
        <v>89.8</v>
      </c>
      <c r="V98" s="63">
        <v>57.3</v>
      </c>
      <c r="W98" s="63">
        <v>58.5</v>
      </c>
      <c r="X98" s="63">
        <v>62.2</v>
      </c>
      <c r="Y98" s="63">
        <v>96.2</v>
      </c>
      <c r="Z98" s="63">
        <v>88.8</v>
      </c>
      <c r="AA98" s="63">
        <v>79.599999999999994</v>
      </c>
      <c r="AB98" s="126">
        <v>95.3</v>
      </c>
      <c r="AC98" s="126">
        <v>68.900000000000006</v>
      </c>
      <c r="AD98" s="126">
        <v>78.3</v>
      </c>
      <c r="AE98" s="126">
        <v>90.4</v>
      </c>
      <c r="AF98" s="126">
        <v>98.8</v>
      </c>
      <c r="AG98" s="127"/>
      <c r="AH98" s="54">
        <f t="shared" si="22"/>
        <v>105.3</v>
      </c>
      <c r="AI98" s="121">
        <f t="shared" si="23"/>
        <v>4.1666666666666664E-2</v>
      </c>
    </row>
    <row r="99" spans="1:37" ht="15.75" thickBot="1" x14ac:dyDescent="0.3">
      <c r="A99" s="124" t="s">
        <v>103</v>
      </c>
      <c r="B99" s="126">
        <v>76.3</v>
      </c>
      <c r="C99" s="63">
        <v>84</v>
      </c>
      <c r="D99" s="63">
        <v>75.2</v>
      </c>
      <c r="E99" s="63">
        <v>79.400000000000006</v>
      </c>
      <c r="F99" s="63">
        <v>79.599999999999994</v>
      </c>
      <c r="G99" s="63">
        <v>81.2</v>
      </c>
      <c r="H99" s="63">
        <v>68</v>
      </c>
      <c r="I99" s="63">
        <v>63.1</v>
      </c>
      <c r="J99" s="63">
        <v>24.3</v>
      </c>
      <c r="K99" s="63">
        <v>18.5</v>
      </c>
      <c r="L99" s="63">
        <v>19.3</v>
      </c>
      <c r="M99" s="63">
        <v>17.2</v>
      </c>
      <c r="N99" s="63">
        <v>18.600000000000001</v>
      </c>
      <c r="O99" s="63">
        <v>25.4</v>
      </c>
      <c r="P99" s="63">
        <v>13.1</v>
      </c>
      <c r="Q99" s="63">
        <v>19.399999999999999</v>
      </c>
      <c r="R99" s="63">
        <v>26</v>
      </c>
      <c r="S99" s="63">
        <v>23.2</v>
      </c>
      <c r="T99" s="63">
        <v>31.7</v>
      </c>
      <c r="U99" s="63">
        <v>30.2</v>
      </c>
      <c r="V99" s="63">
        <v>15.5</v>
      </c>
      <c r="W99" s="63">
        <v>12.5</v>
      </c>
      <c r="X99" s="63">
        <v>18.2</v>
      </c>
      <c r="Y99" s="63">
        <v>36.5</v>
      </c>
      <c r="Z99" s="63">
        <v>29.9</v>
      </c>
      <c r="AA99" s="63">
        <v>27.4</v>
      </c>
      <c r="AB99" s="126">
        <v>92.3</v>
      </c>
      <c r="AC99" s="126">
        <v>25.1</v>
      </c>
      <c r="AD99" s="126">
        <v>27.1</v>
      </c>
      <c r="AE99" s="126">
        <v>32.1</v>
      </c>
      <c r="AF99" s="126">
        <v>62.2</v>
      </c>
      <c r="AG99" s="128"/>
      <c r="AH99" s="54">
        <f t="shared" si="22"/>
        <v>92.3</v>
      </c>
      <c r="AI99" s="121">
        <f t="shared" si="23"/>
        <v>0.83333333333333337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1535.8900000000003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2078/11/3)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950.93999999999994</v>
      </c>
      <c r="U213" s="174">
        <f t="shared" si="60"/>
        <v>944.14</v>
      </c>
      <c r="V213" s="174">
        <f t="shared" si="60"/>
        <v>912.14</v>
      </c>
      <c r="W213" s="174">
        <f t="shared" si="60"/>
        <v>927.63999999999987</v>
      </c>
      <c r="X213" s="174">
        <f t="shared" si="60"/>
        <v>929.6400000000001</v>
      </c>
      <c r="Y213" s="174">
        <f t="shared" si="60"/>
        <v>975.43999999999983</v>
      </c>
      <c r="Z213" s="174">
        <f t="shared" si="60"/>
        <v>1027.1399999999999</v>
      </c>
      <c r="AA213" s="174">
        <f t="shared" si="60"/>
        <v>1163.74</v>
      </c>
      <c r="AB213" s="174">
        <f t="shared" si="60"/>
        <v>1286.04</v>
      </c>
      <c r="AC213" s="174">
        <f t="shared" si="60"/>
        <v>1426.8400000000001</v>
      </c>
      <c r="AD213" s="174">
        <f t="shared" si="60"/>
        <v>1512.24</v>
      </c>
      <c r="AE213" s="174">
        <f t="shared" si="60"/>
        <v>1535.8900000000003</v>
      </c>
      <c r="AF213" s="174">
        <f t="shared" si="60"/>
        <v>1461.4699999999998</v>
      </c>
      <c r="AG213" s="174">
        <f t="shared" si="60"/>
        <v>1347.1399999999999</v>
      </c>
      <c r="AH213" s="174">
        <f t="shared" si="60"/>
        <v>1243.3400000000001</v>
      </c>
      <c r="AI213" s="174">
        <f t="shared" si="60"/>
        <v>1218.2399999999998</v>
      </c>
      <c r="AJ213" s="174">
        <f t="shared" si="60"/>
        <v>1189.96</v>
      </c>
      <c r="AK213" s="174">
        <f t="shared" si="60"/>
        <v>1169.96</v>
      </c>
      <c r="AL213" s="174">
        <f t="shared" si="60"/>
        <v>1173.04</v>
      </c>
      <c r="AM213" s="174">
        <f t="shared" si="60"/>
        <v>1208.8399999999999</v>
      </c>
      <c r="AN213" s="174">
        <f t="shared" si="60"/>
        <v>1378.44</v>
      </c>
      <c r="AO213" s="174">
        <f t="shared" si="60"/>
        <v>1312.84</v>
      </c>
      <c r="AP213" s="174">
        <f t="shared" si="60"/>
        <v>1393.5</v>
      </c>
      <c r="AQ213" s="174">
        <f t="shared" si="60"/>
        <v>1573.1399999999999</v>
      </c>
      <c r="AR213" s="174">
        <f t="shared" si="60"/>
        <v>1482.24</v>
      </c>
      <c r="AS213" s="174">
        <f t="shared" si="60"/>
        <v>1435.6999999999998</v>
      </c>
      <c r="AT213" s="174">
        <f t="shared" si="60"/>
        <v>1431.99</v>
      </c>
      <c r="AU213" s="174">
        <f t="shared" si="60"/>
        <v>1361.44</v>
      </c>
      <c r="AV213" s="174">
        <f t="shared" si="60"/>
        <v>1288.6199999999999</v>
      </c>
      <c r="AW213" s="174">
        <f t="shared" si="60"/>
        <v>1044.3399999999999</v>
      </c>
      <c r="AX213" s="174">
        <f t="shared" si="60"/>
        <v>983.2399999999999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9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C57:L59 C63:D67 P39:R39 M39:O42 P40:Q42 R42 R40:T41 M58:R59 U40:Y42 Y85:Y91 AB81:AF81 C81:R81 C56:Y56 C82:Y83 D193:AF199 B193:B199 C68:Y80 B9:AF10 B191:AF191 AF57:AF67 AG73 AB94:AF99 U212:AF212 J61:N61 J60:O60 C60:I61 N62:N67 O61:O67 P60:R67 Y36 Y18:Y30 Y11 S58:S67 M11:X14 M16:X32 M36:X37 N45:X48 S39:X42 M53:Y55 T58:X59 AA68:AF80 AA82:AF83 AA53:AF56 AB40:AE43 AB84:AF91 AB11:AE14 AB16:AF22 AF12:AF14">
    <cfRule type="expression" dxfId="8459" priority="385">
      <formula>B$9&gt;=20/24</formula>
    </cfRule>
    <cfRule type="expression" dxfId="8458" priority="386">
      <formula>AND(B$9&gt;=14/24,B$9&lt;20/24)</formula>
    </cfRule>
    <cfRule type="expression" dxfId="8457" priority="387">
      <formula>AND(B$9&gt;=8/24,B$9&lt;14/24)</formula>
    </cfRule>
    <cfRule type="expression" dxfId="8456" priority="388">
      <formula>B$9&lt;8/24</formula>
    </cfRule>
  </conditionalFormatting>
  <conditionalFormatting sqref="AL4:AL6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M57:S57">
    <cfRule type="expression" dxfId="8455" priority="380">
      <formula>M$9&gt;=20/24</formula>
    </cfRule>
    <cfRule type="expression" dxfId="8454" priority="381">
      <formula>AND(M$9&gt;=14/24,M$9&lt;20/24)</formula>
    </cfRule>
    <cfRule type="expression" dxfId="8453" priority="382">
      <formula>AND(M$9&gt;=8/24,M$9&lt;14/24)</formula>
    </cfRule>
    <cfRule type="expression" dxfId="8452" priority="383">
      <formula>M$9&lt;8/24</formula>
    </cfRule>
  </conditionalFormatting>
  <conditionalFormatting sqref="M43:X43">
    <cfRule type="expression" dxfId="8451" priority="376">
      <formula>M$9&gt;=20/24</formula>
    </cfRule>
    <cfRule type="expression" dxfId="8450" priority="377">
      <formula>AND(M$9&gt;=14/24,M$9&lt;20/24)</formula>
    </cfRule>
    <cfRule type="expression" dxfId="8449" priority="378">
      <formula>AND(M$9&gt;=8/24,M$9&lt;14/24)</formula>
    </cfRule>
    <cfRule type="expression" dxfId="8448" priority="379">
      <formula>M$9&lt;8/24</formula>
    </cfRule>
  </conditionalFormatting>
  <conditionalFormatting sqref="S39:Y39 AB39:AE39">
    <cfRule type="expression" dxfId="8447" priority="368">
      <formula>S$9&gt;=20/24</formula>
    </cfRule>
    <cfRule type="expression" dxfId="8446" priority="369">
      <formula>AND(S$9&gt;=14/24,S$9&lt;20/24)</formula>
    </cfRule>
    <cfRule type="expression" dxfId="8445" priority="370">
      <formula>AND(S$9&gt;=8/24,S$9&lt;14/24)</formula>
    </cfRule>
    <cfRule type="expression" dxfId="8444" priority="371">
      <formula>S$9&lt;8/24</formula>
    </cfRule>
  </conditionalFormatting>
  <conditionalFormatting sqref="T57:Y57 AB57:AE57">
    <cfRule type="expression" dxfId="8443" priority="364">
      <formula>T$9&gt;=20/24</formula>
    </cfRule>
    <cfRule type="expression" dxfId="8442" priority="365">
      <formula>AND(T$9&gt;=14/24,T$9&lt;20/24)</formula>
    </cfRule>
    <cfRule type="expression" dxfId="8441" priority="366">
      <formula>AND(T$9&gt;=8/24,T$9&lt;14/24)</formula>
    </cfRule>
    <cfRule type="expression" dxfId="8440" priority="367">
      <formula>T$9&lt;8/24</formula>
    </cfRule>
  </conditionalFormatting>
  <conditionalFormatting sqref="S81:Y81 AA81">
    <cfRule type="expression" dxfId="8439" priority="360">
      <formula>S$9&gt;=20/24</formula>
    </cfRule>
    <cfRule type="expression" dxfId="8438" priority="361">
      <formula>AND(S$9&gt;=14/24,S$9&lt;20/24)</formula>
    </cfRule>
    <cfRule type="expression" dxfId="8437" priority="362">
      <formula>AND(S$9&gt;=8/24,S$9&lt;14/24)</formula>
    </cfRule>
    <cfRule type="expression" dxfId="8436" priority="363">
      <formula>S$9&lt;8/24</formula>
    </cfRule>
  </conditionalFormatting>
  <conditionalFormatting sqref="Y84">
    <cfRule type="expression" dxfId="8435" priority="356">
      <formula>Y$9&gt;=20/24</formula>
    </cfRule>
    <cfRule type="expression" dxfId="8434" priority="357">
      <formula>AND(Y$9&gt;=14/24,Y$9&lt;20/24)</formula>
    </cfRule>
    <cfRule type="expression" dxfId="8433" priority="358">
      <formula>AND(Y$9&gt;=8/24,Y$9&lt;14/24)</formula>
    </cfRule>
    <cfRule type="expression" dxfId="8432" priority="359">
      <formula>Y$9&lt;8/24</formula>
    </cfRule>
  </conditionalFormatting>
  <conditionalFormatting sqref="M35:X35">
    <cfRule type="expression" dxfId="8431" priority="352">
      <formula>M$9&gt;=20/24</formula>
    </cfRule>
    <cfRule type="expression" dxfId="8430" priority="353">
      <formula>AND(M$9&gt;=14/24,M$9&lt;20/24)</formula>
    </cfRule>
    <cfRule type="expression" dxfId="8429" priority="354">
      <formula>AND(M$9&gt;=8/24,M$9&lt;14/24)</formula>
    </cfRule>
    <cfRule type="expression" dxfId="8428" priority="355">
      <formula>M$9&lt;8/24</formula>
    </cfRule>
  </conditionalFormatting>
  <conditionalFormatting sqref="M49:X49">
    <cfRule type="expression" dxfId="8427" priority="348">
      <formula>M$9&gt;=20/24</formula>
    </cfRule>
    <cfRule type="expression" dxfId="8426" priority="349">
      <formula>AND(M$9&gt;=14/24,M$9&lt;20/24)</formula>
    </cfRule>
    <cfRule type="expression" dxfId="8425" priority="350">
      <formula>AND(M$9&gt;=8/24,M$9&lt;14/24)</formula>
    </cfRule>
    <cfRule type="expression" dxfId="8424" priority="351">
      <formula>M$9&lt;8/24</formula>
    </cfRule>
  </conditionalFormatting>
  <conditionalFormatting sqref="M50:X50">
    <cfRule type="expression" dxfId="8423" priority="344">
      <formula>M$9&gt;=20/24</formula>
    </cfRule>
    <cfRule type="expression" dxfId="8422" priority="345">
      <formula>AND(M$9&gt;=14/24,M$9&lt;20/24)</formula>
    </cfRule>
    <cfRule type="expression" dxfId="8421" priority="346">
      <formula>AND(M$9&gt;=8/24,M$9&lt;14/24)</formula>
    </cfRule>
    <cfRule type="expression" dxfId="8420" priority="347">
      <formula>M$9&lt;8/24</formula>
    </cfRule>
  </conditionalFormatting>
  <conditionalFormatting sqref="M45:X48">
    <cfRule type="expression" dxfId="8419" priority="340">
      <formula>M$9&gt;=20/24</formula>
    </cfRule>
    <cfRule type="expression" dxfId="8418" priority="341">
      <formula>AND(M$9&gt;=14/24,M$9&lt;20/24)</formula>
    </cfRule>
    <cfRule type="expression" dxfId="8417" priority="342">
      <formula>AND(M$9&gt;=8/24,M$9&lt;14/24)</formula>
    </cfRule>
    <cfRule type="expression" dxfId="8416" priority="343">
      <formula>M$9&lt;8/24</formula>
    </cfRule>
  </conditionalFormatting>
  <conditionalFormatting sqref="Y37 AB37:AE37">
    <cfRule type="expression" dxfId="8415" priority="336">
      <formula>Y$9&gt;=20/24</formula>
    </cfRule>
    <cfRule type="expression" dxfId="8414" priority="337">
      <formula>AND(Y$9&gt;=14/24,Y$9&lt;20/24)</formula>
    </cfRule>
    <cfRule type="expression" dxfId="8413" priority="338">
      <formula>AND(Y$9&gt;=8/24,Y$9&lt;14/24)</formula>
    </cfRule>
    <cfRule type="expression" dxfId="8412" priority="339">
      <formula>Y$9&lt;8/24</formula>
    </cfRule>
  </conditionalFormatting>
  <conditionalFormatting sqref="Y31:Y32 Y35">
    <cfRule type="expression" dxfId="8411" priority="332">
      <formula>Y$9&gt;=20/24</formula>
    </cfRule>
    <cfRule type="expression" dxfId="8410" priority="333">
      <formula>AND(Y$9&gt;=14/24,Y$9&lt;20/24)</formula>
    </cfRule>
    <cfRule type="expression" dxfId="8409" priority="334">
      <formula>AND(Y$9&gt;=8/24,Y$9&lt;14/24)</formula>
    </cfRule>
    <cfRule type="expression" dxfId="8408" priority="335">
      <formula>Y$9&lt;8/24</formula>
    </cfRule>
  </conditionalFormatting>
  <conditionalFormatting sqref="U43:Y43 S42:X43 S45:Y48 AB45:AF48">
    <cfRule type="expression" dxfId="8407" priority="328">
      <formula>S$9&gt;=20/24</formula>
    </cfRule>
    <cfRule type="expression" dxfId="8406" priority="329">
      <formula>AND(S$9&gt;=14/24,S$9&lt;20/24)</formula>
    </cfRule>
    <cfRule type="expression" dxfId="8405" priority="330">
      <formula>AND(S$9&gt;=8/24,S$9&lt;14/24)</formula>
    </cfRule>
    <cfRule type="expression" dxfId="8404" priority="331">
      <formula>S$9&lt;8/24</formula>
    </cfRule>
  </conditionalFormatting>
  <conditionalFormatting sqref="S49:Y49 AB49:AF49">
    <cfRule type="expression" dxfId="8403" priority="324">
      <formula>S$9&gt;=20/24</formula>
    </cfRule>
    <cfRule type="expression" dxfId="8402" priority="325">
      <formula>AND(S$9&gt;=14/24,S$9&lt;20/24)</formula>
    </cfRule>
    <cfRule type="expression" dxfId="8401" priority="326">
      <formula>AND(S$9&gt;=8/24,S$9&lt;14/24)</formula>
    </cfRule>
    <cfRule type="expression" dxfId="8400" priority="327">
      <formula>S$9&lt;8/24</formula>
    </cfRule>
  </conditionalFormatting>
  <conditionalFormatting sqref="S50:Y50 AB50:AF50">
    <cfRule type="expression" dxfId="8399" priority="320">
      <formula>S$9&gt;=20/24</formula>
    </cfRule>
    <cfRule type="expression" dxfId="8398" priority="321">
      <formula>AND(S$9&gt;=14/24,S$9&lt;20/24)</formula>
    </cfRule>
    <cfRule type="expression" dxfId="8397" priority="322">
      <formula>AND(S$9&gt;=8/24,S$9&lt;14/24)</formula>
    </cfRule>
    <cfRule type="expression" dxfId="8396" priority="323">
      <formula>S$9&lt;8/24</formula>
    </cfRule>
  </conditionalFormatting>
  <conditionalFormatting sqref="T60:Y67 AB60:AE67">
    <cfRule type="expression" dxfId="8395" priority="316">
      <formula>T$9&gt;=20/24</formula>
    </cfRule>
    <cfRule type="expression" dxfId="8394" priority="317">
      <formula>AND(T$9&gt;=14/24,T$9&lt;20/24)</formula>
    </cfRule>
    <cfRule type="expression" dxfId="8393" priority="318">
      <formula>AND(T$9&gt;=8/24,T$9&lt;14/24)</formula>
    </cfRule>
    <cfRule type="expression" dxfId="8392" priority="319">
      <formula>T$9&lt;8/24</formula>
    </cfRule>
  </conditionalFormatting>
  <conditionalFormatting sqref="J62:L67 C62:I62">
    <cfRule type="expression" dxfId="8391" priority="312">
      <formula>C$9&gt;=20/24</formula>
    </cfRule>
    <cfRule type="expression" dxfId="8390" priority="313">
      <formula>AND(C$9&gt;=14/24,C$9&lt;20/24)</formula>
    </cfRule>
    <cfRule type="expression" dxfId="8389" priority="314">
      <formula>AND(C$9&gt;=8/24,C$9&lt;14/24)</formula>
    </cfRule>
    <cfRule type="expression" dxfId="8388" priority="315">
      <formula>C$9&lt;8/24</formula>
    </cfRule>
  </conditionalFormatting>
  <conditionalFormatting sqref="U94:Y97">
    <cfRule type="expression" dxfId="8387" priority="308">
      <formula>U$9&gt;=20/24</formula>
    </cfRule>
    <cfRule type="expression" dxfId="8386" priority="309">
      <formula>AND(U$9&gt;=14/24,U$9&lt;20/24)</formula>
    </cfRule>
    <cfRule type="expression" dxfId="8385" priority="310">
      <formula>AND(U$9&gt;=8/24,U$9&lt;14/24)</formula>
    </cfRule>
    <cfRule type="expression" dxfId="8384" priority="311">
      <formula>U$9&lt;8/24</formula>
    </cfRule>
  </conditionalFormatting>
  <conditionalFormatting sqref="AG51 M12:R14 E11:R11 E37:L37 Y11 Y18:Y32 M16:X32 S11:X14 M34:Y37 C38:AF38 C39:Y56 AA51:AF56 AB37:AF37 AB11:AF22 AB39:AF50">
    <cfRule type="expression" dxfId="8383" priority="307">
      <formula>C11&gt;$AG11</formula>
    </cfRule>
  </conditionalFormatting>
  <conditionalFormatting sqref="A100:A156 A84:A97 A11:A14 A16:A32 A45:A72 A80:A82 A74:A78 A35:A43 A169:A199">
    <cfRule type="expression" dxfId="8382" priority="306">
      <formula>$AH11=0</formula>
    </cfRule>
  </conditionalFormatting>
  <conditionalFormatting sqref="U98:Y98">
    <cfRule type="expression" dxfId="8381" priority="302">
      <formula>U$9&gt;=20/24</formula>
    </cfRule>
    <cfRule type="expression" dxfId="8380" priority="303">
      <formula>AND(U$9&gt;=14/24,U$9&lt;20/24)</formula>
    </cfRule>
    <cfRule type="expression" dxfId="8379" priority="304">
      <formula>AND(U$9&gt;=8/24,U$9&lt;14/24)</formula>
    </cfRule>
    <cfRule type="expression" dxfId="8378" priority="305">
      <formula>U$9&lt;8/24</formula>
    </cfRule>
  </conditionalFormatting>
  <conditionalFormatting sqref="A98">
    <cfRule type="expression" dxfId="8377" priority="301">
      <formula>$AH98=0</formula>
    </cfRule>
  </conditionalFormatting>
  <conditionalFormatting sqref="E63:I67">
    <cfRule type="expression" dxfId="8376" priority="293">
      <formula>E$9&gt;=20/24</formula>
    </cfRule>
    <cfRule type="expression" dxfId="8375" priority="294">
      <formula>AND(E$9&gt;=14/24,E$9&lt;20/24)</formula>
    </cfRule>
    <cfRule type="expression" dxfId="8374" priority="295">
      <formula>AND(E$9&gt;=8/24,E$9&lt;14/24)</formula>
    </cfRule>
    <cfRule type="expression" dxfId="8373" priority="296">
      <formula>E$9&lt;8/24</formula>
    </cfRule>
  </conditionalFormatting>
  <conditionalFormatting sqref="M62:M67">
    <cfRule type="expression" dxfId="8372" priority="289">
      <formula>M$9&gt;=20/24</formula>
    </cfRule>
    <cfRule type="expression" dxfId="8371" priority="290">
      <formula>AND(M$9&gt;=14/24,M$9&lt;20/24)</formula>
    </cfRule>
    <cfRule type="expression" dxfId="8370" priority="291">
      <formula>AND(M$9&gt;=8/24,M$9&lt;14/24)</formula>
    </cfRule>
    <cfRule type="expression" dxfId="8369" priority="292">
      <formula>M$9&lt;8/24</formula>
    </cfRule>
  </conditionalFormatting>
  <conditionalFormatting sqref="AL32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M34:X34">
    <cfRule type="expression" dxfId="8368" priority="280">
      <formula>M$9&gt;=20/24</formula>
    </cfRule>
    <cfRule type="expression" dxfId="8367" priority="281">
      <formula>AND(M$9&gt;=14/24,M$9&lt;20/24)</formula>
    </cfRule>
    <cfRule type="expression" dxfId="8366" priority="282">
      <formula>AND(M$9&gt;=8/24,M$9&lt;14/24)</formula>
    </cfRule>
    <cfRule type="expression" dxfId="8365" priority="283">
      <formula>M$9&lt;8/24</formula>
    </cfRule>
  </conditionalFormatting>
  <conditionalFormatting sqref="Y34">
    <cfRule type="expression" dxfId="8364" priority="276">
      <formula>Y$9&gt;=20/24</formula>
    </cfRule>
    <cfRule type="expression" dxfId="8363" priority="277">
      <formula>AND(Y$9&gt;=14/24,Y$9&lt;20/24)</formula>
    </cfRule>
    <cfRule type="expression" dxfId="8362" priority="278">
      <formula>AND(Y$9&gt;=8/24,Y$9&lt;14/24)</formula>
    </cfRule>
    <cfRule type="expression" dxfId="8361" priority="279">
      <formula>Y$9&lt;8/24</formula>
    </cfRule>
  </conditionalFormatting>
  <conditionalFormatting sqref="A34">
    <cfRule type="expression" dxfId="8360" priority="275">
      <formula>$AH34=0</formula>
    </cfRule>
  </conditionalFormatting>
  <conditionalFormatting sqref="A83">
    <cfRule type="expression" dxfId="8359" priority="274">
      <formula>$AH83=0</formula>
    </cfRule>
  </conditionalFormatting>
  <conditionalFormatting sqref="AB15:AF15">
    <cfRule type="expression" dxfId="8358" priority="270">
      <formula>AB$9&gt;=20/24</formula>
    </cfRule>
    <cfRule type="expression" dxfId="8357" priority="271">
      <formula>AND(AB$9&gt;=14/24,AB$9&lt;20/24)</formula>
    </cfRule>
    <cfRule type="expression" dxfId="8356" priority="272">
      <formula>AND(AB$9&gt;=8/24,AB$9&lt;14/24)</formula>
    </cfRule>
    <cfRule type="expression" dxfId="8355" priority="273">
      <formula>AB$9&lt;8/24</formula>
    </cfRule>
  </conditionalFormatting>
  <conditionalFormatting sqref="M15:X15">
    <cfRule type="expression" dxfId="8354" priority="266">
      <formula>M$9&gt;=20/24</formula>
    </cfRule>
    <cfRule type="expression" dxfId="8353" priority="267">
      <formula>AND(M$9&gt;=14/24,M$9&lt;20/24)</formula>
    </cfRule>
    <cfRule type="expression" dxfId="8352" priority="268">
      <formula>AND(M$9&gt;=8/24,M$9&lt;14/24)</formula>
    </cfRule>
    <cfRule type="expression" dxfId="8351" priority="269">
      <formula>M$9&lt;8/24</formula>
    </cfRule>
  </conditionalFormatting>
  <conditionalFormatting sqref="M15:X15">
    <cfRule type="expression" dxfId="8350" priority="265">
      <formula>M15&gt;$AG15</formula>
    </cfRule>
  </conditionalFormatting>
  <conditionalFormatting sqref="A15">
    <cfRule type="expression" dxfId="8349" priority="264">
      <formula>$AH15=0</formula>
    </cfRule>
  </conditionalFormatting>
  <conditionalFormatting sqref="A163:A168">
    <cfRule type="expression" dxfId="8348" priority="263">
      <formula>$AH163=0</formula>
    </cfRule>
  </conditionalFormatting>
  <conditionalFormatting sqref="A157:A162">
    <cfRule type="expression" dxfId="8347" priority="262">
      <formula>$AH157=0</formula>
    </cfRule>
  </conditionalFormatting>
  <conditionalFormatting sqref="AB44:AE44">
    <cfRule type="expression" dxfId="8346" priority="258">
      <formula>AB$9&gt;=20/24</formula>
    </cfRule>
    <cfRule type="expression" dxfId="8345" priority="259">
      <formula>AND(AB$9&gt;=14/24,AB$9&lt;20/24)</formula>
    </cfRule>
    <cfRule type="expression" dxfId="8344" priority="260">
      <formula>AND(AB$9&gt;=8/24,AB$9&lt;14/24)</formula>
    </cfRule>
    <cfRule type="expression" dxfId="8343" priority="261">
      <formula>AB$9&lt;8/24</formula>
    </cfRule>
  </conditionalFormatting>
  <conditionalFormatting sqref="M44:X44">
    <cfRule type="expression" dxfId="8342" priority="254">
      <formula>M$9&gt;=20/24</formula>
    </cfRule>
    <cfRule type="expression" dxfId="8341" priority="255">
      <formula>AND(M$9&gt;=14/24,M$9&lt;20/24)</formula>
    </cfRule>
    <cfRule type="expression" dxfId="8340" priority="256">
      <formula>AND(M$9&gt;=8/24,M$9&lt;14/24)</formula>
    </cfRule>
    <cfRule type="expression" dxfId="8339" priority="257">
      <formula>M$9&lt;8/24</formula>
    </cfRule>
  </conditionalFormatting>
  <conditionalFormatting sqref="S44:Y44">
    <cfRule type="expression" dxfId="8338" priority="250">
      <formula>S$9&gt;=20/24</formula>
    </cfRule>
    <cfRule type="expression" dxfId="8337" priority="251">
      <formula>AND(S$9&gt;=14/24,S$9&lt;20/24)</formula>
    </cfRule>
    <cfRule type="expression" dxfId="8336" priority="252">
      <formula>AND(S$9&gt;=8/24,S$9&lt;14/24)</formula>
    </cfRule>
    <cfRule type="expression" dxfId="8335" priority="253">
      <formula>S$9&lt;8/24</formula>
    </cfRule>
  </conditionalFormatting>
  <conditionalFormatting sqref="A44">
    <cfRule type="expression" dxfId="8334" priority="249">
      <formula>$AH44=0</formula>
    </cfRule>
  </conditionalFormatting>
  <conditionalFormatting sqref="A79">
    <cfRule type="expression" dxfId="8333" priority="248">
      <formula>$AH79=0</formula>
    </cfRule>
  </conditionalFormatting>
  <conditionalFormatting sqref="A73">
    <cfRule type="expression" dxfId="8332" priority="247">
      <formula>$AH73=0</formula>
    </cfRule>
  </conditionalFormatting>
  <conditionalFormatting sqref="AL34:AL35 AL7:AL31">
    <cfRule type="iconSet" priority="391">
      <iconSet iconSet="3TrafficLights2" reverse="1">
        <cfvo type="percent" val="0"/>
        <cfvo type="num" val="1"/>
        <cfvo type="num" val="1"/>
      </iconSet>
    </cfRule>
  </conditionalFormatting>
  <conditionalFormatting sqref="C84:S91 T85:X91">
    <cfRule type="expression" dxfId="8331" priority="235">
      <formula>C$9&gt;=20/24</formula>
    </cfRule>
    <cfRule type="expression" dxfId="8330" priority="236">
      <formula>AND(C$9&gt;=14/24,C$9&lt;20/24)</formula>
    </cfRule>
    <cfRule type="expression" dxfId="8329" priority="237">
      <formula>AND(C$9&gt;=8/24,C$9&lt;14/24)</formula>
    </cfRule>
    <cfRule type="expression" dxfId="8328" priority="238">
      <formula>C$9&lt;8/24</formula>
    </cfRule>
  </conditionalFormatting>
  <conditionalFormatting sqref="T84:X84">
    <cfRule type="expression" dxfId="8327" priority="231">
      <formula>T$9&gt;=20/24</formula>
    </cfRule>
    <cfRule type="expression" dxfId="8326" priority="232">
      <formula>AND(T$9&gt;=14/24,T$9&lt;20/24)</formula>
    </cfRule>
    <cfRule type="expression" dxfId="8325" priority="233">
      <formula>AND(T$9&gt;=8/24,T$9&lt;14/24)</formula>
    </cfRule>
    <cfRule type="expression" dxfId="8324" priority="234">
      <formula>T$9&lt;8/24</formula>
    </cfRule>
  </conditionalFormatting>
  <conditionalFormatting sqref="I95:M97 C94:H97">
    <cfRule type="expression" dxfId="8323" priority="227">
      <formula>C$9&gt;=20/24</formula>
    </cfRule>
    <cfRule type="expression" dxfId="8322" priority="228">
      <formula>AND(C$9&gt;=14/24,C$9&lt;20/24)</formula>
    </cfRule>
    <cfRule type="expression" dxfId="8321" priority="229">
      <formula>AND(C$9&gt;=8/24,C$9&lt;14/24)</formula>
    </cfRule>
    <cfRule type="expression" dxfId="8320" priority="230">
      <formula>C$9&lt;8/24</formula>
    </cfRule>
  </conditionalFormatting>
  <conditionalFormatting sqref="N95:R97 O94:R94 S94:S97">
    <cfRule type="expression" dxfId="8319" priority="223">
      <formula>N$9&gt;=20/24</formula>
    </cfRule>
    <cfRule type="expression" dxfId="8318" priority="224">
      <formula>AND(N$9&gt;=14/24,N$9&lt;20/24)</formula>
    </cfRule>
    <cfRule type="expression" dxfId="8317" priority="225">
      <formula>AND(N$9&gt;=8/24,N$9&lt;14/24)</formula>
    </cfRule>
    <cfRule type="expression" dxfId="8316" priority="226">
      <formula>N$9&lt;8/24</formula>
    </cfRule>
  </conditionalFormatting>
  <conditionalFormatting sqref="T94:T97">
    <cfRule type="expression" dxfId="8315" priority="219">
      <formula>T$9&gt;=20/24</formula>
    </cfRule>
    <cfRule type="expression" dxfId="8314" priority="220">
      <formula>AND(T$9&gt;=14/24,T$9&lt;20/24)</formula>
    </cfRule>
    <cfRule type="expression" dxfId="8313" priority="221">
      <formula>AND(T$9&gt;=8/24,T$9&lt;14/24)</formula>
    </cfRule>
    <cfRule type="expression" dxfId="8312" priority="222">
      <formula>T$9&lt;8/24</formula>
    </cfRule>
  </conditionalFormatting>
  <conditionalFormatting sqref="C98:M98">
    <cfRule type="expression" dxfId="8311" priority="215">
      <formula>C$9&gt;=20/24</formula>
    </cfRule>
    <cfRule type="expression" dxfId="8310" priority="216">
      <formula>AND(C$9&gt;=14/24,C$9&lt;20/24)</formula>
    </cfRule>
    <cfRule type="expression" dxfId="8309" priority="217">
      <formula>AND(C$9&gt;=8/24,C$9&lt;14/24)</formula>
    </cfRule>
    <cfRule type="expression" dxfId="8308" priority="218">
      <formula>C$9&lt;8/24</formula>
    </cfRule>
  </conditionalFormatting>
  <conditionalFormatting sqref="N98:S98">
    <cfRule type="expression" dxfId="8307" priority="211">
      <formula>N$9&gt;=20/24</formula>
    </cfRule>
    <cfRule type="expression" dxfId="8306" priority="212">
      <formula>AND(N$9&gt;=14/24,N$9&lt;20/24)</formula>
    </cfRule>
    <cfRule type="expression" dxfId="8305" priority="213">
      <formula>AND(N$9&gt;=8/24,N$9&lt;14/24)</formula>
    </cfRule>
    <cfRule type="expression" dxfId="8304" priority="214">
      <formula>N$9&lt;8/24</formula>
    </cfRule>
  </conditionalFormatting>
  <conditionalFormatting sqref="T98">
    <cfRule type="expression" dxfId="8303" priority="207">
      <formula>T$9&gt;=20/24</formula>
    </cfRule>
    <cfRule type="expression" dxfId="8302" priority="208">
      <formula>AND(T$9&gt;=14/24,T$9&lt;20/24)</formula>
    </cfRule>
    <cfRule type="expression" dxfId="8301" priority="209">
      <formula>AND(T$9&gt;=8/24,T$9&lt;14/24)</formula>
    </cfRule>
    <cfRule type="expression" dxfId="8300" priority="210">
      <formula>T$9&lt;8/24</formula>
    </cfRule>
  </conditionalFormatting>
  <conditionalFormatting sqref="M94:N94">
    <cfRule type="expression" dxfId="8299" priority="203">
      <formula>M$9&gt;=20/24</formula>
    </cfRule>
    <cfRule type="expression" dxfId="8298" priority="204">
      <formula>AND(M$9&gt;=14/24,M$9&lt;20/24)</formula>
    </cfRule>
    <cfRule type="expression" dxfId="8297" priority="205">
      <formula>AND(M$9&gt;=8/24,M$9&lt;14/24)</formula>
    </cfRule>
    <cfRule type="expression" dxfId="8296" priority="206">
      <formula>M$9&lt;8/24</formula>
    </cfRule>
  </conditionalFormatting>
  <conditionalFormatting sqref="I94:L94">
    <cfRule type="expression" dxfId="8295" priority="199">
      <formula>I$9&gt;=20/24</formula>
    </cfRule>
    <cfRule type="expression" dxfId="8294" priority="200">
      <formula>AND(I$9&gt;=14/24,I$9&lt;20/24)</formula>
    </cfRule>
    <cfRule type="expression" dxfId="8293" priority="201">
      <formula>AND(I$9&gt;=8/24,I$9&lt;14/24)</formula>
    </cfRule>
    <cfRule type="expression" dxfId="8292" priority="202">
      <formula>I$9&lt;8/24</formula>
    </cfRule>
  </conditionalFormatting>
  <conditionalFormatting sqref="U94:X94">
    <cfRule type="expression" dxfId="8291" priority="195">
      <formula>U$9&gt;=20/24</formula>
    </cfRule>
    <cfRule type="expression" dxfId="8290" priority="196">
      <formula>AND(U$9&gt;=14/24,U$9&lt;20/24)</formula>
    </cfRule>
    <cfRule type="expression" dxfId="8289" priority="197">
      <formula>AND(U$9&gt;=8/24,U$9&lt;14/24)</formula>
    </cfRule>
    <cfRule type="expression" dxfId="8288" priority="198">
      <formula>U$9&lt;8/24</formula>
    </cfRule>
  </conditionalFormatting>
  <conditionalFormatting sqref="N94:T94">
    <cfRule type="expression" dxfId="8287" priority="191">
      <formula>N$9&gt;=20/24</formula>
    </cfRule>
    <cfRule type="expression" dxfId="8286" priority="192">
      <formula>AND(N$9&gt;=14/24,N$9&lt;20/24)</formula>
    </cfRule>
    <cfRule type="expression" dxfId="8285" priority="193">
      <formula>AND(N$9&gt;=8/24,N$9&lt;14/24)</formula>
    </cfRule>
    <cfRule type="expression" dxfId="8284" priority="194">
      <formula>N$9&lt;8/24</formula>
    </cfRule>
  </conditionalFormatting>
  <conditionalFormatting sqref="U99:Y99">
    <cfRule type="expression" dxfId="8283" priority="187">
      <formula>U$9&gt;=20/24</formula>
    </cfRule>
    <cfRule type="expression" dxfId="8282" priority="188">
      <formula>AND(U$9&gt;=14/24,U$9&lt;20/24)</formula>
    </cfRule>
    <cfRule type="expression" dxfId="8281" priority="189">
      <formula>AND(U$9&gt;=8/24,U$9&lt;14/24)</formula>
    </cfRule>
    <cfRule type="expression" dxfId="8280" priority="190">
      <formula>U$9&lt;8/24</formula>
    </cfRule>
  </conditionalFormatting>
  <conditionalFormatting sqref="C99:M99">
    <cfRule type="expression" dxfId="8279" priority="183">
      <formula>C$9&gt;=20/24</formula>
    </cfRule>
    <cfRule type="expression" dxfId="8278" priority="184">
      <formula>AND(C$9&gt;=14/24,C$9&lt;20/24)</formula>
    </cfRule>
    <cfRule type="expression" dxfId="8277" priority="185">
      <formula>AND(C$9&gt;=8/24,C$9&lt;14/24)</formula>
    </cfRule>
    <cfRule type="expression" dxfId="8276" priority="186">
      <formula>C$9&lt;8/24</formula>
    </cfRule>
  </conditionalFormatting>
  <conditionalFormatting sqref="N99:S99">
    <cfRule type="expression" dxfId="8275" priority="179">
      <formula>N$9&gt;=20/24</formula>
    </cfRule>
    <cfRule type="expression" dxfId="8274" priority="180">
      <formula>AND(N$9&gt;=14/24,N$9&lt;20/24)</formula>
    </cfRule>
    <cfRule type="expression" dxfId="8273" priority="181">
      <formula>AND(N$9&gt;=8/24,N$9&lt;14/24)</formula>
    </cfRule>
    <cfRule type="expression" dxfId="8272" priority="182">
      <formula>N$9&lt;8/24</formula>
    </cfRule>
  </conditionalFormatting>
  <conditionalFormatting sqref="T99">
    <cfRule type="expression" dxfId="8271" priority="175">
      <formula>T$9&gt;=20/24</formula>
    </cfRule>
    <cfRule type="expression" dxfId="8270" priority="176">
      <formula>AND(T$9&gt;=14/24,T$9&lt;20/24)</formula>
    </cfRule>
    <cfRule type="expression" dxfId="8269" priority="177">
      <formula>AND(T$9&gt;=8/24,T$9&lt;14/24)</formula>
    </cfRule>
    <cfRule type="expression" dxfId="8268" priority="178">
      <formula>T$9&lt;8/24</formula>
    </cfRule>
  </conditionalFormatting>
  <conditionalFormatting sqref="Y12:Y16">
    <cfRule type="expression" dxfId="8267" priority="171">
      <formula>Y$9&gt;=20/24</formula>
    </cfRule>
    <cfRule type="expression" dxfId="8266" priority="172">
      <formula>AND(Y$9&gt;=14/24,Y$9&lt;20/24)</formula>
    </cfRule>
    <cfRule type="expression" dxfId="8265" priority="173">
      <formula>AND(Y$9&gt;=8/24,Y$9&lt;14/24)</formula>
    </cfRule>
    <cfRule type="expression" dxfId="8264" priority="174">
      <formula>Y$9&lt;8/24</formula>
    </cfRule>
  </conditionalFormatting>
  <conditionalFormatting sqref="Y17">
    <cfRule type="expression" dxfId="8263" priority="167">
      <formula>Y$9&gt;=20/24</formula>
    </cfRule>
    <cfRule type="expression" dxfId="8262" priority="168">
      <formula>AND(Y$9&gt;=14/24,Y$9&lt;20/24)</formula>
    </cfRule>
    <cfRule type="expression" dxfId="8261" priority="169">
      <formula>AND(Y$9&gt;=8/24,Y$9&lt;14/24)</formula>
    </cfRule>
    <cfRule type="expression" dxfId="8260" priority="170">
      <formula>Y$9&lt;8/24</formula>
    </cfRule>
  </conditionalFormatting>
  <conditionalFormatting sqref="Y12:Y13">
    <cfRule type="expression" dxfId="8259" priority="163">
      <formula>Y$9&gt;=20/24</formula>
    </cfRule>
    <cfRule type="expression" dxfId="8258" priority="164">
      <formula>AND(Y$9&gt;=14/24,Y$9&lt;20/24)</formula>
    </cfRule>
    <cfRule type="expression" dxfId="8257" priority="165">
      <formula>AND(Y$9&gt;=8/24,Y$9&lt;14/24)</formula>
    </cfRule>
    <cfRule type="expression" dxfId="8256" priority="166">
      <formula>Y$9&lt;8/24</formula>
    </cfRule>
  </conditionalFormatting>
  <conditionalFormatting sqref="AB58:AE59">
    <cfRule type="expression" dxfId="8255" priority="159">
      <formula>AB$9&gt;=20/24</formula>
    </cfRule>
    <cfRule type="expression" dxfId="8254" priority="160">
      <formula>AND(AB$9&gt;=14/24,AB$9&lt;20/24)</formula>
    </cfRule>
    <cfRule type="expression" dxfId="8253" priority="161">
      <formula>AND(AB$9&gt;=8/24,AB$9&lt;14/24)</formula>
    </cfRule>
    <cfRule type="expression" dxfId="8252" priority="162">
      <formula>AB$9&lt;8/24</formula>
    </cfRule>
  </conditionalFormatting>
  <conditionalFormatting sqref="AL33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251" priority="392">
      <formula>C$9&gt;=20/24</formula>
    </cfRule>
    <cfRule type="expression" dxfId="8250" priority="393">
      <formula>AND(C$9&gt;=14/24,C$9&lt;20/24)</formula>
    </cfRule>
    <cfRule type="expression" dxfId="8249" priority="394">
      <formula>AND(C$9&gt;=8/24,C$9&lt;14/24)</formula>
    </cfRule>
    <cfRule type="expression" dxfId="8248" priority="395">
      <formula>C$9&lt;8/24</formula>
    </cfRule>
  </conditionalFormatting>
  <conditionalFormatting sqref="A200">
    <cfRule type="expression" dxfId="8247" priority="396">
      <formula>$AH200=0</formula>
    </cfRule>
  </conditionalFormatting>
  <conditionalFormatting sqref="AG212">
    <cfRule type="expression" dxfId="8246" priority="397">
      <formula>B$9&gt;=20/24</formula>
    </cfRule>
    <cfRule type="expression" dxfId="8245" priority="398">
      <formula>AND(B$9&gt;=14/24,B$9&lt;20/24)</formula>
    </cfRule>
    <cfRule type="expression" dxfId="8244" priority="399">
      <formula>AND(B$9&gt;=8/24,B$9&lt;14/24)</formula>
    </cfRule>
    <cfRule type="expression" dxfId="8243" priority="400">
      <formula>B$9&lt;8/24</formula>
    </cfRule>
  </conditionalFormatting>
  <conditionalFormatting sqref="S8">
    <cfRule type="expression" dxfId="8242" priority="153">
      <formula>U$9&gt;=20/24</formula>
    </cfRule>
    <cfRule type="expression" dxfId="8241" priority="154">
      <formula>AND(U$9&gt;=14/24,U$9&lt;20/24)</formula>
    </cfRule>
    <cfRule type="expression" dxfId="8240" priority="155">
      <formula>AND(U$9&gt;=8/24,U$9&lt;14/24)</formula>
    </cfRule>
    <cfRule type="expression" dxfId="8239" priority="156">
      <formula>U$9&lt;8/24</formula>
    </cfRule>
  </conditionalFormatting>
  <conditionalFormatting sqref="AB8">
    <cfRule type="expression" dxfId="8238" priority="149">
      <formula>AD$9&gt;=20/24</formula>
    </cfRule>
    <cfRule type="expression" dxfId="8237" priority="150">
      <formula>AND(AD$9&gt;=14/24,AD$9&lt;20/24)</formula>
    </cfRule>
    <cfRule type="expression" dxfId="8236" priority="151">
      <formula>AND(AD$9&gt;=8/24,AD$9&lt;14/24)</formula>
    </cfRule>
    <cfRule type="expression" dxfId="8235" priority="152">
      <formula>AD$9&lt;8/24</formula>
    </cfRule>
  </conditionalFormatting>
  <conditionalFormatting sqref="AH212:AX212">
    <cfRule type="expression" dxfId="8234" priority="401">
      <formula>AG$9&gt;=20/24</formula>
    </cfRule>
    <cfRule type="expression" dxfId="8233" priority="402">
      <formula>AND(AG$9&gt;=14/24,AG$9&lt;20/24)</formula>
    </cfRule>
    <cfRule type="expression" dxfId="8232" priority="403">
      <formula>AND(AG$9&gt;=8/24,AG$9&lt;14/24)</formula>
    </cfRule>
    <cfRule type="expression" dxfId="8231" priority="404">
      <formula>AG$9&lt;8/24</formula>
    </cfRule>
  </conditionalFormatting>
  <conditionalFormatting sqref="T212">
    <cfRule type="expression" dxfId="8230" priority="405">
      <formula>AX$9&gt;=20/24</formula>
    </cfRule>
    <cfRule type="expression" dxfId="8229" priority="406">
      <formula>AND(AX$9&gt;=14/24,AX$9&lt;20/24)</formula>
    </cfRule>
    <cfRule type="expression" dxfId="8228" priority="407">
      <formula>AND(AX$9&gt;=8/24,AX$9&lt;14/24)</formula>
    </cfRule>
    <cfRule type="expression" dxfId="8227" priority="408">
      <formula>AX$9&lt;8/24</formula>
    </cfRule>
  </conditionalFormatting>
  <conditionalFormatting sqref="A99">
    <cfRule type="expression" dxfId="8226" priority="148">
      <formula>$AH99=0</formula>
    </cfRule>
  </conditionalFormatting>
  <conditionalFormatting sqref="M33:X33">
    <cfRule type="expression" dxfId="8225" priority="144">
      <formula>M$9&gt;=20/24</formula>
    </cfRule>
    <cfRule type="expression" dxfId="8224" priority="145">
      <formula>AND(M$9&gt;=14/24,M$9&lt;20/24)</formula>
    </cfRule>
    <cfRule type="expression" dxfId="8223" priority="146">
      <formula>AND(M$9&gt;=8/24,M$9&lt;14/24)</formula>
    </cfRule>
    <cfRule type="expression" dxfId="8222" priority="147">
      <formula>M$9&lt;8/24</formula>
    </cfRule>
  </conditionalFormatting>
  <conditionalFormatting sqref="Y33">
    <cfRule type="expression" dxfId="8221" priority="136">
      <formula>Y$9&gt;=20/24</formula>
    </cfRule>
    <cfRule type="expression" dxfId="8220" priority="137">
      <formula>AND(Y$9&gt;=14/24,Y$9&lt;20/24)</formula>
    </cfRule>
    <cfRule type="expression" dxfId="8219" priority="138">
      <formula>AND(Y$9&gt;=8/24,Y$9&lt;14/24)</formula>
    </cfRule>
    <cfRule type="expression" dxfId="8218" priority="139">
      <formula>Y$9&lt;8/24</formula>
    </cfRule>
  </conditionalFormatting>
  <conditionalFormatting sqref="M33:Y33">
    <cfRule type="expression" dxfId="8217" priority="135">
      <formula>M33&gt;$AG33</formula>
    </cfRule>
  </conditionalFormatting>
  <conditionalFormatting sqref="B53:B91 B94:B99 B11:D14 B16:L26 B28:L31 B36:L36 E12:L14">
    <cfRule type="expression" dxfId="8216" priority="131">
      <formula>B$9&gt;=20/24</formula>
    </cfRule>
    <cfRule type="expression" dxfId="8215" priority="132">
      <formula>AND(B$9&gt;=14/24,B$9&lt;20/24)</formula>
    </cfRule>
    <cfRule type="expression" dxfId="8214" priority="133">
      <formula>AND(B$9&gt;=8/24,B$9&lt;14/24)</formula>
    </cfRule>
    <cfRule type="expression" dxfId="8213" priority="134">
      <formula>B$9&lt;8/24</formula>
    </cfRule>
  </conditionalFormatting>
  <conditionalFormatting sqref="B32:L32">
    <cfRule type="expression" dxfId="8212" priority="127">
      <formula>B$9&gt;=20/24</formula>
    </cfRule>
    <cfRule type="expression" dxfId="8211" priority="128">
      <formula>AND(B$9&gt;=14/24,B$9&lt;20/24)</formula>
    </cfRule>
    <cfRule type="expression" dxfId="8210" priority="129">
      <formula>AND(B$9&gt;=8/24,B$9&lt;14/24)</formula>
    </cfRule>
    <cfRule type="expression" dxfId="8209" priority="130">
      <formula>B$9&lt;8/24</formula>
    </cfRule>
  </conditionalFormatting>
  <conditionalFormatting sqref="B37:D37">
    <cfRule type="expression" dxfId="8208" priority="123">
      <formula>B$9&gt;=20/24</formula>
    </cfRule>
    <cfRule type="expression" dxfId="8207" priority="124">
      <formula>AND(B$9&gt;=14/24,B$9&lt;20/24)</formula>
    </cfRule>
    <cfRule type="expression" dxfId="8206" priority="125">
      <formula>AND(B$9&gt;=8/24,B$9&lt;14/24)</formula>
    </cfRule>
    <cfRule type="expression" dxfId="8205" priority="126">
      <formula>B$9&lt;8/24</formula>
    </cfRule>
  </conditionalFormatting>
  <conditionalFormatting sqref="B35:L35">
    <cfRule type="expression" dxfId="8204" priority="119">
      <formula>B$9&gt;=20/24</formula>
    </cfRule>
    <cfRule type="expression" dxfId="8203" priority="120">
      <formula>AND(B$9&gt;=14/24,B$9&lt;20/24)</formula>
    </cfRule>
    <cfRule type="expression" dxfId="8202" priority="121">
      <formula>AND(B$9&gt;=8/24,B$9&lt;14/24)</formula>
    </cfRule>
    <cfRule type="expression" dxfId="8201" priority="122">
      <formula>B$9&lt;8/24</formula>
    </cfRule>
  </conditionalFormatting>
  <conditionalFormatting sqref="B34:B56 B11:D32 C34:D37 E12:L32 E34:L36">
    <cfRule type="expression" dxfId="8200" priority="118">
      <formula>B11&gt;$AG11</formula>
    </cfRule>
  </conditionalFormatting>
  <conditionalFormatting sqref="B34:L34">
    <cfRule type="expression" dxfId="8199" priority="114">
      <formula>B$9&gt;=20/24</formula>
    </cfRule>
    <cfRule type="expression" dxfId="8198" priority="115">
      <formula>AND(B$9&gt;=14/24,B$9&lt;20/24)</formula>
    </cfRule>
    <cfRule type="expression" dxfId="8197" priority="116">
      <formula>AND(B$9&gt;=8/24,B$9&lt;14/24)</formula>
    </cfRule>
    <cfRule type="expression" dxfId="8196" priority="117">
      <formula>B$9&lt;8/24</formula>
    </cfRule>
  </conditionalFormatting>
  <conditionalFormatting sqref="B15:L15">
    <cfRule type="expression" dxfId="8195" priority="110">
      <formula>B$9&gt;=20/24</formula>
    </cfRule>
    <cfRule type="expression" dxfId="8194" priority="111">
      <formula>AND(B$9&gt;=14/24,B$9&lt;20/24)</formula>
    </cfRule>
    <cfRule type="expression" dxfId="8193" priority="112">
      <formula>AND(B$9&gt;=8/24,B$9&lt;14/24)</formula>
    </cfRule>
    <cfRule type="expression" dxfId="8192" priority="113">
      <formula>B$9&lt;8/24</formula>
    </cfRule>
  </conditionalFormatting>
  <conditionalFormatting sqref="B33:L33">
    <cfRule type="expression" dxfId="8191" priority="106">
      <formula>B$9&gt;=20/24</formula>
    </cfRule>
    <cfRule type="expression" dxfId="8190" priority="107">
      <formula>AND(B$9&gt;=14/24,B$9&lt;20/24)</formula>
    </cfRule>
    <cfRule type="expression" dxfId="8189" priority="108">
      <formula>AND(B$9&gt;=8/24,B$9&lt;14/24)</formula>
    </cfRule>
    <cfRule type="expression" dxfId="8188" priority="109">
      <formula>B$9&lt;8/24</formula>
    </cfRule>
  </conditionalFormatting>
  <conditionalFormatting sqref="B33:L33">
    <cfRule type="expression" dxfId="8187" priority="105">
      <formula>B33&gt;$AG33</formula>
    </cfRule>
  </conditionalFormatting>
  <conditionalFormatting sqref="Z11:AA14 Z16:AA32 Z36:AA37 AB23:AF32 AB36:AF36">
    <cfRule type="expression" dxfId="8186" priority="101">
      <formula>Z$9&gt;=20/24</formula>
    </cfRule>
    <cfRule type="expression" dxfId="8185" priority="102">
      <formula>AND(Z$9&gt;=14/24,Z$9&lt;20/24)</formula>
    </cfRule>
    <cfRule type="expression" dxfId="8184" priority="103">
      <formula>AND(Z$9&gt;=8/24,Z$9&lt;14/24)</formula>
    </cfRule>
    <cfRule type="expression" dxfId="8183" priority="104">
      <formula>Z$9&lt;8/24</formula>
    </cfRule>
  </conditionalFormatting>
  <conditionalFormatting sqref="Z35:AF35">
    <cfRule type="expression" dxfId="8182" priority="97">
      <formula>Z$9&gt;=20/24</formula>
    </cfRule>
    <cfRule type="expression" dxfId="8181" priority="98">
      <formula>AND(Z$9&gt;=14/24,Z$9&lt;20/24)</formula>
    </cfRule>
    <cfRule type="expression" dxfId="8180" priority="99">
      <formula>AND(Z$9&gt;=8/24,Z$9&lt;14/24)</formula>
    </cfRule>
    <cfRule type="expression" dxfId="8179" priority="100">
      <formula>Z$9&lt;8/24</formula>
    </cfRule>
  </conditionalFormatting>
  <conditionalFormatting sqref="Z16:AA32 Z11:AA14 Z34:AA37 AB23:AF32 AB34:AF36">
    <cfRule type="expression" dxfId="8178" priority="96">
      <formula>Z11&gt;$AG11</formula>
    </cfRule>
  </conditionalFormatting>
  <conditionalFormatting sqref="Z34:AF34">
    <cfRule type="expression" dxfId="8177" priority="92">
      <formula>Z$9&gt;=20/24</formula>
    </cfRule>
    <cfRule type="expression" dxfId="8176" priority="93">
      <formula>AND(Z$9&gt;=14/24,Z$9&lt;20/24)</formula>
    </cfRule>
    <cfRule type="expression" dxfId="8175" priority="94">
      <formula>AND(Z$9&gt;=8/24,Z$9&lt;14/24)</formula>
    </cfRule>
    <cfRule type="expression" dxfId="8174" priority="95">
      <formula>Z$9&lt;8/24</formula>
    </cfRule>
  </conditionalFormatting>
  <conditionalFormatting sqref="Z15:AA15">
    <cfRule type="expression" dxfId="8173" priority="88">
      <formula>Z$9&gt;=20/24</formula>
    </cfRule>
    <cfRule type="expression" dxfId="8172" priority="89">
      <formula>AND(Z$9&gt;=14/24,Z$9&lt;20/24)</formula>
    </cfRule>
    <cfRule type="expression" dxfId="8171" priority="90">
      <formula>AND(Z$9&gt;=8/24,Z$9&lt;14/24)</formula>
    </cfRule>
    <cfRule type="expression" dxfId="8170" priority="91">
      <formula>Z$9&lt;8/24</formula>
    </cfRule>
  </conditionalFormatting>
  <conditionalFormatting sqref="Z15:AA15">
    <cfRule type="expression" dxfId="8169" priority="87">
      <formula>Z15&gt;$AG15</formula>
    </cfRule>
  </conditionalFormatting>
  <conditionalFormatting sqref="Z33:AF33">
    <cfRule type="expression" dxfId="8168" priority="83">
      <formula>Z$9&gt;=20/24</formula>
    </cfRule>
    <cfRule type="expression" dxfId="8167" priority="84">
      <formula>AND(Z$9&gt;=14/24,Z$9&lt;20/24)</formula>
    </cfRule>
    <cfRule type="expression" dxfId="8166" priority="85">
      <formula>AND(Z$9&gt;=8/24,Z$9&lt;14/24)</formula>
    </cfRule>
    <cfRule type="expression" dxfId="8165" priority="86">
      <formula>Z$9&lt;8/24</formula>
    </cfRule>
  </conditionalFormatting>
  <conditionalFormatting sqref="Z33:AF33">
    <cfRule type="expression" dxfId="8164" priority="82">
      <formula>Z33&gt;$AG33</formula>
    </cfRule>
  </conditionalFormatting>
  <conditionalFormatting sqref="Z82:Z83 Z68:Z80 Z53:Z56 Z45:AA48 Z39:AA42 Z58:AA59">
    <cfRule type="expression" dxfId="8163" priority="78">
      <formula>Z$9&gt;=20/24</formula>
    </cfRule>
    <cfRule type="expression" dxfId="8162" priority="79">
      <formula>AND(Z$9&gt;=14/24,Z$9&lt;20/24)</formula>
    </cfRule>
    <cfRule type="expression" dxfId="8161" priority="80">
      <formula>AND(Z$9&gt;=8/24,Z$9&lt;14/24)</formula>
    </cfRule>
    <cfRule type="expression" dxfId="8160" priority="81">
      <formula>Z$9&lt;8/24</formula>
    </cfRule>
  </conditionalFormatting>
  <conditionalFormatting sqref="Z43:AA43">
    <cfRule type="expression" dxfId="8159" priority="74">
      <formula>Z$9&gt;=20/24</formula>
    </cfRule>
    <cfRule type="expression" dxfId="8158" priority="75">
      <formula>AND(Z$9&gt;=14/24,Z$9&lt;20/24)</formula>
    </cfRule>
    <cfRule type="expression" dxfId="8157" priority="76">
      <formula>AND(Z$9&gt;=8/24,Z$9&lt;14/24)</formula>
    </cfRule>
    <cfRule type="expression" dxfId="8156" priority="77">
      <formula>Z$9&lt;8/24</formula>
    </cfRule>
  </conditionalFormatting>
  <conditionalFormatting sqref="Z39:AA39">
    <cfRule type="expression" dxfId="8155" priority="70">
      <formula>Z$9&gt;=20/24</formula>
    </cfRule>
    <cfRule type="expression" dxfId="8154" priority="71">
      <formula>AND(Z$9&gt;=14/24,Z$9&lt;20/24)</formula>
    </cfRule>
    <cfRule type="expression" dxfId="8153" priority="72">
      <formula>AND(Z$9&gt;=8/24,Z$9&lt;14/24)</formula>
    </cfRule>
    <cfRule type="expression" dxfId="8152" priority="73">
      <formula>Z$9&lt;8/24</formula>
    </cfRule>
  </conditionalFormatting>
  <conditionalFormatting sqref="Z57:AA57">
    <cfRule type="expression" dxfId="8151" priority="66">
      <formula>Z$9&gt;=20/24</formula>
    </cfRule>
    <cfRule type="expression" dxfId="8150" priority="67">
      <formula>AND(Z$9&gt;=14/24,Z$9&lt;20/24)</formula>
    </cfRule>
    <cfRule type="expression" dxfId="8149" priority="68">
      <formula>AND(Z$9&gt;=8/24,Z$9&lt;14/24)</formula>
    </cfRule>
    <cfRule type="expression" dxfId="8148" priority="69">
      <formula>Z$9&lt;8/24</formula>
    </cfRule>
  </conditionalFormatting>
  <conditionalFormatting sqref="Z81">
    <cfRule type="expression" dxfId="8147" priority="62">
      <formula>Z$9&gt;=20/24</formula>
    </cfRule>
    <cfRule type="expression" dxfId="8146" priority="63">
      <formula>AND(Z$9&gt;=14/24,Z$9&lt;20/24)</formula>
    </cfRule>
    <cfRule type="expression" dxfId="8145" priority="64">
      <formula>AND(Z$9&gt;=8/24,Z$9&lt;14/24)</formula>
    </cfRule>
    <cfRule type="expression" dxfId="8144" priority="65">
      <formula>Z$9&lt;8/24</formula>
    </cfRule>
  </conditionalFormatting>
  <conditionalFormatting sqref="Z49:AA49">
    <cfRule type="expression" dxfId="8143" priority="58">
      <formula>Z$9&gt;=20/24</formula>
    </cfRule>
    <cfRule type="expression" dxfId="8142" priority="59">
      <formula>AND(Z$9&gt;=14/24,Z$9&lt;20/24)</formula>
    </cfRule>
    <cfRule type="expression" dxfId="8141" priority="60">
      <formula>AND(Z$9&gt;=8/24,Z$9&lt;14/24)</formula>
    </cfRule>
    <cfRule type="expression" dxfId="8140" priority="61">
      <formula>Z$9&lt;8/24</formula>
    </cfRule>
  </conditionalFormatting>
  <conditionalFormatting sqref="Z50:AA50">
    <cfRule type="expression" dxfId="8139" priority="54">
      <formula>Z$9&gt;=20/24</formula>
    </cfRule>
    <cfRule type="expression" dxfId="8138" priority="55">
      <formula>AND(Z$9&gt;=14/24,Z$9&lt;20/24)</formula>
    </cfRule>
    <cfRule type="expression" dxfId="8137" priority="56">
      <formula>AND(Z$9&gt;=8/24,Z$9&lt;14/24)</formula>
    </cfRule>
    <cfRule type="expression" dxfId="8136" priority="57">
      <formula>Z$9&lt;8/24</formula>
    </cfRule>
  </conditionalFormatting>
  <conditionalFormatting sqref="Z45:AA48">
    <cfRule type="expression" dxfId="8135" priority="50">
      <formula>Z$9&gt;=20/24</formula>
    </cfRule>
    <cfRule type="expression" dxfId="8134" priority="51">
      <formula>AND(Z$9&gt;=14/24,Z$9&lt;20/24)</formula>
    </cfRule>
    <cfRule type="expression" dxfId="8133" priority="52">
      <formula>AND(Z$9&gt;=8/24,Z$9&lt;14/24)</formula>
    </cfRule>
    <cfRule type="expression" dxfId="8132" priority="53">
      <formula>Z$9&lt;8/24</formula>
    </cfRule>
  </conditionalFormatting>
  <conditionalFormatting sqref="Z42:AA43 Z45:AA48">
    <cfRule type="expression" dxfId="8131" priority="46">
      <formula>Z$9&gt;=20/24</formula>
    </cfRule>
    <cfRule type="expression" dxfId="8130" priority="47">
      <formula>AND(Z$9&gt;=14/24,Z$9&lt;20/24)</formula>
    </cfRule>
    <cfRule type="expression" dxfId="8129" priority="48">
      <formula>AND(Z$9&gt;=8/24,Z$9&lt;14/24)</formula>
    </cfRule>
    <cfRule type="expression" dxfId="8128" priority="49">
      <formula>Z$9&lt;8/24</formula>
    </cfRule>
  </conditionalFormatting>
  <conditionalFormatting sqref="Z49:AA49">
    <cfRule type="expression" dxfId="8127" priority="42">
      <formula>Z$9&gt;=20/24</formula>
    </cfRule>
    <cfRule type="expression" dxfId="8126" priority="43">
      <formula>AND(Z$9&gt;=14/24,Z$9&lt;20/24)</formula>
    </cfRule>
    <cfRule type="expression" dxfId="8125" priority="44">
      <formula>AND(Z$9&gt;=8/24,Z$9&lt;14/24)</formula>
    </cfRule>
    <cfRule type="expression" dxfId="8124" priority="45">
      <formula>Z$9&lt;8/24</formula>
    </cfRule>
  </conditionalFormatting>
  <conditionalFormatting sqref="Z50:AA50">
    <cfRule type="expression" dxfId="8123" priority="38">
      <formula>Z$9&gt;=20/24</formula>
    </cfRule>
    <cfRule type="expression" dxfId="8122" priority="39">
      <formula>AND(Z$9&gt;=14/24,Z$9&lt;20/24)</formula>
    </cfRule>
    <cfRule type="expression" dxfId="8121" priority="40">
      <formula>AND(Z$9&gt;=8/24,Z$9&lt;14/24)</formula>
    </cfRule>
    <cfRule type="expression" dxfId="8120" priority="41">
      <formula>Z$9&lt;8/24</formula>
    </cfRule>
  </conditionalFormatting>
  <conditionalFormatting sqref="Z60:AA67">
    <cfRule type="expression" dxfId="8119" priority="34">
      <formula>Z$9&gt;=20/24</formula>
    </cfRule>
    <cfRule type="expression" dxfId="8118" priority="35">
      <formula>AND(Z$9&gt;=14/24,Z$9&lt;20/24)</formula>
    </cfRule>
    <cfRule type="expression" dxfId="8117" priority="36">
      <formula>AND(Z$9&gt;=8/24,Z$9&lt;14/24)</formula>
    </cfRule>
    <cfRule type="expression" dxfId="8116" priority="37">
      <formula>Z$9&lt;8/24</formula>
    </cfRule>
  </conditionalFormatting>
  <conditionalFormatting sqref="Z39:Z56 AA39:AA50">
    <cfRule type="expression" dxfId="8115" priority="33">
      <formula>Z39&gt;$AG39</formula>
    </cfRule>
  </conditionalFormatting>
  <conditionalFormatting sqref="Z44:AA44">
    <cfRule type="expression" dxfId="8114" priority="29">
      <formula>Z$9&gt;=20/24</formula>
    </cfRule>
    <cfRule type="expression" dxfId="8113" priority="30">
      <formula>AND(Z$9&gt;=14/24,Z$9&lt;20/24)</formula>
    </cfRule>
    <cfRule type="expression" dxfId="8112" priority="31">
      <formula>AND(Z$9&gt;=8/24,Z$9&lt;14/24)</formula>
    </cfRule>
    <cfRule type="expression" dxfId="8111" priority="32">
      <formula>Z$9&lt;8/24</formula>
    </cfRule>
  </conditionalFormatting>
  <conditionalFormatting sqref="Z44:AA44">
    <cfRule type="expression" dxfId="8110" priority="25">
      <formula>Z$9&gt;=20/24</formula>
    </cfRule>
    <cfRule type="expression" dxfId="8109" priority="26">
      <formula>AND(Z$9&gt;=14/24,Z$9&lt;20/24)</formula>
    </cfRule>
    <cfRule type="expression" dxfId="8108" priority="27">
      <formula>AND(Z$9&gt;=8/24,Z$9&lt;14/24)</formula>
    </cfRule>
    <cfRule type="expression" dxfId="8107" priority="28">
      <formula>Z$9&lt;8/24</formula>
    </cfRule>
  </conditionalFormatting>
  <conditionalFormatting sqref="Z85:AA91">
    <cfRule type="expression" dxfId="8106" priority="21">
      <formula>Z$9&gt;=20/24</formula>
    </cfRule>
    <cfRule type="expression" dxfId="8105" priority="22">
      <formula>AND(Z$9&gt;=14/24,Z$9&lt;20/24)</formula>
    </cfRule>
    <cfRule type="expression" dxfId="8104" priority="23">
      <formula>AND(Z$9&gt;=8/24,Z$9&lt;14/24)</formula>
    </cfRule>
    <cfRule type="expression" dxfId="8103" priority="24">
      <formula>Z$9&lt;8/24</formula>
    </cfRule>
  </conditionalFormatting>
  <conditionalFormatting sqref="Z84:AA84">
    <cfRule type="expression" dxfId="8102" priority="17">
      <formula>Z$9&gt;=20/24</formula>
    </cfRule>
    <cfRule type="expression" dxfId="8101" priority="18">
      <formula>AND(Z$9&gt;=14/24,Z$9&lt;20/24)</formula>
    </cfRule>
    <cfRule type="expression" dxfId="8100" priority="19">
      <formula>AND(Z$9&gt;=8/24,Z$9&lt;14/24)</formula>
    </cfRule>
    <cfRule type="expression" dxfId="8099" priority="20">
      <formula>Z$9&lt;8/24</formula>
    </cfRule>
  </conditionalFormatting>
  <conditionalFormatting sqref="Z94:AA97">
    <cfRule type="expression" dxfId="8098" priority="13">
      <formula>Z$9&gt;=20/24</formula>
    </cfRule>
    <cfRule type="expression" dxfId="8097" priority="14">
      <formula>AND(Z$9&gt;=14/24,Z$9&lt;20/24)</formula>
    </cfRule>
    <cfRule type="expression" dxfId="8096" priority="15">
      <formula>AND(Z$9&gt;=8/24,Z$9&lt;14/24)</formula>
    </cfRule>
    <cfRule type="expression" dxfId="8095" priority="16">
      <formula>Z$9&lt;8/24</formula>
    </cfRule>
  </conditionalFormatting>
  <conditionalFormatting sqref="Z98:AA98">
    <cfRule type="expression" dxfId="8094" priority="9">
      <formula>Z$9&gt;=20/24</formula>
    </cfRule>
    <cfRule type="expression" dxfId="8093" priority="10">
      <formula>AND(Z$9&gt;=14/24,Z$9&lt;20/24)</formula>
    </cfRule>
    <cfRule type="expression" dxfId="8092" priority="11">
      <formula>AND(Z$9&gt;=8/24,Z$9&lt;14/24)</formula>
    </cfRule>
    <cfRule type="expression" dxfId="8091" priority="12">
      <formula>Z$9&lt;8/24</formula>
    </cfRule>
  </conditionalFormatting>
  <conditionalFormatting sqref="Z94:AA94">
    <cfRule type="expression" dxfId="8090" priority="5">
      <formula>Z$9&gt;=20/24</formula>
    </cfRule>
    <cfRule type="expression" dxfId="8089" priority="6">
      <formula>AND(Z$9&gt;=14/24,Z$9&lt;20/24)</formula>
    </cfRule>
    <cfRule type="expression" dxfId="8088" priority="7">
      <formula>AND(Z$9&gt;=8/24,Z$9&lt;14/24)</formula>
    </cfRule>
    <cfRule type="expression" dxfId="8087" priority="8">
      <formula>Z$9&lt;8/24</formula>
    </cfRule>
  </conditionalFormatting>
  <conditionalFormatting sqref="Z99:AA99">
    <cfRule type="expression" dxfId="8086" priority="1">
      <formula>Z$9&gt;=20/24</formula>
    </cfRule>
    <cfRule type="expression" dxfId="8085" priority="2">
      <formula>AND(Z$9&gt;=14/24,Z$9&lt;20/24)</formula>
    </cfRule>
    <cfRule type="expression" dxfId="8084" priority="3">
      <formula>AND(Z$9&gt;=8/24,Z$9&lt;14/24)</formula>
    </cfRule>
    <cfRule type="expression" dxfId="8083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8" id="{59542FEA-B182-4B7D-A276-07FC6FB818C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P60" sqref="P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4" width="6.85546875" customWidth="1"/>
    <col min="25" max="25" width="8.28515625" customWidth="1"/>
    <col min="26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2078/11/4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408.46</v>
      </c>
      <c r="C5" s="32">
        <f t="shared" si="0"/>
        <v>418.3</v>
      </c>
      <c r="D5" s="32">
        <f t="shared" si="0"/>
        <v>429.1</v>
      </c>
      <c r="E5" s="32">
        <f t="shared" si="0"/>
        <v>422</v>
      </c>
      <c r="F5" s="32">
        <f t="shared" si="0"/>
        <v>477.69</v>
      </c>
      <c r="G5" s="32">
        <f t="shared" si="0"/>
        <v>487.52000000000004</v>
      </c>
      <c r="H5" s="32">
        <f t="shared" si="0"/>
        <v>544.40000000000009</v>
      </c>
      <c r="I5" s="32">
        <f t="shared" si="0"/>
        <v>567</v>
      </c>
      <c r="J5" s="32">
        <f t="shared" si="0"/>
        <v>327.79999999999995</v>
      </c>
      <c r="K5" s="32">
        <f t="shared" si="0"/>
        <v>305.10000000000002</v>
      </c>
      <c r="L5" s="32">
        <f t="shared" si="0"/>
        <v>267</v>
      </c>
      <c r="M5" s="32">
        <f t="shared" si="0"/>
        <v>266.60000000000002</v>
      </c>
      <c r="N5" s="32">
        <f t="shared" si="0"/>
        <v>361.15</v>
      </c>
      <c r="O5" s="32">
        <f t="shared" si="0"/>
        <v>481.79999999999995</v>
      </c>
      <c r="P5" s="32">
        <f t="shared" si="0"/>
        <v>534.9</v>
      </c>
      <c r="Q5" s="32">
        <f t="shared" si="0"/>
        <v>595.54000000000008</v>
      </c>
      <c r="R5" s="32">
        <f t="shared" si="0"/>
        <v>580.59</v>
      </c>
      <c r="S5" s="32">
        <f t="shared" si="0"/>
        <v>608.59</v>
      </c>
      <c r="T5" s="32">
        <f t="shared" si="0"/>
        <v>596</v>
      </c>
      <c r="U5" s="32">
        <f t="shared" si="0"/>
        <v>408</v>
      </c>
      <c r="V5" s="32">
        <f t="shared" si="0"/>
        <v>408</v>
      </c>
      <c r="W5" s="32">
        <f t="shared" si="0"/>
        <v>338</v>
      </c>
      <c r="X5" s="32">
        <f t="shared" si="0"/>
        <v>270.3</v>
      </c>
      <c r="Y5" s="32">
        <f t="shared" si="0"/>
        <v>262.89999999999998</v>
      </c>
      <c r="Z5" s="32">
        <f t="shared" si="0"/>
        <v>284.2</v>
      </c>
      <c r="AA5" s="32">
        <f t="shared" si="0"/>
        <v>485.6</v>
      </c>
      <c r="AB5" s="32">
        <f t="shared" si="0"/>
        <v>506.3</v>
      </c>
      <c r="AC5" s="32">
        <f t="shared" si="0"/>
        <v>566.30000000000007</v>
      </c>
      <c r="AD5" s="32">
        <f t="shared" si="0"/>
        <v>440</v>
      </c>
      <c r="AE5" s="32">
        <f t="shared" si="0"/>
        <v>440</v>
      </c>
      <c r="AF5" s="32">
        <f>B68</f>
        <v>420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1509MW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Load=915</v>
      </c>
      <c r="B7" s="37">
        <f>B75</f>
        <v>950.83999999999992</v>
      </c>
      <c r="C7" s="37">
        <f t="shared" ref="C7:AF7" si="1">C75</f>
        <v>938.29999999999984</v>
      </c>
      <c r="D7" s="37">
        <f t="shared" si="1"/>
        <v>915.43999999999994</v>
      </c>
      <c r="E7" s="37">
        <f t="shared" si="1"/>
        <v>932.34</v>
      </c>
      <c r="F7" s="37">
        <f t="shared" si="1"/>
        <v>927.54</v>
      </c>
      <c r="G7" s="37">
        <f t="shared" si="1"/>
        <v>1008.53</v>
      </c>
      <c r="H7" s="37">
        <f t="shared" si="1"/>
        <v>1046.46</v>
      </c>
      <c r="I7" s="37">
        <f t="shared" si="1"/>
        <v>1129.54</v>
      </c>
      <c r="J7" s="37">
        <f t="shared" si="1"/>
        <v>1263.74</v>
      </c>
      <c r="K7" s="37">
        <f t="shared" si="1"/>
        <v>1404.94</v>
      </c>
      <c r="L7" s="37">
        <f t="shared" si="1"/>
        <v>1508.8400000000001</v>
      </c>
      <c r="M7" s="37">
        <f t="shared" si="1"/>
        <v>1501.2400000000002</v>
      </c>
      <c r="N7" s="37">
        <f t="shared" si="1"/>
        <v>1459.6399999999999</v>
      </c>
      <c r="O7" s="37">
        <f t="shared" si="1"/>
        <v>1372.79</v>
      </c>
      <c r="P7" s="37">
        <f t="shared" si="1"/>
        <v>1301.94</v>
      </c>
      <c r="Q7" s="37">
        <f t="shared" si="1"/>
        <v>1283.1400000000001</v>
      </c>
      <c r="R7" s="37">
        <f t="shared" si="1"/>
        <v>1235.18</v>
      </c>
      <c r="S7" s="37">
        <f t="shared" si="1"/>
        <v>1208.0300000000002</v>
      </c>
      <c r="T7" s="37">
        <f t="shared" si="1"/>
        <v>1222.33</v>
      </c>
      <c r="U7" s="37">
        <f t="shared" si="1"/>
        <v>1190.94</v>
      </c>
      <c r="V7" s="37">
        <f t="shared" si="1"/>
        <v>1269.6399999999999</v>
      </c>
      <c r="W7" s="37">
        <f t="shared" si="1"/>
        <v>1281.6399999999999</v>
      </c>
      <c r="X7" s="37">
        <f t="shared" si="1"/>
        <v>1292.1399999999999</v>
      </c>
      <c r="Y7" s="37">
        <f t="shared" si="1"/>
        <v>1553.4399999999998</v>
      </c>
      <c r="Z7" s="37">
        <f t="shared" si="1"/>
        <v>1549.1399999999999</v>
      </c>
      <c r="AA7" s="37">
        <f t="shared" si="1"/>
        <v>1502.94</v>
      </c>
      <c r="AB7" s="37">
        <f t="shared" si="1"/>
        <v>1399.3400000000001</v>
      </c>
      <c r="AC7" s="37">
        <f t="shared" si="1"/>
        <v>1343.8400000000001</v>
      </c>
      <c r="AD7" s="37">
        <f t="shared" si="1"/>
        <v>1300.6399999999999</v>
      </c>
      <c r="AE7" s="37">
        <f t="shared" si="1"/>
        <v>1089.1399999999999</v>
      </c>
      <c r="AF7" s="37">
        <f t="shared" si="1"/>
        <v>972.54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50</v>
      </c>
      <c r="K11" s="49">
        <v>280</v>
      </c>
      <c r="L11" s="49">
        <v>375</v>
      </c>
      <c r="M11" s="50">
        <v>375</v>
      </c>
      <c r="N11" s="50">
        <v>325</v>
      </c>
      <c r="O11" s="50">
        <v>150</v>
      </c>
      <c r="P11" s="50">
        <v>12</v>
      </c>
      <c r="Q11" s="50">
        <v>12</v>
      </c>
      <c r="R11" s="51">
        <v>12</v>
      </c>
      <c r="S11" s="51">
        <v>12</v>
      </c>
      <c r="T11" s="51">
        <v>12</v>
      </c>
      <c r="U11" s="51">
        <v>12</v>
      </c>
      <c r="V11" s="50">
        <v>160</v>
      </c>
      <c r="W11" s="50">
        <v>156</v>
      </c>
      <c r="X11" s="50">
        <v>200</v>
      </c>
      <c r="Y11" s="50">
        <v>430</v>
      </c>
      <c r="Z11" s="50">
        <v>420</v>
      </c>
      <c r="AA11" s="50">
        <v>350</v>
      </c>
      <c r="AB11" s="50">
        <v>45</v>
      </c>
      <c r="AC11" s="50">
        <v>45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430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33</v>
      </c>
      <c r="C12" s="49">
        <v>33</v>
      </c>
      <c r="D12" s="49">
        <v>33</v>
      </c>
      <c r="E12" s="49">
        <v>33</v>
      </c>
      <c r="F12" s="49">
        <v>33</v>
      </c>
      <c r="G12" s="49">
        <v>33</v>
      </c>
      <c r="H12" s="49">
        <v>33</v>
      </c>
      <c r="I12" s="49">
        <v>33</v>
      </c>
      <c r="J12" s="49">
        <v>33</v>
      </c>
      <c r="K12" s="49">
        <v>33</v>
      </c>
      <c r="L12" s="49">
        <v>33</v>
      </c>
      <c r="M12" s="49">
        <v>33</v>
      </c>
      <c r="N12" s="49">
        <v>33</v>
      </c>
      <c r="O12" s="49">
        <v>33</v>
      </c>
      <c r="P12" s="49">
        <v>33</v>
      </c>
      <c r="Q12" s="49">
        <v>33</v>
      </c>
      <c r="R12" s="49">
        <v>33</v>
      </c>
      <c r="S12" s="49">
        <v>33</v>
      </c>
      <c r="T12" s="49">
        <v>33</v>
      </c>
      <c r="U12" s="49">
        <v>33</v>
      </c>
      <c r="V12" s="49">
        <v>33</v>
      </c>
      <c r="W12" s="49">
        <v>33</v>
      </c>
      <c r="X12" s="49">
        <v>33</v>
      </c>
      <c r="Y12" s="49">
        <v>33</v>
      </c>
      <c r="Z12" s="49">
        <v>33</v>
      </c>
      <c r="AA12" s="49">
        <v>33</v>
      </c>
      <c r="AB12" s="50">
        <v>33</v>
      </c>
      <c r="AC12" s="50">
        <v>33</v>
      </c>
      <c r="AD12" s="50">
        <v>33</v>
      </c>
      <c r="AE12" s="50">
        <v>33</v>
      </c>
      <c r="AF12" s="50">
        <v>33</v>
      </c>
      <c r="AG12" s="59">
        <v>60</v>
      </c>
      <c r="AH12" s="54">
        <f t="shared" ref="AH12:AH75" si="2">MAX(B12:AF12)</f>
        <v>33</v>
      </c>
      <c r="AI12" s="55">
        <f t="shared" ref="AI12:AI75" si="3">MIN(B12:AF12)</f>
        <v>33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18.600000000000001</v>
      </c>
      <c r="C13" s="49">
        <v>18.600000000000001</v>
      </c>
      <c r="D13" s="49">
        <v>18.600000000000001</v>
      </c>
      <c r="E13" s="49">
        <v>18.7</v>
      </c>
      <c r="F13" s="49">
        <v>18.7</v>
      </c>
      <c r="G13" s="49">
        <v>18.7</v>
      </c>
      <c r="H13" s="49">
        <v>18.600000000000001</v>
      </c>
      <c r="I13" s="49">
        <v>18.600000000000001</v>
      </c>
      <c r="J13" s="49">
        <v>18.600000000000001</v>
      </c>
      <c r="K13" s="49">
        <v>18.600000000000001</v>
      </c>
      <c r="L13" s="49">
        <v>18.600000000000001</v>
      </c>
      <c r="M13" s="49">
        <v>18.600000000000001</v>
      </c>
      <c r="N13" s="49">
        <v>18.600000000000001</v>
      </c>
      <c r="O13" s="49">
        <v>19.2</v>
      </c>
      <c r="P13" s="49">
        <v>19.2</v>
      </c>
      <c r="Q13" s="49">
        <v>19.2</v>
      </c>
      <c r="R13" s="49">
        <v>19.2</v>
      </c>
      <c r="S13" s="49">
        <v>17.5</v>
      </c>
      <c r="T13" s="49">
        <v>17.5</v>
      </c>
      <c r="U13" s="49">
        <v>17.5</v>
      </c>
      <c r="V13" s="49">
        <v>17.5</v>
      </c>
      <c r="W13" s="49">
        <v>17.5</v>
      </c>
      <c r="X13" s="49">
        <v>17.5</v>
      </c>
      <c r="Y13" s="49">
        <v>18.7</v>
      </c>
      <c r="Z13" s="49">
        <v>18.7</v>
      </c>
      <c r="AA13" s="49">
        <v>19.399999999999999</v>
      </c>
      <c r="AB13" s="50">
        <v>19.399999999999999</v>
      </c>
      <c r="AC13" s="50">
        <v>19.399999999999999</v>
      </c>
      <c r="AD13" s="50">
        <v>17.7</v>
      </c>
      <c r="AE13" s="50">
        <v>17.7</v>
      </c>
      <c r="AF13" s="50">
        <v>17.7</v>
      </c>
      <c r="AG13" s="59">
        <v>52.4</v>
      </c>
      <c r="AH13" s="54">
        <f t="shared" si="2"/>
        <v>19.399999999999999</v>
      </c>
      <c r="AI13" s="55">
        <f t="shared" si="3"/>
        <v>17.5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34.9</v>
      </c>
      <c r="C14" s="49">
        <v>34.9</v>
      </c>
      <c r="D14" s="49">
        <v>34.9</v>
      </c>
      <c r="E14" s="49">
        <v>34.6</v>
      </c>
      <c r="F14" s="49">
        <v>34.6</v>
      </c>
      <c r="G14" s="49">
        <v>34.6</v>
      </c>
      <c r="H14" s="49">
        <v>34.6</v>
      </c>
      <c r="I14" s="49">
        <v>34.6</v>
      </c>
      <c r="J14" s="49">
        <v>34.6</v>
      </c>
      <c r="K14" s="49">
        <v>34.6</v>
      </c>
      <c r="L14" s="49">
        <v>34.6</v>
      </c>
      <c r="M14" s="50">
        <v>34.6</v>
      </c>
      <c r="N14" s="50">
        <v>34.6</v>
      </c>
      <c r="O14" s="50">
        <v>35</v>
      </c>
      <c r="P14" s="50">
        <v>35</v>
      </c>
      <c r="Q14" s="50">
        <v>35</v>
      </c>
      <c r="R14" s="50">
        <v>35</v>
      </c>
      <c r="S14" s="50">
        <v>35.4</v>
      </c>
      <c r="T14" s="50">
        <v>35.4</v>
      </c>
      <c r="U14" s="50">
        <v>35.4</v>
      </c>
      <c r="V14" s="50">
        <v>35.4</v>
      </c>
      <c r="W14" s="50">
        <v>35.4</v>
      </c>
      <c r="X14" s="50">
        <v>35.4</v>
      </c>
      <c r="Y14" s="50">
        <v>34.700000000000003</v>
      </c>
      <c r="Z14" s="50">
        <v>34.700000000000003</v>
      </c>
      <c r="AA14" s="50">
        <v>34.9</v>
      </c>
      <c r="AB14" s="50">
        <v>34.700000000000003</v>
      </c>
      <c r="AC14" s="50">
        <v>34.700000000000003</v>
      </c>
      <c r="AD14" s="50">
        <v>34.700000000000003</v>
      </c>
      <c r="AE14" s="50">
        <v>34.700000000000003</v>
      </c>
      <c r="AF14" s="50">
        <v>34.700000000000003</v>
      </c>
      <c r="AG14" s="59">
        <v>50</v>
      </c>
      <c r="AH14" s="54">
        <f t="shared" si="2"/>
        <v>35.4</v>
      </c>
      <c r="AI14" s="55">
        <f t="shared" si="3"/>
        <v>34.6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21.1</v>
      </c>
      <c r="C15" s="61">
        <v>21.1</v>
      </c>
      <c r="D15" s="61">
        <v>21.1</v>
      </c>
      <c r="E15" s="61">
        <v>21.1</v>
      </c>
      <c r="F15" s="61">
        <v>21.1</v>
      </c>
      <c r="G15" s="61">
        <v>21.1</v>
      </c>
      <c r="H15" s="61">
        <v>20.8</v>
      </c>
      <c r="I15" s="61">
        <v>20.8</v>
      </c>
      <c r="J15" s="61">
        <v>20.8</v>
      </c>
      <c r="K15" s="61">
        <v>20.8</v>
      </c>
      <c r="L15" s="61">
        <v>20.8</v>
      </c>
      <c r="M15" s="50">
        <v>20.8</v>
      </c>
      <c r="N15" s="50">
        <v>20.8</v>
      </c>
      <c r="O15" s="50">
        <v>20</v>
      </c>
      <c r="P15" s="50">
        <v>20</v>
      </c>
      <c r="Q15" s="50">
        <v>20</v>
      </c>
      <c r="R15" s="50">
        <v>20</v>
      </c>
      <c r="S15" s="50">
        <v>20.100000000000001</v>
      </c>
      <c r="T15" s="50">
        <v>20.100000000000001</v>
      </c>
      <c r="U15" s="50">
        <v>20.100000000000001</v>
      </c>
      <c r="V15" s="50">
        <v>20.100000000000001</v>
      </c>
      <c r="W15" s="50">
        <v>20.100000000000001</v>
      </c>
      <c r="X15" s="50">
        <v>20.100000000000001</v>
      </c>
      <c r="Y15" s="50">
        <v>21.3</v>
      </c>
      <c r="Z15" s="50">
        <v>21.3</v>
      </c>
      <c r="AA15" s="50">
        <v>21.3</v>
      </c>
      <c r="AB15" s="50">
        <v>21.4</v>
      </c>
      <c r="AC15" s="50">
        <v>21.4</v>
      </c>
      <c r="AD15" s="50">
        <v>21.4</v>
      </c>
      <c r="AE15" s="50">
        <v>21.4</v>
      </c>
      <c r="AF15" s="50">
        <v>21.4</v>
      </c>
      <c r="AG15" s="62">
        <v>45</v>
      </c>
      <c r="AH15" s="54">
        <f t="shared" si="2"/>
        <v>21.4</v>
      </c>
      <c r="AI15" s="55">
        <f t="shared" si="3"/>
        <v>20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9</v>
      </c>
      <c r="C17" s="49">
        <v>9</v>
      </c>
      <c r="D17" s="49">
        <v>9</v>
      </c>
      <c r="E17" s="49">
        <v>9</v>
      </c>
      <c r="F17" s="49">
        <v>9</v>
      </c>
      <c r="G17" s="49">
        <v>9</v>
      </c>
      <c r="H17" s="49">
        <v>9</v>
      </c>
      <c r="I17" s="49">
        <v>9</v>
      </c>
      <c r="J17" s="49">
        <v>9</v>
      </c>
      <c r="K17" s="49">
        <v>9</v>
      </c>
      <c r="L17" s="49">
        <v>9</v>
      </c>
      <c r="M17" s="50">
        <v>9</v>
      </c>
      <c r="N17" s="50">
        <v>9</v>
      </c>
      <c r="O17" s="50">
        <v>9</v>
      </c>
      <c r="P17" s="50">
        <v>9</v>
      </c>
      <c r="Q17" s="50">
        <v>9</v>
      </c>
      <c r="R17" s="50">
        <v>9</v>
      </c>
      <c r="S17" s="50">
        <v>9</v>
      </c>
      <c r="T17" s="50">
        <v>9</v>
      </c>
      <c r="U17" s="50">
        <v>9</v>
      </c>
      <c r="V17" s="50">
        <v>9</v>
      </c>
      <c r="W17" s="50">
        <v>9</v>
      </c>
      <c r="X17" s="50">
        <v>9</v>
      </c>
      <c r="Y17" s="50">
        <v>7.5</v>
      </c>
      <c r="Z17" s="50">
        <v>7.5</v>
      </c>
      <c r="AA17" s="50">
        <v>7.5</v>
      </c>
      <c r="AB17" s="50">
        <v>7.5</v>
      </c>
      <c r="AC17" s="50">
        <v>7.5</v>
      </c>
      <c r="AD17" s="50">
        <v>7.5</v>
      </c>
      <c r="AE17" s="50">
        <v>7.5</v>
      </c>
      <c r="AF17" s="50">
        <v>7.5</v>
      </c>
      <c r="AG17" s="59">
        <v>42</v>
      </c>
      <c r="AH17" s="54">
        <f t="shared" si="2"/>
        <v>9</v>
      </c>
      <c r="AI17" s="55">
        <f t="shared" si="3"/>
        <v>7.5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9.6999999999999993</v>
      </c>
      <c r="C19" s="49">
        <v>9.6999999999999993</v>
      </c>
      <c r="D19" s="49">
        <v>9.6999999999999993</v>
      </c>
      <c r="E19" s="49">
        <v>9.6</v>
      </c>
      <c r="F19" s="49">
        <v>9.6</v>
      </c>
      <c r="G19" s="49">
        <v>9.6</v>
      </c>
      <c r="H19" s="49">
        <v>9.4</v>
      </c>
      <c r="I19" s="49">
        <v>9.4</v>
      </c>
      <c r="J19" s="49">
        <v>9.4</v>
      </c>
      <c r="K19" s="49">
        <v>9.4</v>
      </c>
      <c r="L19" s="49">
        <v>9.4</v>
      </c>
      <c r="M19" s="50">
        <v>9.4</v>
      </c>
      <c r="N19" s="50">
        <v>9.4</v>
      </c>
      <c r="O19" s="50">
        <v>9.4</v>
      </c>
      <c r="P19" s="50">
        <v>9.4</v>
      </c>
      <c r="Q19" s="50">
        <v>9.4</v>
      </c>
      <c r="R19" s="50">
        <v>9.4</v>
      </c>
      <c r="S19" s="50">
        <v>9.3000000000000007</v>
      </c>
      <c r="T19" s="50">
        <v>9.3000000000000007</v>
      </c>
      <c r="U19" s="50">
        <v>9.3000000000000007</v>
      </c>
      <c r="V19" s="50">
        <v>9.3000000000000007</v>
      </c>
      <c r="W19" s="50">
        <v>9.3000000000000007</v>
      </c>
      <c r="X19" s="50">
        <v>9.3000000000000007</v>
      </c>
      <c r="Y19" s="50">
        <v>9.1999999999999993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9">
        <v>30</v>
      </c>
      <c r="AH19" s="54">
        <f t="shared" si="2"/>
        <v>9.6999999999999993</v>
      </c>
      <c r="AI19" s="55">
        <f t="shared" si="3"/>
        <v>9.1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8.5</v>
      </c>
      <c r="C21" s="49">
        <v>8.5</v>
      </c>
      <c r="D21" s="49">
        <v>8.5</v>
      </c>
      <c r="E21" s="49">
        <v>8.5</v>
      </c>
      <c r="F21" s="49">
        <v>8.5</v>
      </c>
      <c r="G21" s="49">
        <v>8.5</v>
      </c>
      <c r="H21" s="49">
        <v>8.5</v>
      </c>
      <c r="I21" s="49">
        <v>8.5</v>
      </c>
      <c r="J21" s="49">
        <v>8.5</v>
      </c>
      <c r="K21" s="49">
        <v>8.5</v>
      </c>
      <c r="L21" s="49">
        <v>8.5</v>
      </c>
      <c r="M21" s="50">
        <v>8.5</v>
      </c>
      <c r="N21" s="50">
        <v>8.5</v>
      </c>
      <c r="O21" s="50">
        <v>8.5</v>
      </c>
      <c r="P21" s="50">
        <v>8.5</v>
      </c>
      <c r="Q21" s="50">
        <v>8.5</v>
      </c>
      <c r="R21" s="50">
        <v>8.5</v>
      </c>
      <c r="S21" s="50">
        <v>8.5</v>
      </c>
      <c r="T21" s="50">
        <v>8.5</v>
      </c>
      <c r="U21" s="50">
        <v>8.5</v>
      </c>
      <c r="V21" s="50">
        <v>8.5</v>
      </c>
      <c r="W21" s="50">
        <v>8.5</v>
      </c>
      <c r="X21" s="50">
        <v>8.5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8.5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11.3</v>
      </c>
      <c r="C22" s="49">
        <v>11.3</v>
      </c>
      <c r="D22" s="49">
        <v>11.3</v>
      </c>
      <c r="E22" s="49">
        <v>11.6</v>
      </c>
      <c r="F22" s="49">
        <v>11.6</v>
      </c>
      <c r="G22" s="49">
        <v>11.6</v>
      </c>
      <c r="H22" s="49">
        <v>11.6</v>
      </c>
      <c r="I22" s="49">
        <v>11.6</v>
      </c>
      <c r="J22" s="49">
        <v>11.6</v>
      </c>
      <c r="K22" s="49">
        <v>11.6</v>
      </c>
      <c r="L22" s="49">
        <v>11.6</v>
      </c>
      <c r="M22" s="50">
        <v>11.6</v>
      </c>
      <c r="N22" s="50">
        <v>10.4</v>
      </c>
      <c r="O22" s="50">
        <v>10.4</v>
      </c>
      <c r="P22" s="50">
        <v>10.4</v>
      </c>
      <c r="Q22" s="50">
        <v>10.4</v>
      </c>
      <c r="R22" s="50">
        <v>8</v>
      </c>
      <c r="S22" s="50">
        <v>8</v>
      </c>
      <c r="T22" s="50">
        <v>8</v>
      </c>
      <c r="U22" s="50">
        <v>8</v>
      </c>
      <c r="V22" s="50">
        <v>8</v>
      </c>
      <c r="W22" s="50">
        <v>8</v>
      </c>
      <c r="X22" s="50">
        <v>8</v>
      </c>
      <c r="Y22" s="50">
        <v>16.399999999999999</v>
      </c>
      <c r="Z22" s="50">
        <v>16</v>
      </c>
      <c r="AA22" s="50">
        <v>16</v>
      </c>
      <c r="AB22" s="50">
        <v>16</v>
      </c>
      <c r="AC22" s="50">
        <v>16</v>
      </c>
      <c r="AD22" s="50">
        <v>16</v>
      </c>
      <c r="AE22" s="50">
        <v>16</v>
      </c>
      <c r="AF22" s="50">
        <v>16</v>
      </c>
      <c r="AG22" s="59">
        <v>25</v>
      </c>
      <c r="AH22" s="54">
        <f t="shared" si="2"/>
        <v>16.399999999999999</v>
      </c>
      <c r="AI22" s="55">
        <f t="shared" si="3"/>
        <v>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8</v>
      </c>
      <c r="C23" s="49">
        <v>8</v>
      </c>
      <c r="D23" s="49">
        <v>8</v>
      </c>
      <c r="E23" s="49">
        <v>8</v>
      </c>
      <c r="F23" s="49">
        <v>8</v>
      </c>
      <c r="G23" s="49">
        <v>8</v>
      </c>
      <c r="H23" s="49">
        <v>8</v>
      </c>
      <c r="I23" s="49">
        <v>8</v>
      </c>
      <c r="J23" s="49">
        <v>8</v>
      </c>
      <c r="K23" s="49">
        <v>8</v>
      </c>
      <c r="L23" s="49">
        <v>8</v>
      </c>
      <c r="M23" s="50">
        <v>8</v>
      </c>
      <c r="N23" s="50">
        <v>8</v>
      </c>
      <c r="O23" s="50">
        <v>8</v>
      </c>
      <c r="P23" s="50">
        <v>8</v>
      </c>
      <c r="Q23" s="50">
        <v>8</v>
      </c>
      <c r="R23" s="50">
        <v>8</v>
      </c>
      <c r="S23" s="50">
        <v>8</v>
      </c>
      <c r="T23" s="50">
        <v>8</v>
      </c>
      <c r="U23" s="50">
        <v>8</v>
      </c>
      <c r="V23" s="50">
        <v>8</v>
      </c>
      <c r="W23" s="50">
        <v>8</v>
      </c>
      <c r="X23" s="50">
        <v>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10</v>
      </c>
      <c r="C24" s="49">
        <v>10</v>
      </c>
      <c r="D24" s="49">
        <v>10</v>
      </c>
      <c r="E24" s="49">
        <v>10</v>
      </c>
      <c r="F24" s="49">
        <v>11.9</v>
      </c>
      <c r="G24" s="49">
        <v>11.9</v>
      </c>
      <c r="H24" s="49">
        <v>11.9</v>
      </c>
      <c r="I24" s="49">
        <v>11.9</v>
      </c>
      <c r="J24" s="49">
        <v>11.4</v>
      </c>
      <c r="K24" s="49">
        <v>11.4</v>
      </c>
      <c r="L24" s="49">
        <v>11.4</v>
      </c>
      <c r="M24" s="50">
        <v>11.4</v>
      </c>
      <c r="N24" s="50">
        <v>11.4</v>
      </c>
      <c r="O24" s="50">
        <v>11.4</v>
      </c>
      <c r="P24" s="50">
        <v>11.4</v>
      </c>
      <c r="Q24" s="50">
        <v>11.4</v>
      </c>
      <c r="R24" s="50">
        <v>11.4</v>
      </c>
      <c r="S24" s="50">
        <v>9.6</v>
      </c>
      <c r="T24" s="50">
        <v>9.6</v>
      </c>
      <c r="U24" s="50">
        <v>9.6</v>
      </c>
      <c r="V24" s="50">
        <v>9.6</v>
      </c>
      <c r="W24" s="50">
        <v>9.6</v>
      </c>
      <c r="X24" s="50">
        <v>9.6</v>
      </c>
      <c r="Y24" s="50">
        <v>10.5</v>
      </c>
      <c r="Z24" s="50">
        <v>10.5</v>
      </c>
      <c r="AA24" s="50">
        <v>10.5</v>
      </c>
      <c r="AB24" s="50">
        <v>12.5</v>
      </c>
      <c r="AC24" s="50">
        <v>12.5</v>
      </c>
      <c r="AD24" s="50">
        <v>12.5</v>
      </c>
      <c r="AE24" s="50">
        <v>12.5</v>
      </c>
      <c r="AF24" s="50">
        <v>12.5</v>
      </c>
      <c r="AG24" s="59">
        <v>25</v>
      </c>
      <c r="AH24" s="54">
        <f t="shared" si="2"/>
        <v>12.5</v>
      </c>
      <c r="AI24" s="55">
        <f t="shared" si="3"/>
        <v>9.6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8</v>
      </c>
      <c r="C25" s="49">
        <v>8</v>
      </c>
      <c r="D25" s="49">
        <v>8</v>
      </c>
      <c r="E25" s="49">
        <v>8</v>
      </c>
      <c r="F25" s="49">
        <v>8</v>
      </c>
      <c r="G25" s="49">
        <v>8</v>
      </c>
      <c r="H25" s="49">
        <v>8</v>
      </c>
      <c r="I25" s="49">
        <v>8</v>
      </c>
      <c r="J25" s="49">
        <v>8</v>
      </c>
      <c r="K25" s="49">
        <v>8</v>
      </c>
      <c r="L25" s="49">
        <v>8</v>
      </c>
      <c r="M25" s="50">
        <v>8</v>
      </c>
      <c r="N25" s="50">
        <v>8</v>
      </c>
      <c r="O25" s="50">
        <v>8</v>
      </c>
      <c r="P25" s="50">
        <v>8</v>
      </c>
      <c r="Q25" s="50">
        <v>8</v>
      </c>
      <c r="R25" s="50">
        <v>8</v>
      </c>
      <c r="S25" s="50">
        <v>8</v>
      </c>
      <c r="T25" s="50">
        <v>8</v>
      </c>
      <c r="U25" s="50">
        <v>8</v>
      </c>
      <c r="V25" s="50">
        <v>8</v>
      </c>
      <c r="W25" s="50">
        <v>8</v>
      </c>
      <c r="X25" s="50">
        <v>8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8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4.5</v>
      </c>
      <c r="C27" s="49">
        <v>4.5</v>
      </c>
      <c r="D27" s="49">
        <v>4.5</v>
      </c>
      <c r="E27" s="49">
        <v>4.5</v>
      </c>
      <c r="F27" s="49">
        <v>4.5</v>
      </c>
      <c r="G27" s="49">
        <v>4.5</v>
      </c>
      <c r="H27" s="49">
        <v>4.5</v>
      </c>
      <c r="I27" s="49">
        <v>4.5</v>
      </c>
      <c r="J27" s="49">
        <v>4.5</v>
      </c>
      <c r="K27" s="49">
        <v>4.5</v>
      </c>
      <c r="L27" s="49">
        <v>4.5</v>
      </c>
      <c r="M27" s="50">
        <v>4.5</v>
      </c>
      <c r="N27" s="50">
        <v>4.5</v>
      </c>
      <c r="O27" s="50">
        <v>4.5</v>
      </c>
      <c r="P27" s="50">
        <v>4.5</v>
      </c>
      <c r="Q27" s="50">
        <v>4.5</v>
      </c>
      <c r="R27" s="50">
        <v>4.5</v>
      </c>
      <c r="S27" s="50">
        <v>4.5</v>
      </c>
      <c r="T27" s="50">
        <v>4.5</v>
      </c>
      <c r="U27" s="50">
        <v>4.5</v>
      </c>
      <c r="V27" s="50">
        <v>4.5</v>
      </c>
      <c r="W27" s="50">
        <v>4.5</v>
      </c>
      <c r="X27" s="50">
        <v>4.5</v>
      </c>
      <c r="Y27" s="50">
        <v>2.5</v>
      </c>
      <c r="Z27" s="50">
        <v>2.5</v>
      </c>
      <c r="AA27" s="50">
        <v>2.5</v>
      </c>
      <c r="AB27" s="49">
        <v>2.5</v>
      </c>
      <c r="AC27" s="49">
        <v>2.5</v>
      </c>
      <c r="AD27" s="49">
        <v>2.5</v>
      </c>
      <c r="AE27" s="49">
        <v>2.5</v>
      </c>
      <c r="AF27" s="49">
        <v>2.5</v>
      </c>
      <c r="AG27" s="59">
        <v>23.5</v>
      </c>
      <c r="AH27" s="54">
        <f t="shared" si="2"/>
        <v>4.5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140</v>
      </c>
      <c r="C36" s="61">
        <v>140</v>
      </c>
      <c r="D36" s="61">
        <v>140</v>
      </c>
      <c r="E36" s="61">
        <v>140</v>
      </c>
      <c r="F36" s="61">
        <v>140</v>
      </c>
      <c r="G36" s="61">
        <v>140</v>
      </c>
      <c r="H36" s="61">
        <v>140</v>
      </c>
      <c r="I36" s="61">
        <v>140</v>
      </c>
      <c r="J36" s="61">
        <v>140</v>
      </c>
      <c r="K36" s="61">
        <v>140</v>
      </c>
      <c r="L36" s="61">
        <v>140</v>
      </c>
      <c r="M36" s="61">
        <v>140</v>
      </c>
      <c r="N36" s="61">
        <v>140</v>
      </c>
      <c r="O36" s="61">
        <v>140</v>
      </c>
      <c r="P36" s="61">
        <v>140</v>
      </c>
      <c r="Q36" s="61">
        <v>140</v>
      </c>
      <c r="R36" s="61">
        <v>140</v>
      </c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61">
        <f>14.9+28.8</f>
        <v>43.7</v>
      </c>
      <c r="C37" s="61">
        <f>14.6+28</f>
        <v>42.6</v>
      </c>
      <c r="D37" s="61">
        <f>14.8+28.3</f>
        <v>43.1</v>
      </c>
      <c r="E37" s="61">
        <f>14.8+28.3</f>
        <v>43.1</v>
      </c>
      <c r="F37" s="61">
        <f>14.8+28.1</f>
        <v>42.900000000000006</v>
      </c>
      <c r="G37" s="61">
        <f>14.4+27.9</f>
        <v>42.3</v>
      </c>
      <c r="H37" s="61">
        <f>14.3+27.6</f>
        <v>41.900000000000006</v>
      </c>
      <c r="I37" s="61">
        <f>14+27.3</f>
        <v>41.3</v>
      </c>
      <c r="J37" s="61">
        <f>13.9+27.2</f>
        <v>41.1</v>
      </c>
      <c r="K37" s="61">
        <f>13.8+27.2</f>
        <v>41</v>
      </c>
      <c r="L37" s="61">
        <f>13.9+27.6</f>
        <v>41.5</v>
      </c>
      <c r="M37" s="70">
        <f>13.7+27.5</f>
        <v>41.2</v>
      </c>
      <c r="N37" s="70">
        <f>13.9+27.7</f>
        <v>41.6</v>
      </c>
      <c r="O37" s="70">
        <v>42.2</v>
      </c>
      <c r="P37" s="70">
        <v>36.200000000000003</v>
      </c>
      <c r="Q37" s="70">
        <v>38</v>
      </c>
      <c r="R37" s="70">
        <v>43</v>
      </c>
      <c r="S37" s="70">
        <f>14.6+29.4</f>
        <v>44</v>
      </c>
      <c r="T37" s="70">
        <f t="shared" ref="T37:X37" si="4">14.6+29.4</f>
        <v>44</v>
      </c>
      <c r="U37" s="70">
        <f t="shared" si="4"/>
        <v>44</v>
      </c>
      <c r="V37" s="70">
        <f t="shared" si="4"/>
        <v>44</v>
      </c>
      <c r="W37" s="70">
        <f t="shared" si="4"/>
        <v>44</v>
      </c>
      <c r="X37" s="70">
        <f t="shared" si="4"/>
        <v>44</v>
      </c>
      <c r="Y37" s="70">
        <f>11.6+21.1</f>
        <v>32.700000000000003</v>
      </c>
      <c r="Z37" s="70">
        <f>11.5+20.3</f>
        <v>31.8</v>
      </c>
      <c r="AA37" s="70">
        <f>11.2+19.1</f>
        <v>30.3</v>
      </c>
      <c r="AB37" s="70">
        <f>19.2+11.4</f>
        <v>30.6</v>
      </c>
      <c r="AC37" s="70">
        <f>11.5+19.8</f>
        <v>31.3</v>
      </c>
      <c r="AD37" s="70">
        <f>11.5+19.8</f>
        <v>31.3</v>
      </c>
      <c r="AE37" s="70">
        <f>11.5+19.8</f>
        <v>31.3</v>
      </c>
      <c r="AF37" s="70">
        <f>11.5+19.8</f>
        <v>31.3</v>
      </c>
      <c r="AG37" s="67">
        <v>240</v>
      </c>
      <c r="AH37" s="54">
        <f t="shared" si="2"/>
        <v>44</v>
      </c>
      <c r="AI37" s="55">
        <f t="shared" si="3"/>
        <v>30.3</v>
      </c>
      <c r="AK37" s="56"/>
    </row>
    <row r="38" spans="1:88" ht="15.75" thickBot="1" x14ac:dyDescent="0.3">
      <c r="A38" s="71" t="s">
        <v>46</v>
      </c>
      <c r="B38" s="72">
        <f>SUM(B11:B36)</f>
        <v>385.19999999999993</v>
      </c>
      <c r="C38" s="72">
        <f t="shared" ref="C38:AF38" si="5">SUM(C11:C36)</f>
        <v>385.19999999999993</v>
      </c>
      <c r="D38" s="72">
        <f t="shared" si="5"/>
        <v>385.19999999999993</v>
      </c>
      <c r="E38" s="72">
        <f t="shared" si="5"/>
        <v>385.19999999999993</v>
      </c>
      <c r="F38" s="72">
        <f t="shared" si="5"/>
        <v>387.09999999999997</v>
      </c>
      <c r="G38" s="72">
        <f t="shared" si="5"/>
        <v>387.09999999999997</v>
      </c>
      <c r="H38" s="72">
        <f t="shared" si="5"/>
        <v>386.5</v>
      </c>
      <c r="I38" s="72">
        <f t="shared" si="5"/>
        <v>386.5</v>
      </c>
      <c r="J38" s="72">
        <f t="shared" si="5"/>
        <v>423.99999999999994</v>
      </c>
      <c r="K38" s="72">
        <f t="shared" si="5"/>
        <v>654</v>
      </c>
      <c r="L38" s="72">
        <f t="shared" si="5"/>
        <v>749.00000000000023</v>
      </c>
      <c r="M38" s="72">
        <f t="shared" si="5"/>
        <v>749.00000000000023</v>
      </c>
      <c r="N38" s="72">
        <f t="shared" si="5"/>
        <v>697.80000000000007</v>
      </c>
      <c r="O38" s="72">
        <f t="shared" si="5"/>
        <v>522.99999999999989</v>
      </c>
      <c r="P38" s="72">
        <f t="shared" si="5"/>
        <v>385</v>
      </c>
      <c r="Q38" s="72">
        <f t="shared" si="5"/>
        <v>385</v>
      </c>
      <c r="R38" s="72">
        <f t="shared" si="5"/>
        <v>382.59999999999997</v>
      </c>
      <c r="S38" s="72">
        <f t="shared" si="5"/>
        <v>379.5</v>
      </c>
      <c r="T38" s="72">
        <f t="shared" si="5"/>
        <v>379.5</v>
      </c>
      <c r="U38" s="72">
        <f t="shared" si="5"/>
        <v>379.5</v>
      </c>
      <c r="V38" s="72">
        <f t="shared" si="5"/>
        <v>527.5</v>
      </c>
      <c r="W38" s="72">
        <f t="shared" si="5"/>
        <v>523.5</v>
      </c>
      <c r="X38" s="72">
        <f t="shared" si="5"/>
        <v>567.5</v>
      </c>
      <c r="Y38" s="72">
        <f t="shared" ref="Y38" si="6">SUM(Y11:Y36)</f>
        <v>815.7</v>
      </c>
      <c r="Z38" s="72">
        <f t="shared" si="5"/>
        <v>805.2</v>
      </c>
      <c r="AA38" s="72">
        <f t="shared" si="5"/>
        <v>736.1</v>
      </c>
      <c r="AB38" s="72">
        <f t="shared" si="5"/>
        <v>433</v>
      </c>
      <c r="AC38" s="72">
        <f t="shared" si="5"/>
        <v>433</v>
      </c>
      <c r="AD38" s="72">
        <f t="shared" si="5"/>
        <v>398.29999999999995</v>
      </c>
      <c r="AE38" s="72">
        <f t="shared" si="5"/>
        <v>398.29999999999995</v>
      </c>
      <c r="AF38" s="72">
        <f t="shared" si="5"/>
        <v>398.29999999999995</v>
      </c>
      <c r="AG38" s="67">
        <f>SUM(AG11:AG37)</f>
        <v>1492.8299999999997</v>
      </c>
      <c r="AH38" s="54">
        <f t="shared" si="2"/>
        <v>815.7</v>
      </c>
      <c r="AI38" s="55">
        <f t="shared" si="3"/>
        <v>379.5</v>
      </c>
      <c r="AK38" s="56"/>
    </row>
    <row r="39" spans="1:88" x14ac:dyDescent="0.25">
      <c r="A39" s="57" t="s">
        <v>47</v>
      </c>
      <c r="B39" s="49">
        <v>30.3</v>
      </c>
      <c r="C39" s="61">
        <v>30.5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31</v>
      </c>
      <c r="J39" s="61">
        <v>66.7</v>
      </c>
      <c r="K39" s="61">
        <v>138.1</v>
      </c>
      <c r="L39" s="61">
        <v>142.69999999999999</v>
      </c>
      <c r="M39" s="50">
        <v>142.80000000000001</v>
      </c>
      <c r="N39" s="50">
        <v>142.80000000000001</v>
      </c>
      <c r="O39" s="50">
        <v>142.6</v>
      </c>
      <c r="P39" s="50">
        <v>110</v>
      </c>
      <c r="Q39" s="50">
        <v>91.4</v>
      </c>
      <c r="R39" s="50">
        <v>61.2</v>
      </c>
      <c r="S39" s="50">
        <v>60</v>
      </c>
      <c r="T39" s="50">
        <v>60</v>
      </c>
      <c r="U39" s="50">
        <v>60</v>
      </c>
      <c r="V39" s="50">
        <v>101</v>
      </c>
      <c r="W39" s="50">
        <v>101</v>
      </c>
      <c r="X39" s="50">
        <v>106</v>
      </c>
      <c r="Y39" s="50">
        <v>144.9</v>
      </c>
      <c r="Z39" s="50">
        <v>144.9</v>
      </c>
      <c r="AA39" s="50">
        <v>144.30000000000001</v>
      </c>
      <c r="AB39" s="50">
        <v>144.19999999999999</v>
      </c>
      <c r="AC39" s="50">
        <v>110</v>
      </c>
      <c r="AD39" s="50">
        <v>60</v>
      </c>
      <c r="AE39" s="50">
        <v>70</v>
      </c>
      <c r="AF39" s="50">
        <v>0</v>
      </c>
      <c r="AG39" s="62">
        <v>144</v>
      </c>
      <c r="AH39" s="54">
        <f t="shared" si="2"/>
        <v>144.9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27.2</v>
      </c>
      <c r="I40" s="61">
        <v>24.2</v>
      </c>
      <c r="J40" s="61">
        <v>50.3</v>
      </c>
      <c r="K40" s="61">
        <v>68.7</v>
      </c>
      <c r="L40" s="61">
        <v>71.5</v>
      </c>
      <c r="M40" s="73">
        <v>69.7</v>
      </c>
      <c r="N40" s="73">
        <v>68.3</v>
      </c>
      <c r="O40" s="73">
        <v>69.400000000000006</v>
      </c>
      <c r="P40" s="73">
        <v>69.599999999999994</v>
      </c>
      <c r="Q40" s="73">
        <v>43.5</v>
      </c>
      <c r="R40" s="73">
        <v>23.5</v>
      </c>
      <c r="S40" s="73">
        <v>23.5</v>
      </c>
      <c r="T40" s="73">
        <v>23.5</v>
      </c>
      <c r="U40" s="73">
        <v>23</v>
      </c>
      <c r="V40" s="73">
        <v>45</v>
      </c>
      <c r="W40" s="73">
        <v>45</v>
      </c>
      <c r="X40" s="73">
        <v>62</v>
      </c>
      <c r="Y40" s="73">
        <v>68.8</v>
      </c>
      <c r="Z40" s="73">
        <v>70.7</v>
      </c>
      <c r="AA40" s="73">
        <v>69.400000000000006</v>
      </c>
      <c r="AB40" s="73">
        <v>70.900000000000006</v>
      </c>
      <c r="AC40" s="73">
        <v>48.9</v>
      </c>
      <c r="AD40" s="73">
        <v>48.9</v>
      </c>
      <c r="AE40" s="73">
        <v>35.6</v>
      </c>
      <c r="AF40" s="73">
        <v>0</v>
      </c>
      <c r="AG40" s="67">
        <v>70</v>
      </c>
      <c r="AH40" s="54">
        <f t="shared" si="2"/>
        <v>71.5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16.8</v>
      </c>
      <c r="C41" s="61">
        <v>16.899999999999999</v>
      </c>
      <c r="D41" s="61">
        <v>17</v>
      </c>
      <c r="E41" s="61">
        <v>23.1</v>
      </c>
      <c r="F41" s="61">
        <v>23.5</v>
      </c>
      <c r="G41" s="61">
        <v>35</v>
      </c>
      <c r="H41" s="61">
        <v>36.5</v>
      </c>
      <c r="I41" s="61">
        <v>35.1</v>
      </c>
      <c r="J41" s="61">
        <v>34.4</v>
      </c>
      <c r="K41" s="61">
        <v>65.8</v>
      </c>
      <c r="L41" s="61">
        <v>66.099999999999994</v>
      </c>
      <c r="M41" s="73">
        <v>66.099999999999994</v>
      </c>
      <c r="N41" s="73">
        <v>65.900000000000006</v>
      </c>
      <c r="O41" s="73">
        <v>65.8</v>
      </c>
      <c r="P41" s="73">
        <v>55</v>
      </c>
      <c r="Q41" s="73">
        <v>34.200000000000003</v>
      </c>
      <c r="R41" s="73">
        <v>16.2</v>
      </c>
      <c r="S41" s="73">
        <v>16.2</v>
      </c>
      <c r="T41" s="73">
        <v>16.2</v>
      </c>
      <c r="U41" s="73">
        <v>22</v>
      </c>
      <c r="V41" s="73">
        <v>33</v>
      </c>
      <c r="W41" s="73">
        <v>33</v>
      </c>
      <c r="X41" s="73">
        <v>50</v>
      </c>
      <c r="Y41" s="73">
        <v>56.6</v>
      </c>
      <c r="Z41" s="73">
        <v>68.7</v>
      </c>
      <c r="AA41" s="73">
        <v>67.5</v>
      </c>
      <c r="AB41" s="73">
        <v>67</v>
      </c>
      <c r="AC41" s="73">
        <v>67.400000000000006</v>
      </c>
      <c r="AD41" s="73">
        <v>67.400000000000006</v>
      </c>
      <c r="AE41" s="73">
        <v>46.7</v>
      </c>
      <c r="AF41" s="73">
        <v>35.700000000000003</v>
      </c>
      <c r="AG41" s="67">
        <v>69</v>
      </c>
      <c r="AH41" s="54">
        <f t="shared" si="2"/>
        <v>68.7</v>
      </c>
      <c r="AI41" s="55">
        <f t="shared" si="3"/>
        <v>16.2</v>
      </c>
      <c r="AK41" s="56"/>
    </row>
    <row r="42" spans="1:88" x14ac:dyDescent="0.25">
      <c r="A42" s="66" t="s">
        <v>50</v>
      </c>
      <c r="B42" s="61">
        <v>50.4</v>
      </c>
      <c r="C42" s="61">
        <v>49.1</v>
      </c>
      <c r="D42" s="61">
        <v>46.8</v>
      </c>
      <c r="E42" s="61">
        <v>46.8</v>
      </c>
      <c r="F42" s="61">
        <v>46.8</v>
      </c>
      <c r="G42" s="61">
        <v>48.6</v>
      </c>
      <c r="H42" s="61">
        <v>48.6</v>
      </c>
      <c r="I42" s="61">
        <v>50.2</v>
      </c>
      <c r="J42" s="61">
        <v>50.2</v>
      </c>
      <c r="K42" s="61">
        <v>50.2</v>
      </c>
      <c r="L42" s="61">
        <v>49.9</v>
      </c>
      <c r="M42" s="73">
        <v>48.1</v>
      </c>
      <c r="N42" s="73">
        <v>46.4</v>
      </c>
      <c r="O42" s="73">
        <v>48.4</v>
      </c>
      <c r="P42" s="73">
        <v>48.4</v>
      </c>
      <c r="Q42" s="73">
        <v>46.4</v>
      </c>
      <c r="R42" s="73">
        <v>46.4</v>
      </c>
      <c r="S42" s="73">
        <v>46.4</v>
      </c>
      <c r="T42" s="73">
        <v>46.4</v>
      </c>
      <c r="U42" s="73">
        <v>46</v>
      </c>
      <c r="V42" s="73">
        <v>46</v>
      </c>
      <c r="W42" s="73">
        <v>46</v>
      </c>
      <c r="X42" s="73">
        <v>46</v>
      </c>
      <c r="Y42" s="73">
        <v>46.4</v>
      </c>
      <c r="Z42" s="73">
        <v>46.4</v>
      </c>
      <c r="AA42" s="73">
        <v>46.4</v>
      </c>
      <c r="AB42" s="73">
        <v>46.6</v>
      </c>
      <c r="AC42" s="73">
        <v>46.6</v>
      </c>
      <c r="AD42" s="73">
        <v>46.6</v>
      </c>
      <c r="AE42" s="73">
        <v>50.4</v>
      </c>
      <c r="AF42" s="73">
        <v>50.4</v>
      </c>
      <c r="AG42" s="67">
        <v>60</v>
      </c>
      <c r="AH42" s="54">
        <f t="shared" si="2"/>
        <v>50.4</v>
      </c>
      <c r="AI42" s="55">
        <f t="shared" si="3"/>
        <v>46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12</v>
      </c>
      <c r="H43" s="61">
        <v>12</v>
      </c>
      <c r="I43" s="61">
        <v>10</v>
      </c>
      <c r="J43" s="61">
        <v>23</v>
      </c>
      <c r="K43" s="61">
        <v>28</v>
      </c>
      <c r="L43" s="61">
        <v>28</v>
      </c>
      <c r="M43" s="50">
        <v>28</v>
      </c>
      <c r="N43" s="50">
        <v>23</v>
      </c>
      <c r="O43" s="50">
        <v>15</v>
      </c>
      <c r="P43" s="5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10</v>
      </c>
      <c r="X43" s="50">
        <v>10</v>
      </c>
      <c r="Y43" s="50">
        <v>30</v>
      </c>
      <c r="Z43" s="73">
        <v>30</v>
      </c>
      <c r="AA43" s="73">
        <v>23</v>
      </c>
      <c r="AB43" s="73">
        <v>23</v>
      </c>
      <c r="AC43" s="73">
        <v>23</v>
      </c>
      <c r="AD43" s="73">
        <v>23</v>
      </c>
      <c r="AE43" s="73">
        <v>0</v>
      </c>
      <c r="AF43" s="73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1"/>
    </row>
    <row r="49" spans="1:37" x14ac:dyDescent="0.25">
      <c r="A49" s="66" t="s">
        <v>57</v>
      </c>
      <c r="B49" s="61">
        <v>6.4</v>
      </c>
      <c r="C49" s="61">
        <v>6.4</v>
      </c>
      <c r="D49" s="61">
        <v>6.4</v>
      </c>
      <c r="E49" s="61">
        <v>6.4</v>
      </c>
      <c r="F49" s="61">
        <v>6.4</v>
      </c>
      <c r="G49" s="61">
        <v>6.4</v>
      </c>
      <c r="H49" s="61">
        <v>6.4</v>
      </c>
      <c r="I49" s="61">
        <v>6.4</v>
      </c>
      <c r="J49" s="61">
        <v>6.4</v>
      </c>
      <c r="K49" s="61">
        <v>6.4</v>
      </c>
      <c r="L49" s="61">
        <v>6.4</v>
      </c>
      <c r="M49" s="61">
        <v>6.4</v>
      </c>
      <c r="N49" s="50">
        <v>6.4</v>
      </c>
      <c r="O49" s="50">
        <v>6.4</v>
      </c>
      <c r="P49" s="50">
        <v>6.4</v>
      </c>
      <c r="Q49" s="50">
        <v>6.4</v>
      </c>
      <c r="R49" s="50">
        <v>6.4</v>
      </c>
      <c r="S49" s="50">
        <v>6.4</v>
      </c>
      <c r="T49" s="50">
        <v>6.4</v>
      </c>
      <c r="U49" s="50">
        <v>6.4</v>
      </c>
      <c r="V49" s="50">
        <v>6.4</v>
      </c>
      <c r="W49" s="50">
        <v>6.4</v>
      </c>
      <c r="X49" s="50">
        <v>6.4</v>
      </c>
      <c r="Y49" s="50">
        <v>6.4</v>
      </c>
      <c r="Z49" s="50">
        <v>6.4</v>
      </c>
      <c r="AA49" s="50">
        <v>6.4</v>
      </c>
      <c r="AB49" s="50">
        <v>6.4</v>
      </c>
      <c r="AC49" s="50">
        <v>6.4</v>
      </c>
      <c r="AD49" s="50">
        <v>6.4</v>
      </c>
      <c r="AE49" s="50">
        <v>6.4</v>
      </c>
      <c r="AF49" s="50">
        <v>6.4</v>
      </c>
      <c r="AG49" s="67">
        <v>10.050000000000001</v>
      </c>
      <c r="AH49" s="54">
        <f t="shared" si="2"/>
        <v>6.4</v>
      </c>
      <c r="AI49" s="55">
        <f t="shared" si="3"/>
        <v>6.4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61">
        <v>3.2</v>
      </c>
      <c r="N50" s="50">
        <v>3.2</v>
      </c>
      <c r="O50" s="50">
        <v>3.2</v>
      </c>
      <c r="P50" s="50">
        <v>3.2</v>
      </c>
      <c r="Q50" s="50">
        <v>3.2</v>
      </c>
      <c r="R50" s="50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145.63999999999999</v>
      </c>
      <c r="C52" s="72">
        <f t="shared" ref="C52:AF52" si="8">SUM(C39:C51)</f>
        <v>144.63999999999999</v>
      </c>
      <c r="D52" s="72">
        <f t="shared" si="8"/>
        <v>111.94000000000001</v>
      </c>
      <c r="E52" s="72">
        <f t="shared" si="8"/>
        <v>118.04000000000002</v>
      </c>
      <c r="F52" s="72">
        <f t="shared" si="8"/>
        <v>118.44000000000001</v>
      </c>
      <c r="G52" s="72">
        <f t="shared" si="8"/>
        <v>143.73999999999998</v>
      </c>
      <c r="H52" s="72">
        <f t="shared" si="8"/>
        <v>172.44</v>
      </c>
      <c r="I52" s="72">
        <f t="shared" si="8"/>
        <v>198.64</v>
      </c>
      <c r="J52" s="72">
        <f t="shared" si="8"/>
        <v>272.74</v>
      </c>
      <c r="K52" s="72">
        <f t="shared" si="8"/>
        <v>398.94</v>
      </c>
      <c r="L52" s="72">
        <f t="shared" si="8"/>
        <v>406.33999999999992</v>
      </c>
      <c r="M52" s="72">
        <f t="shared" si="8"/>
        <v>402.84000000000003</v>
      </c>
      <c r="N52" s="72">
        <f t="shared" si="8"/>
        <v>394.53999999999996</v>
      </c>
      <c r="O52" s="72">
        <f t="shared" si="8"/>
        <v>389.34</v>
      </c>
      <c r="P52" s="72">
        <f t="shared" si="8"/>
        <v>341.14</v>
      </c>
      <c r="Q52" s="72">
        <f t="shared" si="8"/>
        <v>263.64000000000004</v>
      </c>
      <c r="R52" s="72">
        <f t="shared" si="8"/>
        <v>195.44</v>
      </c>
      <c r="S52" s="72">
        <f t="shared" si="8"/>
        <v>194.23999999999998</v>
      </c>
      <c r="T52" s="72">
        <f t="shared" si="8"/>
        <v>194.23999999999998</v>
      </c>
      <c r="U52" s="72">
        <f t="shared" si="8"/>
        <v>199.14</v>
      </c>
      <c r="V52" s="72">
        <f t="shared" si="8"/>
        <v>283.14</v>
      </c>
      <c r="W52" s="72">
        <f t="shared" si="8"/>
        <v>283.14</v>
      </c>
      <c r="X52" s="72">
        <f t="shared" si="8"/>
        <v>322.14</v>
      </c>
      <c r="Y52" s="72">
        <f t="shared" ref="Y52" si="9">SUM(Y39:Y51)</f>
        <v>394.84</v>
      </c>
      <c r="Z52" s="72">
        <f t="shared" si="8"/>
        <v>408.84</v>
      </c>
      <c r="AA52" s="72">
        <f t="shared" si="8"/>
        <v>398.74</v>
      </c>
      <c r="AB52" s="72">
        <f t="shared" si="8"/>
        <v>399.84000000000003</v>
      </c>
      <c r="AC52" s="72">
        <f t="shared" si="8"/>
        <v>344.04</v>
      </c>
      <c r="AD52" s="72">
        <f t="shared" si="8"/>
        <v>294.03999999999996</v>
      </c>
      <c r="AE52" s="72">
        <f t="shared" si="8"/>
        <v>250.84</v>
      </c>
      <c r="AF52" s="72">
        <f t="shared" si="8"/>
        <v>134.23999999999998</v>
      </c>
      <c r="AG52" s="78">
        <f>SUM(AG39:AG51)</f>
        <v>489.91</v>
      </c>
      <c r="AH52" s="54">
        <f t="shared" si="2"/>
        <v>408.84</v>
      </c>
      <c r="AI52" s="55">
        <f t="shared" si="3"/>
        <v>111.94000000000001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14</v>
      </c>
      <c r="L53" s="61">
        <v>30</v>
      </c>
      <c r="M53" s="79">
        <v>50.2</v>
      </c>
      <c r="N53" s="79">
        <v>60</v>
      </c>
      <c r="O53" s="79">
        <v>60.3</v>
      </c>
      <c r="P53" s="79">
        <v>55</v>
      </c>
      <c r="Q53" s="50">
        <v>59.8</v>
      </c>
      <c r="R53" s="50">
        <v>39.4</v>
      </c>
      <c r="S53" s="50">
        <v>33</v>
      </c>
      <c r="T53" s="50">
        <v>25</v>
      </c>
      <c r="U53" s="50">
        <v>10</v>
      </c>
      <c r="V53" s="50">
        <v>30</v>
      </c>
      <c r="W53" s="50">
        <v>40</v>
      </c>
      <c r="X53" s="50">
        <v>40</v>
      </c>
      <c r="Y53" s="50">
        <v>44.1</v>
      </c>
      <c r="Z53" s="50">
        <v>44.5</v>
      </c>
      <c r="AA53" s="50">
        <v>50.2</v>
      </c>
      <c r="AB53" s="50">
        <v>50.2</v>
      </c>
      <c r="AC53" s="50">
        <v>39.200000000000003</v>
      </c>
      <c r="AD53" s="50">
        <v>29</v>
      </c>
      <c r="AE53" s="50">
        <v>0</v>
      </c>
      <c r="AF53" s="50">
        <v>0</v>
      </c>
      <c r="AG53" s="62">
        <v>60</v>
      </c>
      <c r="AH53" s="54">
        <f t="shared" si="2"/>
        <v>60.3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7.5</v>
      </c>
      <c r="L54" s="61">
        <v>13.5</v>
      </c>
      <c r="M54" s="79">
        <v>23.6</v>
      </c>
      <c r="N54" s="79">
        <v>29.8</v>
      </c>
      <c r="O54" s="79">
        <v>28.6</v>
      </c>
      <c r="P54" s="79">
        <v>28.6</v>
      </c>
      <c r="Q54" s="73">
        <v>29.2</v>
      </c>
      <c r="R54" s="73">
        <v>16.3</v>
      </c>
      <c r="S54" s="50">
        <v>15.2</v>
      </c>
      <c r="T54" s="50">
        <v>10</v>
      </c>
      <c r="U54" s="50">
        <v>4.5999999999999996</v>
      </c>
      <c r="V54" s="73">
        <v>15</v>
      </c>
      <c r="W54" s="73">
        <v>20</v>
      </c>
      <c r="X54" s="73">
        <v>18</v>
      </c>
      <c r="Y54" s="73">
        <v>20.9</v>
      </c>
      <c r="Z54" s="73">
        <v>20.3</v>
      </c>
      <c r="AA54" s="73">
        <v>24.7</v>
      </c>
      <c r="AB54" s="73">
        <v>22.5</v>
      </c>
      <c r="AC54" s="73">
        <v>15.6</v>
      </c>
      <c r="AD54" s="73">
        <v>8.1999999999999993</v>
      </c>
      <c r="AE54" s="73">
        <v>0</v>
      </c>
      <c r="AF54" s="73">
        <v>0</v>
      </c>
      <c r="AG54" s="67">
        <v>32</v>
      </c>
      <c r="AH54" s="54">
        <f t="shared" si="2"/>
        <v>29.8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2.7</v>
      </c>
      <c r="L55" s="74">
        <v>4.9000000000000004</v>
      </c>
      <c r="M55" s="81">
        <v>8.6</v>
      </c>
      <c r="N55" s="81">
        <v>10.9</v>
      </c>
      <c r="O55" s="81">
        <v>10.4</v>
      </c>
      <c r="P55" s="81">
        <v>10.4</v>
      </c>
      <c r="Q55" s="80">
        <v>10.6</v>
      </c>
      <c r="R55" s="80">
        <v>5.9</v>
      </c>
      <c r="S55" s="50">
        <v>5.5</v>
      </c>
      <c r="T55" s="50">
        <v>5</v>
      </c>
      <c r="U55" s="50">
        <v>1.7</v>
      </c>
      <c r="V55" s="80">
        <v>6</v>
      </c>
      <c r="W55" s="80">
        <v>7</v>
      </c>
      <c r="X55" s="80">
        <v>6.5</v>
      </c>
      <c r="Y55" s="80">
        <v>7.6</v>
      </c>
      <c r="Z55" s="80">
        <v>7.4</v>
      </c>
      <c r="AA55" s="80">
        <v>9</v>
      </c>
      <c r="AB55" s="80">
        <v>8.1999999999999993</v>
      </c>
      <c r="AC55" s="80">
        <v>5.7</v>
      </c>
      <c r="AD55" s="80">
        <v>4.8</v>
      </c>
      <c r="AE55" s="80">
        <v>0</v>
      </c>
      <c r="AF55" s="80">
        <v>0</v>
      </c>
      <c r="AG55" s="82">
        <v>14</v>
      </c>
      <c r="AH55" s="54">
        <f t="shared" si="2"/>
        <v>10.9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10">SUM(D53:D55)</f>
        <v>0</v>
      </c>
      <c r="E56" s="72">
        <f t="shared" si="10"/>
        <v>0</v>
      </c>
      <c r="F56" s="72">
        <f t="shared" si="10"/>
        <v>0</v>
      </c>
      <c r="G56" s="72">
        <f t="shared" si="10"/>
        <v>0</v>
      </c>
      <c r="H56" s="72">
        <f t="shared" si="10"/>
        <v>0</v>
      </c>
      <c r="I56" s="72">
        <f t="shared" si="10"/>
        <v>0</v>
      </c>
      <c r="J56" s="72">
        <f t="shared" si="10"/>
        <v>0</v>
      </c>
      <c r="K56" s="72">
        <f t="shared" si="10"/>
        <v>24.2</v>
      </c>
      <c r="L56" s="72">
        <f t="shared" si="10"/>
        <v>48.4</v>
      </c>
      <c r="M56" s="72">
        <f t="shared" si="10"/>
        <v>82.4</v>
      </c>
      <c r="N56" s="72">
        <f t="shared" si="10"/>
        <v>100.7</v>
      </c>
      <c r="O56" s="72">
        <f t="shared" si="10"/>
        <v>99.300000000000011</v>
      </c>
      <c r="P56" s="72">
        <f t="shared" si="10"/>
        <v>94</v>
      </c>
      <c r="Q56" s="72">
        <f t="shared" si="10"/>
        <v>99.6</v>
      </c>
      <c r="R56" s="72">
        <f t="shared" si="10"/>
        <v>61.6</v>
      </c>
      <c r="S56" s="72">
        <f t="shared" si="10"/>
        <v>53.7</v>
      </c>
      <c r="T56" s="72">
        <f t="shared" si="10"/>
        <v>40</v>
      </c>
      <c r="U56" s="72">
        <f t="shared" si="10"/>
        <v>16.3</v>
      </c>
      <c r="V56" s="72">
        <f t="shared" si="10"/>
        <v>51</v>
      </c>
      <c r="W56" s="72">
        <f t="shared" si="10"/>
        <v>67</v>
      </c>
      <c r="X56" s="72">
        <f t="shared" si="10"/>
        <v>64.5</v>
      </c>
      <c r="Y56" s="72">
        <f t="shared" ref="Y56" si="11">SUM(Y53:Y55)</f>
        <v>72.599999999999994</v>
      </c>
      <c r="Z56" s="72">
        <f t="shared" si="10"/>
        <v>72.2</v>
      </c>
      <c r="AA56" s="72">
        <f t="shared" si="10"/>
        <v>83.9</v>
      </c>
      <c r="AB56" s="72">
        <f t="shared" si="10"/>
        <v>80.900000000000006</v>
      </c>
      <c r="AC56" s="72">
        <f t="shared" si="10"/>
        <v>60.500000000000007</v>
      </c>
      <c r="AD56" s="72">
        <f t="shared" si="10"/>
        <v>42</v>
      </c>
      <c r="AE56" s="72">
        <f t="shared" si="10"/>
        <v>0</v>
      </c>
      <c r="AF56" s="72">
        <f t="shared" si="10"/>
        <v>0</v>
      </c>
      <c r="AG56" s="78">
        <f>SUM(AG53:AG55)</f>
        <v>106</v>
      </c>
      <c r="AH56" s="54">
        <f t="shared" si="2"/>
        <v>100.7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62</v>
      </c>
      <c r="C57" s="50">
        <v>73.459999999999994</v>
      </c>
      <c r="D57" s="50">
        <v>73</v>
      </c>
      <c r="E57" s="50">
        <v>73.099999999999994</v>
      </c>
      <c r="F57" s="50">
        <v>62</v>
      </c>
      <c r="G57" s="50">
        <v>68.69</v>
      </c>
      <c r="H57" s="50">
        <v>69.72</v>
      </c>
      <c r="I57" s="50">
        <v>70.099999999999994</v>
      </c>
      <c r="J57" s="50">
        <v>68.5</v>
      </c>
      <c r="K57" s="50">
        <v>68.099999999999994</v>
      </c>
      <c r="L57" s="50">
        <v>72.5</v>
      </c>
      <c r="M57" s="50">
        <v>73.8</v>
      </c>
      <c r="N57" s="50">
        <v>71.2</v>
      </c>
      <c r="O57" s="50">
        <v>73.150000000000006</v>
      </c>
      <c r="P57" s="50">
        <v>73.2</v>
      </c>
      <c r="Q57" s="50">
        <v>66.7</v>
      </c>
      <c r="R57" s="50">
        <v>72.540000000000006</v>
      </c>
      <c r="S57" s="50">
        <v>71.489999999999995</v>
      </c>
      <c r="T57" s="50">
        <v>71.489999999999995</v>
      </c>
      <c r="U57" s="50">
        <v>71</v>
      </c>
      <c r="V57" s="50">
        <v>67</v>
      </c>
      <c r="W57" s="50">
        <v>67</v>
      </c>
      <c r="X57" s="50">
        <v>71</v>
      </c>
      <c r="Y57" s="50">
        <v>71.3</v>
      </c>
      <c r="Z57" s="50">
        <v>69</v>
      </c>
      <c r="AA57" s="50">
        <v>70</v>
      </c>
      <c r="AB57" s="50">
        <v>70</v>
      </c>
      <c r="AC57" s="50">
        <v>70</v>
      </c>
      <c r="AD57" s="50">
        <v>64</v>
      </c>
      <c r="AE57" s="50">
        <v>68</v>
      </c>
      <c r="AF57" s="50">
        <v>68</v>
      </c>
      <c r="AG57" s="62"/>
      <c r="AH57" s="54">
        <f t="shared" si="2"/>
        <v>73.8</v>
      </c>
      <c r="AI57" s="55">
        <f t="shared" si="3"/>
        <v>62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101.4</v>
      </c>
      <c r="P58" s="50">
        <v>105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105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358</v>
      </c>
      <c r="C59" s="73">
        <v>335</v>
      </c>
      <c r="D59" s="73">
        <v>345.3</v>
      </c>
      <c r="E59" s="73">
        <v>356</v>
      </c>
      <c r="F59" s="73">
        <v>360</v>
      </c>
      <c r="G59" s="73">
        <v>360</v>
      </c>
      <c r="H59" s="50">
        <v>370</v>
      </c>
      <c r="I59" s="50">
        <v>375</v>
      </c>
      <c r="J59" s="50">
        <v>380</v>
      </c>
      <c r="K59" s="50">
        <v>122.1</v>
      </c>
      <c r="L59" s="50">
        <v>96.8</v>
      </c>
      <c r="M59" s="73">
        <v>70.2</v>
      </c>
      <c r="N59" s="73">
        <v>65.7</v>
      </c>
      <c r="O59" s="73">
        <v>53.5</v>
      </c>
      <c r="P59" s="73">
        <v>170.5</v>
      </c>
      <c r="Q59" s="73">
        <v>340.2</v>
      </c>
      <c r="R59" s="73">
        <v>390.9</v>
      </c>
      <c r="S59" s="73">
        <v>382</v>
      </c>
      <c r="T59" s="73">
        <v>410</v>
      </c>
      <c r="U59" s="73">
        <v>400</v>
      </c>
      <c r="V59" s="73">
        <v>203</v>
      </c>
      <c r="W59" s="73">
        <v>203</v>
      </c>
      <c r="X59" s="84">
        <v>144</v>
      </c>
      <c r="Y59" s="84">
        <v>58</v>
      </c>
      <c r="Z59" s="84">
        <v>53.9</v>
      </c>
      <c r="AA59" s="84">
        <v>75</v>
      </c>
      <c r="AB59" s="73">
        <v>290.60000000000002</v>
      </c>
      <c r="AC59" s="73">
        <v>309</v>
      </c>
      <c r="AD59" s="73">
        <v>375</v>
      </c>
      <c r="AE59" s="73">
        <v>372</v>
      </c>
      <c r="AF59" s="73">
        <v>372</v>
      </c>
      <c r="AG59" s="85"/>
      <c r="AH59" s="54">
        <f t="shared" si="2"/>
        <v>410</v>
      </c>
      <c r="AI59" s="55">
        <f t="shared" si="3"/>
        <v>53.5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49</v>
      </c>
      <c r="H60" s="58">
        <v>47.8</v>
      </c>
      <c r="I60" s="58">
        <v>38.299999999999997</v>
      </c>
      <c r="J60" s="58">
        <v>46.2</v>
      </c>
      <c r="K60" s="58">
        <v>58</v>
      </c>
      <c r="L60" s="58">
        <v>55.9</v>
      </c>
      <c r="M60" s="73">
        <v>43.3</v>
      </c>
      <c r="N60" s="73">
        <v>52.7</v>
      </c>
      <c r="O60" s="73">
        <v>59.4</v>
      </c>
      <c r="P60" s="73">
        <v>59.4</v>
      </c>
      <c r="Q60" s="73">
        <v>57.9</v>
      </c>
      <c r="R60" s="73">
        <v>58.5</v>
      </c>
      <c r="S60" s="73">
        <v>55.6</v>
      </c>
      <c r="T60" s="73">
        <v>55.6</v>
      </c>
      <c r="U60" s="73">
        <v>55</v>
      </c>
      <c r="V60" s="73">
        <v>51</v>
      </c>
      <c r="W60" s="73">
        <v>51</v>
      </c>
      <c r="X60" s="73">
        <v>45</v>
      </c>
      <c r="Y60" s="73">
        <v>57.9</v>
      </c>
      <c r="Z60" s="73">
        <v>53.9</v>
      </c>
      <c r="AA60" s="73">
        <v>57.2</v>
      </c>
      <c r="AB60" s="73">
        <v>44</v>
      </c>
      <c r="AC60" s="73">
        <v>45.6</v>
      </c>
      <c r="AD60" s="73">
        <v>45.6</v>
      </c>
      <c r="AE60" s="73">
        <v>0</v>
      </c>
      <c r="AF60" s="73">
        <v>0</v>
      </c>
      <c r="AG60" s="85"/>
      <c r="AH60" s="54">
        <f t="shared" si="2"/>
        <v>59.4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61</v>
      </c>
      <c r="J61" s="58">
        <v>72.3</v>
      </c>
      <c r="K61" s="58">
        <v>79.599999999999994</v>
      </c>
      <c r="L61" s="58">
        <v>79.900000000000006</v>
      </c>
      <c r="M61" s="50">
        <v>79.7</v>
      </c>
      <c r="N61" s="50">
        <v>77</v>
      </c>
      <c r="O61" s="50">
        <v>73.7</v>
      </c>
      <c r="P61" s="50">
        <v>73.7</v>
      </c>
      <c r="Q61" s="50">
        <v>70.099999999999994</v>
      </c>
      <c r="R61" s="50">
        <v>73.599999999999994</v>
      </c>
      <c r="S61" s="50">
        <v>71.5</v>
      </c>
      <c r="T61" s="50">
        <v>71.5</v>
      </c>
      <c r="U61" s="50">
        <v>70</v>
      </c>
      <c r="V61" s="50">
        <v>87</v>
      </c>
      <c r="W61" s="50">
        <v>87</v>
      </c>
      <c r="X61" s="50">
        <v>78</v>
      </c>
      <c r="Y61" s="50">
        <v>83.1</v>
      </c>
      <c r="Z61" s="50">
        <v>86.1</v>
      </c>
      <c r="AA61" s="50">
        <v>82</v>
      </c>
      <c r="AB61" s="50">
        <v>81</v>
      </c>
      <c r="AC61" s="50">
        <v>81.7</v>
      </c>
      <c r="AD61" s="50">
        <v>81.7</v>
      </c>
      <c r="AE61" s="50">
        <v>0</v>
      </c>
      <c r="AF61" s="50">
        <v>0</v>
      </c>
      <c r="AG61" s="85"/>
      <c r="AH61" s="54">
        <f t="shared" si="2"/>
        <v>87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60">
        <v>0</v>
      </c>
      <c r="O64" s="60">
        <v>0</v>
      </c>
      <c r="P64" s="58">
        <v>0</v>
      </c>
      <c r="Q64" s="60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60">
        <v>0</v>
      </c>
      <c r="AA64" s="6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60">
        <v>0</v>
      </c>
      <c r="O65" s="60">
        <v>0</v>
      </c>
      <c r="P65" s="58">
        <v>0</v>
      </c>
      <c r="Q65" s="60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60">
        <v>0</v>
      </c>
      <c r="AA65" s="6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73">
        <v>0</v>
      </c>
      <c r="M66" s="73">
        <v>0</v>
      </c>
      <c r="N66" s="60">
        <v>0</v>
      </c>
      <c r="O66" s="60">
        <v>0</v>
      </c>
      <c r="P66" s="63">
        <v>0</v>
      </c>
      <c r="Q66" s="60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0">
        <v>0</v>
      </c>
      <c r="AA66" s="60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0">
        <v>0</v>
      </c>
      <c r="M67" s="50">
        <v>0</v>
      </c>
      <c r="N67" s="60">
        <v>0</v>
      </c>
      <c r="O67" s="60">
        <v>0</v>
      </c>
      <c r="P67" s="63">
        <v>0</v>
      </c>
      <c r="Q67" s="60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0">
        <v>0</v>
      </c>
      <c r="AA67" s="60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420</v>
      </c>
      <c r="C68" s="72">
        <f>SUM(C57:C67)</f>
        <v>408.46</v>
      </c>
      <c r="D68" s="72">
        <f t="shared" ref="D68:AF68" si="12">SUM(D57:D67)</f>
        <v>418.3</v>
      </c>
      <c r="E68" s="72">
        <f t="shared" si="12"/>
        <v>429.1</v>
      </c>
      <c r="F68" s="72">
        <f t="shared" si="12"/>
        <v>422</v>
      </c>
      <c r="G68" s="72">
        <f t="shared" si="12"/>
        <v>477.69</v>
      </c>
      <c r="H68" s="72">
        <f t="shared" si="12"/>
        <v>487.52000000000004</v>
      </c>
      <c r="I68" s="72">
        <f t="shared" si="12"/>
        <v>544.40000000000009</v>
      </c>
      <c r="J68" s="72">
        <f t="shared" si="12"/>
        <v>567</v>
      </c>
      <c r="K68" s="72">
        <f t="shared" si="12"/>
        <v>327.79999999999995</v>
      </c>
      <c r="L68" s="72">
        <f t="shared" si="12"/>
        <v>305.10000000000002</v>
      </c>
      <c r="M68" s="72">
        <f t="shared" si="12"/>
        <v>267</v>
      </c>
      <c r="N68" s="72">
        <f t="shared" si="12"/>
        <v>266.60000000000002</v>
      </c>
      <c r="O68" s="72">
        <f t="shared" si="12"/>
        <v>361.15</v>
      </c>
      <c r="P68" s="72">
        <f t="shared" si="12"/>
        <v>481.79999999999995</v>
      </c>
      <c r="Q68" s="72">
        <f t="shared" si="12"/>
        <v>534.9</v>
      </c>
      <c r="R68" s="72">
        <f t="shared" si="12"/>
        <v>595.54000000000008</v>
      </c>
      <c r="S68" s="72">
        <f t="shared" si="12"/>
        <v>580.59</v>
      </c>
      <c r="T68" s="72">
        <f t="shared" si="12"/>
        <v>608.59</v>
      </c>
      <c r="U68" s="72">
        <f t="shared" si="12"/>
        <v>596</v>
      </c>
      <c r="V68" s="72">
        <f t="shared" si="12"/>
        <v>408</v>
      </c>
      <c r="W68" s="72">
        <f t="shared" si="12"/>
        <v>408</v>
      </c>
      <c r="X68" s="72">
        <f t="shared" si="12"/>
        <v>338</v>
      </c>
      <c r="Y68" s="72">
        <f t="shared" ref="Y68" si="13">SUMIF(Y57:Y67,"&gt;0")</f>
        <v>270.3</v>
      </c>
      <c r="Z68" s="72">
        <f t="shared" si="12"/>
        <v>262.89999999999998</v>
      </c>
      <c r="AA68" s="72">
        <f t="shared" si="12"/>
        <v>284.2</v>
      </c>
      <c r="AB68" s="72">
        <f t="shared" si="12"/>
        <v>485.6</v>
      </c>
      <c r="AC68" s="72">
        <f t="shared" si="12"/>
        <v>506.3</v>
      </c>
      <c r="AD68" s="72">
        <f t="shared" si="12"/>
        <v>566.30000000000007</v>
      </c>
      <c r="AE68" s="72">
        <f t="shared" si="12"/>
        <v>440</v>
      </c>
      <c r="AF68" s="72">
        <f t="shared" si="12"/>
        <v>440</v>
      </c>
      <c r="AG68" s="78">
        <f>SUM(AG57:AG67)</f>
        <v>0</v>
      </c>
      <c r="AH68" s="54">
        <f t="shared" si="2"/>
        <v>608.59</v>
      </c>
      <c r="AI68" s="55">
        <f t="shared" si="3"/>
        <v>262.89999999999998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4">SUM(D69:D71)</f>
        <v>0</v>
      </c>
      <c r="E72" s="72">
        <f t="shared" si="14"/>
        <v>0</v>
      </c>
      <c r="F72" s="72">
        <f t="shared" si="14"/>
        <v>0</v>
      </c>
      <c r="G72" s="72">
        <f t="shared" si="14"/>
        <v>0</v>
      </c>
      <c r="H72" s="72">
        <f t="shared" si="14"/>
        <v>0</v>
      </c>
      <c r="I72" s="72">
        <f t="shared" si="14"/>
        <v>0</v>
      </c>
      <c r="J72" s="72">
        <f t="shared" si="14"/>
        <v>0</v>
      </c>
      <c r="K72" s="72">
        <f t="shared" si="14"/>
        <v>0</v>
      </c>
      <c r="L72" s="72">
        <f t="shared" si="14"/>
        <v>0</v>
      </c>
      <c r="M72" s="72">
        <f t="shared" si="14"/>
        <v>0</v>
      </c>
      <c r="N72" s="72">
        <f t="shared" si="14"/>
        <v>0</v>
      </c>
      <c r="O72" s="72">
        <f t="shared" si="14"/>
        <v>0</v>
      </c>
      <c r="P72" s="72">
        <f t="shared" si="14"/>
        <v>0</v>
      </c>
      <c r="Q72" s="72">
        <f t="shared" si="14"/>
        <v>0</v>
      </c>
      <c r="R72" s="72">
        <f t="shared" si="14"/>
        <v>0</v>
      </c>
      <c r="S72" s="72">
        <f t="shared" si="14"/>
        <v>0</v>
      </c>
      <c r="T72" s="72">
        <f t="shared" si="14"/>
        <v>0</v>
      </c>
      <c r="U72" s="72">
        <f t="shared" si="14"/>
        <v>0</v>
      </c>
      <c r="V72" s="72">
        <f t="shared" si="14"/>
        <v>0</v>
      </c>
      <c r="W72" s="72">
        <f t="shared" si="14"/>
        <v>0</v>
      </c>
      <c r="X72" s="72">
        <f t="shared" si="14"/>
        <v>0</v>
      </c>
      <c r="Y72" s="72">
        <f>SUM(Y69:Y71)</f>
        <v>0</v>
      </c>
      <c r="Z72" s="72">
        <f t="shared" si="14"/>
        <v>0</v>
      </c>
      <c r="AA72" s="72">
        <f t="shared" si="14"/>
        <v>0</v>
      </c>
      <c r="AB72" s="72">
        <f t="shared" si="14"/>
        <v>0</v>
      </c>
      <c r="AC72" s="72">
        <f t="shared" si="14"/>
        <v>0</v>
      </c>
      <c r="AD72" s="72">
        <f t="shared" si="14"/>
        <v>0</v>
      </c>
      <c r="AE72" s="72">
        <f t="shared" si="14"/>
        <v>0</v>
      </c>
      <c r="AF72" s="72">
        <f t="shared" si="14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950.83999999999992</v>
      </c>
      <c r="C73" s="89">
        <f>C68+C56+C52+C38+C72</f>
        <v>938.29999999999984</v>
      </c>
      <c r="D73" s="89">
        <f t="shared" ref="D73:AG73" si="15">D68+D56+D52+D38+D72</f>
        <v>915.43999999999994</v>
      </c>
      <c r="E73" s="89">
        <f t="shared" si="15"/>
        <v>932.34</v>
      </c>
      <c r="F73" s="89">
        <f t="shared" si="15"/>
        <v>927.54</v>
      </c>
      <c r="G73" s="89">
        <f t="shared" si="15"/>
        <v>1008.53</v>
      </c>
      <c r="H73" s="89">
        <f t="shared" si="15"/>
        <v>1046.46</v>
      </c>
      <c r="I73" s="89">
        <f t="shared" si="15"/>
        <v>1129.54</v>
      </c>
      <c r="J73" s="89">
        <f t="shared" si="15"/>
        <v>1263.74</v>
      </c>
      <c r="K73" s="89">
        <f t="shared" si="15"/>
        <v>1404.94</v>
      </c>
      <c r="L73" s="89">
        <f t="shared" si="15"/>
        <v>1508.8400000000001</v>
      </c>
      <c r="M73" s="89">
        <f t="shared" si="15"/>
        <v>1501.2400000000002</v>
      </c>
      <c r="N73" s="89">
        <f t="shared" si="15"/>
        <v>1459.6399999999999</v>
      </c>
      <c r="O73" s="89">
        <f t="shared" si="15"/>
        <v>1372.79</v>
      </c>
      <c r="P73" s="89">
        <f t="shared" si="15"/>
        <v>1301.94</v>
      </c>
      <c r="Q73" s="89">
        <f t="shared" si="15"/>
        <v>1283.1400000000001</v>
      </c>
      <c r="R73" s="89">
        <f t="shared" si="15"/>
        <v>1235.18</v>
      </c>
      <c r="S73" s="89">
        <f t="shared" si="15"/>
        <v>1208.0300000000002</v>
      </c>
      <c r="T73" s="89">
        <f t="shared" si="15"/>
        <v>1222.33</v>
      </c>
      <c r="U73" s="89">
        <f t="shared" si="15"/>
        <v>1190.94</v>
      </c>
      <c r="V73" s="89">
        <f t="shared" si="15"/>
        <v>1269.6399999999999</v>
      </c>
      <c r="W73" s="89">
        <f t="shared" si="15"/>
        <v>1281.6399999999999</v>
      </c>
      <c r="X73" s="89">
        <f t="shared" si="15"/>
        <v>1292.1399999999999</v>
      </c>
      <c r="Y73" s="89">
        <f>SUM(Y38,Y52,Y56,Y68,Y72)-Y82</f>
        <v>1553.4399999999998</v>
      </c>
      <c r="Z73" s="89">
        <f t="shared" si="15"/>
        <v>1549.1399999999999</v>
      </c>
      <c r="AA73" s="89">
        <f t="shared" si="15"/>
        <v>1502.94</v>
      </c>
      <c r="AB73" s="89">
        <f t="shared" si="15"/>
        <v>1399.3400000000001</v>
      </c>
      <c r="AC73" s="89">
        <f t="shared" si="15"/>
        <v>1343.8400000000001</v>
      </c>
      <c r="AD73" s="89">
        <f t="shared" si="15"/>
        <v>1300.6399999999999</v>
      </c>
      <c r="AE73" s="89">
        <f t="shared" si="15"/>
        <v>1089.1399999999999</v>
      </c>
      <c r="AF73" s="89">
        <f t="shared" si="15"/>
        <v>972.54</v>
      </c>
      <c r="AG73" s="89">
        <f t="shared" si="15"/>
        <v>2144.14</v>
      </c>
      <c r="AH73" s="54">
        <f t="shared" si="2"/>
        <v>1553.4399999999998</v>
      </c>
      <c r="AI73" s="55">
        <f t="shared" si="3"/>
        <v>915.43999999999994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950.83999999999992</v>
      </c>
      <c r="C75" s="89">
        <f>C73+C74</f>
        <v>938.29999999999984</v>
      </c>
      <c r="D75" s="89">
        <f t="shared" ref="D75:AF75" si="16">D72+D68+D56+D52+D38+D74</f>
        <v>915.43999999999994</v>
      </c>
      <c r="E75" s="89">
        <f t="shared" si="16"/>
        <v>932.34</v>
      </c>
      <c r="F75" s="89">
        <f t="shared" si="16"/>
        <v>927.54</v>
      </c>
      <c r="G75" s="89">
        <f t="shared" si="16"/>
        <v>1008.53</v>
      </c>
      <c r="H75" s="89">
        <f t="shared" si="16"/>
        <v>1046.46</v>
      </c>
      <c r="I75" s="89">
        <f t="shared" si="16"/>
        <v>1129.54</v>
      </c>
      <c r="J75" s="89">
        <f t="shared" si="16"/>
        <v>1263.74</v>
      </c>
      <c r="K75" s="89">
        <f t="shared" si="16"/>
        <v>1404.94</v>
      </c>
      <c r="L75" s="89">
        <f t="shared" si="16"/>
        <v>1508.8400000000001</v>
      </c>
      <c r="M75" s="89">
        <f t="shared" si="16"/>
        <v>1501.2400000000002</v>
      </c>
      <c r="N75" s="89">
        <f t="shared" si="16"/>
        <v>1459.6399999999999</v>
      </c>
      <c r="O75" s="89">
        <f t="shared" si="16"/>
        <v>1372.79</v>
      </c>
      <c r="P75" s="89">
        <f t="shared" si="16"/>
        <v>1301.94</v>
      </c>
      <c r="Q75" s="89">
        <f t="shared" si="16"/>
        <v>1283.1400000000001</v>
      </c>
      <c r="R75" s="89">
        <f t="shared" si="16"/>
        <v>1235.18</v>
      </c>
      <c r="S75" s="89">
        <f t="shared" si="16"/>
        <v>1208.0300000000002</v>
      </c>
      <c r="T75" s="89">
        <f t="shared" si="16"/>
        <v>1222.33</v>
      </c>
      <c r="U75" s="89">
        <f t="shared" si="16"/>
        <v>1190.94</v>
      </c>
      <c r="V75" s="89">
        <f t="shared" si="16"/>
        <v>1269.6399999999999</v>
      </c>
      <c r="W75" s="89">
        <f t="shared" si="16"/>
        <v>1281.6399999999999</v>
      </c>
      <c r="X75" s="89">
        <f t="shared" si="16"/>
        <v>1292.1399999999999</v>
      </c>
      <c r="Y75" s="89">
        <f t="shared" ref="Y75" si="17">SUM(Y73+Y74)</f>
        <v>1553.4399999999998</v>
      </c>
      <c r="Z75" s="89">
        <f t="shared" si="16"/>
        <v>1549.1399999999999</v>
      </c>
      <c r="AA75" s="89">
        <f t="shared" si="16"/>
        <v>1502.94</v>
      </c>
      <c r="AB75" s="89">
        <f t="shared" si="16"/>
        <v>1399.3400000000001</v>
      </c>
      <c r="AC75" s="89">
        <f t="shared" si="16"/>
        <v>1343.8400000000001</v>
      </c>
      <c r="AD75" s="89">
        <f t="shared" si="16"/>
        <v>1300.6399999999999</v>
      </c>
      <c r="AE75" s="89">
        <f t="shared" si="16"/>
        <v>1089.1399999999999</v>
      </c>
      <c r="AF75" s="89">
        <f t="shared" si="16"/>
        <v>972.54</v>
      </c>
      <c r="AG75" s="78">
        <f>AG72+AG68+AG56+AG52+AG38+AG74</f>
        <v>2144.14</v>
      </c>
      <c r="AH75" s="54">
        <f t="shared" si="2"/>
        <v>1553.4399999999998</v>
      </c>
      <c r="AI75" s="55">
        <f t="shared" si="3"/>
        <v>915.43999999999994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8">IF(D60&lt;0,D60*-1,0)</f>
        <v>0</v>
      </c>
      <c r="E76" s="58">
        <f t="shared" si="18"/>
        <v>0</v>
      </c>
      <c r="F76" s="58">
        <f t="shared" si="18"/>
        <v>0</v>
      </c>
      <c r="G76" s="58">
        <f t="shared" si="18"/>
        <v>0</v>
      </c>
      <c r="H76" s="58">
        <f t="shared" si="18"/>
        <v>0</v>
      </c>
      <c r="I76" s="58">
        <f t="shared" si="18"/>
        <v>0</v>
      </c>
      <c r="J76" s="58">
        <f t="shared" si="18"/>
        <v>0</v>
      </c>
      <c r="K76" s="58">
        <f t="shared" si="18"/>
        <v>0</v>
      </c>
      <c r="L76" s="58">
        <f t="shared" si="18"/>
        <v>0</v>
      </c>
      <c r="M76" s="58">
        <f t="shared" si="18"/>
        <v>0</v>
      </c>
      <c r="N76" s="58">
        <f t="shared" si="18"/>
        <v>0</v>
      </c>
      <c r="O76" s="58">
        <f t="shared" si="18"/>
        <v>0</v>
      </c>
      <c r="P76" s="58">
        <f t="shared" si="18"/>
        <v>0</v>
      </c>
      <c r="Q76" s="58">
        <f t="shared" si="18"/>
        <v>0</v>
      </c>
      <c r="R76" s="58">
        <f t="shared" si="18"/>
        <v>0</v>
      </c>
      <c r="S76" s="58">
        <f t="shared" si="18"/>
        <v>0</v>
      </c>
      <c r="T76" s="58">
        <f t="shared" si="18"/>
        <v>0</v>
      </c>
      <c r="U76" s="58">
        <f t="shared" si="18"/>
        <v>0</v>
      </c>
      <c r="V76" s="58">
        <f t="shared" si="18"/>
        <v>0</v>
      </c>
      <c r="W76" s="58">
        <f t="shared" si="18"/>
        <v>0</v>
      </c>
      <c r="X76" s="58">
        <f t="shared" si="18"/>
        <v>0</v>
      </c>
      <c r="Y76" s="58"/>
      <c r="Z76" s="58">
        <f t="shared" si="18"/>
        <v>0</v>
      </c>
      <c r="AA76" s="58">
        <f t="shared" si="18"/>
        <v>0</v>
      </c>
      <c r="AB76" s="58">
        <f t="shared" si="18"/>
        <v>0</v>
      </c>
      <c r="AC76" s="58">
        <f t="shared" si="18"/>
        <v>0</v>
      </c>
      <c r="AD76" s="58">
        <f t="shared" si="18"/>
        <v>0</v>
      </c>
      <c r="AE76" s="58">
        <f t="shared" si="18"/>
        <v>0</v>
      </c>
      <c r="AF76" s="58">
        <f t="shared" si="18"/>
        <v>0</v>
      </c>
      <c r="AG76" s="62"/>
      <c r="AH76" s="54">
        <f t="shared" ref="AH76:AH91" si="19">MAX(B76:AF76)</f>
        <v>0</v>
      </c>
      <c r="AI76" s="55">
        <f t="shared" ref="AI76:AI91" si="2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21">IF(D58&lt;0,D58*-1,0)</f>
        <v>0</v>
      </c>
      <c r="E77" s="58">
        <f t="shared" si="21"/>
        <v>0</v>
      </c>
      <c r="F77" s="58">
        <f t="shared" si="21"/>
        <v>0</v>
      </c>
      <c r="G77" s="58">
        <f t="shared" si="21"/>
        <v>0</v>
      </c>
      <c r="H77" s="58">
        <f t="shared" si="21"/>
        <v>0</v>
      </c>
      <c r="I77" s="58">
        <f t="shared" si="21"/>
        <v>0</v>
      </c>
      <c r="J77" s="58">
        <f t="shared" si="21"/>
        <v>0</v>
      </c>
      <c r="K77" s="58">
        <f t="shared" si="21"/>
        <v>0</v>
      </c>
      <c r="L77" s="58">
        <f t="shared" si="21"/>
        <v>0</v>
      </c>
      <c r="M77" s="58">
        <f t="shared" si="21"/>
        <v>0</v>
      </c>
      <c r="N77" s="58">
        <f t="shared" si="21"/>
        <v>0</v>
      </c>
      <c r="O77" s="58">
        <f t="shared" si="21"/>
        <v>0</v>
      </c>
      <c r="P77" s="58">
        <f t="shared" si="21"/>
        <v>0</v>
      </c>
      <c r="Q77" s="58">
        <f t="shared" si="21"/>
        <v>0</v>
      </c>
      <c r="R77" s="58">
        <f t="shared" si="21"/>
        <v>0</v>
      </c>
      <c r="S77" s="58">
        <f t="shared" si="21"/>
        <v>0</v>
      </c>
      <c r="T77" s="58">
        <f t="shared" si="21"/>
        <v>0</v>
      </c>
      <c r="U77" s="58">
        <f t="shared" si="21"/>
        <v>0</v>
      </c>
      <c r="V77" s="58">
        <f t="shared" si="21"/>
        <v>0</v>
      </c>
      <c r="W77" s="58">
        <f t="shared" si="21"/>
        <v>0</v>
      </c>
      <c r="X77" s="58">
        <f t="shared" si="21"/>
        <v>0</v>
      </c>
      <c r="Y77" s="58">
        <f>IF(Y60&lt;0,Y60*-1,0)</f>
        <v>0</v>
      </c>
      <c r="Z77" s="58">
        <f t="shared" si="21"/>
        <v>0</v>
      </c>
      <c r="AA77" s="58">
        <f t="shared" si="21"/>
        <v>0</v>
      </c>
      <c r="AB77" s="58">
        <f t="shared" si="21"/>
        <v>0</v>
      </c>
      <c r="AC77" s="58">
        <f t="shared" si="21"/>
        <v>0</v>
      </c>
      <c r="AD77" s="58">
        <f t="shared" si="21"/>
        <v>0</v>
      </c>
      <c r="AE77" s="58">
        <f t="shared" si="21"/>
        <v>0</v>
      </c>
      <c r="AF77" s="58">
        <f t="shared" si="21"/>
        <v>0</v>
      </c>
      <c r="AG77" s="67"/>
      <c r="AH77" s="54">
        <f t="shared" si="19"/>
        <v>0</v>
      </c>
      <c r="AI77" s="55">
        <f t="shared" si="2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22">IF(D61&lt;0,D61*-1,0)</f>
        <v>0</v>
      </c>
      <c r="E78" s="58">
        <f t="shared" si="22"/>
        <v>0</v>
      </c>
      <c r="F78" s="58">
        <f t="shared" si="22"/>
        <v>0</v>
      </c>
      <c r="G78" s="58">
        <f t="shared" si="22"/>
        <v>0</v>
      </c>
      <c r="H78" s="58">
        <f t="shared" si="22"/>
        <v>0</v>
      </c>
      <c r="I78" s="58">
        <f t="shared" si="22"/>
        <v>0</v>
      </c>
      <c r="J78" s="58">
        <f t="shared" si="22"/>
        <v>0</v>
      </c>
      <c r="K78" s="58">
        <f t="shared" si="22"/>
        <v>0</v>
      </c>
      <c r="L78" s="58">
        <f t="shared" si="22"/>
        <v>0</v>
      </c>
      <c r="M78" s="58">
        <f t="shared" si="22"/>
        <v>0</v>
      </c>
      <c r="N78" s="58">
        <f t="shared" si="22"/>
        <v>0</v>
      </c>
      <c r="O78" s="58">
        <f t="shared" si="22"/>
        <v>0</v>
      </c>
      <c r="P78" s="58">
        <f t="shared" si="22"/>
        <v>0</v>
      </c>
      <c r="Q78" s="58">
        <f t="shared" si="22"/>
        <v>0</v>
      </c>
      <c r="R78" s="58">
        <f t="shared" si="22"/>
        <v>0</v>
      </c>
      <c r="S78" s="58">
        <f t="shared" si="22"/>
        <v>0</v>
      </c>
      <c r="T78" s="58">
        <f t="shared" si="22"/>
        <v>0</v>
      </c>
      <c r="U78" s="58">
        <f t="shared" si="22"/>
        <v>0</v>
      </c>
      <c r="V78" s="58">
        <f t="shared" si="22"/>
        <v>0</v>
      </c>
      <c r="W78" s="58">
        <f t="shared" si="22"/>
        <v>0</v>
      </c>
      <c r="X78" s="58">
        <f t="shared" si="22"/>
        <v>0</v>
      </c>
      <c r="Y78" s="58">
        <f>IF(Y58&lt;0,Y58*-1,0)</f>
        <v>0</v>
      </c>
      <c r="Z78" s="58">
        <f t="shared" si="22"/>
        <v>0</v>
      </c>
      <c r="AA78" s="58">
        <f t="shared" si="22"/>
        <v>0</v>
      </c>
      <c r="AB78" s="58">
        <f t="shared" si="22"/>
        <v>0</v>
      </c>
      <c r="AC78" s="58">
        <f t="shared" si="22"/>
        <v>0</v>
      </c>
      <c r="AD78" s="58">
        <f t="shared" si="22"/>
        <v>0</v>
      </c>
      <c r="AE78" s="58">
        <f t="shared" si="22"/>
        <v>0</v>
      </c>
      <c r="AF78" s="58">
        <f t="shared" si="22"/>
        <v>0</v>
      </c>
      <c r="AG78" s="92"/>
      <c r="AH78" s="54">
        <f t="shared" si="19"/>
        <v>0</v>
      </c>
      <c r="AI78" s="55">
        <f t="shared" si="2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23">IF(D59&lt;0,D59*-1,0)</f>
        <v>0</v>
      </c>
      <c r="E79" s="58">
        <f t="shared" si="23"/>
        <v>0</v>
      </c>
      <c r="F79" s="58">
        <f t="shared" si="23"/>
        <v>0</v>
      </c>
      <c r="G79" s="58">
        <f t="shared" si="23"/>
        <v>0</v>
      </c>
      <c r="H79" s="58">
        <f t="shared" si="23"/>
        <v>0</v>
      </c>
      <c r="I79" s="58">
        <f t="shared" si="23"/>
        <v>0</v>
      </c>
      <c r="J79" s="58">
        <f t="shared" si="23"/>
        <v>0</v>
      </c>
      <c r="K79" s="58">
        <f t="shared" si="23"/>
        <v>0</v>
      </c>
      <c r="L79" s="58">
        <f t="shared" si="23"/>
        <v>0</v>
      </c>
      <c r="M79" s="58">
        <f t="shared" si="23"/>
        <v>0</v>
      </c>
      <c r="N79" s="58">
        <f t="shared" si="23"/>
        <v>0</v>
      </c>
      <c r="O79" s="58">
        <f t="shared" si="23"/>
        <v>0</v>
      </c>
      <c r="P79" s="58">
        <f t="shared" si="23"/>
        <v>0</v>
      </c>
      <c r="Q79" s="58">
        <f t="shared" si="23"/>
        <v>0</v>
      </c>
      <c r="R79" s="58">
        <f t="shared" si="23"/>
        <v>0</v>
      </c>
      <c r="S79" s="58">
        <f t="shared" si="23"/>
        <v>0</v>
      </c>
      <c r="T79" s="58">
        <f t="shared" si="23"/>
        <v>0</v>
      </c>
      <c r="U79" s="58">
        <f t="shared" si="23"/>
        <v>0</v>
      </c>
      <c r="V79" s="58">
        <f t="shared" si="23"/>
        <v>0</v>
      </c>
      <c r="W79" s="58">
        <f t="shared" si="23"/>
        <v>0</v>
      </c>
      <c r="X79" s="58">
        <f t="shared" si="23"/>
        <v>0</v>
      </c>
      <c r="Y79" s="58">
        <f>IF(Y61&lt;0,Y61*-1,0)</f>
        <v>0</v>
      </c>
      <c r="Z79" s="58">
        <f t="shared" si="23"/>
        <v>0</v>
      </c>
      <c r="AA79" s="58">
        <f t="shared" si="23"/>
        <v>0</v>
      </c>
      <c r="AB79" s="58">
        <f t="shared" si="23"/>
        <v>0</v>
      </c>
      <c r="AC79" s="58">
        <f t="shared" si="23"/>
        <v>0</v>
      </c>
      <c r="AD79" s="58">
        <f t="shared" si="23"/>
        <v>0</v>
      </c>
      <c r="AE79" s="58">
        <f t="shared" si="23"/>
        <v>0</v>
      </c>
      <c r="AF79" s="58">
        <f t="shared" si="23"/>
        <v>0</v>
      </c>
      <c r="AG79" s="92"/>
      <c r="AH79" s="54">
        <f t="shared" si="19"/>
        <v>0</v>
      </c>
      <c r="AI79" s="55">
        <f t="shared" si="20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4">IF(D57&lt;0,D57*-1,0)</f>
        <v>0</v>
      </c>
      <c r="E80" s="58">
        <f t="shared" si="24"/>
        <v>0</v>
      </c>
      <c r="F80" s="58">
        <f t="shared" si="24"/>
        <v>0</v>
      </c>
      <c r="G80" s="58">
        <f t="shared" si="24"/>
        <v>0</v>
      </c>
      <c r="H80" s="58">
        <f t="shared" si="24"/>
        <v>0</v>
      </c>
      <c r="I80" s="58">
        <f t="shared" si="24"/>
        <v>0</v>
      </c>
      <c r="J80" s="58">
        <f t="shared" si="24"/>
        <v>0</v>
      </c>
      <c r="K80" s="58">
        <f t="shared" si="24"/>
        <v>0</v>
      </c>
      <c r="L80" s="58">
        <f t="shared" si="24"/>
        <v>0</v>
      </c>
      <c r="M80" s="58">
        <f t="shared" si="24"/>
        <v>0</v>
      </c>
      <c r="N80" s="58">
        <f t="shared" si="24"/>
        <v>0</v>
      </c>
      <c r="O80" s="58">
        <f t="shared" si="24"/>
        <v>0</v>
      </c>
      <c r="P80" s="58">
        <f t="shared" si="24"/>
        <v>0</v>
      </c>
      <c r="Q80" s="58">
        <f t="shared" si="24"/>
        <v>0</v>
      </c>
      <c r="R80" s="58">
        <f t="shared" si="24"/>
        <v>0</v>
      </c>
      <c r="S80" s="58">
        <f t="shared" si="24"/>
        <v>0</v>
      </c>
      <c r="T80" s="58">
        <f t="shared" si="24"/>
        <v>0</v>
      </c>
      <c r="U80" s="58">
        <f t="shared" si="24"/>
        <v>0</v>
      </c>
      <c r="V80" s="58">
        <f t="shared" si="24"/>
        <v>0</v>
      </c>
      <c r="W80" s="58">
        <f t="shared" si="24"/>
        <v>0</v>
      </c>
      <c r="X80" s="58">
        <f t="shared" si="24"/>
        <v>0</v>
      </c>
      <c r="Y80" s="58">
        <f>IF(Y59&lt;0,Y59*-1,0)</f>
        <v>0</v>
      </c>
      <c r="Z80" s="58">
        <f t="shared" si="24"/>
        <v>0</v>
      </c>
      <c r="AA80" s="58">
        <f t="shared" si="24"/>
        <v>0</v>
      </c>
      <c r="AB80" s="58">
        <f t="shared" si="24"/>
        <v>0</v>
      </c>
      <c r="AC80" s="58">
        <f t="shared" si="24"/>
        <v>0</v>
      </c>
      <c r="AD80" s="58">
        <f t="shared" si="24"/>
        <v>0</v>
      </c>
      <c r="AE80" s="58">
        <f t="shared" si="24"/>
        <v>0</v>
      </c>
      <c r="AF80" s="58">
        <f t="shared" si="24"/>
        <v>0</v>
      </c>
      <c r="AG80" s="92"/>
      <c r="AH80" s="54">
        <f t="shared" si="19"/>
        <v>0</v>
      </c>
      <c r="AI80" s="55">
        <f t="shared" si="2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>
        <v>0</v>
      </c>
      <c r="Z81" s="50"/>
      <c r="AA81" s="50"/>
      <c r="AB81" s="63"/>
      <c r="AC81" s="63"/>
      <c r="AD81" s="63"/>
      <c r="AE81" s="63"/>
      <c r="AF81" s="63"/>
      <c r="AG81" s="87"/>
      <c r="AH81" s="54">
        <f t="shared" si="19"/>
        <v>0</v>
      </c>
      <c r="AI81" s="55">
        <f t="shared" si="2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5">SUM(C76:C81)</f>
        <v>0</v>
      </c>
      <c r="D82" s="72">
        <f t="shared" si="25"/>
        <v>0</v>
      </c>
      <c r="E82" s="72">
        <f t="shared" si="25"/>
        <v>0</v>
      </c>
      <c r="F82" s="72">
        <f t="shared" si="25"/>
        <v>0</v>
      </c>
      <c r="G82" s="72">
        <f t="shared" si="25"/>
        <v>0</v>
      </c>
      <c r="H82" s="72">
        <f t="shared" si="25"/>
        <v>0</v>
      </c>
      <c r="I82" s="72">
        <f t="shared" si="25"/>
        <v>0</v>
      </c>
      <c r="J82" s="72">
        <f t="shared" si="25"/>
        <v>0</v>
      </c>
      <c r="K82" s="72">
        <f t="shared" si="25"/>
        <v>0</v>
      </c>
      <c r="L82" s="72">
        <f t="shared" si="25"/>
        <v>0</v>
      </c>
      <c r="M82" s="72">
        <f t="shared" si="25"/>
        <v>0</v>
      </c>
      <c r="N82" s="72">
        <f t="shared" si="25"/>
        <v>0</v>
      </c>
      <c r="O82" s="72">
        <f t="shared" si="25"/>
        <v>0</v>
      </c>
      <c r="P82" s="72">
        <f t="shared" si="25"/>
        <v>0</v>
      </c>
      <c r="Q82" s="72">
        <f t="shared" si="25"/>
        <v>0</v>
      </c>
      <c r="R82" s="72">
        <f t="shared" si="25"/>
        <v>0</v>
      </c>
      <c r="S82" s="72">
        <f t="shared" si="25"/>
        <v>0</v>
      </c>
      <c r="T82" s="72">
        <f t="shared" si="25"/>
        <v>0</v>
      </c>
      <c r="U82" s="72">
        <f t="shared" si="25"/>
        <v>0</v>
      </c>
      <c r="V82" s="72">
        <f t="shared" si="25"/>
        <v>0</v>
      </c>
      <c r="W82" s="72">
        <f t="shared" si="25"/>
        <v>0</v>
      </c>
      <c r="X82" s="72">
        <f t="shared" si="25"/>
        <v>0</v>
      </c>
      <c r="Y82" s="72">
        <f>SUM(Y77:Y81)</f>
        <v>0</v>
      </c>
      <c r="Z82" s="72">
        <f t="shared" si="25"/>
        <v>0</v>
      </c>
      <c r="AA82" s="72">
        <f t="shared" si="25"/>
        <v>0</v>
      </c>
      <c r="AB82" s="72">
        <f t="shared" si="25"/>
        <v>0</v>
      </c>
      <c r="AC82" s="72">
        <f t="shared" si="25"/>
        <v>0</v>
      </c>
      <c r="AD82" s="72">
        <f t="shared" si="25"/>
        <v>0</v>
      </c>
      <c r="AE82" s="72">
        <f t="shared" si="25"/>
        <v>0</v>
      </c>
      <c r="AF82" s="72">
        <f t="shared" si="25"/>
        <v>0</v>
      </c>
      <c r="AG82" s="78">
        <f t="shared" si="25"/>
        <v>0</v>
      </c>
      <c r="AH82" s="54">
        <f t="shared" si="19"/>
        <v>0</v>
      </c>
      <c r="AI82" s="55">
        <f t="shared" si="20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1901.6799999999998</v>
      </c>
      <c r="C83" s="72">
        <f t="shared" ref="C83:AG83" si="26">SUM(C70:C82)</f>
        <v>1876.5999999999997</v>
      </c>
      <c r="D83" s="72">
        <f t="shared" si="26"/>
        <v>1830.8799999999999</v>
      </c>
      <c r="E83" s="72">
        <f t="shared" si="26"/>
        <v>1864.68</v>
      </c>
      <c r="F83" s="72">
        <f t="shared" si="26"/>
        <v>1855.08</v>
      </c>
      <c r="G83" s="72">
        <f t="shared" si="26"/>
        <v>2017.06</v>
      </c>
      <c r="H83" s="72">
        <f t="shared" si="26"/>
        <v>2092.92</v>
      </c>
      <c r="I83" s="72">
        <f t="shared" si="26"/>
        <v>2259.08</v>
      </c>
      <c r="J83" s="72">
        <f t="shared" si="26"/>
        <v>2527.48</v>
      </c>
      <c r="K83" s="72">
        <f t="shared" si="26"/>
        <v>2809.88</v>
      </c>
      <c r="L83" s="72">
        <f t="shared" si="26"/>
        <v>3017.6800000000003</v>
      </c>
      <c r="M83" s="72">
        <f t="shared" si="26"/>
        <v>3002.4800000000005</v>
      </c>
      <c r="N83" s="72">
        <f t="shared" si="26"/>
        <v>2919.2799999999997</v>
      </c>
      <c r="O83" s="72">
        <f t="shared" si="26"/>
        <v>2745.58</v>
      </c>
      <c r="P83" s="72">
        <f t="shared" si="26"/>
        <v>2603.88</v>
      </c>
      <c r="Q83" s="72">
        <f t="shared" si="26"/>
        <v>2566.2800000000002</v>
      </c>
      <c r="R83" s="72">
        <f t="shared" si="26"/>
        <v>2470.36</v>
      </c>
      <c r="S83" s="72">
        <f t="shared" si="26"/>
        <v>2416.0600000000004</v>
      </c>
      <c r="T83" s="72">
        <f t="shared" si="26"/>
        <v>2444.66</v>
      </c>
      <c r="U83" s="72">
        <f t="shared" si="26"/>
        <v>2381.88</v>
      </c>
      <c r="V83" s="72">
        <f t="shared" si="26"/>
        <v>2539.2799999999997</v>
      </c>
      <c r="W83" s="72">
        <f t="shared" si="26"/>
        <v>2563.2799999999997</v>
      </c>
      <c r="X83" s="72">
        <f t="shared" si="26"/>
        <v>2584.2799999999997</v>
      </c>
      <c r="Y83" s="72">
        <f t="shared" ref="Y83" si="27">Y68-Y82</f>
        <v>270.3</v>
      </c>
      <c r="Z83" s="72">
        <f t="shared" si="26"/>
        <v>3098.2799999999997</v>
      </c>
      <c r="AA83" s="72">
        <f t="shared" si="26"/>
        <v>3005.88</v>
      </c>
      <c r="AB83" s="72">
        <f t="shared" si="26"/>
        <v>2798.6800000000003</v>
      </c>
      <c r="AC83" s="72">
        <f t="shared" si="26"/>
        <v>2687.6800000000003</v>
      </c>
      <c r="AD83" s="72">
        <f t="shared" si="26"/>
        <v>2601.2799999999997</v>
      </c>
      <c r="AE83" s="72">
        <f t="shared" si="26"/>
        <v>2178.2799999999997</v>
      </c>
      <c r="AF83" s="72">
        <f t="shared" si="26"/>
        <v>1945.08</v>
      </c>
      <c r="AG83" s="78">
        <f t="shared" si="26"/>
        <v>4360.08</v>
      </c>
      <c r="AH83" s="54">
        <f t="shared" si="19"/>
        <v>3098.2799999999997</v>
      </c>
      <c r="AI83" s="55">
        <f t="shared" si="20"/>
        <v>270.3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49.97</v>
      </c>
      <c r="C84" s="96">
        <v>49.978999999999999</v>
      </c>
      <c r="D84" s="96">
        <v>50.024999999999999</v>
      </c>
      <c r="E84" s="96">
        <v>49.966999999999999</v>
      </c>
      <c r="F84" s="96">
        <v>49.959000000000003</v>
      </c>
      <c r="G84" s="96">
        <v>49.973999999999997</v>
      </c>
      <c r="H84" s="96">
        <v>49.784999999999997</v>
      </c>
      <c r="I84" s="96">
        <v>50.052</v>
      </c>
      <c r="J84" s="96">
        <v>49.905000000000001</v>
      </c>
      <c r="K84" s="96">
        <v>49.948999999999998</v>
      </c>
      <c r="L84" s="96">
        <v>49.875</v>
      </c>
      <c r="M84" s="96">
        <v>49.976999999999997</v>
      </c>
      <c r="N84" s="96">
        <v>50.027000000000001</v>
      </c>
      <c r="O84" s="96">
        <v>50.033000000000001</v>
      </c>
      <c r="P84" s="96">
        <v>50.04</v>
      </c>
      <c r="Q84" s="96">
        <v>50.018999999999998</v>
      </c>
      <c r="R84" s="96">
        <v>50.018000000000001</v>
      </c>
      <c r="S84" s="96">
        <v>49.97</v>
      </c>
      <c r="T84" s="96">
        <v>50</v>
      </c>
      <c r="U84" s="96">
        <v>50.05</v>
      </c>
      <c r="V84" s="96">
        <v>50.03</v>
      </c>
      <c r="W84" s="96">
        <v>50.03</v>
      </c>
      <c r="X84" s="96">
        <v>50.04</v>
      </c>
      <c r="Y84" s="96">
        <v>50.07</v>
      </c>
      <c r="Z84" s="96">
        <v>50.04</v>
      </c>
      <c r="AA84" s="96">
        <v>50.04</v>
      </c>
      <c r="AB84" s="96">
        <v>50.070999999999998</v>
      </c>
      <c r="AC84" s="96">
        <v>49.98</v>
      </c>
      <c r="AD84" s="96">
        <v>50.05</v>
      </c>
      <c r="AE84" s="96">
        <v>50.05</v>
      </c>
      <c r="AF84" s="96">
        <v>49.98</v>
      </c>
      <c r="AG84" s="97"/>
      <c r="AH84" s="54">
        <f t="shared" si="19"/>
        <v>50.070999999999998</v>
      </c>
      <c r="AI84" s="55">
        <f t="shared" si="20"/>
        <v>49.784999999999997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125.5</v>
      </c>
      <c r="C85" s="73">
        <v>125</v>
      </c>
      <c r="D85" s="73">
        <v>124.6</v>
      </c>
      <c r="E85" s="73">
        <v>124.2</v>
      </c>
      <c r="F85" s="73">
        <v>125</v>
      </c>
      <c r="G85" s="73">
        <v>125.1</v>
      </c>
      <c r="H85" s="73">
        <v>122.4</v>
      </c>
      <c r="I85" s="73">
        <v>125.5</v>
      </c>
      <c r="J85" s="73">
        <v>123.7</v>
      </c>
      <c r="K85" s="73">
        <v>124.2</v>
      </c>
      <c r="L85" s="73">
        <v>123.2</v>
      </c>
      <c r="M85" s="73">
        <v>123.7</v>
      </c>
      <c r="N85" s="73">
        <v>123.7</v>
      </c>
      <c r="O85" s="73">
        <v>124.4</v>
      </c>
      <c r="P85" s="73">
        <v>124.4</v>
      </c>
      <c r="Q85" s="73">
        <v>123.9</v>
      </c>
      <c r="R85" s="73">
        <v>124</v>
      </c>
      <c r="S85" s="73">
        <v>124.1</v>
      </c>
      <c r="T85" s="73">
        <v>125</v>
      </c>
      <c r="U85" s="100">
        <v>126</v>
      </c>
      <c r="V85" s="100">
        <v>127.5</v>
      </c>
      <c r="W85" s="100">
        <v>127.5</v>
      </c>
      <c r="X85" s="100">
        <v>125</v>
      </c>
      <c r="Y85" s="100">
        <v>125.6</v>
      </c>
      <c r="Z85" s="100">
        <v>125.1</v>
      </c>
      <c r="AA85" s="100">
        <v>125.1</v>
      </c>
      <c r="AB85" s="73">
        <v>127.8</v>
      </c>
      <c r="AC85" s="73">
        <v>127.5</v>
      </c>
      <c r="AD85" s="73">
        <v>127.5</v>
      </c>
      <c r="AE85" s="73">
        <v>125.1</v>
      </c>
      <c r="AF85" s="73">
        <v>125.1</v>
      </c>
      <c r="AG85" s="101"/>
      <c r="AH85" s="54">
        <f t="shared" si="19"/>
        <v>127.8</v>
      </c>
      <c r="AI85" s="55">
        <f t="shared" si="20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129.19999999999999</v>
      </c>
      <c r="C86" s="73">
        <v>129.1</v>
      </c>
      <c r="D86" s="73">
        <v>129</v>
      </c>
      <c r="E86" s="73">
        <v>128.30000000000001</v>
      </c>
      <c r="F86" s="73">
        <v>128.9</v>
      </c>
      <c r="G86" s="73">
        <v>129</v>
      </c>
      <c r="H86" s="73">
        <v>126.8</v>
      </c>
      <c r="I86" s="73">
        <v>128.69999999999999</v>
      </c>
      <c r="J86" s="73">
        <v>127.2</v>
      </c>
      <c r="K86" s="73">
        <v>127.3</v>
      </c>
      <c r="L86" s="73">
        <v>125.9</v>
      </c>
      <c r="M86" s="73">
        <v>126.1</v>
      </c>
      <c r="N86" s="73">
        <v>125.6</v>
      </c>
      <c r="O86" s="73">
        <v>126.5</v>
      </c>
      <c r="P86" s="73">
        <v>126.5</v>
      </c>
      <c r="Q86" s="73">
        <v>126.1</v>
      </c>
      <c r="R86" s="73">
        <v>127.1</v>
      </c>
      <c r="S86" s="73">
        <v>127.3</v>
      </c>
      <c r="T86" s="73">
        <v>128</v>
      </c>
      <c r="U86" s="100">
        <v>128</v>
      </c>
      <c r="V86" s="100">
        <v>129.5</v>
      </c>
      <c r="W86" s="100">
        <v>129.5</v>
      </c>
      <c r="X86" s="100">
        <v>127</v>
      </c>
      <c r="Y86" s="100">
        <v>127.7</v>
      </c>
      <c r="Z86" s="100">
        <v>126.6</v>
      </c>
      <c r="AA86" s="100">
        <v>126.6</v>
      </c>
      <c r="AB86" s="73">
        <v>128.69999999999999</v>
      </c>
      <c r="AC86" s="73">
        <v>129.1</v>
      </c>
      <c r="AD86" s="73">
        <v>129.1</v>
      </c>
      <c r="AE86" s="73">
        <v>128.4</v>
      </c>
      <c r="AF86" s="73">
        <v>128.4</v>
      </c>
      <c r="AG86" s="101"/>
      <c r="AH86" s="54">
        <f t="shared" si="19"/>
        <v>129.5</v>
      </c>
      <c r="AI86" s="55">
        <f t="shared" si="20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130.9</v>
      </c>
      <c r="C87" s="73">
        <v>129.9</v>
      </c>
      <c r="D87" s="73">
        <v>129.80000000000001</v>
      </c>
      <c r="E87" s="73">
        <v>128.19999999999999</v>
      </c>
      <c r="F87" s="73">
        <v>130.4</v>
      </c>
      <c r="G87" s="73">
        <v>129.6</v>
      </c>
      <c r="H87" s="73">
        <v>127.3</v>
      </c>
      <c r="I87" s="73">
        <v>127.5</v>
      </c>
      <c r="J87" s="73">
        <v>125.8</v>
      </c>
      <c r="K87" s="73">
        <v>126.1</v>
      </c>
      <c r="L87" s="73">
        <v>126.5</v>
      </c>
      <c r="M87" s="73">
        <v>124.3</v>
      </c>
      <c r="N87" s="73">
        <v>125.6</v>
      </c>
      <c r="O87" s="73">
        <v>129.80000000000001</v>
      </c>
      <c r="P87" s="73">
        <v>129.80000000000001</v>
      </c>
      <c r="Q87" s="73">
        <v>128.30000000000001</v>
      </c>
      <c r="R87" s="73">
        <v>129.9</v>
      </c>
      <c r="S87" s="73">
        <v>129.6</v>
      </c>
      <c r="T87" s="73">
        <v>130</v>
      </c>
      <c r="U87" s="73">
        <v>130</v>
      </c>
      <c r="V87" s="73">
        <v>131</v>
      </c>
      <c r="W87" s="73">
        <v>131</v>
      </c>
      <c r="X87" s="100">
        <v>128</v>
      </c>
      <c r="Y87" s="100">
        <v>127.1</v>
      </c>
      <c r="Z87" s="100">
        <v>129.19999999999999</v>
      </c>
      <c r="AA87" s="100">
        <v>129.19999999999999</v>
      </c>
      <c r="AB87" s="73">
        <v>131.4</v>
      </c>
      <c r="AC87" s="73">
        <v>130.5</v>
      </c>
      <c r="AD87" s="73">
        <v>130.5</v>
      </c>
      <c r="AE87" s="73">
        <v>127.9</v>
      </c>
      <c r="AF87" s="73">
        <v>127.9</v>
      </c>
      <c r="AG87" s="101"/>
      <c r="AH87" s="54">
        <f t="shared" si="19"/>
        <v>131.4</v>
      </c>
      <c r="AI87" s="55">
        <f t="shared" si="20"/>
        <v>124.3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135.80000000000001</v>
      </c>
      <c r="C88" s="73">
        <v>135.19999999999999</v>
      </c>
      <c r="D88" s="73">
        <v>135.30000000000001</v>
      </c>
      <c r="E88" s="73">
        <v>132.4</v>
      </c>
      <c r="F88" s="73">
        <v>134</v>
      </c>
      <c r="G88" s="73">
        <v>133.30000000000001</v>
      </c>
      <c r="H88" s="73">
        <v>130.6</v>
      </c>
      <c r="I88" s="73">
        <v>130.80000000000001</v>
      </c>
      <c r="J88" s="73">
        <v>129.30000000000001</v>
      </c>
      <c r="K88" s="73">
        <v>130.9</v>
      </c>
      <c r="L88" s="73">
        <v>129.4</v>
      </c>
      <c r="M88" s="73">
        <v>127.5</v>
      </c>
      <c r="N88" s="73">
        <v>128.69999999999999</v>
      </c>
      <c r="O88" s="73">
        <v>133</v>
      </c>
      <c r="P88" s="73">
        <v>133</v>
      </c>
      <c r="Q88" s="73">
        <v>132.30000000000001</v>
      </c>
      <c r="R88" s="73">
        <v>133</v>
      </c>
      <c r="S88" s="73">
        <v>132.1</v>
      </c>
      <c r="T88" s="73">
        <v>132</v>
      </c>
      <c r="U88" s="73">
        <v>132</v>
      </c>
      <c r="V88" s="73">
        <v>133</v>
      </c>
      <c r="W88" s="73">
        <v>133</v>
      </c>
      <c r="X88" s="100">
        <v>129</v>
      </c>
      <c r="Y88" s="100">
        <v>130.9</v>
      </c>
      <c r="Z88" s="100">
        <v>133.5</v>
      </c>
      <c r="AA88" s="100">
        <v>133.5</v>
      </c>
      <c r="AB88" s="73">
        <v>135.4</v>
      </c>
      <c r="AC88" s="73">
        <v>134.5</v>
      </c>
      <c r="AD88" s="73">
        <v>134.5</v>
      </c>
      <c r="AE88" s="73">
        <v>131</v>
      </c>
      <c r="AF88" s="73">
        <v>131</v>
      </c>
      <c r="AG88" s="101"/>
      <c r="AH88" s="54">
        <f t="shared" si="19"/>
        <v>135.80000000000001</v>
      </c>
      <c r="AI88" s="55">
        <f t="shared" si="20"/>
        <v>127.5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132.9</v>
      </c>
      <c r="C89" s="104">
        <v>131.19999999999999</v>
      </c>
      <c r="D89" s="104">
        <v>131.1</v>
      </c>
      <c r="E89" s="104">
        <v>125.6</v>
      </c>
      <c r="F89" s="104">
        <v>130.30000000000001</v>
      </c>
      <c r="G89" s="104">
        <v>130.30000000000001</v>
      </c>
      <c r="H89" s="104">
        <v>127.8</v>
      </c>
      <c r="I89" s="104">
        <v>133.9</v>
      </c>
      <c r="J89" s="104">
        <v>134.5</v>
      </c>
      <c r="K89" s="104">
        <v>135.30000000000001</v>
      </c>
      <c r="L89" s="104">
        <v>133.69999999999999</v>
      </c>
      <c r="M89" s="104">
        <v>133.5</v>
      </c>
      <c r="N89" s="104">
        <v>133.30000000000001</v>
      </c>
      <c r="O89" s="104">
        <v>134.9</v>
      </c>
      <c r="P89" s="104">
        <v>134.9</v>
      </c>
      <c r="Q89" s="104">
        <v>133.1</v>
      </c>
      <c r="R89" s="104">
        <v>131.80000000000001</v>
      </c>
      <c r="S89" s="104">
        <v>132.19999999999999</v>
      </c>
      <c r="T89" s="104">
        <v>133</v>
      </c>
      <c r="U89" s="104">
        <v>134</v>
      </c>
      <c r="V89" s="104">
        <v>135</v>
      </c>
      <c r="W89" s="104">
        <v>135</v>
      </c>
      <c r="X89" s="100">
        <v>134.5</v>
      </c>
      <c r="Y89" s="100">
        <v>134.19999999999999</v>
      </c>
      <c r="Z89" s="100">
        <v>134</v>
      </c>
      <c r="AA89" s="100">
        <v>134</v>
      </c>
      <c r="AB89" s="104">
        <v>138.4</v>
      </c>
      <c r="AC89" s="104">
        <v>135.80000000000001</v>
      </c>
      <c r="AD89" s="104">
        <v>135.80000000000001</v>
      </c>
      <c r="AE89" s="104">
        <v>135.1</v>
      </c>
      <c r="AF89" s="104">
        <v>135.1</v>
      </c>
      <c r="AG89" s="105"/>
      <c r="AH89" s="54">
        <f t="shared" si="19"/>
        <v>138.4</v>
      </c>
      <c r="AI89" s="55">
        <f t="shared" si="20"/>
        <v>125.6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136.80000000000001</v>
      </c>
      <c r="C90" s="73">
        <v>133.19999999999999</v>
      </c>
      <c r="D90" s="73">
        <v>134</v>
      </c>
      <c r="E90" s="73">
        <v>133.6</v>
      </c>
      <c r="F90" s="73">
        <v>136.19999999999999</v>
      </c>
      <c r="G90" s="73">
        <v>136.69999999999999</v>
      </c>
      <c r="H90" s="73">
        <v>134.80000000000001</v>
      </c>
      <c r="I90" s="73">
        <v>131.6</v>
      </c>
      <c r="J90" s="73">
        <v>127.5</v>
      </c>
      <c r="K90" s="73">
        <v>130.9</v>
      </c>
      <c r="L90" s="73">
        <v>130.9</v>
      </c>
      <c r="M90" s="73">
        <v>129.1</v>
      </c>
      <c r="N90" s="73">
        <v>133.80000000000001</v>
      </c>
      <c r="O90" s="73">
        <v>132.5</v>
      </c>
      <c r="P90" s="73">
        <v>132.5</v>
      </c>
      <c r="Q90" s="73">
        <v>134</v>
      </c>
      <c r="R90" s="73">
        <v>136.4</v>
      </c>
      <c r="S90" s="73">
        <v>130.4</v>
      </c>
      <c r="T90" s="73">
        <v>130</v>
      </c>
      <c r="U90" s="73">
        <v>130.80000000000001</v>
      </c>
      <c r="V90" s="73">
        <v>131</v>
      </c>
      <c r="W90" s="73">
        <v>131</v>
      </c>
      <c r="X90" s="100">
        <v>131</v>
      </c>
      <c r="Y90" s="100">
        <v>127</v>
      </c>
      <c r="Z90" s="100">
        <v>131.80000000000001</v>
      </c>
      <c r="AA90" s="100">
        <v>131.80000000000001</v>
      </c>
      <c r="AB90" s="73">
        <v>134.1</v>
      </c>
      <c r="AC90" s="73">
        <v>133.80000000000001</v>
      </c>
      <c r="AD90" s="73">
        <v>133.80000000000001</v>
      </c>
      <c r="AE90" s="73">
        <v>135.19999999999999</v>
      </c>
      <c r="AF90" s="73">
        <v>135.19999999999999</v>
      </c>
      <c r="AG90" s="101"/>
      <c r="AH90" s="54">
        <f t="shared" si="19"/>
        <v>136.80000000000001</v>
      </c>
      <c r="AI90" s="55">
        <f t="shared" si="20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65.5</v>
      </c>
      <c r="C91" s="107">
        <v>65.5</v>
      </c>
      <c r="D91" s="107">
        <v>65.599999999999994</v>
      </c>
      <c r="E91" s="107">
        <v>64.5</v>
      </c>
      <c r="F91" s="107">
        <v>65.5</v>
      </c>
      <c r="G91" s="107">
        <v>65.400000000000006</v>
      </c>
      <c r="H91" s="107">
        <v>64.2</v>
      </c>
      <c r="I91" s="107">
        <v>65.7</v>
      </c>
      <c r="J91" s="107">
        <v>64.5</v>
      </c>
      <c r="K91" s="107">
        <v>64.900000000000006</v>
      </c>
      <c r="L91" s="107">
        <v>64.900000000000006</v>
      </c>
      <c r="M91" s="107">
        <v>64</v>
      </c>
      <c r="N91" s="107">
        <v>63.5</v>
      </c>
      <c r="O91" s="107">
        <v>63.8</v>
      </c>
      <c r="P91" s="107">
        <v>63.8</v>
      </c>
      <c r="Q91" s="107">
        <v>63.9</v>
      </c>
      <c r="R91" s="107">
        <v>64.400000000000006</v>
      </c>
      <c r="S91" s="107">
        <v>64.599999999999994</v>
      </c>
      <c r="T91" s="107">
        <v>64.900000000000006</v>
      </c>
      <c r="U91" s="107">
        <v>64.900000000000006</v>
      </c>
      <c r="V91" s="107" t="s">
        <v>218</v>
      </c>
      <c r="W91" s="107" t="s">
        <v>219</v>
      </c>
      <c r="X91" s="107">
        <v>64.400000000000006</v>
      </c>
      <c r="Y91" s="107">
        <v>64.599999999999994</v>
      </c>
      <c r="Z91" s="107">
        <v>64.599999999999994</v>
      </c>
      <c r="AA91" s="107">
        <v>64.599999999999994</v>
      </c>
      <c r="AB91" s="107">
        <v>64.8</v>
      </c>
      <c r="AC91" s="107">
        <v>65.400000000000006</v>
      </c>
      <c r="AD91" s="107">
        <v>65.400000000000006</v>
      </c>
      <c r="AE91" s="107">
        <v>64.900000000000006</v>
      </c>
      <c r="AF91" s="107">
        <v>64.900000000000006</v>
      </c>
      <c r="AG91" s="108"/>
      <c r="AH91" s="54">
        <f t="shared" si="19"/>
        <v>65.7</v>
      </c>
      <c r="AI91" s="55">
        <f t="shared" si="20"/>
        <v>63.5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6.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194.74</v>
      </c>
      <c r="C93" s="114">
        <f>SUM(C15,C18,C21:C22,C42,C44:C45,C47,C49,C94:C97,C102,C108,C114,C123,C125,C137,C144,C147:C148,C155,C157,C159,C163:C165,C167:C169,C174,C180:C181,C183:C185,C193,C198)</f>
        <v>179.44</v>
      </c>
      <c r="D93" s="114">
        <f t="shared" ref="D93:AF93" si="28">SUM(D15,D18,D21:D22,D42,D44:D45,D47,D49,D94:D97,D102,D108,D114,D123,D125,D137,D144,D147:D148,D155,D157,D159,D163:D165,D167:D169,D174,D180:D181,D183:D185,D193,D198)</f>
        <v>176.23999999999995</v>
      </c>
      <c r="E93" s="114">
        <f t="shared" si="28"/>
        <v>174.94</v>
      </c>
      <c r="F93" s="114">
        <f t="shared" si="28"/>
        <v>180.94</v>
      </c>
      <c r="G93" s="113">
        <f t="shared" si="28"/>
        <v>215.33999999999997</v>
      </c>
      <c r="H93" s="113">
        <f t="shared" si="28"/>
        <v>226.23999999999995</v>
      </c>
      <c r="I93" s="113">
        <f t="shared" si="28"/>
        <v>227.83999999999997</v>
      </c>
      <c r="J93" s="113">
        <f t="shared" si="28"/>
        <v>310.14000000000004</v>
      </c>
      <c r="K93" s="113">
        <f t="shared" si="28"/>
        <v>361.04000000000008</v>
      </c>
      <c r="L93" s="113">
        <f t="shared" si="28"/>
        <v>360.74</v>
      </c>
      <c r="M93" s="113">
        <f t="shared" si="28"/>
        <v>402.53999999999996</v>
      </c>
      <c r="N93" s="113">
        <f t="shared" si="28"/>
        <v>397.14</v>
      </c>
      <c r="O93" s="113">
        <f t="shared" si="28"/>
        <v>384.44000000000005</v>
      </c>
      <c r="P93" s="113">
        <f t="shared" si="28"/>
        <v>379.44000000000005</v>
      </c>
      <c r="Q93" s="113">
        <f t="shared" si="28"/>
        <v>358.24</v>
      </c>
      <c r="R93" s="113">
        <f t="shared" si="28"/>
        <v>377.64000000000004</v>
      </c>
      <c r="S93" s="113">
        <f t="shared" si="28"/>
        <v>344.64</v>
      </c>
      <c r="T93" s="113">
        <f t="shared" si="28"/>
        <v>345.24</v>
      </c>
      <c r="U93" s="113">
        <f t="shared" si="28"/>
        <v>343.84000000000003</v>
      </c>
      <c r="V93" s="113">
        <f t="shared" si="28"/>
        <v>347.84000000000003</v>
      </c>
      <c r="W93" s="113">
        <f t="shared" si="28"/>
        <v>359.84000000000003</v>
      </c>
      <c r="X93" s="113">
        <f t="shared" si="28"/>
        <v>388.84000000000003</v>
      </c>
      <c r="Y93" s="178">
        <f>SUM(Y137,Y94:Y97,Y12,Y16,Y22,Y28,Y29,Y42,Y44:Y45,Y47,Y49)</f>
        <v>429.51999999999992</v>
      </c>
      <c r="Z93" s="113">
        <f t="shared" si="28"/>
        <v>452.14000000000004</v>
      </c>
      <c r="AA93" s="113">
        <f t="shared" si="28"/>
        <v>436.64000000000004</v>
      </c>
      <c r="AB93" s="113">
        <f t="shared" si="28"/>
        <v>413.34000000000009</v>
      </c>
      <c r="AC93" s="113">
        <f t="shared" si="28"/>
        <v>394.94000000000005</v>
      </c>
      <c r="AD93" s="113">
        <f t="shared" si="28"/>
        <v>329.44000000000005</v>
      </c>
      <c r="AE93" s="113">
        <f t="shared" si="28"/>
        <v>238.23999999999995</v>
      </c>
      <c r="AF93" s="113">
        <f t="shared" si="28"/>
        <v>194.83999999999997</v>
      </c>
      <c r="AG93" s="115"/>
      <c r="AH93" s="54">
        <f>MAX(C93:AF93)</f>
        <v>452.14000000000004</v>
      </c>
      <c r="AI93" s="55">
        <f>MIN(C93:AF93)</f>
        <v>174.94</v>
      </c>
    </row>
    <row r="94" spans="1:88" x14ac:dyDescent="0.25">
      <c r="A94" s="116" t="s">
        <v>98</v>
      </c>
      <c r="B94" s="117">
        <v>-29.3</v>
      </c>
      <c r="C94" s="58">
        <v>-30.2</v>
      </c>
      <c r="D94" s="58">
        <v>-37</v>
      </c>
      <c r="E94" s="58">
        <v>-42.6</v>
      </c>
      <c r="F94" s="58">
        <v>-37</v>
      </c>
      <c r="G94" s="118">
        <v>-8.3000000000000007</v>
      </c>
      <c r="H94" s="118">
        <v>-2.2999999999999998</v>
      </c>
      <c r="I94" s="118">
        <v>-2.2999999999999998</v>
      </c>
      <c r="J94" s="118">
        <v>16.399999999999999</v>
      </c>
      <c r="K94" s="118">
        <v>59.1</v>
      </c>
      <c r="L94" s="118">
        <v>59.1</v>
      </c>
      <c r="M94" s="119">
        <v>47.3</v>
      </c>
      <c r="N94" s="118">
        <v>58.5</v>
      </c>
      <c r="O94" s="118">
        <v>70.2</v>
      </c>
      <c r="P94" s="118">
        <v>49.3</v>
      </c>
      <c r="Q94" s="118">
        <v>28</v>
      </c>
      <c r="R94" s="118">
        <v>28.8</v>
      </c>
      <c r="S94" s="118">
        <v>6.5</v>
      </c>
      <c r="T94" s="118">
        <v>6</v>
      </c>
      <c r="U94" s="119">
        <v>6</v>
      </c>
      <c r="V94" s="119">
        <v>20</v>
      </c>
      <c r="W94" s="119">
        <v>37</v>
      </c>
      <c r="X94" s="118">
        <v>50</v>
      </c>
      <c r="Y94" s="118">
        <v>54.2</v>
      </c>
      <c r="Z94" s="118">
        <v>58.1</v>
      </c>
      <c r="AA94" s="118">
        <v>60</v>
      </c>
      <c r="AB94" s="119">
        <v>70.2</v>
      </c>
      <c r="AC94" s="119">
        <v>53.4</v>
      </c>
      <c r="AD94" s="119">
        <v>45</v>
      </c>
      <c r="AE94" s="119">
        <v>-15</v>
      </c>
      <c r="AF94" s="119">
        <v>-38</v>
      </c>
      <c r="AG94" s="120">
        <v>75</v>
      </c>
      <c r="AH94" s="54">
        <f t="shared" ref="AH94:AH99" si="29">IF(ABS(MAX(C94:AF94))&gt;ABS(MIN(C94:AF94)),MAX(C94:AF94),MIN(C94:AF94))</f>
        <v>70.2</v>
      </c>
      <c r="AI94" s="121">
        <f t="shared" ref="AI94:AI99" si="30">INDEX($C$9:$AF$9,1,MATCH(AH94,C94:AF94,0))</f>
        <v>0.41666666666666702</v>
      </c>
    </row>
    <row r="95" spans="1:88" x14ac:dyDescent="0.25">
      <c r="A95" s="122" t="s">
        <v>99</v>
      </c>
      <c r="B95" s="123">
        <v>-29</v>
      </c>
      <c r="C95" s="60">
        <v>-34</v>
      </c>
      <c r="D95" s="60">
        <v>-31.8</v>
      </c>
      <c r="E95" s="60">
        <v>-32.5</v>
      </c>
      <c r="F95" s="60">
        <v>-32.299999999999997</v>
      </c>
      <c r="G95" s="60">
        <v>-28</v>
      </c>
      <c r="H95" s="60">
        <v>-23.6</v>
      </c>
      <c r="I95" s="60">
        <v>-23.6</v>
      </c>
      <c r="J95" s="60">
        <v>15.1</v>
      </c>
      <c r="K95" s="60">
        <v>32.4</v>
      </c>
      <c r="L95" s="60">
        <v>32.4</v>
      </c>
      <c r="M95" s="60">
        <v>44.6</v>
      </c>
      <c r="N95" s="60">
        <v>40.1</v>
      </c>
      <c r="O95" s="60">
        <v>26.9</v>
      </c>
      <c r="P95" s="60">
        <v>54.2</v>
      </c>
      <c r="Q95" s="60">
        <v>57.3</v>
      </c>
      <c r="R95" s="60">
        <v>56.2</v>
      </c>
      <c r="S95" s="60">
        <f>27.4+26.2</f>
        <v>53.599999999999994</v>
      </c>
      <c r="T95" s="60">
        <v>50</v>
      </c>
      <c r="U95" s="60">
        <v>45</v>
      </c>
      <c r="V95" s="60">
        <v>30</v>
      </c>
      <c r="W95" s="60">
        <v>22</v>
      </c>
      <c r="X95" s="60">
        <v>60</v>
      </c>
      <c r="Y95" s="60">
        <f>41.4+41.2</f>
        <v>82.6</v>
      </c>
      <c r="Z95" s="60">
        <v>79.900000000000006</v>
      </c>
      <c r="AA95" s="60">
        <v>70.599999999999994</v>
      </c>
      <c r="AB95" s="73">
        <v>38</v>
      </c>
      <c r="AC95" s="73">
        <f>25.2+23.8</f>
        <v>49</v>
      </c>
      <c r="AD95" s="73">
        <v>14</v>
      </c>
      <c r="AE95" s="73">
        <f>-3.3-3.8</f>
        <v>-7.1</v>
      </c>
      <c r="AF95" s="73">
        <v>-19</v>
      </c>
      <c r="AG95" s="120">
        <v>240</v>
      </c>
      <c r="AH95" s="54">
        <f t="shared" si="29"/>
        <v>82.6</v>
      </c>
      <c r="AI95" s="121">
        <f t="shared" si="30"/>
        <v>0.77083333333333337</v>
      </c>
    </row>
    <row r="96" spans="1:88" x14ac:dyDescent="0.25">
      <c r="A96" s="122" t="s">
        <v>100</v>
      </c>
      <c r="B96" s="123">
        <v>-8.6999999999999993</v>
      </c>
      <c r="C96" s="60">
        <v>-10</v>
      </c>
      <c r="D96" s="60">
        <v>-9.1999999999999993</v>
      </c>
      <c r="E96" s="60">
        <v>-12</v>
      </c>
      <c r="F96" s="60">
        <v>-9</v>
      </c>
      <c r="G96" s="60">
        <v>-8.4</v>
      </c>
      <c r="H96" s="60">
        <v>-11.7</v>
      </c>
      <c r="I96" s="60">
        <v>-11.7</v>
      </c>
      <c r="J96" s="60">
        <v>4.3</v>
      </c>
      <c r="K96" s="60">
        <v>17.3</v>
      </c>
      <c r="L96" s="60">
        <v>17.3</v>
      </c>
      <c r="M96" s="60">
        <v>39.799999999999997</v>
      </c>
      <c r="N96" s="60">
        <v>43.1</v>
      </c>
      <c r="O96" s="60">
        <v>43.7</v>
      </c>
      <c r="P96" s="60">
        <v>42</v>
      </c>
      <c r="Q96" s="60">
        <v>43.5</v>
      </c>
      <c r="R96" s="60">
        <v>35.9</v>
      </c>
      <c r="S96" s="60">
        <v>34.200000000000003</v>
      </c>
      <c r="T96" s="60">
        <v>36</v>
      </c>
      <c r="U96" s="60">
        <v>38</v>
      </c>
      <c r="V96" s="60">
        <v>45</v>
      </c>
      <c r="W96" s="60">
        <v>50</v>
      </c>
      <c r="X96" s="60">
        <v>50</v>
      </c>
      <c r="Y96" s="60">
        <v>54</v>
      </c>
      <c r="Z96" s="60">
        <v>54.2</v>
      </c>
      <c r="AA96" s="60">
        <v>52.1</v>
      </c>
      <c r="AB96" s="73">
        <v>60.1</v>
      </c>
      <c r="AC96" s="73">
        <v>39.200000000000003</v>
      </c>
      <c r="AD96" s="73">
        <v>18.2</v>
      </c>
      <c r="AE96" s="73">
        <v>-5.4</v>
      </c>
      <c r="AF96" s="73">
        <v>-14</v>
      </c>
      <c r="AG96" s="120">
        <v>60</v>
      </c>
      <c r="AH96" s="54">
        <f t="shared" si="29"/>
        <v>60.1</v>
      </c>
      <c r="AI96" s="121">
        <f t="shared" si="30"/>
        <v>0.83333333333333337</v>
      </c>
    </row>
    <row r="97" spans="1:37" x14ac:dyDescent="0.25">
      <c r="A97" s="124" t="s">
        <v>101</v>
      </c>
      <c r="B97" s="125">
        <v>95.2</v>
      </c>
      <c r="C97" s="63">
        <v>88.4</v>
      </c>
      <c r="D97" s="63">
        <v>91.3</v>
      </c>
      <c r="E97" s="63">
        <v>98.8</v>
      </c>
      <c r="F97" s="63">
        <v>96</v>
      </c>
      <c r="G97" s="63">
        <v>95</v>
      </c>
      <c r="H97" s="63">
        <v>99.1</v>
      </c>
      <c r="I97" s="63">
        <v>99.1</v>
      </c>
      <c r="J97" s="63">
        <v>108</v>
      </c>
      <c r="K97" s="63">
        <v>85.9</v>
      </c>
      <c r="L97" s="63">
        <v>85.9</v>
      </c>
      <c r="M97" s="63">
        <v>106.6</v>
      </c>
      <c r="N97" s="63">
        <v>94.1</v>
      </c>
      <c r="O97" s="63">
        <v>81.099999999999994</v>
      </c>
      <c r="P97" s="63">
        <v>71.400000000000006</v>
      </c>
      <c r="Q97" s="63">
        <v>68.900000000000006</v>
      </c>
      <c r="R97" s="63">
        <v>98.6</v>
      </c>
      <c r="S97" s="63">
        <v>92.1</v>
      </c>
      <c r="T97" s="63">
        <v>95</v>
      </c>
      <c r="U97" s="63">
        <v>97</v>
      </c>
      <c r="V97" s="63">
        <v>95</v>
      </c>
      <c r="W97" s="63">
        <v>93</v>
      </c>
      <c r="X97" s="63">
        <v>71</v>
      </c>
      <c r="Y97" s="63">
        <v>95.7</v>
      </c>
      <c r="Z97" s="63">
        <v>96</v>
      </c>
      <c r="AA97" s="63">
        <v>90</v>
      </c>
      <c r="AB97" s="126">
        <v>80.8</v>
      </c>
      <c r="AC97" s="126">
        <v>89.1</v>
      </c>
      <c r="AD97" s="126">
        <v>88</v>
      </c>
      <c r="AE97" s="126">
        <v>97.7</v>
      </c>
      <c r="AF97" s="126">
        <v>97.8</v>
      </c>
      <c r="AG97" s="127">
        <v>120</v>
      </c>
      <c r="AH97" s="54">
        <f t="shared" si="29"/>
        <v>108</v>
      </c>
      <c r="AI97" s="121">
        <f t="shared" si="30"/>
        <v>0.27083333333333331</v>
      </c>
    </row>
    <row r="98" spans="1:37" x14ac:dyDescent="0.25">
      <c r="A98" s="124" t="s">
        <v>102</v>
      </c>
      <c r="B98" s="125">
        <v>98.4</v>
      </c>
      <c r="C98" s="63">
        <v>93</v>
      </c>
      <c r="D98" s="63">
        <v>97.8</v>
      </c>
      <c r="E98" s="63">
        <v>102.4</v>
      </c>
      <c r="F98" s="63">
        <v>101</v>
      </c>
      <c r="G98" s="63">
        <v>99</v>
      </c>
      <c r="H98" s="63">
        <v>100.5</v>
      </c>
      <c r="I98" s="63">
        <v>100.5</v>
      </c>
      <c r="J98" s="63">
        <v>86.8</v>
      </c>
      <c r="K98" s="63">
        <v>72.599999999999994</v>
      </c>
      <c r="L98" s="63">
        <v>72.599999999999994</v>
      </c>
      <c r="M98" s="63">
        <v>73.400000000000006</v>
      </c>
      <c r="N98" s="63">
        <v>60.6</v>
      </c>
      <c r="O98" s="63">
        <v>42.1</v>
      </c>
      <c r="P98" s="63">
        <v>74.2</v>
      </c>
      <c r="Q98" s="63">
        <v>85.5</v>
      </c>
      <c r="R98" s="63">
        <v>103.6</v>
      </c>
      <c r="S98" s="63">
        <v>105.6</v>
      </c>
      <c r="T98" s="63">
        <v>100</v>
      </c>
      <c r="U98" s="63">
        <v>91</v>
      </c>
      <c r="V98" s="63">
        <v>70</v>
      </c>
      <c r="W98" s="63">
        <v>60</v>
      </c>
      <c r="X98" s="63">
        <v>80</v>
      </c>
      <c r="Y98" s="63">
        <v>85.4</v>
      </c>
      <c r="Z98" s="63">
        <v>88.6</v>
      </c>
      <c r="AA98" s="63">
        <v>78.900000000000006</v>
      </c>
      <c r="AB98" s="126">
        <v>40.6</v>
      </c>
      <c r="AC98" s="126">
        <v>61.8</v>
      </c>
      <c r="AD98" s="126">
        <v>90</v>
      </c>
      <c r="AE98" s="126">
        <v>95.1</v>
      </c>
      <c r="AF98" s="126">
        <v>101</v>
      </c>
      <c r="AG98" s="127"/>
      <c r="AH98" s="54">
        <f t="shared" si="29"/>
        <v>105.6</v>
      </c>
      <c r="AI98" s="121">
        <f t="shared" si="30"/>
        <v>0.58333333333333304</v>
      </c>
    </row>
    <row r="99" spans="1:37" ht="15.75" thickBot="1" x14ac:dyDescent="0.3">
      <c r="A99" s="124" t="s">
        <v>103</v>
      </c>
      <c r="B99" s="125">
        <v>68.099999999999994</v>
      </c>
      <c r="C99" s="63">
        <v>70.3</v>
      </c>
      <c r="D99" s="63">
        <v>74.7</v>
      </c>
      <c r="E99" s="63">
        <v>81</v>
      </c>
      <c r="F99" s="63">
        <v>80.599999999999994</v>
      </c>
      <c r="G99" s="63">
        <v>46</v>
      </c>
      <c r="H99" s="63">
        <v>50.2</v>
      </c>
      <c r="I99" s="63">
        <v>50.2</v>
      </c>
      <c r="J99" s="63">
        <v>39.5</v>
      </c>
      <c r="K99" s="63">
        <v>18.100000000000001</v>
      </c>
      <c r="L99" s="63">
        <v>18.100000000000001</v>
      </c>
      <c r="M99" s="63">
        <v>25.8</v>
      </c>
      <c r="N99" s="63">
        <v>17.600000000000001</v>
      </c>
      <c r="O99" s="63">
        <v>9</v>
      </c>
      <c r="P99" s="63">
        <v>27.1</v>
      </c>
      <c r="Q99" s="63">
        <v>32.200000000000003</v>
      </c>
      <c r="R99" s="63">
        <v>38.9</v>
      </c>
      <c r="S99" s="63">
        <v>38.9</v>
      </c>
      <c r="T99" s="63">
        <v>40</v>
      </c>
      <c r="U99" s="63">
        <v>42</v>
      </c>
      <c r="V99" s="63">
        <v>20</v>
      </c>
      <c r="W99" s="63">
        <v>9</v>
      </c>
      <c r="X99" s="63">
        <v>20</v>
      </c>
      <c r="Y99" s="63">
        <v>14.7</v>
      </c>
      <c r="Z99" s="63">
        <v>20.7</v>
      </c>
      <c r="AA99" s="63">
        <v>15</v>
      </c>
      <c r="AB99" s="126">
        <v>5.7</v>
      </c>
      <c r="AC99" s="126">
        <v>22.2</v>
      </c>
      <c r="AD99" s="126">
        <v>61</v>
      </c>
      <c r="AE99" s="126">
        <v>48.6</v>
      </c>
      <c r="AF99" s="126">
        <v>82</v>
      </c>
      <c r="AG99" s="128"/>
      <c r="AH99" s="54">
        <f t="shared" si="29"/>
        <v>82</v>
      </c>
      <c r="AI99" s="121">
        <f t="shared" si="30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31">AF101</f>
        <v>9.9</v>
      </c>
      <c r="C101" s="53">
        <v>9.9</v>
      </c>
      <c r="D101" s="134">
        <f t="shared" ref="D101:S106" si="32">C101</f>
        <v>9.9</v>
      </c>
      <c r="E101" s="134">
        <f t="shared" si="32"/>
        <v>9.9</v>
      </c>
      <c r="F101" s="134">
        <f t="shared" si="32"/>
        <v>9.9</v>
      </c>
      <c r="G101" s="134">
        <f t="shared" si="32"/>
        <v>9.9</v>
      </c>
      <c r="H101" s="134">
        <f t="shared" si="32"/>
        <v>9.9</v>
      </c>
      <c r="I101" s="134">
        <f t="shared" si="32"/>
        <v>9.9</v>
      </c>
      <c r="J101" s="134">
        <f t="shared" si="32"/>
        <v>9.9</v>
      </c>
      <c r="K101" s="134">
        <f t="shared" si="32"/>
        <v>9.9</v>
      </c>
      <c r="L101" s="134">
        <f t="shared" si="32"/>
        <v>9.9</v>
      </c>
      <c r="M101" s="134">
        <f t="shared" si="32"/>
        <v>9.9</v>
      </c>
      <c r="N101" s="134">
        <f t="shared" si="32"/>
        <v>9.9</v>
      </c>
      <c r="O101" s="134">
        <f t="shared" si="32"/>
        <v>9.9</v>
      </c>
      <c r="P101" s="134">
        <f t="shared" si="32"/>
        <v>9.9</v>
      </c>
      <c r="Q101" s="134">
        <f t="shared" si="32"/>
        <v>9.9</v>
      </c>
      <c r="R101" s="134">
        <f t="shared" si="32"/>
        <v>9.9</v>
      </c>
      <c r="S101" s="134">
        <f t="shared" si="32"/>
        <v>9.9</v>
      </c>
      <c r="T101" s="134">
        <f t="shared" ref="T101:AF106" si="33">S101</f>
        <v>9.9</v>
      </c>
      <c r="U101" s="134">
        <f t="shared" si="33"/>
        <v>9.9</v>
      </c>
      <c r="V101" s="134">
        <f t="shared" si="33"/>
        <v>9.9</v>
      </c>
      <c r="W101" s="134">
        <f t="shared" si="33"/>
        <v>9.9</v>
      </c>
      <c r="X101" s="134">
        <f t="shared" si="33"/>
        <v>9.9</v>
      </c>
      <c r="Y101" s="134">
        <f t="shared" si="33"/>
        <v>9.9</v>
      </c>
      <c r="Z101" s="134">
        <f t="shared" si="33"/>
        <v>9.9</v>
      </c>
      <c r="AA101" s="134">
        <f t="shared" si="33"/>
        <v>9.9</v>
      </c>
      <c r="AB101" s="134">
        <f t="shared" si="33"/>
        <v>9.9</v>
      </c>
      <c r="AC101" s="134">
        <f t="shared" si="33"/>
        <v>9.9</v>
      </c>
      <c r="AD101" s="134">
        <f t="shared" si="33"/>
        <v>9.9</v>
      </c>
      <c r="AE101" s="134">
        <f t="shared" si="33"/>
        <v>9.9</v>
      </c>
      <c r="AF101" s="134">
        <f t="shared" si="33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31"/>
        <v>9.6</v>
      </c>
      <c r="C102" s="137">
        <v>9.6</v>
      </c>
      <c r="D102" s="136">
        <f t="shared" si="32"/>
        <v>9.6</v>
      </c>
      <c r="E102" s="136">
        <f t="shared" si="32"/>
        <v>9.6</v>
      </c>
      <c r="F102" s="136">
        <f t="shared" si="32"/>
        <v>9.6</v>
      </c>
      <c r="G102" s="136">
        <f t="shared" si="32"/>
        <v>9.6</v>
      </c>
      <c r="H102" s="136">
        <f t="shared" si="32"/>
        <v>9.6</v>
      </c>
      <c r="I102" s="136">
        <f t="shared" si="32"/>
        <v>9.6</v>
      </c>
      <c r="J102" s="136">
        <f t="shared" si="32"/>
        <v>9.6</v>
      </c>
      <c r="K102" s="136">
        <f t="shared" si="32"/>
        <v>9.6</v>
      </c>
      <c r="L102" s="136">
        <f t="shared" si="32"/>
        <v>9.6</v>
      </c>
      <c r="M102" s="136">
        <f t="shared" si="32"/>
        <v>9.6</v>
      </c>
      <c r="N102" s="136">
        <f t="shared" si="32"/>
        <v>9.6</v>
      </c>
      <c r="O102" s="136">
        <f t="shared" si="32"/>
        <v>9.6</v>
      </c>
      <c r="P102" s="136">
        <f t="shared" si="32"/>
        <v>9.6</v>
      </c>
      <c r="Q102" s="136">
        <f t="shared" si="32"/>
        <v>9.6</v>
      </c>
      <c r="R102" s="136">
        <f t="shared" si="32"/>
        <v>9.6</v>
      </c>
      <c r="S102" s="136">
        <f t="shared" si="32"/>
        <v>9.6</v>
      </c>
      <c r="T102" s="136">
        <f t="shared" si="33"/>
        <v>9.6</v>
      </c>
      <c r="U102" s="136">
        <f t="shared" si="33"/>
        <v>9.6</v>
      </c>
      <c r="V102" s="136">
        <f t="shared" si="33"/>
        <v>9.6</v>
      </c>
      <c r="W102" s="136">
        <f t="shared" si="33"/>
        <v>9.6</v>
      </c>
      <c r="X102" s="136">
        <f t="shared" si="33"/>
        <v>9.6</v>
      </c>
      <c r="Y102" s="136">
        <f t="shared" si="33"/>
        <v>9.6</v>
      </c>
      <c r="Z102" s="136">
        <f t="shared" si="33"/>
        <v>9.6</v>
      </c>
      <c r="AA102" s="136">
        <f t="shared" si="33"/>
        <v>9.6</v>
      </c>
      <c r="AB102" s="136">
        <f t="shared" si="33"/>
        <v>9.6</v>
      </c>
      <c r="AC102" s="136">
        <f t="shared" si="33"/>
        <v>9.6</v>
      </c>
      <c r="AD102" s="136">
        <f t="shared" si="33"/>
        <v>9.6</v>
      </c>
      <c r="AE102" s="136">
        <f t="shared" si="33"/>
        <v>9.6</v>
      </c>
      <c r="AF102" s="136">
        <f t="shared" si="33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31"/>
        <v>9.98</v>
      </c>
      <c r="C103" s="137">
        <v>9.98</v>
      </c>
      <c r="D103" s="136">
        <f t="shared" si="32"/>
        <v>9.98</v>
      </c>
      <c r="E103" s="136">
        <f t="shared" si="32"/>
        <v>9.98</v>
      </c>
      <c r="F103" s="136">
        <f t="shared" si="32"/>
        <v>9.98</v>
      </c>
      <c r="G103" s="136">
        <f t="shared" si="32"/>
        <v>9.98</v>
      </c>
      <c r="H103" s="136">
        <f t="shared" si="32"/>
        <v>9.98</v>
      </c>
      <c r="I103" s="136">
        <f t="shared" si="32"/>
        <v>9.98</v>
      </c>
      <c r="J103" s="136">
        <f t="shared" si="32"/>
        <v>9.98</v>
      </c>
      <c r="K103" s="136">
        <f t="shared" si="32"/>
        <v>9.98</v>
      </c>
      <c r="L103" s="136">
        <f t="shared" si="32"/>
        <v>9.98</v>
      </c>
      <c r="M103" s="136">
        <f t="shared" si="32"/>
        <v>9.98</v>
      </c>
      <c r="N103" s="136">
        <f t="shared" si="32"/>
        <v>9.98</v>
      </c>
      <c r="O103" s="136">
        <f t="shared" si="32"/>
        <v>9.98</v>
      </c>
      <c r="P103" s="136">
        <f t="shared" si="32"/>
        <v>9.98</v>
      </c>
      <c r="Q103" s="136">
        <f t="shared" si="32"/>
        <v>9.98</v>
      </c>
      <c r="R103" s="136">
        <f t="shared" si="32"/>
        <v>9.98</v>
      </c>
      <c r="S103" s="136">
        <f t="shared" si="32"/>
        <v>9.98</v>
      </c>
      <c r="T103" s="136">
        <f t="shared" si="33"/>
        <v>9.98</v>
      </c>
      <c r="U103" s="136">
        <f t="shared" si="33"/>
        <v>9.98</v>
      </c>
      <c r="V103" s="136">
        <f t="shared" si="33"/>
        <v>9.98</v>
      </c>
      <c r="W103" s="136">
        <f t="shared" si="33"/>
        <v>9.98</v>
      </c>
      <c r="X103" s="136">
        <f t="shared" si="33"/>
        <v>9.98</v>
      </c>
      <c r="Y103" s="136">
        <f t="shared" si="33"/>
        <v>9.98</v>
      </c>
      <c r="Z103" s="136">
        <f t="shared" si="33"/>
        <v>9.98</v>
      </c>
      <c r="AA103" s="136">
        <f t="shared" si="33"/>
        <v>9.98</v>
      </c>
      <c r="AB103" s="136">
        <f t="shared" si="33"/>
        <v>9.98</v>
      </c>
      <c r="AC103" s="136">
        <f t="shared" si="33"/>
        <v>9.98</v>
      </c>
      <c r="AD103" s="136">
        <f t="shared" si="33"/>
        <v>9.98</v>
      </c>
      <c r="AE103" s="136">
        <f t="shared" si="33"/>
        <v>9.98</v>
      </c>
      <c r="AF103" s="136">
        <f t="shared" si="33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31"/>
        <v>9.1</v>
      </c>
      <c r="C104" s="137">
        <v>9.1</v>
      </c>
      <c r="D104" s="136">
        <f t="shared" si="32"/>
        <v>9.1</v>
      </c>
      <c r="E104" s="136">
        <f t="shared" si="32"/>
        <v>9.1</v>
      </c>
      <c r="F104" s="136">
        <f t="shared" si="32"/>
        <v>9.1</v>
      </c>
      <c r="G104" s="136">
        <f t="shared" si="32"/>
        <v>9.1</v>
      </c>
      <c r="H104" s="136">
        <f t="shared" si="32"/>
        <v>9.1</v>
      </c>
      <c r="I104" s="136">
        <f t="shared" si="32"/>
        <v>9.1</v>
      </c>
      <c r="J104" s="136">
        <f t="shared" si="32"/>
        <v>9.1</v>
      </c>
      <c r="K104" s="136">
        <f t="shared" si="32"/>
        <v>9.1</v>
      </c>
      <c r="L104" s="136">
        <f t="shared" si="32"/>
        <v>9.1</v>
      </c>
      <c r="M104" s="136">
        <f t="shared" si="32"/>
        <v>9.1</v>
      </c>
      <c r="N104" s="136">
        <f t="shared" si="32"/>
        <v>9.1</v>
      </c>
      <c r="O104" s="136">
        <f t="shared" si="32"/>
        <v>9.1</v>
      </c>
      <c r="P104" s="136">
        <f t="shared" si="32"/>
        <v>9.1</v>
      </c>
      <c r="Q104" s="136">
        <f t="shared" si="32"/>
        <v>9.1</v>
      </c>
      <c r="R104" s="136">
        <f t="shared" si="32"/>
        <v>9.1</v>
      </c>
      <c r="S104" s="136">
        <f t="shared" si="32"/>
        <v>9.1</v>
      </c>
      <c r="T104" s="136">
        <f t="shared" si="33"/>
        <v>9.1</v>
      </c>
      <c r="U104" s="136">
        <f t="shared" si="33"/>
        <v>9.1</v>
      </c>
      <c r="V104" s="136">
        <f t="shared" si="33"/>
        <v>9.1</v>
      </c>
      <c r="W104" s="136">
        <f t="shared" si="33"/>
        <v>9.1</v>
      </c>
      <c r="X104" s="136">
        <f t="shared" si="33"/>
        <v>9.1</v>
      </c>
      <c r="Y104" s="136">
        <f t="shared" si="33"/>
        <v>9.1</v>
      </c>
      <c r="Z104" s="136">
        <f t="shared" si="33"/>
        <v>9.1</v>
      </c>
      <c r="AA104" s="136">
        <f t="shared" si="33"/>
        <v>9.1</v>
      </c>
      <c r="AB104" s="136">
        <f t="shared" si="33"/>
        <v>9.1</v>
      </c>
      <c r="AC104" s="136">
        <f t="shared" si="33"/>
        <v>9.1</v>
      </c>
      <c r="AD104" s="136">
        <f t="shared" si="33"/>
        <v>9.1</v>
      </c>
      <c r="AE104" s="136">
        <f t="shared" si="33"/>
        <v>9.1</v>
      </c>
      <c r="AF104" s="136">
        <f t="shared" si="33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31"/>
        <v>9.18</v>
      </c>
      <c r="C105" s="137">
        <v>9.18</v>
      </c>
      <c r="D105" s="136">
        <f t="shared" si="32"/>
        <v>9.18</v>
      </c>
      <c r="E105" s="136">
        <f t="shared" si="32"/>
        <v>9.18</v>
      </c>
      <c r="F105" s="136">
        <f t="shared" si="32"/>
        <v>9.18</v>
      </c>
      <c r="G105" s="136">
        <f t="shared" si="32"/>
        <v>9.18</v>
      </c>
      <c r="H105" s="136">
        <f t="shared" si="32"/>
        <v>9.18</v>
      </c>
      <c r="I105" s="136">
        <f t="shared" si="32"/>
        <v>9.18</v>
      </c>
      <c r="J105" s="136">
        <f t="shared" si="32"/>
        <v>9.18</v>
      </c>
      <c r="K105" s="136">
        <f t="shared" si="32"/>
        <v>9.18</v>
      </c>
      <c r="L105" s="136">
        <f t="shared" si="32"/>
        <v>9.18</v>
      </c>
      <c r="M105" s="136">
        <f t="shared" si="32"/>
        <v>9.18</v>
      </c>
      <c r="N105" s="136">
        <f t="shared" si="32"/>
        <v>9.18</v>
      </c>
      <c r="O105" s="136">
        <f t="shared" si="32"/>
        <v>9.18</v>
      </c>
      <c r="P105" s="136">
        <f t="shared" si="32"/>
        <v>9.18</v>
      </c>
      <c r="Q105" s="136">
        <f t="shared" si="32"/>
        <v>9.18</v>
      </c>
      <c r="R105" s="136">
        <f t="shared" si="32"/>
        <v>9.18</v>
      </c>
      <c r="S105" s="136">
        <f t="shared" si="32"/>
        <v>9.18</v>
      </c>
      <c r="T105" s="136">
        <f t="shared" si="33"/>
        <v>9.18</v>
      </c>
      <c r="U105" s="136">
        <f t="shared" si="33"/>
        <v>9.18</v>
      </c>
      <c r="V105" s="136">
        <f t="shared" si="33"/>
        <v>9.18</v>
      </c>
      <c r="W105" s="136">
        <f t="shared" si="33"/>
        <v>9.18</v>
      </c>
      <c r="X105" s="136">
        <f t="shared" si="33"/>
        <v>9.18</v>
      </c>
      <c r="Y105" s="136">
        <f t="shared" si="33"/>
        <v>9.18</v>
      </c>
      <c r="Z105" s="136">
        <f t="shared" si="33"/>
        <v>9.18</v>
      </c>
      <c r="AA105" s="136">
        <f t="shared" si="33"/>
        <v>9.18</v>
      </c>
      <c r="AB105" s="136">
        <f t="shared" si="33"/>
        <v>9.18</v>
      </c>
      <c r="AC105" s="136">
        <f t="shared" si="33"/>
        <v>9.18</v>
      </c>
      <c r="AD105" s="136">
        <f t="shared" si="33"/>
        <v>9.18</v>
      </c>
      <c r="AE105" s="136">
        <f t="shared" si="33"/>
        <v>9.18</v>
      </c>
      <c r="AF105" s="136">
        <f t="shared" si="33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31"/>
        <v>7</v>
      </c>
      <c r="C106" s="137">
        <v>7</v>
      </c>
      <c r="D106" s="136">
        <f t="shared" si="32"/>
        <v>7</v>
      </c>
      <c r="E106" s="136">
        <f t="shared" si="32"/>
        <v>7</v>
      </c>
      <c r="F106" s="136">
        <f t="shared" si="32"/>
        <v>7</v>
      </c>
      <c r="G106" s="136">
        <f t="shared" si="32"/>
        <v>7</v>
      </c>
      <c r="H106" s="136">
        <f t="shared" si="32"/>
        <v>7</v>
      </c>
      <c r="I106" s="136">
        <f t="shared" si="32"/>
        <v>7</v>
      </c>
      <c r="J106" s="136">
        <f t="shared" si="32"/>
        <v>7</v>
      </c>
      <c r="K106" s="136">
        <f t="shared" si="32"/>
        <v>7</v>
      </c>
      <c r="L106" s="136">
        <f t="shared" si="32"/>
        <v>7</v>
      </c>
      <c r="M106" s="136">
        <f t="shared" si="32"/>
        <v>7</v>
      </c>
      <c r="N106" s="136">
        <f t="shared" si="32"/>
        <v>7</v>
      </c>
      <c r="O106" s="136">
        <f t="shared" si="32"/>
        <v>7</v>
      </c>
      <c r="P106" s="136">
        <f t="shared" si="32"/>
        <v>7</v>
      </c>
      <c r="Q106" s="136">
        <f t="shared" si="32"/>
        <v>7</v>
      </c>
      <c r="R106" s="136">
        <f t="shared" si="32"/>
        <v>7</v>
      </c>
      <c r="S106" s="136">
        <f t="shared" si="32"/>
        <v>7</v>
      </c>
      <c r="T106" s="136">
        <f t="shared" si="33"/>
        <v>7</v>
      </c>
      <c r="U106" s="136">
        <f t="shared" si="33"/>
        <v>7</v>
      </c>
      <c r="V106" s="136">
        <f t="shared" si="33"/>
        <v>7</v>
      </c>
      <c r="W106" s="136">
        <f t="shared" si="33"/>
        <v>7</v>
      </c>
      <c r="X106" s="136">
        <f t="shared" si="33"/>
        <v>7</v>
      </c>
      <c r="Y106" s="136">
        <f t="shared" si="33"/>
        <v>7</v>
      </c>
      <c r="Z106" s="136">
        <f t="shared" si="33"/>
        <v>7</v>
      </c>
      <c r="AA106" s="136">
        <f t="shared" si="33"/>
        <v>7</v>
      </c>
      <c r="AB106" s="136">
        <f t="shared" si="33"/>
        <v>7</v>
      </c>
      <c r="AC106" s="136">
        <f t="shared" si="33"/>
        <v>7</v>
      </c>
      <c r="AD106" s="136">
        <f t="shared" si="33"/>
        <v>7</v>
      </c>
      <c r="AE106" s="136">
        <f t="shared" si="33"/>
        <v>7</v>
      </c>
      <c r="AF106" s="136">
        <f t="shared" si="33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34">C108</f>
        <v>2.25</v>
      </c>
      <c r="E108" s="136">
        <f t="shared" si="34"/>
        <v>2.25</v>
      </c>
      <c r="F108" s="136">
        <f t="shared" si="34"/>
        <v>2.25</v>
      </c>
      <c r="G108" s="136">
        <f t="shared" si="34"/>
        <v>2.25</v>
      </c>
      <c r="H108" s="136">
        <f t="shared" si="34"/>
        <v>2.25</v>
      </c>
      <c r="I108" s="136">
        <f t="shared" si="34"/>
        <v>2.25</v>
      </c>
      <c r="J108" s="136">
        <f t="shared" si="34"/>
        <v>2.25</v>
      </c>
      <c r="K108" s="136">
        <f t="shared" si="34"/>
        <v>2.25</v>
      </c>
      <c r="L108" s="136">
        <f t="shared" si="34"/>
        <v>2.25</v>
      </c>
      <c r="M108" s="136">
        <f t="shared" si="34"/>
        <v>2.25</v>
      </c>
      <c r="N108" s="136">
        <f t="shared" si="34"/>
        <v>2.25</v>
      </c>
      <c r="O108" s="136">
        <f t="shared" si="34"/>
        <v>2.25</v>
      </c>
      <c r="P108" s="136">
        <f t="shared" si="34"/>
        <v>2.25</v>
      </c>
      <c r="Q108" s="136">
        <f t="shared" si="34"/>
        <v>2.25</v>
      </c>
      <c r="R108" s="136">
        <f t="shared" si="34"/>
        <v>2.25</v>
      </c>
      <c r="S108" s="136">
        <f t="shared" si="34"/>
        <v>2.25</v>
      </c>
      <c r="T108" s="136">
        <f t="shared" ref="T108:AF109" si="35">S108</f>
        <v>2.25</v>
      </c>
      <c r="U108" s="136">
        <f t="shared" si="35"/>
        <v>2.25</v>
      </c>
      <c r="V108" s="136">
        <f t="shared" si="35"/>
        <v>2.25</v>
      </c>
      <c r="W108" s="136">
        <f t="shared" si="35"/>
        <v>2.25</v>
      </c>
      <c r="X108" s="136">
        <f t="shared" si="35"/>
        <v>2.25</v>
      </c>
      <c r="Y108" s="136">
        <f t="shared" si="35"/>
        <v>2.25</v>
      </c>
      <c r="Z108" s="136">
        <f t="shared" si="35"/>
        <v>2.25</v>
      </c>
      <c r="AA108" s="136">
        <f t="shared" si="35"/>
        <v>2.25</v>
      </c>
      <c r="AB108" s="136">
        <f t="shared" si="35"/>
        <v>2.25</v>
      </c>
      <c r="AC108" s="136">
        <f t="shared" si="35"/>
        <v>2.25</v>
      </c>
      <c r="AD108" s="136">
        <f t="shared" si="35"/>
        <v>2.25</v>
      </c>
      <c r="AE108" s="136">
        <f t="shared" si="35"/>
        <v>2.25</v>
      </c>
      <c r="AF108" s="136">
        <f t="shared" si="35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34"/>
        <v>1.64</v>
      </c>
      <c r="E109" s="136">
        <f t="shared" si="34"/>
        <v>1.64</v>
      </c>
      <c r="F109" s="136">
        <f t="shared" si="34"/>
        <v>1.64</v>
      </c>
      <c r="G109" s="136">
        <f t="shared" si="34"/>
        <v>1.64</v>
      </c>
      <c r="H109" s="136">
        <f t="shared" si="34"/>
        <v>1.64</v>
      </c>
      <c r="I109" s="136">
        <f t="shared" si="34"/>
        <v>1.64</v>
      </c>
      <c r="J109" s="136">
        <f t="shared" si="34"/>
        <v>1.64</v>
      </c>
      <c r="K109" s="136">
        <f t="shared" si="34"/>
        <v>1.64</v>
      </c>
      <c r="L109" s="136">
        <f t="shared" si="34"/>
        <v>1.64</v>
      </c>
      <c r="M109" s="136">
        <f t="shared" si="34"/>
        <v>1.64</v>
      </c>
      <c r="N109" s="136">
        <f t="shared" si="34"/>
        <v>1.64</v>
      </c>
      <c r="O109" s="136">
        <f t="shared" si="34"/>
        <v>1.64</v>
      </c>
      <c r="P109" s="136">
        <f t="shared" si="34"/>
        <v>1.64</v>
      </c>
      <c r="Q109" s="136">
        <f t="shared" si="34"/>
        <v>1.64</v>
      </c>
      <c r="R109" s="136">
        <f t="shared" si="34"/>
        <v>1.64</v>
      </c>
      <c r="S109" s="136">
        <f t="shared" si="34"/>
        <v>1.64</v>
      </c>
      <c r="T109" s="136">
        <f t="shared" si="35"/>
        <v>1.64</v>
      </c>
      <c r="U109" s="136">
        <f t="shared" si="35"/>
        <v>1.64</v>
      </c>
      <c r="V109" s="136">
        <f t="shared" si="35"/>
        <v>1.64</v>
      </c>
      <c r="W109" s="136">
        <f t="shared" si="35"/>
        <v>1.64</v>
      </c>
      <c r="X109" s="136">
        <f t="shared" si="35"/>
        <v>1.64</v>
      </c>
      <c r="Y109" s="136">
        <f t="shared" si="35"/>
        <v>1.64</v>
      </c>
      <c r="Z109" s="136">
        <f t="shared" si="35"/>
        <v>1.64</v>
      </c>
      <c r="AA109" s="136">
        <f t="shared" si="35"/>
        <v>1.64</v>
      </c>
      <c r="AB109" s="136">
        <f t="shared" si="35"/>
        <v>1.64</v>
      </c>
      <c r="AC109" s="136">
        <f t="shared" si="35"/>
        <v>1.64</v>
      </c>
      <c r="AD109" s="136">
        <f t="shared" si="35"/>
        <v>1.64</v>
      </c>
      <c r="AE109" s="136">
        <f t="shared" si="35"/>
        <v>1.64</v>
      </c>
      <c r="AF109" s="136">
        <f t="shared" si="35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36">AF111</f>
        <v>1.62</v>
      </c>
      <c r="C111" s="137">
        <v>1.62</v>
      </c>
      <c r="D111" s="136">
        <f t="shared" ref="D111:S118" si="37">C111</f>
        <v>1.62</v>
      </c>
      <c r="E111" s="136">
        <f t="shared" si="37"/>
        <v>1.62</v>
      </c>
      <c r="F111" s="136">
        <f t="shared" si="37"/>
        <v>1.62</v>
      </c>
      <c r="G111" s="136">
        <f t="shared" si="37"/>
        <v>1.62</v>
      </c>
      <c r="H111" s="136">
        <f t="shared" si="37"/>
        <v>1.62</v>
      </c>
      <c r="I111" s="136">
        <f t="shared" si="37"/>
        <v>1.62</v>
      </c>
      <c r="J111" s="136">
        <f t="shared" si="37"/>
        <v>1.62</v>
      </c>
      <c r="K111" s="136">
        <f t="shared" si="37"/>
        <v>1.62</v>
      </c>
      <c r="L111" s="136">
        <f t="shared" si="37"/>
        <v>1.62</v>
      </c>
      <c r="M111" s="136">
        <f t="shared" si="37"/>
        <v>1.62</v>
      </c>
      <c r="N111" s="136">
        <f t="shared" si="37"/>
        <v>1.62</v>
      </c>
      <c r="O111" s="136">
        <f t="shared" si="37"/>
        <v>1.62</v>
      </c>
      <c r="P111" s="136">
        <f t="shared" si="37"/>
        <v>1.62</v>
      </c>
      <c r="Q111" s="136">
        <f t="shared" si="37"/>
        <v>1.62</v>
      </c>
      <c r="R111" s="136">
        <f t="shared" si="37"/>
        <v>1.62</v>
      </c>
      <c r="S111" s="136">
        <f t="shared" si="37"/>
        <v>1.62</v>
      </c>
      <c r="T111" s="136">
        <f t="shared" ref="T111:AF126" si="38">S111</f>
        <v>1.62</v>
      </c>
      <c r="U111" s="136">
        <f t="shared" si="38"/>
        <v>1.62</v>
      </c>
      <c r="V111" s="136">
        <f t="shared" si="38"/>
        <v>1.62</v>
      </c>
      <c r="W111" s="136">
        <f t="shared" si="38"/>
        <v>1.62</v>
      </c>
      <c r="X111" s="136">
        <f t="shared" si="38"/>
        <v>1.62</v>
      </c>
      <c r="Y111" s="136">
        <f t="shared" si="38"/>
        <v>1.62</v>
      </c>
      <c r="Z111" s="136">
        <f t="shared" si="38"/>
        <v>1.62</v>
      </c>
      <c r="AA111" s="136">
        <f t="shared" si="38"/>
        <v>1.62</v>
      </c>
      <c r="AB111" s="136">
        <f t="shared" si="38"/>
        <v>1.62</v>
      </c>
      <c r="AC111" s="136">
        <f t="shared" si="38"/>
        <v>1.62</v>
      </c>
      <c r="AD111" s="136">
        <f t="shared" si="38"/>
        <v>1.62</v>
      </c>
      <c r="AE111" s="136">
        <f t="shared" si="38"/>
        <v>1.62</v>
      </c>
      <c r="AF111" s="136">
        <f t="shared" si="38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36"/>
        <v>8.36</v>
      </c>
      <c r="C112" s="137">
        <v>8.36</v>
      </c>
      <c r="D112" s="136">
        <f t="shared" si="37"/>
        <v>8.36</v>
      </c>
      <c r="E112" s="136">
        <f t="shared" si="37"/>
        <v>8.36</v>
      </c>
      <c r="F112" s="136">
        <f t="shared" si="37"/>
        <v>8.36</v>
      </c>
      <c r="G112" s="136">
        <f t="shared" si="37"/>
        <v>8.36</v>
      </c>
      <c r="H112" s="136">
        <f t="shared" si="37"/>
        <v>8.36</v>
      </c>
      <c r="I112" s="136">
        <f t="shared" si="37"/>
        <v>8.36</v>
      </c>
      <c r="J112" s="136">
        <f t="shared" si="37"/>
        <v>8.36</v>
      </c>
      <c r="K112" s="136">
        <f t="shared" si="37"/>
        <v>8.36</v>
      </c>
      <c r="L112" s="136">
        <f t="shared" si="37"/>
        <v>8.36</v>
      </c>
      <c r="M112" s="136">
        <f t="shared" si="37"/>
        <v>8.36</v>
      </c>
      <c r="N112" s="136">
        <f t="shared" si="37"/>
        <v>8.36</v>
      </c>
      <c r="O112" s="136">
        <f t="shared" si="37"/>
        <v>8.36</v>
      </c>
      <c r="P112" s="136">
        <f t="shared" si="37"/>
        <v>8.36</v>
      </c>
      <c r="Q112" s="136">
        <f t="shared" si="37"/>
        <v>8.36</v>
      </c>
      <c r="R112" s="136">
        <f t="shared" si="37"/>
        <v>8.36</v>
      </c>
      <c r="S112" s="136">
        <f t="shared" si="37"/>
        <v>8.36</v>
      </c>
      <c r="T112" s="136">
        <f t="shared" si="38"/>
        <v>8.36</v>
      </c>
      <c r="U112" s="136">
        <f t="shared" si="38"/>
        <v>8.36</v>
      </c>
      <c r="V112" s="136">
        <f t="shared" si="38"/>
        <v>8.36</v>
      </c>
      <c r="W112" s="136">
        <f t="shared" si="38"/>
        <v>8.36</v>
      </c>
      <c r="X112" s="136">
        <f t="shared" si="38"/>
        <v>8.36</v>
      </c>
      <c r="Y112" s="136">
        <f t="shared" si="38"/>
        <v>8.36</v>
      </c>
      <c r="Z112" s="136">
        <f t="shared" si="38"/>
        <v>8.36</v>
      </c>
      <c r="AA112" s="136">
        <f t="shared" si="38"/>
        <v>8.36</v>
      </c>
      <c r="AB112" s="136">
        <f t="shared" si="38"/>
        <v>8.36</v>
      </c>
      <c r="AC112" s="136">
        <f t="shared" si="38"/>
        <v>8.36</v>
      </c>
      <c r="AD112" s="136">
        <f t="shared" si="38"/>
        <v>8.36</v>
      </c>
      <c r="AE112" s="136">
        <f t="shared" si="38"/>
        <v>8.36</v>
      </c>
      <c r="AF112" s="136">
        <f t="shared" si="38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36"/>
        <v>5.4</v>
      </c>
      <c r="C113" s="137">
        <v>8</v>
      </c>
      <c r="D113" s="136">
        <f t="shared" si="37"/>
        <v>8</v>
      </c>
      <c r="E113" s="136">
        <f t="shared" si="37"/>
        <v>8</v>
      </c>
      <c r="F113" s="136">
        <f t="shared" si="37"/>
        <v>8</v>
      </c>
      <c r="G113" s="136">
        <f t="shared" si="37"/>
        <v>8</v>
      </c>
      <c r="H113" s="136">
        <f t="shared" si="37"/>
        <v>8</v>
      </c>
      <c r="I113" s="136">
        <f t="shared" si="37"/>
        <v>8</v>
      </c>
      <c r="J113" s="136">
        <v>5.4</v>
      </c>
      <c r="K113" s="136">
        <f t="shared" si="37"/>
        <v>5.4</v>
      </c>
      <c r="L113" s="136">
        <f t="shared" si="37"/>
        <v>5.4</v>
      </c>
      <c r="M113" s="136">
        <f t="shared" si="37"/>
        <v>5.4</v>
      </c>
      <c r="N113" s="136">
        <f t="shared" si="37"/>
        <v>5.4</v>
      </c>
      <c r="O113" s="136">
        <f t="shared" si="37"/>
        <v>5.4</v>
      </c>
      <c r="P113" s="136">
        <f t="shared" si="37"/>
        <v>5.4</v>
      </c>
      <c r="Q113" s="136">
        <f t="shared" si="37"/>
        <v>5.4</v>
      </c>
      <c r="R113" s="136">
        <f t="shared" si="37"/>
        <v>5.4</v>
      </c>
      <c r="S113" s="136">
        <f t="shared" si="37"/>
        <v>5.4</v>
      </c>
      <c r="T113" s="136">
        <f t="shared" si="38"/>
        <v>5.4</v>
      </c>
      <c r="U113" s="136">
        <f t="shared" si="38"/>
        <v>5.4</v>
      </c>
      <c r="V113" s="136">
        <f t="shared" si="38"/>
        <v>5.4</v>
      </c>
      <c r="W113" s="136">
        <f t="shared" si="38"/>
        <v>5.4</v>
      </c>
      <c r="X113" s="136">
        <f t="shared" si="38"/>
        <v>5.4</v>
      </c>
      <c r="Y113" s="136">
        <f t="shared" si="38"/>
        <v>5.4</v>
      </c>
      <c r="Z113" s="136">
        <f t="shared" si="38"/>
        <v>5.4</v>
      </c>
      <c r="AA113" s="136">
        <f t="shared" si="38"/>
        <v>5.4</v>
      </c>
      <c r="AB113" s="136">
        <f t="shared" si="38"/>
        <v>5.4</v>
      </c>
      <c r="AC113" s="136">
        <f t="shared" si="38"/>
        <v>5.4</v>
      </c>
      <c r="AD113" s="136">
        <f t="shared" si="38"/>
        <v>5.4</v>
      </c>
      <c r="AE113" s="136">
        <f t="shared" si="38"/>
        <v>5.4</v>
      </c>
      <c r="AF113" s="136">
        <f t="shared" si="38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36"/>
        <v>6.57</v>
      </c>
      <c r="C114" s="137">
        <v>6.57</v>
      </c>
      <c r="D114" s="136">
        <f t="shared" si="37"/>
        <v>6.57</v>
      </c>
      <c r="E114" s="136">
        <f t="shared" si="37"/>
        <v>6.57</v>
      </c>
      <c r="F114" s="136">
        <f t="shared" si="37"/>
        <v>6.57</v>
      </c>
      <c r="G114" s="136">
        <f t="shared" si="37"/>
        <v>6.57</v>
      </c>
      <c r="H114" s="136">
        <f t="shared" si="37"/>
        <v>6.57</v>
      </c>
      <c r="I114" s="136">
        <f t="shared" si="37"/>
        <v>6.57</v>
      </c>
      <c r="J114" s="136">
        <f t="shared" si="37"/>
        <v>6.57</v>
      </c>
      <c r="K114" s="136">
        <f t="shared" si="37"/>
        <v>6.57</v>
      </c>
      <c r="L114" s="136">
        <f t="shared" si="37"/>
        <v>6.57</v>
      </c>
      <c r="M114" s="136">
        <f t="shared" si="37"/>
        <v>6.57</v>
      </c>
      <c r="N114" s="136">
        <f t="shared" si="37"/>
        <v>6.57</v>
      </c>
      <c r="O114" s="136">
        <f t="shared" si="37"/>
        <v>6.57</v>
      </c>
      <c r="P114" s="136">
        <f t="shared" si="37"/>
        <v>6.57</v>
      </c>
      <c r="Q114" s="136">
        <f t="shared" si="37"/>
        <v>6.57</v>
      </c>
      <c r="R114" s="136">
        <f t="shared" si="37"/>
        <v>6.57</v>
      </c>
      <c r="S114" s="136">
        <f t="shared" si="37"/>
        <v>6.57</v>
      </c>
      <c r="T114" s="136">
        <f t="shared" si="38"/>
        <v>6.57</v>
      </c>
      <c r="U114" s="136">
        <f t="shared" si="38"/>
        <v>6.57</v>
      </c>
      <c r="V114" s="136">
        <f t="shared" si="38"/>
        <v>6.57</v>
      </c>
      <c r="W114" s="136">
        <f t="shared" si="38"/>
        <v>6.57</v>
      </c>
      <c r="X114" s="136">
        <f t="shared" si="38"/>
        <v>6.57</v>
      </c>
      <c r="Y114" s="136">
        <f t="shared" si="38"/>
        <v>6.57</v>
      </c>
      <c r="Z114" s="136">
        <f t="shared" si="38"/>
        <v>6.57</v>
      </c>
      <c r="AA114" s="136">
        <f t="shared" si="38"/>
        <v>6.57</v>
      </c>
      <c r="AB114" s="136">
        <f t="shared" si="38"/>
        <v>6.57</v>
      </c>
      <c r="AC114" s="136">
        <f t="shared" si="38"/>
        <v>6.57</v>
      </c>
      <c r="AD114" s="136">
        <f t="shared" si="38"/>
        <v>6.57</v>
      </c>
      <c r="AE114" s="136">
        <f t="shared" si="38"/>
        <v>6.57</v>
      </c>
      <c r="AF114" s="136">
        <f t="shared" si="38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36"/>
        <v>3.43</v>
      </c>
      <c r="C115" s="137">
        <v>3.43</v>
      </c>
      <c r="D115" s="136">
        <f t="shared" si="37"/>
        <v>3.43</v>
      </c>
      <c r="E115" s="136">
        <f t="shared" si="37"/>
        <v>3.43</v>
      </c>
      <c r="F115" s="136">
        <f t="shared" si="37"/>
        <v>3.43</v>
      </c>
      <c r="G115" s="136">
        <f t="shared" si="37"/>
        <v>3.43</v>
      </c>
      <c r="H115" s="136">
        <f t="shared" si="37"/>
        <v>3.43</v>
      </c>
      <c r="I115" s="136">
        <f t="shared" si="37"/>
        <v>3.43</v>
      </c>
      <c r="J115" s="136">
        <f t="shared" si="37"/>
        <v>3.43</v>
      </c>
      <c r="K115" s="136">
        <f t="shared" si="37"/>
        <v>3.43</v>
      </c>
      <c r="L115" s="136">
        <f t="shared" si="37"/>
        <v>3.43</v>
      </c>
      <c r="M115" s="136">
        <f t="shared" si="37"/>
        <v>3.43</v>
      </c>
      <c r="N115" s="136">
        <f t="shared" si="37"/>
        <v>3.43</v>
      </c>
      <c r="O115" s="136">
        <f t="shared" si="37"/>
        <v>3.43</v>
      </c>
      <c r="P115" s="136">
        <f t="shared" si="37"/>
        <v>3.43</v>
      </c>
      <c r="Q115" s="136">
        <f t="shared" si="37"/>
        <v>3.43</v>
      </c>
      <c r="R115" s="136">
        <f t="shared" si="37"/>
        <v>3.43</v>
      </c>
      <c r="S115" s="136">
        <f t="shared" si="37"/>
        <v>3.43</v>
      </c>
      <c r="T115" s="136">
        <f t="shared" si="38"/>
        <v>3.43</v>
      </c>
      <c r="U115" s="136">
        <f t="shared" si="38"/>
        <v>3.43</v>
      </c>
      <c r="V115" s="136">
        <f t="shared" si="38"/>
        <v>3.43</v>
      </c>
      <c r="W115" s="136">
        <f t="shared" si="38"/>
        <v>3.43</v>
      </c>
      <c r="X115" s="136">
        <f t="shared" si="38"/>
        <v>3.43</v>
      </c>
      <c r="Y115" s="136">
        <f t="shared" si="38"/>
        <v>3.43</v>
      </c>
      <c r="Z115" s="136">
        <f t="shared" si="38"/>
        <v>3.43</v>
      </c>
      <c r="AA115" s="136">
        <f t="shared" si="38"/>
        <v>3.43</v>
      </c>
      <c r="AB115" s="136">
        <f t="shared" si="38"/>
        <v>3.43</v>
      </c>
      <c r="AC115" s="136">
        <f t="shared" si="38"/>
        <v>3.43</v>
      </c>
      <c r="AD115" s="136">
        <f t="shared" si="38"/>
        <v>3.43</v>
      </c>
      <c r="AE115" s="136">
        <f t="shared" si="38"/>
        <v>3.43</v>
      </c>
      <c r="AF115" s="136">
        <f t="shared" si="38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36"/>
        <v>2.96</v>
      </c>
      <c r="C116" s="137">
        <v>2.96</v>
      </c>
      <c r="D116" s="136">
        <f t="shared" si="37"/>
        <v>2.96</v>
      </c>
      <c r="E116" s="136">
        <f t="shared" si="37"/>
        <v>2.96</v>
      </c>
      <c r="F116" s="136">
        <f t="shared" si="37"/>
        <v>2.96</v>
      </c>
      <c r="G116" s="136">
        <f t="shared" si="37"/>
        <v>2.96</v>
      </c>
      <c r="H116" s="136">
        <f t="shared" si="37"/>
        <v>2.96</v>
      </c>
      <c r="I116" s="136">
        <f t="shared" si="37"/>
        <v>2.96</v>
      </c>
      <c r="J116" s="136">
        <f t="shared" si="37"/>
        <v>2.96</v>
      </c>
      <c r="K116" s="136">
        <f t="shared" si="37"/>
        <v>2.96</v>
      </c>
      <c r="L116" s="136">
        <f t="shared" si="37"/>
        <v>2.96</v>
      </c>
      <c r="M116" s="136">
        <f t="shared" si="37"/>
        <v>2.96</v>
      </c>
      <c r="N116" s="136">
        <f t="shared" si="37"/>
        <v>2.96</v>
      </c>
      <c r="O116" s="136">
        <f t="shared" si="37"/>
        <v>2.96</v>
      </c>
      <c r="P116" s="136">
        <f t="shared" si="37"/>
        <v>2.96</v>
      </c>
      <c r="Q116" s="136">
        <f t="shared" si="37"/>
        <v>2.96</v>
      </c>
      <c r="R116" s="136">
        <f t="shared" si="37"/>
        <v>2.96</v>
      </c>
      <c r="S116" s="136">
        <f t="shared" si="37"/>
        <v>2.96</v>
      </c>
      <c r="T116" s="136">
        <f t="shared" si="38"/>
        <v>2.96</v>
      </c>
      <c r="U116" s="136">
        <f t="shared" si="38"/>
        <v>2.96</v>
      </c>
      <c r="V116" s="136">
        <f t="shared" si="38"/>
        <v>2.96</v>
      </c>
      <c r="W116" s="136">
        <f t="shared" si="38"/>
        <v>2.96</v>
      </c>
      <c r="X116" s="136">
        <f t="shared" si="38"/>
        <v>2.96</v>
      </c>
      <c r="Y116" s="136">
        <f t="shared" si="38"/>
        <v>2.96</v>
      </c>
      <c r="Z116" s="136">
        <f t="shared" si="38"/>
        <v>2.96</v>
      </c>
      <c r="AA116" s="136">
        <f t="shared" si="38"/>
        <v>2.96</v>
      </c>
      <c r="AB116" s="136">
        <f t="shared" si="38"/>
        <v>2.96</v>
      </c>
      <c r="AC116" s="136">
        <f t="shared" si="38"/>
        <v>2.96</v>
      </c>
      <c r="AD116" s="136">
        <f t="shared" si="38"/>
        <v>2.96</v>
      </c>
      <c r="AE116" s="136">
        <f t="shared" si="38"/>
        <v>2.96</v>
      </c>
      <c r="AF116" s="136">
        <f t="shared" si="38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36"/>
        <v>8</v>
      </c>
      <c r="C117" s="137">
        <v>8</v>
      </c>
      <c r="D117" s="136">
        <f t="shared" si="37"/>
        <v>8</v>
      </c>
      <c r="E117" s="136">
        <f t="shared" si="37"/>
        <v>8</v>
      </c>
      <c r="F117" s="136">
        <f t="shared" si="37"/>
        <v>8</v>
      </c>
      <c r="G117" s="136">
        <f t="shared" si="37"/>
        <v>8</v>
      </c>
      <c r="H117" s="136">
        <f t="shared" si="37"/>
        <v>8</v>
      </c>
      <c r="I117" s="136">
        <f t="shared" si="37"/>
        <v>8</v>
      </c>
      <c r="J117" s="136">
        <f t="shared" si="37"/>
        <v>8</v>
      </c>
      <c r="K117" s="136">
        <f t="shared" si="37"/>
        <v>8</v>
      </c>
      <c r="L117" s="136">
        <f t="shared" si="37"/>
        <v>8</v>
      </c>
      <c r="M117" s="136">
        <f t="shared" si="37"/>
        <v>8</v>
      </c>
      <c r="N117" s="136">
        <f t="shared" si="37"/>
        <v>8</v>
      </c>
      <c r="O117" s="136">
        <f t="shared" si="37"/>
        <v>8</v>
      </c>
      <c r="P117" s="136">
        <f t="shared" si="37"/>
        <v>8</v>
      </c>
      <c r="Q117" s="136">
        <f t="shared" si="37"/>
        <v>8</v>
      </c>
      <c r="R117" s="136">
        <f t="shared" si="37"/>
        <v>8</v>
      </c>
      <c r="S117" s="136">
        <f t="shared" si="37"/>
        <v>8</v>
      </c>
      <c r="T117" s="136">
        <f t="shared" si="38"/>
        <v>8</v>
      </c>
      <c r="U117" s="136">
        <f t="shared" si="38"/>
        <v>8</v>
      </c>
      <c r="V117" s="136">
        <f t="shared" si="38"/>
        <v>8</v>
      </c>
      <c r="W117" s="136">
        <f t="shared" si="38"/>
        <v>8</v>
      </c>
      <c r="X117" s="136">
        <f t="shared" si="38"/>
        <v>8</v>
      </c>
      <c r="Y117" s="136">
        <f t="shared" si="38"/>
        <v>8</v>
      </c>
      <c r="Z117" s="136">
        <f t="shared" si="38"/>
        <v>8</v>
      </c>
      <c r="AA117" s="136">
        <f t="shared" si="38"/>
        <v>8</v>
      </c>
      <c r="AB117" s="136">
        <f t="shared" si="38"/>
        <v>8</v>
      </c>
      <c r="AC117" s="136">
        <f t="shared" si="38"/>
        <v>8</v>
      </c>
      <c r="AD117" s="136">
        <f t="shared" si="38"/>
        <v>8</v>
      </c>
      <c r="AE117" s="136">
        <f t="shared" si="38"/>
        <v>8</v>
      </c>
      <c r="AF117" s="136">
        <f t="shared" si="38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36"/>
        <v>7</v>
      </c>
      <c r="C118" s="137">
        <v>7</v>
      </c>
      <c r="D118" s="136">
        <f>C118</f>
        <v>7</v>
      </c>
      <c r="E118" s="136">
        <f t="shared" si="37"/>
        <v>7</v>
      </c>
      <c r="F118" s="136">
        <f t="shared" si="37"/>
        <v>7</v>
      </c>
      <c r="G118" s="136">
        <f t="shared" si="37"/>
        <v>7</v>
      </c>
      <c r="H118" s="136">
        <f t="shared" si="37"/>
        <v>7</v>
      </c>
      <c r="I118" s="136">
        <f t="shared" si="37"/>
        <v>7</v>
      </c>
      <c r="J118" s="136">
        <f t="shared" si="37"/>
        <v>7</v>
      </c>
      <c r="K118" s="136">
        <f t="shared" si="37"/>
        <v>7</v>
      </c>
      <c r="L118" s="136">
        <f t="shared" si="37"/>
        <v>7</v>
      </c>
      <c r="M118" s="136">
        <f t="shared" si="37"/>
        <v>7</v>
      </c>
      <c r="N118" s="136">
        <f t="shared" si="37"/>
        <v>7</v>
      </c>
      <c r="O118" s="136">
        <f t="shared" si="37"/>
        <v>7</v>
      </c>
      <c r="P118" s="136">
        <f t="shared" si="37"/>
        <v>7</v>
      </c>
      <c r="Q118" s="136">
        <f t="shared" si="37"/>
        <v>7</v>
      </c>
      <c r="R118" s="136">
        <f t="shared" si="37"/>
        <v>7</v>
      </c>
      <c r="S118" s="136">
        <f t="shared" si="37"/>
        <v>7</v>
      </c>
      <c r="T118" s="136">
        <f t="shared" si="38"/>
        <v>7</v>
      </c>
      <c r="U118" s="136">
        <f t="shared" si="38"/>
        <v>7</v>
      </c>
      <c r="V118" s="136">
        <f t="shared" si="38"/>
        <v>7</v>
      </c>
      <c r="W118" s="136">
        <f t="shared" si="38"/>
        <v>7</v>
      </c>
      <c r="X118" s="136">
        <f t="shared" si="38"/>
        <v>7</v>
      </c>
      <c r="Y118" s="136">
        <f t="shared" si="38"/>
        <v>7</v>
      </c>
      <c r="Z118" s="136">
        <f t="shared" si="38"/>
        <v>7</v>
      </c>
      <c r="AA118" s="136">
        <f t="shared" si="38"/>
        <v>7</v>
      </c>
      <c r="AB118" s="136">
        <f t="shared" si="38"/>
        <v>7</v>
      </c>
      <c r="AC118" s="136">
        <f t="shared" si="38"/>
        <v>7</v>
      </c>
      <c r="AD118" s="136">
        <f t="shared" si="38"/>
        <v>7</v>
      </c>
      <c r="AE118" s="136">
        <f t="shared" si="38"/>
        <v>7</v>
      </c>
      <c r="AF118" s="136">
        <f t="shared" si="38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36"/>
        <v>3.47</v>
      </c>
      <c r="C119" s="137">
        <v>3.47</v>
      </c>
      <c r="D119" s="136">
        <f t="shared" ref="D119:S128" si="39">C119</f>
        <v>3.47</v>
      </c>
      <c r="E119" s="136">
        <f t="shared" si="39"/>
        <v>3.47</v>
      </c>
      <c r="F119" s="136">
        <f t="shared" si="39"/>
        <v>3.47</v>
      </c>
      <c r="G119" s="136">
        <f t="shared" si="39"/>
        <v>3.47</v>
      </c>
      <c r="H119" s="136">
        <f t="shared" si="39"/>
        <v>3.47</v>
      </c>
      <c r="I119" s="136">
        <f t="shared" si="39"/>
        <v>3.47</v>
      </c>
      <c r="J119" s="136">
        <f t="shared" si="39"/>
        <v>3.47</v>
      </c>
      <c r="K119" s="136">
        <f t="shared" si="39"/>
        <v>3.47</v>
      </c>
      <c r="L119" s="136">
        <f t="shared" si="39"/>
        <v>3.47</v>
      </c>
      <c r="M119" s="136">
        <f t="shared" si="39"/>
        <v>3.47</v>
      </c>
      <c r="N119" s="136">
        <f t="shared" si="39"/>
        <v>3.47</v>
      </c>
      <c r="O119" s="136">
        <f t="shared" si="39"/>
        <v>3.47</v>
      </c>
      <c r="P119" s="136">
        <f t="shared" si="39"/>
        <v>3.47</v>
      </c>
      <c r="Q119" s="136">
        <f t="shared" si="39"/>
        <v>3.47</v>
      </c>
      <c r="R119" s="136">
        <f t="shared" si="39"/>
        <v>3.47</v>
      </c>
      <c r="S119" s="136">
        <f t="shared" si="39"/>
        <v>3.47</v>
      </c>
      <c r="T119" s="136">
        <f t="shared" si="38"/>
        <v>3.47</v>
      </c>
      <c r="U119" s="136">
        <f t="shared" si="38"/>
        <v>3.47</v>
      </c>
      <c r="V119" s="136">
        <f t="shared" si="38"/>
        <v>3.47</v>
      </c>
      <c r="W119" s="136">
        <f t="shared" si="38"/>
        <v>3.47</v>
      </c>
      <c r="X119" s="136">
        <f t="shared" si="38"/>
        <v>3.47</v>
      </c>
      <c r="Y119" s="136">
        <f t="shared" si="38"/>
        <v>3.47</v>
      </c>
      <c r="Z119" s="136">
        <f t="shared" si="38"/>
        <v>3.47</v>
      </c>
      <c r="AA119" s="136">
        <f t="shared" si="38"/>
        <v>3.47</v>
      </c>
      <c r="AB119" s="136">
        <f t="shared" si="38"/>
        <v>3.47</v>
      </c>
      <c r="AC119" s="136">
        <f t="shared" si="38"/>
        <v>3.47</v>
      </c>
      <c r="AD119" s="136">
        <f t="shared" si="38"/>
        <v>3.47</v>
      </c>
      <c r="AE119" s="136">
        <f t="shared" si="38"/>
        <v>3.47</v>
      </c>
      <c r="AF119" s="136">
        <f t="shared" si="38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36"/>
        <v>2.1</v>
      </c>
      <c r="C120" s="137">
        <v>2.1</v>
      </c>
      <c r="D120" s="136">
        <f t="shared" si="39"/>
        <v>2.1</v>
      </c>
      <c r="E120" s="136">
        <f t="shared" si="39"/>
        <v>2.1</v>
      </c>
      <c r="F120" s="136">
        <f t="shared" si="39"/>
        <v>2.1</v>
      </c>
      <c r="G120" s="136">
        <f t="shared" si="39"/>
        <v>2.1</v>
      </c>
      <c r="H120" s="136">
        <f t="shared" si="39"/>
        <v>2.1</v>
      </c>
      <c r="I120" s="136">
        <f t="shared" si="39"/>
        <v>2.1</v>
      </c>
      <c r="J120" s="136">
        <f t="shared" si="39"/>
        <v>2.1</v>
      </c>
      <c r="K120" s="136">
        <f t="shared" si="39"/>
        <v>2.1</v>
      </c>
      <c r="L120" s="136">
        <f t="shared" si="39"/>
        <v>2.1</v>
      </c>
      <c r="M120" s="136">
        <f t="shared" si="39"/>
        <v>2.1</v>
      </c>
      <c r="N120" s="136">
        <f t="shared" si="39"/>
        <v>2.1</v>
      </c>
      <c r="O120" s="136">
        <f t="shared" si="39"/>
        <v>2.1</v>
      </c>
      <c r="P120" s="136">
        <f t="shared" si="39"/>
        <v>2.1</v>
      </c>
      <c r="Q120" s="136">
        <f t="shared" si="39"/>
        <v>2.1</v>
      </c>
      <c r="R120" s="136">
        <f t="shared" si="39"/>
        <v>2.1</v>
      </c>
      <c r="S120" s="136">
        <f t="shared" si="39"/>
        <v>2.1</v>
      </c>
      <c r="T120" s="136">
        <f t="shared" si="38"/>
        <v>2.1</v>
      </c>
      <c r="U120" s="136">
        <f t="shared" si="38"/>
        <v>2.1</v>
      </c>
      <c r="V120" s="136">
        <f t="shared" si="38"/>
        <v>2.1</v>
      </c>
      <c r="W120" s="136">
        <f t="shared" si="38"/>
        <v>2.1</v>
      </c>
      <c r="X120" s="136">
        <f t="shared" si="38"/>
        <v>2.1</v>
      </c>
      <c r="Y120" s="136">
        <f t="shared" si="38"/>
        <v>2.1</v>
      </c>
      <c r="Z120" s="136">
        <f t="shared" si="38"/>
        <v>2.1</v>
      </c>
      <c r="AA120" s="136">
        <f t="shared" si="38"/>
        <v>2.1</v>
      </c>
      <c r="AB120" s="136">
        <f t="shared" si="38"/>
        <v>2.1</v>
      </c>
      <c r="AC120" s="136">
        <f t="shared" si="38"/>
        <v>2.1</v>
      </c>
      <c r="AD120" s="136">
        <f t="shared" si="38"/>
        <v>2.1</v>
      </c>
      <c r="AE120" s="136">
        <f t="shared" si="38"/>
        <v>2.1</v>
      </c>
      <c r="AF120" s="136">
        <f t="shared" si="38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36"/>
        <v>9.3000000000000007</v>
      </c>
      <c r="C121" s="137">
        <v>9.3000000000000007</v>
      </c>
      <c r="D121" s="136">
        <f t="shared" si="39"/>
        <v>9.3000000000000007</v>
      </c>
      <c r="E121" s="136">
        <f t="shared" si="39"/>
        <v>9.3000000000000007</v>
      </c>
      <c r="F121" s="136">
        <f t="shared" si="39"/>
        <v>9.3000000000000007</v>
      </c>
      <c r="G121" s="136">
        <f t="shared" si="39"/>
        <v>9.3000000000000007</v>
      </c>
      <c r="H121" s="136">
        <f t="shared" si="39"/>
        <v>9.3000000000000007</v>
      </c>
      <c r="I121" s="136">
        <f t="shared" si="39"/>
        <v>9.3000000000000007</v>
      </c>
      <c r="J121" s="136">
        <f t="shared" si="39"/>
        <v>9.3000000000000007</v>
      </c>
      <c r="K121" s="136">
        <f t="shared" si="39"/>
        <v>9.3000000000000007</v>
      </c>
      <c r="L121" s="136">
        <f t="shared" si="39"/>
        <v>9.3000000000000007</v>
      </c>
      <c r="M121" s="136">
        <f t="shared" si="39"/>
        <v>9.3000000000000007</v>
      </c>
      <c r="N121" s="136">
        <f t="shared" si="39"/>
        <v>9.3000000000000007</v>
      </c>
      <c r="O121" s="136">
        <f t="shared" si="39"/>
        <v>9.3000000000000007</v>
      </c>
      <c r="P121" s="136">
        <f t="shared" si="39"/>
        <v>9.3000000000000007</v>
      </c>
      <c r="Q121" s="136">
        <f t="shared" si="39"/>
        <v>9.3000000000000007</v>
      </c>
      <c r="R121" s="136">
        <f t="shared" si="39"/>
        <v>9.3000000000000007</v>
      </c>
      <c r="S121" s="136">
        <f t="shared" si="39"/>
        <v>9.3000000000000007</v>
      </c>
      <c r="T121" s="136">
        <f t="shared" si="38"/>
        <v>9.3000000000000007</v>
      </c>
      <c r="U121" s="136">
        <f t="shared" si="38"/>
        <v>9.3000000000000007</v>
      </c>
      <c r="V121" s="136">
        <f t="shared" si="38"/>
        <v>9.3000000000000007</v>
      </c>
      <c r="W121" s="136">
        <f t="shared" si="38"/>
        <v>9.3000000000000007</v>
      </c>
      <c r="X121" s="136">
        <f t="shared" si="38"/>
        <v>9.3000000000000007</v>
      </c>
      <c r="Y121" s="136">
        <f t="shared" si="38"/>
        <v>9.3000000000000007</v>
      </c>
      <c r="Z121" s="136">
        <f t="shared" si="38"/>
        <v>9.3000000000000007</v>
      </c>
      <c r="AA121" s="136">
        <f t="shared" si="38"/>
        <v>9.3000000000000007</v>
      </c>
      <c r="AB121" s="136">
        <f t="shared" si="38"/>
        <v>9.3000000000000007</v>
      </c>
      <c r="AC121" s="136">
        <f t="shared" si="38"/>
        <v>9.3000000000000007</v>
      </c>
      <c r="AD121" s="136">
        <f t="shared" si="38"/>
        <v>9.3000000000000007</v>
      </c>
      <c r="AE121" s="136">
        <f t="shared" si="38"/>
        <v>9.3000000000000007</v>
      </c>
      <c r="AF121" s="136">
        <f t="shared" si="38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36"/>
        <v>0</v>
      </c>
      <c r="C122" s="137">
        <v>0</v>
      </c>
      <c r="D122" s="136">
        <f t="shared" si="39"/>
        <v>0</v>
      </c>
      <c r="E122" s="136">
        <f t="shared" si="39"/>
        <v>0</v>
      </c>
      <c r="F122" s="136">
        <f t="shared" si="39"/>
        <v>0</v>
      </c>
      <c r="G122" s="136">
        <f t="shared" si="39"/>
        <v>0</v>
      </c>
      <c r="H122" s="136">
        <f t="shared" si="39"/>
        <v>0</v>
      </c>
      <c r="I122" s="136">
        <f t="shared" si="39"/>
        <v>0</v>
      </c>
      <c r="J122" s="136">
        <f t="shared" si="39"/>
        <v>0</v>
      </c>
      <c r="K122" s="136">
        <f t="shared" si="39"/>
        <v>0</v>
      </c>
      <c r="L122" s="136">
        <f t="shared" si="39"/>
        <v>0</v>
      </c>
      <c r="M122" s="136">
        <f t="shared" si="39"/>
        <v>0</v>
      </c>
      <c r="N122" s="136">
        <f t="shared" si="39"/>
        <v>0</v>
      </c>
      <c r="O122" s="136">
        <f t="shared" si="39"/>
        <v>0</v>
      </c>
      <c r="P122" s="136">
        <f t="shared" si="39"/>
        <v>0</v>
      </c>
      <c r="Q122" s="136">
        <f t="shared" si="39"/>
        <v>0</v>
      </c>
      <c r="R122" s="136">
        <f t="shared" si="39"/>
        <v>0</v>
      </c>
      <c r="S122" s="136">
        <f t="shared" si="39"/>
        <v>0</v>
      </c>
      <c r="T122" s="136">
        <f t="shared" si="38"/>
        <v>0</v>
      </c>
      <c r="U122" s="136">
        <f t="shared" si="38"/>
        <v>0</v>
      </c>
      <c r="V122" s="136">
        <f t="shared" si="38"/>
        <v>0</v>
      </c>
      <c r="W122" s="136">
        <f t="shared" si="38"/>
        <v>0</v>
      </c>
      <c r="X122" s="136">
        <f t="shared" si="38"/>
        <v>0</v>
      </c>
      <c r="Y122" s="136">
        <f t="shared" si="38"/>
        <v>0</v>
      </c>
      <c r="Z122" s="136">
        <f t="shared" si="38"/>
        <v>0</v>
      </c>
      <c r="AA122" s="136">
        <f t="shared" si="38"/>
        <v>0</v>
      </c>
      <c r="AB122" s="136">
        <f t="shared" si="38"/>
        <v>0</v>
      </c>
      <c r="AC122" s="136">
        <f t="shared" si="38"/>
        <v>0</v>
      </c>
      <c r="AD122" s="136">
        <f t="shared" si="38"/>
        <v>0</v>
      </c>
      <c r="AE122" s="136">
        <f t="shared" si="38"/>
        <v>0</v>
      </c>
      <c r="AF122" s="136">
        <f t="shared" si="38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36"/>
        <v>0</v>
      </c>
      <c r="C123" s="137">
        <v>0</v>
      </c>
      <c r="D123" s="136">
        <f t="shared" si="39"/>
        <v>0</v>
      </c>
      <c r="E123" s="136">
        <f t="shared" si="39"/>
        <v>0</v>
      </c>
      <c r="F123" s="136">
        <f t="shared" si="39"/>
        <v>0</v>
      </c>
      <c r="G123" s="136">
        <f t="shared" si="39"/>
        <v>0</v>
      </c>
      <c r="H123" s="136">
        <f t="shared" si="39"/>
        <v>0</v>
      </c>
      <c r="I123" s="136">
        <f t="shared" si="39"/>
        <v>0</v>
      </c>
      <c r="J123" s="136">
        <f t="shared" si="39"/>
        <v>0</v>
      </c>
      <c r="K123" s="136">
        <f t="shared" si="39"/>
        <v>0</v>
      </c>
      <c r="L123" s="136">
        <f t="shared" si="39"/>
        <v>0</v>
      </c>
      <c r="M123" s="136">
        <f t="shared" si="39"/>
        <v>0</v>
      </c>
      <c r="N123" s="136">
        <f t="shared" si="39"/>
        <v>0</v>
      </c>
      <c r="O123" s="136">
        <f t="shared" si="39"/>
        <v>0</v>
      </c>
      <c r="P123" s="136">
        <f t="shared" si="39"/>
        <v>0</v>
      </c>
      <c r="Q123" s="136">
        <f t="shared" si="39"/>
        <v>0</v>
      </c>
      <c r="R123" s="136">
        <f t="shared" si="39"/>
        <v>0</v>
      </c>
      <c r="S123" s="136">
        <f t="shared" si="39"/>
        <v>0</v>
      </c>
      <c r="T123" s="136">
        <f t="shared" si="38"/>
        <v>0</v>
      </c>
      <c r="U123" s="136">
        <f t="shared" si="38"/>
        <v>0</v>
      </c>
      <c r="V123" s="136">
        <f t="shared" si="38"/>
        <v>0</v>
      </c>
      <c r="W123" s="136">
        <f t="shared" si="38"/>
        <v>0</v>
      </c>
      <c r="X123" s="136">
        <f t="shared" si="38"/>
        <v>0</v>
      </c>
      <c r="Y123" s="136">
        <f t="shared" si="38"/>
        <v>0</v>
      </c>
      <c r="Z123" s="136">
        <f t="shared" si="38"/>
        <v>0</v>
      </c>
      <c r="AA123" s="136">
        <f t="shared" si="38"/>
        <v>0</v>
      </c>
      <c r="AB123" s="136">
        <f t="shared" si="38"/>
        <v>0</v>
      </c>
      <c r="AC123" s="136">
        <f t="shared" si="38"/>
        <v>0</v>
      </c>
      <c r="AD123" s="136">
        <f t="shared" si="38"/>
        <v>0</v>
      </c>
      <c r="AE123" s="136">
        <f t="shared" si="38"/>
        <v>0</v>
      </c>
      <c r="AF123" s="136">
        <f t="shared" si="38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36"/>
        <v>5</v>
      </c>
      <c r="C124" s="137">
        <v>5</v>
      </c>
      <c r="D124" s="136">
        <f t="shared" si="39"/>
        <v>5</v>
      </c>
      <c r="E124" s="136">
        <f t="shared" si="39"/>
        <v>5</v>
      </c>
      <c r="F124" s="136">
        <f t="shared" si="39"/>
        <v>5</v>
      </c>
      <c r="G124" s="136">
        <f t="shared" si="39"/>
        <v>5</v>
      </c>
      <c r="H124" s="136">
        <f t="shared" si="39"/>
        <v>5</v>
      </c>
      <c r="I124" s="136">
        <f t="shared" si="39"/>
        <v>5</v>
      </c>
      <c r="J124" s="136">
        <f t="shared" si="39"/>
        <v>5</v>
      </c>
      <c r="K124" s="136">
        <f t="shared" si="39"/>
        <v>5</v>
      </c>
      <c r="L124" s="136">
        <f t="shared" si="39"/>
        <v>5</v>
      </c>
      <c r="M124" s="136">
        <f t="shared" si="39"/>
        <v>5</v>
      </c>
      <c r="N124" s="136">
        <f t="shared" si="39"/>
        <v>5</v>
      </c>
      <c r="O124" s="136">
        <f t="shared" si="39"/>
        <v>5</v>
      </c>
      <c r="P124" s="136">
        <f t="shared" si="39"/>
        <v>5</v>
      </c>
      <c r="Q124" s="136">
        <f t="shared" si="39"/>
        <v>5</v>
      </c>
      <c r="R124" s="136">
        <f t="shared" si="39"/>
        <v>5</v>
      </c>
      <c r="S124" s="136">
        <f t="shared" si="39"/>
        <v>5</v>
      </c>
      <c r="T124" s="136">
        <f t="shared" si="38"/>
        <v>5</v>
      </c>
      <c r="U124" s="136">
        <f t="shared" si="38"/>
        <v>5</v>
      </c>
      <c r="V124" s="136">
        <f t="shared" si="38"/>
        <v>5</v>
      </c>
      <c r="W124" s="136">
        <f t="shared" si="38"/>
        <v>5</v>
      </c>
      <c r="X124" s="136">
        <f t="shared" si="38"/>
        <v>5</v>
      </c>
      <c r="Y124" s="136">
        <f t="shared" si="38"/>
        <v>5</v>
      </c>
      <c r="Z124" s="136">
        <f t="shared" si="38"/>
        <v>5</v>
      </c>
      <c r="AA124" s="136">
        <f t="shared" si="38"/>
        <v>5</v>
      </c>
      <c r="AB124" s="136">
        <f t="shared" si="38"/>
        <v>5</v>
      </c>
      <c r="AC124" s="136">
        <f t="shared" si="38"/>
        <v>5</v>
      </c>
      <c r="AD124" s="136">
        <f t="shared" si="38"/>
        <v>5</v>
      </c>
      <c r="AE124" s="136">
        <f t="shared" si="38"/>
        <v>5</v>
      </c>
      <c r="AF124" s="136">
        <f t="shared" si="38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36"/>
        <v>1</v>
      </c>
      <c r="C125" s="137">
        <v>1</v>
      </c>
      <c r="D125" s="136">
        <f t="shared" si="39"/>
        <v>1</v>
      </c>
      <c r="E125" s="136">
        <f t="shared" si="39"/>
        <v>1</v>
      </c>
      <c r="F125" s="136">
        <f t="shared" si="39"/>
        <v>1</v>
      </c>
      <c r="G125" s="136">
        <f t="shared" si="39"/>
        <v>1</v>
      </c>
      <c r="H125" s="136">
        <f t="shared" si="39"/>
        <v>1</v>
      </c>
      <c r="I125" s="136">
        <f t="shared" si="39"/>
        <v>1</v>
      </c>
      <c r="J125" s="136">
        <f t="shared" si="39"/>
        <v>1</v>
      </c>
      <c r="K125" s="136">
        <f t="shared" si="39"/>
        <v>1</v>
      </c>
      <c r="L125" s="136">
        <f t="shared" si="39"/>
        <v>1</v>
      </c>
      <c r="M125" s="136">
        <f t="shared" si="39"/>
        <v>1</v>
      </c>
      <c r="N125" s="136">
        <f t="shared" si="39"/>
        <v>1</v>
      </c>
      <c r="O125" s="136">
        <f t="shared" si="39"/>
        <v>1</v>
      </c>
      <c r="P125" s="136">
        <f t="shared" si="39"/>
        <v>1</v>
      </c>
      <c r="Q125" s="136">
        <f t="shared" si="39"/>
        <v>1</v>
      </c>
      <c r="R125" s="136">
        <f t="shared" si="39"/>
        <v>1</v>
      </c>
      <c r="S125" s="136">
        <f t="shared" si="39"/>
        <v>1</v>
      </c>
      <c r="T125" s="136">
        <f t="shared" si="38"/>
        <v>1</v>
      </c>
      <c r="U125" s="136">
        <f t="shared" si="38"/>
        <v>1</v>
      </c>
      <c r="V125" s="136">
        <f t="shared" si="38"/>
        <v>1</v>
      </c>
      <c r="W125" s="136">
        <f t="shared" si="38"/>
        <v>1</v>
      </c>
      <c r="X125" s="136">
        <f t="shared" si="38"/>
        <v>1</v>
      </c>
      <c r="Y125" s="136">
        <f t="shared" si="38"/>
        <v>1</v>
      </c>
      <c r="Z125" s="136">
        <f t="shared" si="38"/>
        <v>1</v>
      </c>
      <c r="AA125" s="136">
        <f t="shared" si="38"/>
        <v>1</v>
      </c>
      <c r="AB125" s="136">
        <f t="shared" si="38"/>
        <v>1</v>
      </c>
      <c r="AC125" s="136">
        <f t="shared" si="38"/>
        <v>1</v>
      </c>
      <c r="AD125" s="136">
        <f t="shared" si="38"/>
        <v>1</v>
      </c>
      <c r="AE125" s="136">
        <f t="shared" si="38"/>
        <v>1</v>
      </c>
      <c r="AF125" s="136">
        <f t="shared" si="38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36"/>
        <v>1.58</v>
      </c>
      <c r="C126" s="137">
        <v>1.58</v>
      </c>
      <c r="D126" s="136">
        <f t="shared" si="39"/>
        <v>1.58</v>
      </c>
      <c r="E126" s="136">
        <f t="shared" si="39"/>
        <v>1.58</v>
      </c>
      <c r="F126" s="136">
        <f t="shared" si="39"/>
        <v>1.58</v>
      </c>
      <c r="G126" s="136">
        <f t="shared" si="39"/>
        <v>1.58</v>
      </c>
      <c r="H126" s="136">
        <f t="shared" si="39"/>
        <v>1.58</v>
      </c>
      <c r="I126" s="136">
        <f t="shared" si="39"/>
        <v>1.58</v>
      </c>
      <c r="J126" s="136">
        <f t="shared" si="39"/>
        <v>1.58</v>
      </c>
      <c r="K126" s="136">
        <f t="shared" si="39"/>
        <v>1.58</v>
      </c>
      <c r="L126" s="136">
        <f t="shared" si="39"/>
        <v>1.58</v>
      </c>
      <c r="M126" s="136">
        <f t="shared" si="39"/>
        <v>1.58</v>
      </c>
      <c r="N126" s="136">
        <f t="shared" si="39"/>
        <v>1.58</v>
      </c>
      <c r="O126" s="136">
        <f t="shared" si="39"/>
        <v>1.58</v>
      </c>
      <c r="P126" s="136">
        <f t="shared" si="39"/>
        <v>1.58</v>
      </c>
      <c r="Q126" s="136">
        <f t="shared" si="39"/>
        <v>1.58</v>
      </c>
      <c r="R126" s="136">
        <f t="shared" si="39"/>
        <v>1.58</v>
      </c>
      <c r="S126" s="136">
        <f t="shared" si="39"/>
        <v>1.58</v>
      </c>
      <c r="T126" s="136">
        <f t="shared" si="38"/>
        <v>1.58</v>
      </c>
      <c r="U126" s="136">
        <f t="shared" si="38"/>
        <v>1.58</v>
      </c>
      <c r="V126" s="136">
        <f t="shared" si="38"/>
        <v>1.58</v>
      </c>
      <c r="W126" s="136">
        <f t="shared" si="38"/>
        <v>1.58</v>
      </c>
      <c r="X126" s="136">
        <f t="shared" si="38"/>
        <v>1.58</v>
      </c>
      <c r="Y126" s="136">
        <f t="shared" si="38"/>
        <v>1.58</v>
      </c>
      <c r="Z126" s="136">
        <f t="shared" si="38"/>
        <v>1.58</v>
      </c>
      <c r="AA126" s="136">
        <f t="shared" si="38"/>
        <v>1.58</v>
      </c>
      <c r="AB126" s="136">
        <f t="shared" si="38"/>
        <v>1.58</v>
      </c>
      <c r="AC126" s="136">
        <f t="shared" si="38"/>
        <v>1.58</v>
      </c>
      <c r="AD126" s="136">
        <f t="shared" si="38"/>
        <v>1.58</v>
      </c>
      <c r="AE126" s="136">
        <f t="shared" si="38"/>
        <v>1.58</v>
      </c>
      <c r="AF126" s="136">
        <f t="shared" si="38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36"/>
        <v>1.46</v>
      </c>
      <c r="C127" s="137">
        <v>1.46</v>
      </c>
      <c r="D127" s="136">
        <f t="shared" si="39"/>
        <v>1.46</v>
      </c>
      <c r="E127" s="136">
        <f t="shared" si="39"/>
        <v>1.46</v>
      </c>
      <c r="F127" s="136">
        <f t="shared" si="39"/>
        <v>1.46</v>
      </c>
      <c r="G127" s="136">
        <f t="shared" si="39"/>
        <v>1.46</v>
      </c>
      <c r="H127" s="136">
        <f t="shared" si="39"/>
        <v>1.46</v>
      </c>
      <c r="I127" s="136">
        <f t="shared" si="39"/>
        <v>1.46</v>
      </c>
      <c r="J127" s="136">
        <f t="shared" si="39"/>
        <v>1.46</v>
      </c>
      <c r="K127" s="136">
        <f t="shared" si="39"/>
        <v>1.46</v>
      </c>
      <c r="L127" s="136">
        <f t="shared" si="39"/>
        <v>1.46</v>
      </c>
      <c r="M127" s="136">
        <f t="shared" si="39"/>
        <v>1.46</v>
      </c>
      <c r="N127" s="136">
        <f t="shared" si="39"/>
        <v>1.46</v>
      </c>
      <c r="O127" s="136">
        <f t="shared" si="39"/>
        <v>1.46</v>
      </c>
      <c r="P127" s="136">
        <f t="shared" si="39"/>
        <v>1.46</v>
      </c>
      <c r="Q127" s="136">
        <f t="shared" si="39"/>
        <v>1.46</v>
      </c>
      <c r="R127" s="136">
        <f t="shared" si="39"/>
        <v>1.46</v>
      </c>
      <c r="S127" s="136">
        <f t="shared" si="39"/>
        <v>1.46</v>
      </c>
      <c r="T127" s="136">
        <f t="shared" ref="T127:AF128" si="40">S127</f>
        <v>1.46</v>
      </c>
      <c r="U127" s="136">
        <f t="shared" si="40"/>
        <v>1.46</v>
      </c>
      <c r="V127" s="136">
        <f t="shared" si="40"/>
        <v>1.46</v>
      </c>
      <c r="W127" s="136">
        <f t="shared" si="40"/>
        <v>1.46</v>
      </c>
      <c r="X127" s="136">
        <f t="shared" si="40"/>
        <v>1.46</v>
      </c>
      <c r="Y127" s="136">
        <f t="shared" si="40"/>
        <v>1.46</v>
      </c>
      <c r="Z127" s="136">
        <f t="shared" si="40"/>
        <v>1.46</v>
      </c>
      <c r="AA127" s="136">
        <f t="shared" si="40"/>
        <v>1.46</v>
      </c>
      <c r="AB127" s="136">
        <f t="shared" si="40"/>
        <v>1.46</v>
      </c>
      <c r="AC127" s="136">
        <f t="shared" si="40"/>
        <v>1.46</v>
      </c>
      <c r="AD127" s="136">
        <f t="shared" si="40"/>
        <v>1.46</v>
      </c>
      <c r="AE127" s="136">
        <f t="shared" si="40"/>
        <v>1.46</v>
      </c>
      <c r="AF127" s="136">
        <f t="shared" si="40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36"/>
        <v>1.48</v>
      </c>
      <c r="C128" s="137">
        <v>1.48</v>
      </c>
      <c r="D128" s="136">
        <f t="shared" si="39"/>
        <v>1.48</v>
      </c>
      <c r="E128" s="136">
        <f t="shared" si="39"/>
        <v>1.48</v>
      </c>
      <c r="F128" s="136">
        <f t="shared" si="39"/>
        <v>1.48</v>
      </c>
      <c r="G128" s="136">
        <f t="shared" si="39"/>
        <v>1.48</v>
      </c>
      <c r="H128" s="136">
        <f t="shared" si="39"/>
        <v>1.48</v>
      </c>
      <c r="I128" s="136">
        <f t="shared" si="39"/>
        <v>1.48</v>
      </c>
      <c r="J128" s="136">
        <f t="shared" si="39"/>
        <v>1.48</v>
      </c>
      <c r="K128" s="136">
        <f t="shared" si="39"/>
        <v>1.48</v>
      </c>
      <c r="L128" s="136">
        <f t="shared" si="39"/>
        <v>1.48</v>
      </c>
      <c r="M128" s="136">
        <f t="shared" si="39"/>
        <v>1.48</v>
      </c>
      <c r="N128" s="136">
        <f t="shared" si="39"/>
        <v>1.48</v>
      </c>
      <c r="O128" s="136">
        <f t="shared" si="39"/>
        <v>1.48</v>
      </c>
      <c r="P128" s="136">
        <f t="shared" si="39"/>
        <v>1.48</v>
      </c>
      <c r="Q128" s="136">
        <f t="shared" si="39"/>
        <v>1.48</v>
      </c>
      <c r="R128" s="136">
        <f t="shared" si="39"/>
        <v>1.48</v>
      </c>
      <c r="S128" s="136">
        <f t="shared" si="39"/>
        <v>1.48</v>
      </c>
      <c r="T128" s="136">
        <f t="shared" si="40"/>
        <v>1.48</v>
      </c>
      <c r="U128" s="136">
        <f t="shared" si="40"/>
        <v>1.48</v>
      </c>
      <c r="V128" s="136">
        <f t="shared" si="40"/>
        <v>1.48</v>
      </c>
      <c r="W128" s="136">
        <f t="shared" si="40"/>
        <v>1.48</v>
      </c>
      <c r="X128" s="136">
        <f t="shared" si="40"/>
        <v>1.48</v>
      </c>
      <c r="Y128" s="136">
        <f t="shared" si="40"/>
        <v>1.48</v>
      </c>
      <c r="Z128" s="136">
        <f t="shared" si="40"/>
        <v>1.48</v>
      </c>
      <c r="AA128" s="136">
        <f t="shared" si="40"/>
        <v>1.48</v>
      </c>
      <c r="AB128" s="136">
        <f t="shared" si="40"/>
        <v>1.48</v>
      </c>
      <c r="AC128" s="136">
        <f t="shared" si="40"/>
        <v>1.48</v>
      </c>
      <c r="AD128" s="136">
        <f t="shared" si="40"/>
        <v>1.48</v>
      </c>
      <c r="AE128" s="136">
        <f t="shared" si="40"/>
        <v>1.48</v>
      </c>
      <c r="AF128" s="136">
        <f t="shared" si="40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41">AF130</f>
        <v>2.2000000000000002</v>
      </c>
      <c r="C130" s="137">
        <v>2.2000000000000002</v>
      </c>
      <c r="D130" s="136">
        <f t="shared" ref="D130:S137" si="42">C130</f>
        <v>2.2000000000000002</v>
      </c>
      <c r="E130" s="136">
        <f t="shared" si="42"/>
        <v>2.2000000000000002</v>
      </c>
      <c r="F130" s="136">
        <f t="shared" si="42"/>
        <v>2.2000000000000002</v>
      </c>
      <c r="G130" s="136">
        <f t="shared" si="42"/>
        <v>2.2000000000000002</v>
      </c>
      <c r="H130" s="136">
        <f t="shared" si="42"/>
        <v>2.2000000000000002</v>
      </c>
      <c r="I130" s="136">
        <f t="shared" si="42"/>
        <v>2.2000000000000002</v>
      </c>
      <c r="J130" s="136">
        <f t="shared" si="42"/>
        <v>2.2000000000000002</v>
      </c>
      <c r="K130" s="136">
        <f t="shared" si="42"/>
        <v>2.2000000000000002</v>
      </c>
      <c r="L130" s="136">
        <f t="shared" si="42"/>
        <v>2.2000000000000002</v>
      </c>
      <c r="M130" s="136">
        <f t="shared" si="42"/>
        <v>2.2000000000000002</v>
      </c>
      <c r="N130" s="136">
        <f t="shared" si="42"/>
        <v>2.2000000000000002</v>
      </c>
      <c r="O130" s="136">
        <f t="shared" si="42"/>
        <v>2.2000000000000002</v>
      </c>
      <c r="P130" s="136">
        <f t="shared" si="42"/>
        <v>2.2000000000000002</v>
      </c>
      <c r="Q130" s="136">
        <f t="shared" si="42"/>
        <v>2.2000000000000002</v>
      </c>
      <c r="R130" s="136">
        <f t="shared" si="42"/>
        <v>2.2000000000000002</v>
      </c>
      <c r="S130" s="136">
        <f t="shared" si="42"/>
        <v>2.2000000000000002</v>
      </c>
      <c r="T130" s="136">
        <f t="shared" ref="T130:AF137" si="43">S130</f>
        <v>2.2000000000000002</v>
      </c>
      <c r="U130" s="136">
        <f t="shared" si="43"/>
        <v>2.2000000000000002</v>
      </c>
      <c r="V130" s="136">
        <f t="shared" si="43"/>
        <v>2.2000000000000002</v>
      </c>
      <c r="W130" s="136">
        <f t="shared" si="43"/>
        <v>2.2000000000000002</v>
      </c>
      <c r="X130" s="136">
        <f t="shared" si="43"/>
        <v>2.2000000000000002</v>
      </c>
      <c r="Y130" s="136">
        <f t="shared" si="43"/>
        <v>2.2000000000000002</v>
      </c>
      <c r="Z130" s="136">
        <f t="shared" si="43"/>
        <v>2.2000000000000002</v>
      </c>
      <c r="AA130" s="136">
        <f t="shared" si="43"/>
        <v>2.2000000000000002</v>
      </c>
      <c r="AB130" s="136">
        <f t="shared" si="43"/>
        <v>2.2000000000000002</v>
      </c>
      <c r="AC130" s="136">
        <f t="shared" si="43"/>
        <v>2.2000000000000002</v>
      </c>
      <c r="AD130" s="136">
        <f t="shared" si="43"/>
        <v>2.2000000000000002</v>
      </c>
      <c r="AE130" s="136">
        <f t="shared" si="43"/>
        <v>2.2000000000000002</v>
      </c>
      <c r="AF130" s="136">
        <f t="shared" si="43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41"/>
        <v>2</v>
      </c>
      <c r="C131" s="137">
        <v>2</v>
      </c>
      <c r="D131" s="136">
        <f t="shared" si="42"/>
        <v>2</v>
      </c>
      <c r="E131" s="136">
        <f t="shared" si="42"/>
        <v>2</v>
      </c>
      <c r="F131" s="136">
        <f t="shared" si="42"/>
        <v>2</v>
      </c>
      <c r="G131" s="136">
        <f t="shared" si="42"/>
        <v>2</v>
      </c>
      <c r="H131" s="136">
        <f t="shared" si="42"/>
        <v>2</v>
      </c>
      <c r="I131" s="136">
        <f t="shared" si="42"/>
        <v>2</v>
      </c>
      <c r="J131" s="136">
        <f t="shared" si="42"/>
        <v>2</v>
      </c>
      <c r="K131" s="136">
        <f t="shared" si="42"/>
        <v>2</v>
      </c>
      <c r="L131" s="136">
        <f t="shared" si="42"/>
        <v>2</v>
      </c>
      <c r="M131" s="136">
        <f t="shared" si="42"/>
        <v>2</v>
      </c>
      <c r="N131" s="136">
        <f t="shared" si="42"/>
        <v>2</v>
      </c>
      <c r="O131" s="136">
        <f t="shared" si="42"/>
        <v>2</v>
      </c>
      <c r="P131" s="136">
        <f t="shared" si="42"/>
        <v>2</v>
      </c>
      <c r="Q131" s="136">
        <f t="shared" si="42"/>
        <v>2</v>
      </c>
      <c r="R131" s="136">
        <f t="shared" si="42"/>
        <v>2</v>
      </c>
      <c r="S131" s="136">
        <f t="shared" si="42"/>
        <v>2</v>
      </c>
      <c r="T131" s="136">
        <f t="shared" si="43"/>
        <v>2</v>
      </c>
      <c r="U131" s="136">
        <f t="shared" si="43"/>
        <v>2</v>
      </c>
      <c r="V131" s="136">
        <f t="shared" si="43"/>
        <v>2</v>
      </c>
      <c r="W131" s="136">
        <f t="shared" si="43"/>
        <v>2</v>
      </c>
      <c r="X131" s="136">
        <f t="shared" si="43"/>
        <v>2</v>
      </c>
      <c r="Y131" s="136">
        <f t="shared" si="43"/>
        <v>2</v>
      </c>
      <c r="Z131" s="136">
        <f t="shared" si="43"/>
        <v>2</v>
      </c>
      <c r="AA131" s="136">
        <f t="shared" si="43"/>
        <v>2</v>
      </c>
      <c r="AB131" s="136">
        <f t="shared" si="43"/>
        <v>2</v>
      </c>
      <c r="AC131" s="136">
        <f t="shared" si="43"/>
        <v>2</v>
      </c>
      <c r="AD131" s="136">
        <f t="shared" si="43"/>
        <v>2</v>
      </c>
      <c r="AE131" s="136">
        <f t="shared" si="43"/>
        <v>2</v>
      </c>
      <c r="AF131" s="136">
        <f t="shared" si="43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41"/>
        <v>1.25</v>
      </c>
      <c r="C132" s="137">
        <v>1.25</v>
      </c>
      <c r="D132" s="136">
        <f t="shared" si="42"/>
        <v>1.25</v>
      </c>
      <c r="E132" s="136">
        <f t="shared" si="42"/>
        <v>1.25</v>
      </c>
      <c r="F132" s="136">
        <f t="shared" si="42"/>
        <v>1.25</v>
      </c>
      <c r="G132" s="136">
        <f t="shared" si="42"/>
        <v>1.25</v>
      </c>
      <c r="H132" s="136">
        <f t="shared" si="42"/>
        <v>1.25</v>
      </c>
      <c r="I132" s="136">
        <f t="shared" si="42"/>
        <v>1.25</v>
      </c>
      <c r="J132" s="136">
        <f t="shared" si="42"/>
        <v>1.25</v>
      </c>
      <c r="K132" s="136">
        <f t="shared" si="42"/>
        <v>1.25</v>
      </c>
      <c r="L132" s="136">
        <f t="shared" si="42"/>
        <v>1.25</v>
      </c>
      <c r="M132" s="136">
        <f t="shared" si="42"/>
        <v>1.25</v>
      </c>
      <c r="N132" s="136">
        <f t="shared" si="42"/>
        <v>1.25</v>
      </c>
      <c r="O132" s="136">
        <f t="shared" si="42"/>
        <v>1.25</v>
      </c>
      <c r="P132" s="136">
        <f t="shared" si="42"/>
        <v>1.25</v>
      </c>
      <c r="Q132" s="136">
        <f t="shared" si="42"/>
        <v>1.25</v>
      </c>
      <c r="R132" s="136">
        <f t="shared" si="42"/>
        <v>1.25</v>
      </c>
      <c r="S132" s="136">
        <f t="shared" si="42"/>
        <v>1.25</v>
      </c>
      <c r="T132" s="136">
        <f t="shared" si="43"/>
        <v>1.25</v>
      </c>
      <c r="U132" s="136">
        <f t="shared" si="43"/>
        <v>1.25</v>
      </c>
      <c r="V132" s="136">
        <f t="shared" si="43"/>
        <v>1.25</v>
      </c>
      <c r="W132" s="136">
        <f t="shared" si="43"/>
        <v>1.25</v>
      </c>
      <c r="X132" s="136">
        <f t="shared" si="43"/>
        <v>1.25</v>
      </c>
      <c r="Y132" s="136">
        <f t="shared" si="43"/>
        <v>1.25</v>
      </c>
      <c r="Z132" s="136">
        <f t="shared" si="43"/>
        <v>1.25</v>
      </c>
      <c r="AA132" s="136">
        <f t="shared" si="43"/>
        <v>1.25</v>
      </c>
      <c r="AB132" s="136">
        <f t="shared" si="43"/>
        <v>1.25</v>
      </c>
      <c r="AC132" s="136">
        <f t="shared" si="43"/>
        <v>1.25</v>
      </c>
      <c r="AD132" s="136">
        <f t="shared" si="43"/>
        <v>1.25</v>
      </c>
      <c r="AE132" s="136">
        <f t="shared" si="43"/>
        <v>1.25</v>
      </c>
      <c r="AF132" s="136">
        <f t="shared" si="43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41"/>
        <v>1.1499999999999999</v>
      </c>
      <c r="C133" s="137">
        <v>1.1499999999999999</v>
      </c>
      <c r="D133" s="136">
        <f t="shared" si="42"/>
        <v>1.1499999999999999</v>
      </c>
      <c r="E133" s="136">
        <f t="shared" si="42"/>
        <v>1.1499999999999999</v>
      </c>
      <c r="F133" s="136">
        <f t="shared" si="42"/>
        <v>1.1499999999999999</v>
      </c>
      <c r="G133" s="136">
        <f t="shared" si="42"/>
        <v>1.1499999999999999</v>
      </c>
      <c r="H133" s="136">
        <f t="shared" si="42"/>
        <v>1.1499999999999999</v>
      </c>
      <c r="I133" s="136">
        <f t="shared" si="42"/>
        <v>1.1499999999999999</v>
      </c>
      <c r="J133" s="136">
        <f t="shared" si="42"/>
        <v>1.1499999999999999</v>
      </c>
      <c r="K133" s="136">
        <f t="shared" si="42"/>
        <v>1.1499999999999999</v>
      </c>
      <c r="L133" s="136">
        <f t="shared" si="42"/>
        <v>1.1499999999999999</v>
      </c>
      <c r="M133" s="136">
        <f t="shared" si="42"/>
        <v>1.1499999999999999</v>
      </c>
      <c r="N133" s="136">
        <f t="shared" si="42"/>
        <v>1.1499999999999999</v>
      </c>
      <c r="O133" s="136">
        <f t="shared" si="42"/>
        <v>1.1499999999999999</v>
      </c>
      <c r="P133" s="136">
        <f t="shared" si="42"/>
        <v>1.1499999999999999</v>
      </c>
      <c r="Q133" s="136">
        <f t="shared" si="42"/>
        <v>1.1499999999999999</v>
      </c>
      <c r="R133" s="136">
        <f t="shared" si="42"/>
        <v>1.1499999999999999</v>
      </c>
      <c r="S133" s="136">
        <f t="shared" si="42"/>
        <v>1.1499999999999999</v>
      </c>
      <c r="T133" s="136">
        <f t="shared" si="43"/>
        <v>1.1499999999999999</v>
      </c>
      <c r="U133" s="136">
        <f t="shared" si="43"/>
        <v>1.1499999999999999</v>
      </c>
      <c r="V133" s="136">
        <f t="shared" si="43"/>
        <v>1.1499999999999999</v>
      </c>
      <c r="W133" s="136">
        <f t="shared" si="43"/>
        <v>1.1499999999999999</v>
      </c>
      <c r="X133" s="136">
        <f t="shared" si="43"/>
        <v>1.1499999999999999</v>
      </c>
      <c r="Y133" s="136">
        <f t="shared" si="43"/>
        <v>1.1499999999999999</v>
      </c>
      <c r="Z133" s="136">
        <f t="shared" si="43"/>
        <v>1.1499999999999999</v>
      </c>
      <c r="AA133" s="136">
        <f t="shared" si="43"/>
        <v>1.1499999999999999</v>
      </c>
      <c r="AB133" s="136">
        <f t="shared" si="43"/>
        <v>1.1499999999999999</v>
      </c>
      <c r="AC133" s="136">
        <f t="shared" si="43"/>
        <v>1.1499999999999999</v>
      </c>
      <c r="AD133" s="136">
        <f t="shared" si="43"/>
        <v>1.1499999999999999</v>
      </c>
      <c r="AE133" s="136">
        <f t="shared" si="43"/>
        <v>1.1499999999999999</v>
      </c>
      <c r="AF133" s="136">
        <f t="shared" si="43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41"/>
        <v>2.133</v>
      </c>
      <c r="C134" s="137">
        <v>2.133</v>
      </c>
      <c r="D134" s="136">
        <f t="shared" si="42"/>
        <v>2.133</v>
      </c>
      <c r="E134" s="136">
        <f t="shared" si="42"/>
        <v>2.133</v>
      </c>
      <c r="F134" s="136">
        <f t="shared" si="42"/>
        <v>2.133</v>
      </c>
      <c r="G134" s="136">
        <f t="shared" si="42"/>
        <v>2.133</v>
      </c>
      <c r="H134" s="136">
        <f t="shared" si="42"/>
        <v>2.133</v>
      </c>
      <c r="I134" s="136">
        <f t="shared" si="42"/>
        <v>2.133</v>
      </c>
      <c r="J134" s="136">
        <f t="shared" si="42"/>
        <v>2.133</v>
      </c>
      <c r="K134" s="136">
        <f t="shared" si="42"/>
        <v>2.133</v>
      </c>
      <c r="L134" s="136">
        <f t="shared" si="42"/>
        <v>2.133</v>
      </c>
      <c r="M134" s="136">
        <f t="shared" si="42"/>
        <v>2.133</v>
      </c>
      <c r="N134" s="136">
        <f t="shared" si="42"/>
        <v>2.133</v>
      </c>
      <c r="O134" s="136">
        <f t="shared" si="42"/>
        <v>2.133</v>
      </c>
      <c r="P134" s="136">
        <f t="shared" si="42"/>
        <v>2.133</v>
      </c>
      <c r="Q134" s="136">
        <f t="shared" si="42"/>
        <v>2.133</v>
      </c>
      <c r="R134" s="136">
        <f t="shared" si="42"/>
        <v>2.133</v>
      </c>
      <c r="S134" s="136">
        <f t="shared" si="42"/>
        <v>2.133</v>
      </c>
      <c r="T134" s="136">
        <f t="shared" si="43"/>
        <v>2.133</v>
      </c>
      <c r="U134" s="136">
        <f t="shared" si="43"/>
        <v>2.133</v>
      </c>
      <c r="V134" s="136">
        <f t="shared" si="43"/>
        <v>2.133</v>
      </c>
      <c r="W134" s="136">
        <f t="shared" si="43"/>
        <v>2.133</v>
      </c>
      <c r="X134" s="136">
        <f t="shared" si="43"/>
        <v>2.133</v>
      </c>
      <c r="Y134" s="136">
        <f t="shared" si="43"/>
        <v>2.133</v>
      </c>
      <c r="Z134" s="136">
        <f t="shared" si="43"/>
        <v>2.133</v>
      </c>
      <c r="AA134" s="136">
        <f t="shared" si="43"/>
        <v>2.133</v>
      </c>
      <c r="AB134" s="136">
        <f t="shared" si="43"/>
        <v>2.133</v>
      </c>
      <c r="AC134" s="136">
        <f t="shared" si="43"/>
        <v>2.133</v>
      </c>
      <c r="AD134" s="136">
        <f t="shared" si="43"/>
        <v>2.133</v>
      </c>
      <c r="AE134" s="136">
        <f t="shared" si="43"/>
        <v>2.133</v>
      </c>
      <c r="AF134" s="136">
        <f t="shared" si="43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41"/>
        <v>2.09</v>
      </c>
      <c r="C135" s="137">
        <v>2.09</v>
      </c>
      <c r="D135" s="136">
        <f t="shared" si="42"/>
        <v>2.09</v>
      </c>
      <c r="E135" s="136">
        <f t="shared" si="42"/>
        <v>2.09</v>
      </c>
      <c r="F135" s="136">
        <f t="shared" si="42"/>
        <v>2.09</v>
      </c>
      <c r="G135" s="136">
        <f t="shared" si="42"/>
        <v>2.09</v>
      </c>
      <c r="H135" s="136">
        <f t="shared" si="42"/>
        <v>2.09</v>
      </c>
      <c r="I135" s="136">
        <f t="shared" si="42"/>
        <v>2.09</v>
      </c>
      <c r="J135" s="136">
        <f t="shared" si="42"/>
        <v>2.09</v>
      </c>
      <c r="K135" s="136">
        <f t="shared" si="42"/>
        <v>2.09</v>
      </c>
      <c r="L135" s="136">
        <f t="shared" si="42"/>
        <v>2.09</v>
      </c>
      <c r="M135" s="136">
        <f t="shared" si="42"/>
        <v>2.09</v>
      </c>
      <c r="N135" s="136">
        <f t="shared" si="42"/>
        <v>2.09</v>
      </c>
      <c r="O135" s="136">
        <f t="shared" si="42"/>
        <v>2.09</v>
      </c>
      <c r="P135" s="136">
        <f t="shared" si="42"/>
        <v>2.09</v>
      </c>
      <c r="Q135" s="136">
        <f t="shared" si="42"/>
        <v>2.09</v>
      </c>
      <c r="R135" s="136">
        <f t="shared" si="42"/>
        <v>2.09</v>
      </c>
      <c r="S135" s="136">
        <f t="shared" si="42"/>
        <v>2.09</v>
      </c>
      <c r="T135" s="136">
        <f t="shared" si="43"/>
        <v>2.09</v>
      </c>
      <c r="U135" s="136">
        <f t="shared" si="43"/>
        <v>2.09</v>
      </c>
      <c r="V135" s="136">
        <f t="shared" si="43"/>
        <v>2.09</v>
      </c>
      <c r="W135" s="136">
        <f t="shared" si="43"/>
        <v>2.09</v>
      </c>
      <c r="X135" s="136">
        <f t="shared" si="43"/>
        <v>2.09</v>
      </c>
      <c r="Y135" s="136">
        <f t="shared" si="43"/>
        <v>2.09</v>
      </c>
      <c r="Z135" s="136">
        <f t="shared" si="43"/>
        <v>2.09</v>
      </c>
      <c r="AA135" s="136">
        <f t="shared" si="43"/>
        <v>2.09</v>
      </c>
      <c r="AB135" s="136">
        <f t="shared" si="43"/>
        <v>2.09</v>
      </c>
      <c r="AC135" s="136">
        <f t="shared" si="43"/>
        <v>2.09</v>
      </c>
      <c r="AD135" s="136">
        <f t="shared" si="43"/>
        <v>2.09</v>
      </c>
      <c r="AE135" s="136">
        <f t="shared" si="43"/>
        <v>2.09</v>
      </c>
      <c r="AF135" s="136">
        <f t="shared" si="43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41"/>
        <v>1.1399999999999999</v>
      </c>
      <c r="C136" s="137">
        <v>1.1399999999999999</v>
      </c>
      <c r="D136" s="136">
        <f t="shared" si="42"/>
        <v>1.1399999999999999</v>
      </c>
      <c r="E136" s="136">
        <f t="shared" si="42"/>
        <v>1.1399999999999999</v>
      </c>
      <c r="F136" s="136">
        <f t="shared" si="42"/>
        <v>1.1399999999999999</v>
      </c>
      <c r="G136" s="136">
        <f t="shared" si="42"/>
        <v>1.1399999999999999</v>
      </c>
      <c r="H136" s="136">
        <f t="shared" si="42"/>
        <v>1.1399999999999999</v>
      </c>
      <c r="I136" s="136">
        <f t="shared" si="42"/>
        <v>1.1399999999999999</v>
      </c>
      <c r="J136" s="136">
        <f t="shared" si="42"/>
        <v>1.1399999999999999</v>
      </c>
      <c r="K136" s="136">
        <f t="shared" si="42"/>
        <v>1.1399999999999999</v>
      </c>
      <c r="L136" s="136">
        <f t="shared" si="42"/>
        <v>1.1399999999999999</v>
      </c>
      <c r="M136" s="136">
        <f t="shared" si="42"/>
        <v>1.1399999999999999</v>
      </c>
      <c r="N136" s="136">
        <f t="shared" si="42"/>
        <v>1.1399999999999999</v>
      </c>
      <c r="O136" s="136">
        <f t="shared" si="42"/>
        <v>1.1399999999999999</v>
      </c>
      <c r="P136" s="136">
        <f t="shared" si="42"/>
        <v>1.1399999999999999</v>
      </c>
      <c r="Q136" s="136">
        <f t="shared" si="42"/>
        <v>1.1399999999999999</v>
      </c>
      <c r="R136" s="136">
        <f t="shared" si="42"/>
        <v>1.1399999999999999</v>
      </c>
      <c r="S136" s="136">
        <f t="shared" si="42"/>
        <v>1.1399999999999999</v>
      </c>
      <c r="T136" s="136">
        <f t="shared" si="43"/>
        <v>1.1399999999999999</v>
      </c>
      <c r="U136" s="136">
        <f t="shared" si="43"/>
        <v>1.1399999999999999</v>
      </c>
      <c r="V136" s="136">
        <f t="shared" si="43"/>
        <v>1.1399999999999999</v>
      </c>
      <c r="W136" s="136">
        <f t="shared" si="43"/>
        <v>1.1399999999999999</v>
      </c>
      <c r="X136" s="136">
        <f t="shared" si="43"/>
        <v>1.1399999999999999</v>
      </c>
      <c r="Y136" s="136">
        <f t="shared" si="43"/>
        <v>1.1399999999999999</v>
      </c>
      <c r="Z136" s="136">
        <f t="shared" si="43"/>
        <v>1.1399999999999999</v>
      </c>
      <c r="AA136" s="136">
        <f t="shared" si="43"/>
        <v>1.1399999999999999</v>
      </c>
      <c r="AB136" s="136">
        <f t="shared" si="43"/>
        <v>1.1399999999999999</v>
      </c>
      <c r="AC136" s="136">
        <f t="shared" si="43"/>
        <v>1.1399999999999999</v>
      </c>
      <c r="AD136" s="136">
        <f t="shared" si="43"/>
        <v>1.1399999999999999</v>
      </c>
      <c r="AE136" s="136">
        <f t="shared" si="43"/>
        <v>1.1399999999999999</v>
      </c>
      <c r="AF136" s="136">
        <f t="shared" si="43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41"/>
        <v>0.82</v>
      </c>
      <c r="C137" s="137">
        <v>0.82</v>
      </c>
      <c r="D137" s="136">
        <f t="shared" si="42"/>
        <v>0.82</v>
      </c>
      <c r="E137" s="136">
        <f t="shared" si="42"/>
        <v>0.82</v>
      </c>
      <c r="F137" s="136">
        <f t="shared" si="42"/>
        <v>0.82</v>
      </c>
      <c r="G137" s="136">
        <f t="shared" si="42"/>
        <v>0.82</v>
      </c>
      <c r="H137" s="136">
        <f t="shared" si="42"/>
        <v>0.82</v>
      </c>
      <c r="I137" s="136">
        <f t="shared" si="42"/>
        <v>0.82</v>
      </c>
      <c r="J137" s="136">
        <f t="shared" si="42"/>
        <v>0.82</v>
      </c>
      <c r="K137" s="136">
        <f t="shared" si="42"/>
        <v>0.82</v>
      </c>
      <c r="L137" s="136">
        <f t="shared" si="42"/>
        <v>0.82</v>
      </c>
      <c r="M137" s="136">
        <f t="shared" si="42"/>
        <v>0.82</v>
      </c>
      <c r="N137" s="136">
        <f t="shared" si="42"/>
        <v>0.82</v>
      </c>
      <c r="O137" s="136">
        <f t="shared" si="42"/>
        <v>0.82</v>
      </c>
      <c r="P137" s="136">
        <f t="shared" si="42"/>
        <v>0.82</v>
      </c>
      <c r="Q137" s="136">
        <f t="shared" si="42"/>
        <v>0.82</v>
      </c>
      <c r="R137" s="136">
        <f t="shared" si="42"/>
        <v>0.82</v>
      </c>
      <c r="S137" s="136">
        <f t="shared" si="42"/>
        <v>0.82</v>
      </c>
      <c r="T137" s="136">
        <f t="shared" si="43"/>
        <v>0.82</v>
      </c>
      <c r="U137" s="136">
        <f t="shared" si="43"/>
        <v>0.82</v>
      </c>
      <c r="V137" s="136">
        <f t="shared" si="43"/>
        <v>0.82</v>
      </c>
      <c r="W137" s="136">
        <f t="shared" si="43"/>
        <v>0.82</v>
      </c>
      <c r="X137" s="136">
        <f t="shared" si="43"/>
        <v>0.82</v>
      </c>
      <c r="Y137" s="136">
        <f t="shared" si="43"/>
        <v>0.82</v>
      </c>
      <c r="Z137" s="136">
        <f t="shared" si="43"/>
        <v>0.82</v>
      </c>
      <c r="AA137" s="136">
        <f t="shared" si="43"/>
        <v>0.82</v>
      </c>
      <c r="AB137" s="136">
        <f t="shared" si="43"/>
        <v>0.82</v>
      </c>
      <c r="AC137" s="136">
        <f t="shared" si="43"/>
        <v>0.82</v>
      </c>
      <c r="AD137" s="136">
        <f t="shared" si="43"/>
        <v>0.82</v>
      </c>
      <c r="AE137" s="136">
        <f t="shared" si="43"/>
        <v>0.82</v>
      </c>
      <c r="AF137" s="136">
        <f t="shared" si="43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44">AF139</f>
        <v>2</v>
      </c>
      <c r="C139" s="137">
        <v>2</v>
      </c>
      <c r="D139" s="136">
        <f t="shared" ref="D139:S145" si="45">C139</f>
        <v>2</v>
      </c>
      <c r="E139" s="136">
        <f t="shared" si="45"/>
        <v>2</v>
      </c>
      <c r="F139" s="136">
        <f t="shared" si="45"/>
        <v>2</v>
      </c>
      <c r="G139" s="136">
        <f t="shared" si="45"/>
        <v>2</v>
      </c>
      <c r="H139" s="136">
        <f t="shared" si="45"/>
        <v>2</v>
      </c>
      <c r="I139" s="136">
        <f t="shared" si="45"/>
        <v>2</v>
      </c>
      <c r="J139" s="136">
        <f t="shared" si="45"/>
        <v>2</v>
      </c>
      <c r="K139" s="136">
        <f t="shared" si="45"/>
        <v>2</v>
      </c>
      <c r="L139" s="136">
        <f t="shared" si="45"/>
        <v>2</v>
      </c>
      <c r="M139" s="136">
        <f t="shared" si="45"/>
        <v>2</v>
      </c>
      <c r="N139" s="136">
        <f t="shared" si="45"/>
        <v>2</v>
      </c>
      <c r="O139" s="136">
        <f t="shared" si="45"/>
        <v>2</v>
      </c>
      <c r="P139" s="136">
        <f t="shared" si="45"/>
        <v>2</v>
      </c>
      <c r="Q139" s="136">
        <f t="shared" si="45"/>
        <v>2</v>
      </c>
      <c r="R139" s="136">
        <f t="shared" si="45"/>
        <v>2</v>
      </c>
      <c r="S139" s="136">
        <f t="shared" si="45"/>
        <v>2</v>
      </c>
      <c r="T139" s="136">
        <f t="shared" ref="T139:AF145" si="46">S139</f>
        <v>2</v>
      </c>
      <c r="U139" s="136">
        <f t="shared" si="46"/>
        <v>2</v>
      </c>
      <c r="V139" s="136">
        <f t="shared" si="46"/>
        <v>2</v>
      </c>
      <c r="W139" s="136">
        <f t="shared" si="46"/>
        <v>2</v>
      </c>
      <c r="X139" s="136">
        <f t="shared" si="46"/>
        <v>2</v>
      </c>
      <c r="Y139" s="136">
        <f t="shared" si="46"/>
        <v>2</v>
      </c>
      <c r="Z139" s="136">
        <f t="shared" si="46"/>
        <v>2</v>
      </c>
      <c r="AA139" s="136">
        <f t="shared" si="46"/>
        <v>2</v>
      </c>
      <c r="AB139" s="136">
        <f t="shared" si="46"/>
        <v>2</v>
      </c>
      <c r="AC139" s="136">
        <f t="shared" si="46"/>
        <v>2</v>
      </c>
      <c r="AD139" s="136">
        <f t="shared" si="46"/>
        <v>2</v>
      </c>
      <c r="AE139" s="136">
        <f t="shared" si="46"/>
        <v>2</v>
      </c>
      <c r="AF139" s="136">
        <f t="shared" si="46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44"/>
        <v>5.61</v>
      </c>
      <c r="C140" s="137">
        <v>5.61</v>
      </c>
      <c r="D140" s="136">
        <f t="shared" si="45"/>
        <v>5.61</v>
      </c>
      <c r="E140" s="136">
        <f t="shared" si="45"/>
        <v>5.61</v>
      </c>
      <c r="F140" s="136">
        <f t="shared" si="45"/>
        <v>5.61</v>
      </c>
      <c r="G140" s="136">
        <f t="shared" si="45"/>
        <v>5.61</v>
      </c>
      <c r="H140" s="136">
        <f t="shared" si="45"/>
        <v>5.61</v>
      </c>
      <c r="I140" s="136">
        <f t="shared" si="45"/>
        <v>5.61</v>
      </c>
      <c r="J140" s="136">
        <f t="shared" si="45"/>
        <v>5.61</v>
      </c>
      <c r="K140" s="136">
        <f t="shared" si="45"/>
        <v>5.61</v>
      </c>
      <c r="L140" s="136">
        <f t="shared" si="45"/>
        <v>5.61</v>
      </c>
      <c r="M140" s="136">
        <f t="shared" si="45"/>
        <v>5.61</v>
      </c>
      <c r="N140" s="136">
        <f t="shared" si="45"/>
        <v>5.61</v>
      </c>
      <c r="O140" s="136">
        <f t="shared" si="45"/>
        <v>5.61</v>
      </c>
      <c r="P140" s="136">
        <f t="shared" si="45"/>
        <v>5.61</v>
      </c>
      <c r="Q140" s="136">
        <f t="shared" si="45"/>
        <v>5.61</v>
      </c>
      <c r="R140" s="136">
        <f t="shared" si="45"/>
        <v>5.61</v>
      </c>
      <c r="S140" s="136">
        <f t="shared" si="45"/>
        <v>5.61</v>
      </c>
      <c r="T140" s="136">
        <f t="shared" si="46"/>
        <v>5.61</v>
      </c>
      <c r="U140" s="136">
        <f t="shared" si="46"/>
        <v>5.61</v>
      </c>
      <c r="V140" s="136">
        <f t="shared" si="46"/>
        <v>5.61</v>
      </c>
      <c r="W140" s="136">
        <f t="shared" si="46"/>
        <v>5.61</v>
      </c>
      <c r="X140" s="136">
        <f t="shared" si="46"/>
        <v>5.61</v>
      </c>
      <c r="Y140" s="136">
        <f t="shared" si="46"/>
        <v>5.61</v>
      </c>
      <c r="Z140" s="136">
        <f t="shared" si="46"/>
        <v>5.61</v>
      </c>
      <c r="AA140" s="136">
        <f t="shared" si="46"/>
        <v>5.61</v>
      </c>
      <c r="AB140" s="136">
        <f t="shared" si="46"/>
        <v>5.61</v>
      </c>
      <c r="AC140" s="136">
        <f t="shared" si="46"/>
        <v>5.61</v>
      </c>
      <c r="AD140" s="136">
        <f t="shared" si="46"/>
        <v>5.61</v>
      </c>
      <c r="AE140" s="136">
        <f t="shared" si="46"/>
        <v>5.61</v>
      </c>
      <c r="AF140" s="136">
        <f t="shared" si="46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44"/>
        <v>1.25</v>
      </c>
      <c r="C141" s="137">
        <v>1.25</v>
      </c>
      <c r="D141" s="136">
        <f t="shared" si="45"/>
        <v>1.25</v>
      </c>
      <c r="E141" s="136">
        <f t="shared" si="45"/>
        <v>1.25</v>
      </c>
      <c r="F141" s="136">
        <f t="shared" si="45"/>
        <v>1.25</v>
      </c>
      <c r="G141" s="136">
        <f t="shared" si="45"/>
        <v>1.25</v>
      </c>
      <c r="H141" s="136">
        <f t="shared" si="45"/>
        <v>1.25</v>
      </c>
      <c r="I141" s="136">
        <f t="shared" si="45"/>
        <v>1.25</v>
      </c>
      <c r="J141" s="136">
        <f t="shared" si="45"/>
        <v>1.25</v>
      </c>
      <c r="K141" s="136">
        <f t="shared" si="45"/>
        <v>1.25</v>
      </c>
      <c r="L141" s="136">
        <f t="shared" si="45"/>
        <v>1.25</v>
      </c>
      <c r="M141" s="136">
        <f t="shared" si="45"/>
        <v>1.25</v>
      </c>
      <c r="N141" s="136">
        <f t="shared" si="45"/>
        <v>1.25</v>
      </c>
      <c r="O141" s="136">
        <f t="shared" si="45"/>
        <v>1.25</v>
      </c>
      <c r="P141" s="136">
        <f t="shared" si="45"/>
        <v>1.25</v>
      </c>
      <c r="Q141" s="136">
        <f t="shared" si="45"/>
        <v>1.25</v>
      </c>
      <c r="R141" s="136">
        <f t="shared" si="45"/>
        <v>1.25</v>
      </c>
      <c r="S141" s="136">
        <f t="shared" si="45"/>
        <v>1.25</v>
      </c>
      <c r="T141" s="136">
        <f t="shared" si="46"/>
        <v>1.25</v>
      </c>
      <c r="U141" s="136">
        <f t="shared" si="46"/>
        <v>1.25</v>
      </c>
      <c r="V141" s="136">
        <f t="shared" si="46"/>
        <v>1.25</v>
      </c>
      <c r="W141" s="136">
        <f t="shared" si="46"/>
        <v>1.25</v>
      </c>
      <c r="X141" s="136">
        <f t="shared" si="46"/>
        <v>1.25</v>
      </c>
      <c r="Y141" s="136">
        <f t="shared" si="46"/>
        <v>1.25</v>
      </c>
      <c r="Z141" s="136">
        <f t="shared" si="46"/>
        <v>1.25</v>
      </c>
      <c r="AA141" s="136">
        <f t="shared" si="46"/>
        <v>1.25</v>
      </c>
      <c r="AB141" s="136">
        <f t="shared" si="46"/>
        <v>1.25</v>
      </c>
      <c r="AC141" s="136">
        <f t="shared" si="46"/>
        <v>1.25</v>
      </c>
      <c r="AD141" s="136">
        <f t="shared" si="46"/>
        <v>1.25</v>
      </c>
      <c r="AE141" s="136">
        <f t="shared" si="46"/>
        <v>1.25</v>
      </c>
      <c r="AF141" s="136">
        <f t="shared" si="46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44"/>
        <v>1.25</v>
      </c>
      <c r="C142" s="137">
        <v>1.25</v>
      </c>
      <c r="D142" s="136">
        <f t="shared" si="45"/>
        <v>1.25</v>
      </c>
      <c r="E142" s="136">
        <f t="shared" si="45"/>
        <v>1.25</v>
      </c>
      <c r="F142" s="136">
        <f t="shared" si="45"/>
        <v>1.25</v>
      </c>
      <c r="G142" s="136">
        <f t="shared" si="45"/>
        <v>1.25</v>
      </c>
      <c r="H142" s="136">
        <f t="shared" si="45"/>
        <v>1.25</v>
      </c>
      <c r="I142" s="136">
        <f t="shared" si="45"/>
        <v>1.25</v>
      </c>
      <c r="J142" s="136">
        <f t="shared" si="45"/>
        <v>1.25</v>
      </c>
      <c r="K142" s="136">
        <f t="shared" si="45"/>
        <v>1.25</v>
      </c>
      <c r="L142" s="136">
        <f t="shared" si="45"/>
        <v>1.25</v>
      </c>
      <c r="M142" s="136">
        <f t="shared" si="45"/>
        <v>1.25</v>
      </c>
      <c r="N142" s="136">
        <f t="shared" si="45"/>
        <v>1.25</v>
      </c>
      <c r="O142" s="136">
        <f t="shared" si="45"/>
        <v>1.25</v>
      </c>
      <c r="P142" s="136">
        <f t="shared" si="45"/>
        <v>1.25</v>
      </c>
      <c r="Q142" s="136">
        <f t="shared" si="45"/>
        <v>1.25</v>
      </c>
      <c r="R142" s="136">
        <f t="shared" si="45"/>
        <v>1.25</v>
      </c>
      <c r="S142" s="136">
        <f t="shared" si="45"/>
        <v>1.25</v>
      </c>
      <c r="T142" s="136">
        <f t="shared" si="46"/>
        <v>1.25</v>
      </c>
      <c r="U142" s="136">
        <f t="shared" si="46"/>
        <v>1.25</v>
      </c>
      <c r="V142" s="136">
        <f t="shared" si="46"/>
        <v>1.25</v>
      </c>
      <c r="W142" s="136">
        <f t="shared" si="46"/>
        <v>1.25</v>
      </c>
      <c r="X142" s="136">
        <f t="shared" si="46"/>
        <v>1.25</v>
      </c>
      <c r="Y142" s="136">
        <f t="shared" si="46"/>
        <v>1.25</v>
      </c>
      <c r="Z142" s="136">
        <f t="shared" si="46"/>
        <v>1.25</v>
      </c>
      <c r="AA142" s="136">
        <f t="shared" si="46"/>
        <v>1.25</v>
      </c>
      <c r="AB142" s="136">
        <f t="shared" si="46"/>
        <v>1.25</v>
      </c>
      <c r="AC142" s="136">
        <f t="shared" si="46"/>
        <v>1.25</v>
      </c>
      <c r="AD142" s="136">
        <f t="shared" si="46"/>
        <v>1.25</v>
      </c>
      <c r="AE142" s="136">
        <f t="shared" si="46"/>
        <v>1.25</v>
      </c>
      <c r="AF142" s="136">
        <f t="shared" si="46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44"/>
        <v>1.46</v>
      </c>
      <c r="C143" s="137">
        <v>1.46</v>
      </c>
      <c r="D143" s="136">
        <f t="shared" si="45"/>
        <v>1.46</v>
      </c>
      <c r="E143" s="136">
        <f t="shared" si="45"/>
        <v>1.46</v>
      </c>
      <c r="F143" s="136">
        <f t="shared" si="45"/>
        <v>1.46</v>
      </c>
      <c r="G143" s="136">
        <f t="shared" si="45"/>
        <v>1.46</v>
      </c>
      <c r="H143" s="136">
        <f t="shared" si="45"/>
        <v>1.46</v>
      </c>
      <c r="I143" s="136">
        <f t="shared" si="45"/>
        <v>1.46</v>
      </c>
      <c r="J143" s="136">
        <f t="shared" si="45"/>
        <v>1.46</v>
      </c>
      <c r="K143" s="136">
        <f t="shared" si="45"/>
        <v>1.46</v>
      </c>
      <c r="L143" s="136">
        <f t="shared" si="45"/>
        <v>1.46</v>
      </c>
      <c r="M143" s="136">
        <f t="shared" si="45"/>
        <v>1.46</v>
      </c>
      <c r="N143" s="136">
        <f t="shared" si="45"/>
        <v>1.46</v>
      </c>
      <c r="O143" s="136">
        <f t="shared" si="45"/>
        <v>1.46</v>
      </c>
      <c r="P143" s="136">
        <f t="shared" si="45"/>
        <v>1.46</v>
      </c>
      <c r="Q143" s="136">
        <f t="shared" si="45"/>
        <v>1.46</v>
      </c>
      <c r="R143" s="136">
        <f t="shared" si="45"/>
        <v>1.46</v>
      </c>
      <c r="S143" s="136">
        <f t="shared" si="45"/>
        <v>1.46</v>
      </c>
      <c r="T143" s="136">
        <f t="shared" si="46"/>
        <v>1.46</v>
      </c>
      <c r="U143" s="136">
        <f t="shared" si="46"/>
        <v>1.46</v>
      </c>
      <c r="V143" s="136">
        <f t="shared" si="46"/>
        <v>1.46</v>
      </c>
      <c r="W143" s="136">
        <f t="shared" si="46"/>
        <v>1.46</v>
      </c>
      <c r="X143" s="136">
        <f t="shared" si="46"/>
        <v>1.46</v>
      </c>
      <c r="Y143" s="136">
        <f t="shared" si="46"/>
        <v>1.46</v>
      </c>
      <c r="Z143" s="136">
        <f t="shared" si="46"/>
        <v>1.46</v>
      </c>
      <c r="AA143" s="136">
        <f t="shared" si="46"/>
        <v>1.46</v>
      </c>
      <c r="AB143" s="136">
        <f t="shared" si="46"/>
        <v>1.46</v>
      </c>
      <c r="AC143" s="136">
        <f t="shared" si="46"/>
        <v>1.46</v>
      </c>
      <c r="AD143" s="136">
        <f t="shared" si="46"/>
        <v>1.46</v>
      </c>
      <c r="AE143" s="136">
        <f t="shared" si="46"/>
        <v>1.46</v>
      </c>
      <c r="AF143" s="136">
        <f t="shared" si="46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44"/>
        <v>3</v>
      </c>
      <c r="C144" s="137">
        <v>3</v>
      </c>
      <c r="D144" s="136">
        <f t="shared" si="45"/>
        <v>3</v>
      </c>
      <c r="E144" s="136">
        <f t="shared" si="45"/>
        <v>3</v>
      </c>
      <c r="F144" s="136">
        <f t="shared" si="45"/>
        <v>3</v>
      </c>
      <c r="G144" s="136">
        <f t="shared" si="45"/>
        <v>3</v>
      </c>
      <c r="H144" s="136">
        <f t="shared" si="45"/>
        <v>3</v>
      </c>
      <c r="I144" s="136">
        <f t="shared" si="45"/>
        <v>3</v>
      </c>
      <c r="J144" s="136">
        <f t="shared" si="45"/>
        <v>3</v>
      </c>
      <c r="K144" s="136">
        <f t="shared" si="45"/>
        <v>3</v>
      </c>
      <c r="L144" s="136">
        <f t="shared" si="45"/>
        <v>3</v>
      </c>
      <c r="M144" s="136">
        <f t="shared" si="45"/>
        <v>3</v>
      </c>
      <c r="N144" s="136">
        <f t="shared" si="45"/>
        <v>3</v>
      </c>
      <c r="O144" s="136">
        <f t="shared" si="45"/>
        <v>3</v>
      </c>
      <c r="P144" s="136">
        <f t="shared" si="45"/>
        <v>3</v>
      </c>
      <c r="Q144" s="136">
        <f t="shared" si="45"/>
        <v>3</v>
      </c>
      <c r="R144" s="136">
        <f t="shared" si="45"/>
        <v>3</v>
      </c>
      <c r="S144" s="136">
        <f t="shared" si="45"/>
        <v>3</v>
      </c>
      <c r="T144" s="136">
        <f t="shared" si="46"/>
        <v>3</v>
      </c>
      <c r="U144" s="136">
        <f t="shared" si="46"/>
        <v>3</v>
      </c>
      <c r="V144" s="136">
        <f t="shared" si="46"/>
        <v>3</v>
      </c>
      <c r="W144" s="136">
        <f t="shared" si="46"/>
        <v>3</v>
      </c>
      <c r="X144" s="136">
        <f t="shared" si="46"/>
        <v>3</v>
      </c>
      <c r="Y144" s="136">
        <f t="shared" si="46"/>
        <v>3</v>
      </c>
      <c r="Z144" s="136">
        <f t="shared" si="46"/>
        <v>3</v>
      </c>
      <c r="AA144" s="136">
        <f t="shared" si="46"/>
        <v>3</v>
      </c>
      <c r="AB144" s="136">
        <f t="shared" si="46"/>
        <v>3</v>
      </c>
      <c r="AC144" s="136">
        <f t="shared" si="46"/>
        <v>3</v>
      </c>
      <c r="AD144" s="136">
        <f t="shared" si="46"/>
        <v>3</v>
      </c>
      <c r="AE144" s="136">
        <f t="shared" si="46"/>
        <v>3</v>
      </c>
      <c r="AF144" s="136">
        <f t="shared" si="46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44"/>
        <v>3.3</v>
      </c>
      <c r="C145" s="137">
        <v>3.3</v>
      </c>
      <c r="D145" s="136">
        <f t="shared" si="45"/>
        <v>3.3</v>
      </c>
      <c r="E145" s="136">
        <f t="shared" si="45"/>
        <v>3.3</v>
      </c>
      <c r="F145" s="136">
        <f t="shared" si="45"/>
        <v>3.3</v>
      </c>
      <c r="G145" s="136">
        <f t="shared" si="45"/>
        <v>3.3</v>
      </c>
      <c r="H145" s="136">
        <f t="shared" si="45"/>
        <v>3.3</v>
      </c>
      <c r="I145" s="136">
        <f t="shared" si="45"/>
        <v>3.3</v>
      </c>
      <c r="J145" s="136">
        <f t="shared" si="45"/>
        <v>3.3</v>
      </c>
      <c r="K145" s="136">
        <f t="shared" si="45"/>
        <v>3.3</v>
      </c>
      <c r="L145" s="136">
        <f t="shared" si="45"/>
        <v>3.3</v>
      </c>
      <c r="M145" s="136">
        <f t="shared" si="45"/>
        <v>3.3</v>
      </c>
      <c r="N145" s="136">
        <f t="shared" si="45"/>
        <v>3.3</v>
      </c>
      <c r="O145" s="136">
        <f t="shared" si="45"/>
        <v>3.3</v>
      </c>
      <c r="P145" s="136">
        <f t="shared" si="45"/>
        <v>3.3</v>
      </c>
      <c r="Q145" s="136">
        <f t="shared" si="45"/>
        <v>3.3</v>
      </c>
      <c r="R145" s="136">
        <f t="shared" si="45"/>
        <v>3.3</v>
      </c>
      <c r="S145" s="136">
        <f t="shared" si="45"/>
        <v>3.3</v>
      </c>
      <c r="T145" s="136">
        <f t="shared" si="46"/>
        <v>3.3</v>
      </c>
      <c r="U145" s="136">
        <f t="shared" si="46"/>
        <v>3.3</v>
      </c>
      <c r="V145" s="136">
        <f t="shared" si="46"/>
        <v>3.3</v>
      </c>
      <c r="W145" s="136">
        <f t="shared" si="46"/>
        <v>3.3</v>
      </c>
      <c r="X145" s="136">
        <f t="shared" si="46"/>
        <v>3.3</v>
      </c>
      <c r="Y145" s="136">
        <f t="shared" si="46"/>
        <v>3.3</v>
      </c>
      <c r="Z145" s="136">
        <f t="shared" si="46"/>
        <v>3.3</v>
      </c>
      <c r="AA145" s="136">
        <f t="shared" si="46"/>
        <v>3.3</v>
      </c>
      <c r="AB145" s="136">
        <f t="shared" si="46"/>
        <v>3.3</v>
      </c>
      <c r="AC145" s="136">
        <f t="shared" si="46"/>
        <v>3.3</v>
      </c>
      <c r="AD145" s="136">
        <f t="shared" si="46"/>
        <v>3.3</v>
      </c>
      <c r="AE145" s="136">
        <f t="shared" si="46"/>
        <v>3.3</v>
      </c>
      <c r="AF145" s="136">
        <f t="shared" si="46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7">C147</f>
        <v>1.76</v>
      </c>
      <c r="E147" s="136">
        <f t="shared" si="47"/>
        <v>1.76</v>
      </c>
      <c r="F147" s="136">
        <f t="shared" si="47"/>
        <v>1.76</v>
      </c>
      <c r="G147" s="136">
        <f t="shared" si="47"/>
        <v>1.76</v>
      </c>
      <c r="H147" s="136">
        <f t="shared" si="47"/>
        <v>1.76</v>
      </c>
      <c r="I147" s="136">
        <f t="shared" si="47"/>
        <v>1.76</v>
      </c>
      <c r="J147" s="136">
        <f t="shared" si="47"/>
        <v>1.76</v>
      </c>
      <c r="K147" s="136">
        <f t="shared" si="47"/>
        <v>1.76</v>
      </c>
      <c r="L147" s="136">
        <f t="shared" si="47"/>
        <v>1.76</v>
      </c>
      <c r="M147" s="136">
        <f t="shared" si="47"/>
        <v>1.76</v>
      </c>
      <c r="N147" s="136">
        <f t="shared" si="47"/>
        <v>1.76</v>
      </c>
      <c r="O147" s="136">
        <f t="shared" si="47"/>
        <v>1.76</v>
      </c>
      <c r="P147" s="136">
        <f t="shared" si="47"/>
        <v>1.76</v>
      </c>
      <c r="Q147" s="136">
        <f t="shared" si="47"/>
        <v>1.76</v>
      </c>
      <c r="R147" s="136">
        <f t="shared" si="47"/>
        <v>1.76</v>
      </c>
      <c r="S147" s="136">
        <f t="shared" si="47"/>
        <v>1.76</v>
      </c>
      <c r="T147" s="136">
        <f t="shared" ref="T147:AF148" si="48">S147</f>
        <v>1.76</v>
      </c>
      <c r="U147" s="136">
        <f t="shared" si="48"/>
        <v>1.76</v>
      </c>
      <c r="V147" s="136">
        <f t="shared" si="48"/>
        <v>1.76</v>
      </c>
      <c r="W147" s="136">
        <f t="shared" si="48"/>
        <v>1.76</v>
      </c>
      <c r="X147" s="136">
        <f t="shared" si="48"/>
        <v>1.76</v>
      </c>
      <c r="Y147" s="136">
        <f t="shared" si="48"/>
        <v>1.76</v>
      </c>
      <c r="Z147" s="136">
        <f t="shared" si="48"/>
        <v>1.76</v>
      </c>
      <c r="AA147" s="136">
        <f t="shared" si="48"/>
        <v>1.76</v>
      </c>
      <c r="AB147" s="136">
        <f t="shared" si="48"/>
        <v>1.76</v>
      </c>
      <c r="AC147" s="136">
        <f t="shared" si="48"/>
        <v>1.76</v>
      </c>
      <c r="AD147" s="136">
        <f t="shared" si="48"/>
        <v>1.76</v>
      </c>
      <c r="AE147" s="136">
        <f t="shared" si="48"/>
        <v>1.76</v>
      </c>
      <c r="AF147" s="136">
        <f t="shared" si="48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7"/>
        <v>0</v>
      </c>
      <c r="E148" s="136">
        <f t="shared" si="47"/>
        <v>0</v>
      </c>
      <c r="F148" s="136">
        <f t="shared" si="47"/>
        <v>0</v>
      </c>
      <c r="G148" s="136">
        <f t="shared" si="47"/>
        <v>0</v>
      </c>
      <c r="H148" s="136">
        <f t="shared" si="47"/>
        <v>0</v>
      </c>
      <c r="I148" s="136">
        <f t="shared" si="47"/>
        <v>0</v>
      </c>
      <c r="J148" s="136">
        <f t="shared" si="47"/>
        <v>0</v>
      </c>
      <c r="K148" s="136">
        <f t="shared" si="47"/>
        <v>0</v>
      </c>
      <c r="L148" s="136">
        <f t="shared" si="47"/>
        <v>0</v>
      </c>
      <c r="M148" s="136">
        <f t="shared" si="47"/>
        <v>0</v>
      </c>
      <c r="N148" s="136">
        <f t="shared" si="47"/>
        <v>0</v>
      </c>
      <c r="O148" s="136">
        <f t="shared" si="47"/>
        <v>0</v>
      </c>
      <c r="P148" s="136">
        <f t="shared" si="47"/>
        <v>0</v>
      </c>
      <c r="Q148" s="136">
        <f t="shared" si="47"/>
        <v>0</v>
      </c>
      <c r="R148" s="136">
        <f t="shared" si="47"/>
        <v>0</v>
      </c>
      <c r="S148" s="136">
        <f t="shared" si="47"/>
        <v>0</v>
      </c>
      <c r="T148" s="136">
        <f t="shared" si="48"/>
        <v>0</v>
      </c>
      <c r="U148" s="136">
        <f t="shared" si="48"/>
        <v>0</v>
      </c>
      <c r="V148" s="136">
        <f t="shared" si="48"/>
        <v>0</v>
      </c>
      <c r="W148" s="136">
        <f t="shared" si="48"/>
        <v>0</v>
      </c>
      <c r="X148" s="136">
        <f t="shared" si="48"/>
        <v>0</v>
      </c>
      <c r="Y148" s="136">
        <f t="shared" si="48"/>
        <v>0</v>
      </c>
      <c r="Z148" s="136">
        <f t="shared" si="48"/>
        <v>0</v>
      </c>
      <c r="AA148" s="136">
        <f t="shared" si="48"/>
        <v>0</v>
      </c>
      <c r="AB148" s="136">
        <f t="shared" si="48"/>
        <v>0</v>
      </c>
      <c r="AC148" s="136">
        <f t="shared" si="48"/>
        <v>0</v>
      </c>
      <c r="AD148" s="136">
        <f t="shared" si="48"/>
        <v>0</v>
      </c>
      <c r="AE148" s="136">
        <f t="shared" si="48"/>
        <v>0</v>
      </c>
      <c r="AF148" s="136">
        <f t="shared" si="48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9">C150</f>
        <v>0.1</v>
      </c>
      <c r="E150" s="136">
        <f t="shared" si="49"/>
        <v>0.1</v>
      </c>
      <c r="F150" s="136">
        <f t="shared" si="49"/>
        <v>0.1</v>
      </c>
      <c r="G150" s="136">
        <f t="shared" si="49"/>
        <v>0.1</v>
      </c>
      <c r="H150" s="136">
        <f t="shared" si="49"/>
        <v>0.1</v>
      </c>
      <c r="I150" s="136">
        <f t="shared" si="49"/>
        <v>0.1</v>
      </c>
      <c r="J150" s="136">
        <f t="shared" si="49"/>
        <v>0.1</v>
      </c>
      <c r="K150" s="136">
        <f t="shared" si="49"/>
        <v>0.1</v>
      </c>
      <c r="L150" s="136">
        <f t="shared" si="49"/>
        <v>0.1</v>
      </c>
      <c r="M150" s="136">
        <f t="shared" si="49"/>
        <v>0.1</v>
      </c>
      <c r="N150" s="136">
        <f t="shared" si="49"/>
        <v>0.1</v>
      </c>
      <c r="O150" s="136">
        <f t="shared" si="49"/>
        <v>0.1</v>
      </c>
      <c r="P150" s="136">
        <f t="shared" si="49"/>
        <v>0.1</v>
      </c>
      <c r="Q150" s="136">
        <f t="shared" si="49"/>
        <v>0.1</v>
      </c>
      <c r="R150" s="136">
        <f t="shared" si="49"/>
        <v>0.1</v>
      </c>
      <c r="S150" s="136">
        <f t="shared" si="49"/>
        <v>0.1</v>
      </c>
      <c r="T150" s="136">
        <f t="shared" ref="T150:AF153" si="50">S150</f>
        <v>0.1</v>
      </c>
      <c r="U150" s="136">
        <f t="shared" si="50"/>
        <v>0.1</v>
      </c>
      <c r="V150" s="136">
        <f t="shared" si="50"/>
        <v>0.1</v>
      </c>
      <c r="W150" s="136">
        <f t="shared" si="50"/>
        <v>0.1</v>
      </c>
      <c r="X150" s="136">
        <f t="shared" si="50"/>
        <v>0.1</v>
      </c>
      <c r="Y150" s="136">
        <f t="shared" si="50"/>
        <v>0.1</v>
      </c>
      <c r="Z150" s="136">
        <f t="shared" si="50"/>
        <v>0.1</v>
      </c>
      <c r="AA150" s="136">
        <f t="shared" si="50"/>
        <v>0.1</v>
      </c>
      <c r="AB150" s="136">
        <f t="shared" si="50"/>
        <v>0.1</v>
      </c>
      <c r="AC150" s="136">
        <f t="shared" si="50"/>
        <v>0.1</v>
      </c>
      <c r="AD150" s="136">
        <f t="shared" si="50"/>
        <v>0.1</v>
      </c>
      <c r="AE150" s="136">
        <f t="shared" si="50"/>
        <v>0.1</v>
      </c>
      <c r="AF150" s="136">
        <f t="shared" si="50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9"/>
        <v>2.0499999999999998</v>
      </c>
      <c r="E151" s="136">
        <f t="shared" si="49"/>
        <v>2.0499999999999998</v>
      </c>
      <c r="F151" s="136">
        <f t="shared" si="49"/>
        <v>2.0499999999999998</v>
      </c>
      <c r="G151" s="136">
        <f t="shared" si="49"/>
        <v>2.0499999999999998</v>
      </c>
      <c r="H151" s="136">
        <f t="shared" si="49"/>
        <v>2.0499999999999998</v>
      </c>
      <c r="I151" s="136">
        <f t="shared" si="49"/>
        <v>2.0499999999999998</v>
      </c>
      <c r="J151" s="136">
        <f t="shared" si="49"/>
        <v>2.0499999999999998</v>
      </c>
      <c r="K151" s="136">
        <f t="shared" si="49"/>
        <v>2.0499999999999998</v>
      </c>
      <c r="L151" s="136">
        <f t="shared" si="49"/>
        <v>2.0499999999999998</v>
      </c>
      <c r="M151" s="136">
        <f t="shared" si="49"/>
        <v>2.0499999999999998</v>
      </c>
      <c r="N151" s="136">
        <f t="shared" si="49"/>
        <v>2.0499999999999998</v>
      </c>
      <c r="O151" s="136">
        <f t="shared" si="49"/>
        <v>2.0499999999999998</v>
      </c>
      <c r="P151" s="136">
        <f t="shared" si="49"/>
        <v>2.0499999999999998</v>
      </c>
      <c r="Q151" s="136">
        <f t="shared" si="49"/>
        <v>2.0499999999999998</v>
      </c>
      <c r="R151" s="136">
        <f t="shared" si="49"/>
        <v>2.0499999999999998</v>
      </c>
      <c r="S151" s="136">
        <f t="shared" si="49"/>
        <v>2.0499999999999998</v>
      </c>
      <c r="T151" s="136">
        <f t="shared" si="50"/>
        <v>2.0499999999999998</v>
      </c>
      <c r="U151" s="136">
        <f t="shared" si="50"/>
        <v>2.0499999999999998</v>
      </c>
      <c r="V151" s="136">
        <f t="shared" si="50"/>
        <v>2.0499999999999998</v>
      </c>
      <c r="W151" s="136">
        <f t="shared" si="50"/>
        <v>2.0499999999999998</v>
      </c>
      <c r="X151" s="136">
        <f t="shared" si="50"/>
        <v>2.0499999999999998</v>
      </c>
      <c r="Y151" s="136">
        <f t="shared" si="50"/>
        <v>2.0499999999999998</v>
      </c>
      <c r="Z151" s="136">
        <f t="shared" si="50"/>
        <v>2.0499999999999998</v>
      </c>
      <c r="AA151" s="136">
        <f t="shared" si="50"/>
        <v>2.0499999999999998</v>
      </c>
      <c r="AB151" s="136">
        <f t="shared" si="50"/>
        <v>2.0499999999999998</v>
      </c>
      <c r="AC151" s="136">
        <f t="shared" si="50"/>
        <v>2.0499999999999998</v>
      </c>
      <c r="AD151" s="136">
        <f t="shared" si="50"/>
        <v>2.0499999999999998</v>
      </c>
      <c r="AE151" s="136">
        <f t="shared" si="50"/>
        <v>2.0499999999999998</v>
      </c>
      <c r="AF151" s="136">
        <f t="shared" si="50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9"/>
        <v>2.7</v>
      </c>
      <c r="E152" s="136">
        <f t="shared" si="49"/>
        <v>2.7</v>
      </c>
      <c r="F152" s="136">
        <f t="shared" si="49"/>
        <v>2.7</v>
      </c>
      <c r="G152" s="136">
        <f t="shared" si="49"/>
        <v>2.7</v>
      </c>
      <c r="H152" s="136">
        <f t="shared" si="49"/>
        <v>2.7</v>
      </c>
      <c r="I152" s="136">
        <f t="shared" si="49"/>
        <v>2.7</v>
      </c>
      <c r="J152" s="136">
        <f t="shared" si="49"/>
        <v>2.7</v>
      </c>
      <c r="K152" s="136">
        <f t="shared" si="49"/>
        <v>2.7</v>
      </c>
      <c r="L152" s="136">
        <f t="shared" si="49"/>
        <v>2.7</v>
      </c>
      <c r="M152" s="136">
        <f t="shared" si="49"/>
        <v>2.7</v>
      </c>
      <c r="N152" s="136">
        <f t="shared" si="49"/>
        <v>2.7</v>
      </c>
      <c r="O152" s="136">
        <f t="shared" si="49"/>
        <v>2.7</v>
      </c>
      <c r="P152" s="136">
        <f t="shared" si="49"/>
        <v>2.7</v>
      </c>
      <c r="Q152" s="136">
        <f t="shared" si="49"/>
        <v>2.7</v>
      </c>
      <c r="R152" s="136">
        <f t="shared" si="49"/>
        <v>2.7</v>
      </c>
      <c r="S152" s="136">
        <f t="shared" si="49"/>
        <v>2.7</v>
      </c>
      <c r="T152" s="136">
        <f t="shared" si="50"/>
        <v>2.7</v>
      </c>
      <c r="U152" s="136">
        <f t="shared" si="50"/>
        <v>2.7</v>
      </c>
      <c r="V152" s="136">
        <f t="shared" si="50"/>
        <v>2.7</v>
      </c>
      <c r="W152" s="136">
        <f t="shared" si="50"/>
        <v>2.7</v>
      </c>
      <c r="X152" s="136">
        <f t="shared" si="50"/>
        <v>2.7</v>
      </c>
      <c r="Y152" s="136">
        <f t="shared" si="50"/>
        <v>2.7</v>
      </c>
      <c r="Z152" s="136">
        <f t="shared" si="50"/>
        <v>2.7</v>
      </c>
      <c r="AA152" s="136">
        <f t="shared" si="50"/>
        <v>2.7</v>
      </c>
      <c r="AB152" s="136">
        <f t="shared" si="50"/>
        <v>2.7</v>
      </c>
      <c r="AC152" s="136">
        <f t="shared" si="50"/>
        <v>2.7</v>
      </c>
      <c r="AD152" s="136">
        <f t="shared" si="50"/>
        <v>2.7</v>
      </c>
      <c r="AE152" s="136">
        <f t="shared" si="50"/>
        <v>2.7</v>
      </c>
      <c r="AF152" s="136">
        <f t="shared" si="50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9"/>
        <v>2.15</v>
      </c>
      <c r="E153" s="136">
        <f t="shared" si="49"/>
        <v>2.15</v>
      </c>
      <c r="F153" s="136">
        <f t="shared" si="49"/>
        <v>2.15</v>
      </c>
      <c r="G153" s="136">
        <f t="shared" si="49"/>
        <v>2.15</v>
      </c>
      <c r="H153" s="136">
        <f t="shared" si="49"/>
        <v>2.15</v>
      </c>
      <c r="I153" s="136">
        <f t="shared" si="49"/>
        <v>2.15</v>
      </c>
      <c r="J153" s="136">
        <f t="shared" si="49"/>
        <v>2.15</v>
      </c>
      <c r="K153" s="136">
        <f t="shared" si="49"/>
        <v>2.15</v>
      </c>
      <c r="L153" s="136">
        <f t="shared" si="49"/>
        <v>2.15</v>
      </c>
      <c r="M153" s="136">
        <f t="shared" si="49"/>
        <v>2.15</v>
      </c>
      <c r="N153" s="136">
        <f t="shared" si="49"/>
        <v>2.15</v>
      </c>
      <c r="O153" s="136">
        <f t="shared" si="49"/>
        <v>2.15</v>
      </c>
      <c r="P153" s="136">
        <f t="shared" si="49"/>
        <v>2.15</v>
      </c>
      <c r="Q153" s="136">
        <f t="shared" si="49"/>
        <v>2.15</v>
      </c>
      <c r="R153" s="136">
        <f t="shared" si="49"/>
        <v>2.15</v>
      </c>
      <c r="S153" s="136">
        <f t="shared" si="49"/>
        <v>2.15</v>
      </c>
      <c r="T153" s="136">
        <f t="shared" si="50"/>
        <v>2.15</v>
      </c>
      <c r="U153" s="136">
        <f t="shared" si="50"/>
        <v>2.15</v>
      </c>
      <c r="V153" s="136">
        <f t="shared" si="50"/>
        <v>2.15</v>
      </c>
      <c r="W153" s="136">
        <f t="shared" si="50"/>
        <v>2.15</v>
      </c>
      <c r="X153" s="136">
        <f t="shared" si="50"/>
        <v>2.15</v>
      </c>
      <c r="Y153" s="136">
        <f t="shared" si="50"/>
        <v>2.15</v>
      </c>
      <c r="Z153" s="136">
        <f t="shared" si="50"/>
        <v>2.15</v>
      </c>
      <c r="AA153" s="136">
        <f t="shared" si="50"/>
        <v>2.15</v>
      </c>
      <c r="AB153" s="136">
        <f t="shared" si="50"/>
        <v>2.15</v>
      </c>
      <c r="AC153" s="136">
        <f t="shared" si="50"/>
        <v>2.15</v>
      </c>
      <c r="AD153" s="136">
        <f t="shared" si="50"/>
        <v>2.15</v>
      </c>
      <c r="AE153" s="136">
        <f t="shared" si="50"/>
        <v>2.15</v>
      </c>
      <c r="AF153" s="136">
        <f t="shared" si="50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51">AF155</f>
        <v>0.9</v>
      </c>
      <c r="C155" s="137">
        <v>0.9</v>
      </c>
      <c r="D155" s="136">
        <f t="shared" ref="D155:S167" si="52">C155</f>
        <v>0.9</v>
      </c>
      <c r="E155" s="136">
        <f t="shared" si="52"/>
        <v>0.9</v>
      </c>
      <c r="F155" s="136">
        <f t="shared" si="52"/>
        <v>0.9</v>
      </c>
      <c r="G155" s="136">
        <f t="shared" si="52"/>
        <v>0.9</v>
      </c>
      <c r="H155" s="136">
        <f t="shared" si="52"/>
        <v>0.9</v>
      </c>
      <c r="I155" s="136">
        <f t="shared" si="52"/>
        <v>0.9</v>
      </c>
      <c r="J155" s="136">
        <f t="shared" si="52"/>
        <v>0.9</v>
      </c>
      <c r="K155" s="136">
        <f t="shared" si="52"/>
        <v>0.9</v>
      </c>
      <c r="L155" s="136">
        <f t="shared" si="52"/>
        <v>0.9</v>
      </c>
      <c r="M155" s="136">
        <f t="shared" si="52"/>
        <v>0.9</v>
      </c>
      <c r="N155" s="136">
        <f t="shared" si="52"/>
        <v>0.9</v>
      </c>
      <c r="O155" s="136">
        <f t="shared" si="52"/>
        <v>0.9</v>
      </c>
      <c r="P155" s="136">
        <f t="shared" si="52"/>
        <v>0.9</v>
      </c>
      <c r="Q155" s="136">
        <f t="shared" si="52"/>
        <v>0.9</v>
      </c>
      <c r="R155" s="136">
        <f t="shared" si="52"/>
        <v>0.9</v>
      </c>
      <c r="S155" s="136">
        <f t="shared" si="52"/>
        <v>0.9</v>
      </c>
      <c r="T155" s="136">
        <f t="shared" ref="S155:AF167" si="53">S155</f>
        <v>0.9</v>
      </c>
      <c r="U155" s="136">
        <f t="shared" si="53"/>
        <v>0.9</v>
      </c>
      <c r="V155" s="136">
        <f t="shared" si="53"/>
        <v>0.9</v>
      </c>
      <c r="W155" s="136">
        <f t="shared" si="53"/>
        <v>0.9</v>
      </c>
      <c r="X155" s="136">
        <f t="shared" si="53"/>
        <v>0.9</v>
      </c>
      <c r="Y155" s="136">
        <f t="shared" si="53"/>
        <v>0.9</v>
      </c>
      <c r="Z155" s="136">
        <f t="shared" si="53"/>
        <v>0.9</v>
      </c>
      <c r="AA155" s="136">
        <f t="shared" si="53"/>
        <v>0.9</v>
      </c>
      <c r="AB155" s="136">
        <f t="shared" si="53"/>
        <v>0.9</v>
      </c>
      <c r="AC155" s="136">
        <f t="shared" si="53"/>
        <v>0.9</v>
      </c>
      <c r="AD155" s="136">
        <f t="shared" si="53"/>
        <v>0.9</v>
      </c>
      <c r="AE155" s="136">
        <f t="shared" si="53"/>
        <v>0.9</v>
      </c>
      <c r="AF155" s="136">
        <f t="shared" si="53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51"/>
        <v>1.08</v>
      </c>
      <c r="C156" s="137">
        <v>1.08</v>
      </c>
      <c r="D156" s="136">
        <f t="shared" si="52"/>
        <v>1.08</v>
      </c>
      <c r="E156" s="136">
        <f t="shared" si="52"/>
        <v>1.08</v>
      </c>
      <c r="F156" s="136">
        <f t="shared" si="52"/>
        <v>1.08</v>
      </c>
      <c r="G156" s="136">
        <f t="shared" si="52"/>
        <v>1.08</v>
      </c>
      <c r="H156" s="136">
        <f t="shared" si="52"/>
        <v>1.08</v>
      </c>
      <c r="I156" s="136">
        <f t="shared" si="52"/>
        <v>1.08</v>
      </c>
      <c r="J156" s="136">
        <f t="shared" si="52"/>
        <v>1.08</v>
      </c>
      <c r="K156" s="136">
        <f t="shared" si="52"/>
        <v>1.08</v>
      </c>
      <c r="L156" s="136">
        <f t="shared" si="52"/>
        <v>1.08</v>
      </c>
      <c r="M156" s="136">
        <f t="shared" si="52"/>
        <v>1.08</v>
      </c>
      <c r="N156" s="136">
        <f t="shared" si="52"/>
        <v>1.08</v>
      </c>
      <c r="O156" s="136">
        <f t="shared" si="52"/>
        <v>1.08</v>
      </c>
      <c r="P156" s="136">
        <f t="shared" si="52"/>
        <v>1.08</v>
      </c>
      <c r="Q156" s="136">
        <f t="shared" si="52"/>
        <v>1.08</v>
      </c>
      <c r="R156" s="136">
        <f t="shared" si="52"/>
        <v>1.08</v>
      </c>
      <c r="S156" s="136">
        <f t="shared" si="52"/>
        <v>1.08</v>
      </c>
      <c r="T156" s="136">
        <f t="shared" si="53"/>
        <v>1.08</v>
      </c>
      <c r="U156" s="136">
        <f t="shared" si="53"/>
        <v>1.08</v>
      </c>
      <c r="V156" s="136">
        <f t="shared" si="53"/>
        <v>1.08</v>
      </c>
      <c r="W156" s="136">
        <f t="shared" si="53"/>
        <v>1.08</v>
      </c>
      <c r="X156" s="136">
        <f t="shared" si="53"/>
        <v>1.08</v>
      </c>
      <c r="Y156" s="136">
        <f t="shared" si="53"/>
        <v>1.08</v>
      </c>
      <c r="Z156" s="136">
        <f t="shared" si="53"/>
        <v>1.08</v>
      </c>
      <c r="AA156" s="136">
        <f t="shared" si="53"/>
        <v>1.08</v>
      </c>
      <c r="AB156" s="136">
        <f t="shared" si="53"/>
        <v>1.08</v>
      </c>
      <c r="AC156" s="136">
        <f t="shared" si="53"/>
        <v>1.08</v>
      </c>
      <c r="AD156" s="136">
        <f t="shared" si="53"/>
        <v>1.08</v>
      </c>
      <c r="AE156" s="136">
        <f t="shared" si="53"/>
        <v>1.08</v>
      </c>
      <c r="AF156" s="136">
        <f t="shared" si="53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51"/>
        <v>2.37</v>
      </c>
      <c r="C157" s="137">
        <v>2.37</v>
      </c>
      <c r="D157" s="136">
        <f t="shared" si="52"/>
        <v>2.37</v>
      </c>
      <c r="E157" s="136">
        <f t="shared" si="52"/>
        <v>2.37</v>
      </c>
      <c r="F157" s="136">
        <f t="shared" si="52"/>
        <v>2.37</v>
      </c>
      <c r="G157" s="136">
        <f t="shared" si="52"/>
        <v>2.37</v>
      </c>
      <c r="H157" s="136">
        <f t="shared" si="52"/>
        <v>2.37</v>
      </c>
      <c r="I157" s="136">
        <f t="shared" si="52"/>
        <v>2.37</v>
      </c>
      <c r="J157" s="136">
        <f t="shared" si="52"/>
        <v>2.37</v>
      </c>
      <c r="K157" s="136">
        <f t="shared" si="52"/>
        <v>2.37</v>
      </c>
      <c r="L157" s="136">
        <f t="shared" si="52"/>
        <v>2.37</v>
      </c>
      <c r="M157" s="136">
        <f t="shared" si="52"/>
        <v>2.37</v>
      </c>
      <c r="N157" s="136">
        <f t="shared" si="52"/>
        <v>2.37</v>
      </c>
      <c r="O157" s="136">
        <f t="shared" si="52"/>
        <v>2.37</v>
      </c>
      <c r="P157" s="136">
        <f t="shared" si="52"/>
        <v>2.37</v>
      </c>
      <c r="Q157" s="136">
        <f t="shared" si="52"/>
        <v>2.37</v>
      </c>
      <c r="R157" s="136">
        <f t="shared" si="52"/>
        <v>2.37</v>
      </c>
      <c r="S157" s="136">
        <f t="shared" si="52"/>
        <v>2.37</v>
      </c>
      <c r="T157" s="136">
        <f t="shared" si="53"/>
        <v>2.37</v>
      </c>
      <c r="U157" s="136">
        <f t="shared" si="53"/>
        <v>2.37</v>
      </c>
      <c r="V157" s="136">
        <f t="shared" si="53"/>
        <v>2.37</v>
      </c>
      <c r="W157" s="136">
        <f t="shared" si="53"/>
        <v>2.37</v>
      </c>
      <c r="X157" s="136">
        <f t="shared" si="53"/>
        <v>2.37</v>
      </c>
      <c r="Y157" s="136">
        <f t="shared" si="53"/>
        <v>2.37</v>
      </c>
      <c r="Z157" s="136">
        <f t="shared" si="53"/>
        <v>2.37</v>
      </c>
      <c r="AA157" s="136">
        <f t="shared" si="53"/>
        <v>2.37</v>
      </c>
      <c r="AB157" s="136">
        <f t="shared" si="53"/>
        <v>2.37</v>
      </c>
      <c r="AC157" s="136">
        <f t="shared" si="53"/>
        <v>2.37</v>
      </c>
      <c r="AD157" s="136">
        <f t="shared" si="53"/>
        <v>2.37</v>
      </c>
      <c r="AE157" s="136">
        <f t="shared" si="53"/>
        <v>2.37</v>
      </c>
      <c r="AF157" s="136">
        <f t="shared" si="53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51"/>
        <v>1.81</v>
      </c>
      <c r="C158" s="137">
        <v>1.81</v>
      </c>
      <c r="D158" s="136">
        <f t="shared" si="52"/>
        <v>1.81</v>
      </c>
      <c r="E158" s="136">
        <f t="shared" si="52"/>
        <v>1.81</v>
      </c>
      <c r="F158" s="136">
        <f t="shared" si="52"/>
        <v>1.81</v>
      </c>
      <c r="G158" s="136">
        <f t="shared" si="52"/>
        <v>1.81</v>
      </c>
      <c r="H158" s="136">
        <f t="shared" si="52"/>
        <v>1.81</v>
      </c>
      <c r="I158" s="136">
        <f t="shared" si="52"/>
        <v>1.81</v>
      </c>
      <c r="J158" s="136">
        <f t="shared" si="52"/>
        <v>1.81</v>
      </c>
      <c r="K158" s="136">
        <f t="shared" si="52"/>
        <v>1.81</v>
      </c>
      <c r="L158" s="136">
        <f t="shared" si="52"/>
        <v>1.81</v>
      </c>
      <c r="M158" s="136">
        <f t="shared" si="52"/>
        <v>1.81</v>
      </c>
      <c r="N158" s="136">
        <f t="shared" si="52"/>
        <v>1.81</v>
      </c>
      <c r="O158" s="136">
        <f t="shared" si="52"/>
        <v>1.81</v>
      </c>
      <c r="P158" s="136">
        <f t="shared" si="52"/>
        <v>1.81</v>
      </c>
      <c r="Q158" s="136">
        <f t="shared" si="52"/>
        <v>1.81</v>
      </c>
      <c r="R158" s="136">
        <f t="shared" si="52"/>
        <v>1.81</v>
      </c>
      <c r="S158" s="136">
        <f t="shared" si="52"/>
        <v>1.81</v>
      </c>
      <c r="T158" s="136">
        <f t="shared" si="53"/>
        <v>1.81</v>
      </c>
      <c r="U158" s="136">
        <f t="shared" si="53"/>
        <v>1.81</v>
      </c>
      <c r="V158" s="136">
        <f t="shared" si="53"/>
        <v>1.81</v>
      </c>
      <c r="W158" s="136">
        <f t="shared" si="53"/>
        <v>1.81</v>
      </c>
      <c r="X158" s="136">
        <f t="shared" si="53"/>
        <v>1.81</v>
      </c>
      <c r="Y158" s="136">
        <f t="shared" si="53"/>
        <v>1.81</v>
      </c>
      <c r="Z158" s="136">
        <f t="shared" si="53"/>
        <v>1.81</v>
      </c>
      <c r="AA158" s="136">
        <f t="shared" si="53"/>
        <v>1.81</v>
      </c>
      <c r="AB158" s="136">
        <f t="shared" si="53"/>
        <v>1.81</v>
      </c>
      <c r="AC158" s="136">
        <f t="shared" si="53"/>
        <v>1.81</v>
      </c>
      <c r="AD158" s="136">
        <f t="shared" si="53"/>
        <v>1.81</v>
      </c>
      <c r="AE158" s="136">
        <f t="shared" si="53"/>
        <v>1.81</v>
      </c>
      <c r="AF158" s="136">
        <f t="shared" si="53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51"/>
        <v>1.0900000000000001</v>
      </c>
      <c r="C159" s="137">
        <v>1.0900000000000001</v>
      </c>
      <c r="D159" s="136">
        <f t="shared" si="52"/>
        <v>1.0900000000000001</v>
      </c>
      <c r="E159" s="136">
        <f t="shared" si="52"/>
        <v>1.0900000000000001</v>
      </c>
      <c r="F159" s="136">
        <f t="shared" si="52"/>
        <v>1.0900000000000001</v>
      </c>
      <c r="G159" s="136">
        <f t="shared" si="52"/>
        <v>1.0900000000000001</v>
      </c>
      <c r="H159" s="136">
        <f t="shared" si="52"/>
        <v>1.0900000000000001</v>
      </c>
      <c r="I159" s="136">
        <f t="shared" si="52"/>
        <v>1.0900000000000001</v>
      </c>
      <c r="J159" s="136">
        <f t="shared" si="52"/>
        <v>1.0900000000000001</v>
      </c>
      <c r="K159" s="136">
        <f t="shared" si="52"/>
        <v>1.0900000000000001</v>
      </c>
      <c r="L159" s="136">
        <f t="shared" si="52"/>
        <v>1.0900000000000001</v>
      </c>
      <c r="M159" s="136">
        <f t="shared" si="52"/>
        <v>1.0900000000000001</v>
      </c>
      <c r="N159" s="136">
        <f t="shared" si="52"/>
        <v>1.0900000000000001</v>
      </c>
      <c r="O159" s="136">
        <f t="shared" si="52"/>
        <v>1.0900000000000001</v>
      </c>
      <c r="P159" s="136">
        <f t="shared" si="52"/>
        <v>1.0900000000000001</v>
      </c>
      <c r="Q159" s="136">
        <f t="shared" si="52"/>
        <v>1.0900000000000001</v>
      </c>
      <c r="R159" s="136">
        <f t="shared" si="52"/>
        <v>1.0900000000000001</v>
      </c>
      <c r="S159" s="136">
        <f t="shared" si="52"/>
        <v>1.0900000000000001</v>
      </c>
      <c r="T159" s="136">
        <f t="shared" si="53"/>
        <v>1.0900000000000001</v>
      </c>
      <c r="U159" s="136">
        <f t="shared" si="53"/>
        <v>1.0900000000000001</v>
      </c>
      <c r="V159" s="136">
        <f t="shared" si="53"/>
        <v>1.0900000000000001</v>
      </c>
      <c r="W159" s="136">
        <f t="shared" si="53"/>
        <v>1.0900000000000001</v>
      </c>
      <c r="X159" s="136">
        <f t="shared" si="53"/>
        <v>1.0900000000000001</v>
      </c>
      <c r="Y159" s="136">
        <f t="shared" si="53"/>
        <v>1.0900000000000001</v>
      </c>
      <c r="Z159" s="136">
        <f t="shared" si="53"/>
        <v>1.0900000000000001</v>
      </c>
      <c r="AA159" s="136">
        <f t="shared" si="53"/>
        <v>1.0900000000000001</v>
      </c>
      <c r="AB159" s="136">
        <f t="shared" si="53"/>
        <v>1.0900000000000001</v>
      </c>
      <c r="AC159" s="136">
        <f t="shared" si="53"/>
        <v>1.0900000000000001</v>
      </c>
      <c r="AD159" s="136">
        <f t="shared" si="53"/>
        <v>1.0900000000000001</v>
      </c>
      <c r="AE159" s="136">
        <f t="shared" si="53"/>
        <v>1.0900000000000001</v>
      </c>
      <c r="AF159" s="136">
        <f t="shared" si="53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51"/>
        <v>1.58</v>
      </c>
      <c r="C160" s="137">
        <v>1.58</v>
      </c>
      <c r="D160" s="136">
        <f t="shared" si="52"/>
        <v>1.58</v>
      </c>
      <c r="E160" s="136">
        <f t="shared" si="52"/>
        <v>1.58</v>
      </c>
      <c r="F160" s="136">
        <f t="shared" si="52"/>
        <v>1.58</v>
      </c>
      <c r="G160" s="136">
        <f t="shared" si="52"/>
        <v>1.58</v>
      </c>
      <c r="H160" s="136">
        <f t="shared" si="52"/>
        <v>1.58</v>
      </c>
      <c r="I160" s="136">
        <f t="shared" si="52"/>
        <v>1.58</v>
      </c>
      <c r="J160" s="136">
        <f t="shared" si="52"/>
        <v>1.58</v>
      </c>
      <c r="K160" s="136">
        <f t="shared" si="52"/>
        <v>1.58</v>
      </c>
      <c r="L160" s="136">
        <f t="shared" si="52"/>
        <v>1.58</v>
      </c>
      <c r="M160" s="136">
        <f t="shared" si="52"/>
        <v>1.58</v>
      </c>
      <c r="N160" s="136">
        <f t="shared" si="52"/>
        <v>1.58</v>
      </c>
      <c r="O160" s="136">
        <f t="shared" si="52"/>
        <v>1.58</v>
      </c>
      <c r="P160" s="136">
        <f t="shared" si="52"/>
        <v>1.58</v>
      </c>
      <c r="Q160" s="136">
        <f t="shared" si="52"/>
        <v>1.58</v>
      </c>
      <c r="R160" s="136">
        <f t="shared" si="52"/>
        <v>1.58</v>
      </c>
      <c r="S160" s="136">
        <f t="shared" si="52"/>
        <v>1.58</v>
      </c>
      <c r="T160" s="136">
        <f t="shared" si="53"/>
        <v>1.58</v>
      </c>
      <c r="U160" s="136">
        <f t="shared" si="53"/>
        <v>1.58</v>
      </c>
      <c r="V160" s="136">
        <f t="shared" si="53"/>
        <v>1.58</v>
      </c>
      <c r="W160" s="136">
        <f t="shared" si="53"/>
        <v>1.58</v>
      </c>
      <c r="X160" s="136">
        <f t="shared" si="53"/>
        <v>1.58</v>
      </c>
      <c r="Y160" s="136">
        <f t="shared" si="53"/>
        <v>1.58</v>
      </c>
      <c r="Z160" s="136">
        <f t="shared" si="53"/>
        <v>1.58</v>
      </c>
      <c r="AA160" s="136">
        <f t="shared" si="53"/>
        <v>1.58</v>
      </c>
      <c r="AB160" s="136">
        <f t="shared" si="53"/>
        <v>1.58</v>
      </c>
      <c r="AC160" s="136">
        <f t="shared" si="53"/>
        <v>1.58</v>
      </c>
      <c r="AD160" s="136">
        <f t="shared" si="53"/>
        <v>1.58</v>
      </c>
      <c r="AE160" s="136">
        <f t="shared" si="53"/>
        <v>1.58</v>
      </c>
      <c r="AF160" s="136">
        <f t="shared" si="53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51"/>
        <v>2</v>
      </c>
      <c r="C161" s="137">
        <v>2</v>
      </c>
      <c r="D161" s="136">
        <f t="shared" si="52"/>
        <v>2</v>
      </c>
      <c r="E161" s="136">
        <f t="shared" si="52"/>
        <v>2</v>
      </c>
      <c r="F161" s="136">
        <f t="shared" si="52"/>
        <v>2</v>
      </c>
      <c r="G161" s="136">
        <f t="shared" si="52"/>
        <v>2</v>
      </c>
      <c r="H161" s="136">
        <f t="shared" si="52"/>
        <v>2</v>
      </c>
      <c r="I161" s="136">
        <f t="shared" si="52"/>
        <v>2</v>
      </c>
      <c r="J161" s="136">
        <f t="shared" si="52"/>
        <v>2</v>
      </c>
      <c r="K161" s="136">
        <f t="shared" si="52"/>
        <v>2</v>
      </c>
      <c r="L161" s="136">
        <f t="shared" si="52"/>
        <v>2</v>
      </c>
      <c r="M161" s="136">
        <f t="shared" si="52"/>
        <v>2</v>
      </c>
      <c r="N161" s="136">
        <f t="shared" si="52"/>
        <v>2</v>
      </c>
      <c r="O161" s="136">
        <f t="shared" si="52"/>
        <v>2</v>
      </c>
      <c r="P161" s="136">
        <f t="shared" si="52"/>
        <v>2</v>
      </c>
      <c r="Q161" s="136">
        <f t="shared" si="52"/>
        <v>2</v>
      </c>
      <c r="R161" s="136">
        <f t="shared" si="52"/>
        <v>2</v>
      </c>
      <c r="S161" s="136">
        <f t="shared" si="52"/>
        <v>2</v>
      </c>
      <c r="T161" s="136">
        <f t="shared" si="53"/>
        <v>2</v>
      </c>
      <c r="U161" s="136">
        <f t="shared" si="53"/>
        <v>2</v>
      </c>
      <c r="V161" s="136">
        <f t="shared" si="53"/>
        <v>2</v>
      </c>
      <c r="W161" s="136">
        <f t="shared" si="53"/>
        <v>2</v>
      </c>
      <c r="X161" s="136">
        <f t="shared" si="53"/>
        <v>2</v>
      </c>
      <c r="Y161" s="136">
        <f t="shared" si="53"/>
        <v>2</v>
      </c>
      <c r="Z161" s="136">
        <f t="shared" si="53"/>
        <v>2</v>
      </c>
      <c r="AA161" s="136">
        <f t="shared" si="53"/>
        <v>2</v>
      </c>
      <c r="AB161" s="136">
        <f t="shared" si="53"/>
        <v>2</v>
      </c>
      <c r="AC161" s="136">
        <f t="shared" si="53"/>
        <v>2</v>
      </c>
      <c r="AD161" s="136">
        <f t="shared" si="53"/>
        <v>2</v>
      </c>
      <c r="AE161" s="136">
        <f t="shared" si="53"/>
        <v>2</v>
      </c>
      <c r="AF161" s="136">
        <f t="shared" si="53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51"/>
        <v>0.47</v>
      </c>
      <c r="C162" s="137">
        <v>0.47</v>
      </c>
      <c r="D162" s="136">
        <f t="shared" si="52"/>
        <v>0.47</v>
      </c>
      <c r="E162" s="136">
        <f t="shared" si="52"/>
        <v>0.47</v>
      </c>
      <c r="F162" s="136">
        <f t="shared" si="52"/>
        <v>0.47</v>
      </c>
      <c r="G162" s="136">
        <f t="shared" si="52"/>
        <v>0.47</v>
      </c>
      <c r="H162" s="136">
        <f t="shared" si="52"/>
        <v>0.47</v>
      </c>
      <c r="I162" s="136">
        <f t="shared" si="52"/>
        <v>0.47</v>
      </c>
      <c r="J162" s="136">
        <f t="shared" si="52"/>
        <v>0.47</v>
      </c>
      <c r="K162" s="136">
        <f t="shared" si="52"/>
        <v>0.47</v>
      </c>
      <c r="L162" s="136">
        <f t="shared" si="52"/>
        <v>0.47</v>
      </c>
      <c r="M162" s="136">
        <f t="shared" si="52"/>
        <v>0.47</v>
      </c>
      <c r="N162" s="136">
        <f t="shared" si="52"/>
        <v>0.47</v>
      </c>
      <c r="O162" s="136">
        <f t="shared" si="52"/>
        <v>0.47</v>
      </c>
      <c r="P162" s="136">
        <f t="shared" si="52"/>
        <v>0.47</v>
      </c>
      <c r="Q162" s="136">
        <f t="shared" si="52"/>
        <v>0.47</v>
      </c>
      <c r="R162" s="136">
        <f t="shared" si="52"/>
        <v>0.47</v>
      </c>
      <c r="S162" s="136">
        <f t="shared" si="52"/>
        <v>0.47</v>
      </c>
      <c r="T162" s="136">
        <f t="shared" si="53"/>
        <v>0.47</v>
      </c>
      <c r="U162" s="136">
        <f t="shared" si="53"/>
        <v>0.47</v>
      </c>
      <c r="V162" s="136">
        <f t="shared" si="53"/>
        <v>0.47</v>
      </c>
      <c r="W162" s="136">
        <f t="shared" si="53"/>
        <v>0.47</v>
      </c>
      <c r="X162" s="136">
        <f t="shared" si="53"/>
        <v>0.47</v>
      </c>
      <c r="Y162" s="136">
        <f t="shared" si="53"/>
        <v>0.47</v>
      </c>
      <c r="Z162" s="136">
        <f t="shared" si="53"/>
        <v>0.47</v>
      </c>
      <c r="AA162" s="136">
        <f t="shared" si="53"/>
        <v>0.47</v>
      </c>
      <c r="AB162" s="136">
        <f t="shared" si="53"/>
        <v>0.47</v>
      </c>
      <c r="AC162" s="136">
        <f t="shared" si="53"/>
        <v>0.47</v>
      </c>
      <c r="AD162" s="136">
        <f t="shared" si="53"/>
        <v>0.47</v>
      </c>
      <c r="AE162" s="136">
        <f t="shared" si="53"/>
        <v>0.47</v>
      </c>
      <c r="AF162" s="136">
        <f t="shared" si="53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51"/>
        <v>0</v>
      </c>
      <c r="C163" s="137">
        <v>0</v>
      </c>
      <c r="D163" s="136">
        <f t="shared" si="52"/>
        <v>0</v>
      </c>
      <c r="E163" s="136">
        <f t="shared" si="52"/>
        <v>0</v>
      </c>
      <c r="F163" s="136">
        <f t="shared" si="52"/>
        <v>0</v>
      </c>
      <c r="G163" s="136">
        <f t="shared" si="52"/>
        <v>0</v>
      </c>
      <c r="H163" s="136">
        <f t="shared" si="52"/>
        <v>0</v>
      </c>
      <c r="I163" s="136">
        <f t="shared" si="52"/>
        <v>0</v>
      </c>
      <c r="J163" s="136">
        <f t="shared" si="52"/>
        <v>0</v>
      </c>
      <c r="K163" s="136">
        <f t="shared" si="52"/>
        <v>0</v>
      </c>
      <c r="L163" s="136">
        <f t="shared" si="52"/>
        <v>0</v>
      </c>
      <c r="M163" s="136">
        <f t="shared" si="52"/>
        <v>0</v>
      </c>
      <c r="N163" s="136">
        <f t="shared" si="52"/>
        <v>0</v>
      </c>
      <c r="O163" s="136">
        <f t="shared" si="52"/>
        <v>0</v>
      </c>
      <c r="P163" s="136">
        <f t="shared" si="52"/>
        <v>0</v>
      </c>
      <c r="Q163" s="136">
        <f t="shared" si="52"/>
        <v>0</v>
      </c>
      <c r="R163" s="136">
        <f t="shared" si="52"/>
        <v>0</v>
      </c>
      <c r="S163" s="136">
        <f t="shared" si="52"/>
        <v>0</v>
      </c>
      <c r="T163" s="136">
        <f t="shared" si="53"/>
        <v>0</v>
      </c>
      <c r="U163" s="136">
        <f t="shared" si="53"/>
        <v>0</v>
      </c>
      <c r="V163" s="136">
        <f t="shared" si="53"/>
        <v>0</v>
      </c>
      <c r="W163" s="136">
        <f t="shared" si="53"/>
        <v>0</v>
      </c>
      <c r="X163" s="136">
        <f t="shared" si="53"/>
        <v>0</v>
      </c>
      <c r="Y163" s="136">
        <f t="shared" si="53"/>
        <v>0</v>
      </c>
      <c r="Z163" s="136">
        <f t="shared" si="53"/>
        <v>0</v>
      </c>
      <c r="AA163" s="136">
        <f t="shared" si="53"/>
        <v>0</v>
      </c>
      <c r="AB163" s="136">
        <f t="shared" si="53"/>
        <v>0</v>
      </c>
      <c r="AC163" s="136">
        <f t="shared" si="53"/>
        <v>0</v>
      </c>
      <c r="AD163" s="136">
        <f t="shared" si="53"/>
        <v>0</v>
      </c>
      <c r="AE163" s="136">
        <f t="shared" si="53"/>
        <v>0</v>
      </c>
      <c r="AF163" s="136">
        <f t="shared" si="53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51"/>
        <v>0</v>
      </c>
      <c r="C164" s="137">
        <v>0</v>
      </c>
      <c r="D164" s="136">
        <f t="shared" si="52"/>
        <v>0</v>
      </c>
      <c r="E164" s="136">
        <f t="shared" si="52"/>
        <v>0</v>
      </c>
      <c r="F164" s="136">
        <f t="shared" si="52"/>
        <v>0</v>
      </c>
      <c r="G164" s="136">
        <f t="shared" si="52"/>
        <v>0</v>
      </c>
      <c r="H164" s="136">
        <f t="shared" si="52"/>
        <v>0</v>
      </c>
      <c r="I164" s="136">
        <f t="shared" si="52"/>
        <v>0</v>
      </c>
      <c r="J164" s="136">
        <f t="shared" si="52"/>
        <v>0</v>
      </c>
      <c r="K164" s="136">
        <f t="shared" si="52"/>
        <v>0</v>
      </c>
      <c r="L164" s="136">
        <f t="shared" si="52"/>
        <v>0</v>
      </c>
      <c r="M164" s="136">
        <f t="shared" si="52"/>
        <v>0</v>
      </c>
      <c r="N164" s="136">
        <f t="shared" si="52"/>
        <v>0</v>
      </c>
      <c r="O164" s="136">
        <f t="shared" si="52"/>
        <v>0</v>
      </c>
      <c r="P164" s="136">
        <f t="shared" si="52"/>
        <v>0</v>
      </c>
      <c r="Q164" s="136">
        <f t="shared" si="52"/>
        <v>0</v>
      </c>
      <c r="R164" s="136">
        <f t="shared" si="52"/>
        <v>0</v>
      </c>
      <c r="S164" s="136">
        <f t="shared" si="53"/>
        <v>0</v>
      </c>
      <c r="T164" s="136">
        <f t="shared" si="53"/>
        <v>0</v>
      </c>
      <c r="U164" s="136">
        <f t="shared" si="53"/>
        <v>0</v>
      </c>
      <c r="V164" s="136">
        <f t="shared" si="53"/>
        <v>0</v>
      </c>
      <c r="W164" s="136">
        <f t="shared" si="53"/>
        <v>0</v>
      </c>
      <c r="X164" s="136">
        <f t="shared" si="53"/>
        <v>0</v>
      </c>
      <c r="Y164" s="136">
        <f t="shared" si="53"/>
        <v>0</v>
      </c>
      <c r="Z164" s="136">
        <f t="shared" si="53"/>
        <v>0</v>
      </c>
      <c r="AA164" s="136">
        <f t="shared" si="53"/>
        <v>0</v>
      </c>
      <c r="AB164" s="136">
        <f t="shared" si="53"/>
        <v>0</v>
      </c>
      <c r="AC164" s="136">
        <f t="shared" si="53"/>
        <v>0</v>
      </c>
      <c r="AD164" s="136">
        <f t="shared" si="53"/>
        <v>0</v>
      </c>
      <c r="AE164" s="136">
        <f t="shared" si="53"/>
        <v>0</v>
      </c>
      <c r="AF164" s="136">
        <f t="shared" si="53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51"/>
        <v>0.8</v>
      </c>
      <c r="C165" s="137">
        <v>0.8</v>
      </c>
      <c r="D165" s="136">
        <f t="shared" si="52"/>
        <v>0.8</v>
      </c>
      <c r="E165" s="136">
        <f t="shared" si="52"/>
        <v>0.8</v>
      </c>
      <c r="F165" s="136">
        <f t="shared" si="52"/>
        <v>0.8</v>
      </c>
      <c r="G165" s="136">
        <f t="shared" si="52"/>
        <v>0.8</v>
      </c>
      <c r="H165" s="136">
        <f t="shared" si="52"/>
        <v>0.8</v>
      </c>
      <c r="I165" s="136">
        <f t="shared" si="52"/>
        <v>0.8</v>
      </c>
      <c r="J165" s="136">
        <f t="shared" si="52"/>
        <v>0.8</v>
      </c>
      <c r="K165" s="136">
        <f t="shared" si="52"/>
        <v>0.8</v>
      </c>
      <c r="L165" s="136">
        <f t="shared" si="52"/>
        <v>0.8</v>
      </c>
      <c r="M165" s="136">
        <f t="shared" si="52"/>
        <v>0.8</v>
      </c>
      <c r="N165" s="136">
        <f t="shared" si="52"/>
        <v>0.8</v>
      </c>
      <c r="O165" s="136">
        <f t="shared" si="52"/>
        <v>0.8</v>
      </c>
      <c r="P165" s="136">
        <f t="shared" si="52"/>
        <v>0.8</v>
      </c>
      <c r="Q165" s="136">
        <f t="shared" si="52"/>
        <v>0.8</v>
      </c>
      <c r="R165" s="136">
        <f t="shared" si="52"/>
        <v>0.8</v>
      </c>
      <c r="S165" s="136">
        <f t="shared" si="53"/>
        <v>0.8</v>
      </c>
      <c r="T165" s="136">
        <f t="shared" si="53"/>
        <v>0.8</v>
      </c>
      <c r="U165" s="136">
        <f t="shared" si="53"/>
        <v>0.8</v>
      </c>
      <c r="V165" s="136">
        <f t="shared" si="53"/>
        <v>0.8</v>
      </c>
      <c r="W165" s="136">
        <f t="shared" si="53"/>
        <v>0.8</v>
      </c>
      <c r="X165" s="136">
        <f t="shared" si="53"/>
        <v>0.8</v>
      </c>
      <c r="Y165" s="136">
        <f t="shared" si="53"/>
        <v>0.8</v>
      </c>
      <c r="Z165" s="136">
        <f t="shared" si="53"/>
        <v>0.8</v>
      </c>
      <c r="AA165" s="136">
        <f t="shared" si="53"/>
        <v>0.8</v>
      </c>
      <c r="AB165" s="136">
        <f t="shared" si="53"/>
        <v>0.8</v>
      </c>
      <c r="AC165" s="136">
        <f t="shared" si="53"/>
        <v>0.8</v>
      </c>
      <c r="AD165" s="136">
        <f t="shared" si="53"/>
        <v>0.8</v>
      </c>
      <c r="AE165" s="136">
        <f t="shared" si="53"/>
        <v>0.8</v>
      </c>
      <c r="AF165" s="136">
        <f t="shared" si="53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51"/>
        <v>1.5</v>
      </c>
      <c r="C166" s="137">
        <v>1.5</v>
      </c>
      <c r="D166" s="136">
        <f t="shared" si="52"/>
        <v>1.5</v>
      </c>
      <c r="E166" s="136">
        <f t="shared" si="52"/>
        <v>1.5</v>
      </c>
      <c r="F166" s="136">
        <f t="shared" si="52"/>
        <v>1.5</v>
      </c>
      <c r="G166" s="136">
        <f t="shared" si="52"/>
        <v>1.5</v>
      </c>
      <c r="H166" s="136">
        <f t="shared" si="52"/>
        <v>1.5</v>
      </c>
      <c r="I166" s="136">
        <f t="shared" si="52"/>
        <v>1.5</v>
      </c>
      <c r="J166" s="136">
        <f t="shared" si="52"/>
        <v>1.5</v>
      </c>
      <c r="K166" s="136">
        <f t="shared" si="52"/>
        <v>1.5</v>
      </c>
      <c r="L166" s="136">
        <f t="shared" si="52"/>
        <v>1.5</v>
      </c>
      <c r="M166" s="136">
        <f t="shared" si="52"/>
        <v>1.5</v>
      </c>
      <c r="N166" s="136">
        <f t="shared" si="52"/>
        <v>1.5</v>
      </c>
      <c r="O166" s="136">
        <f t="shared" si="52"/>
        <v>1.5</v>
      </c>
      <c r="P166" s="136">
        <f t="shared" si="52"/>
        <v>1.5</v>
      </c>
      <c r="Q166" s="136">
        <f t="shared" si="52"/>
        <v>1.5</v>
      </c>
      <c r="R166" s="136">
        <f t="shared" si="52"/>
        <v>1.5</v>
      </c>
      <c r="S166" s="136">
        <f t="shared" si="53"/>
        <v>1.5</v>
      </c>
      <c r="T166" s="136">
        <f t="shared" si="53"/>
        <v>1.5</v>
      </c>
      <c r="U166" s="136">
        <f t="shared" si="53"/>
        <v>1.5</v>
      </c>
      <c r="V166" s="136">
        <f t="shared" si="53"/>
        <v>1.5</v>
      </c>
      <c r="W166" s="136">
        <f t="shared" si="53"/>
        <v>1.5</v>
      </c>
      <c r="X166" s="136">
        <f t="shared" si="53"/>
        <v>1.5</v>
      </c>
      <c r="Y166" s="136">
        <f t="shared" si="53"/>
        <v>1.5</v>
      </c>
      <c r="Z166" s="136">
        <f t="shared" si="53"/>
        <v>1.5</v>
      </c>
      <c r="AA166" s="136">
        <f t="shared" si="53"/>
        <v>1.5</v>
      </c>
      <c r="AB166" s="136">
        <f t="shared" si="53"/>
        <v>1.5</v>
      </c>
      <c r="AC166" s="136">
        <f t="shared" si="53"/>
        <v>1.5</v>
      </c>
      <c r="AD166" s="136">
        <f t="shared" si="53"/>
        <v>1.5</v>
      </c>
      <c r="AE166" s="136">
        <f t="shared" si="53"/>
        <v>1.5</v>
      </c>
      <c r="AF166" s="136">
        <f t="shared" si="53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51"/>
        <v>1</v>
      </c>
      <c r="C167" s="137">
        <v>1</v>
      </c>
      <c r="D167" s="136">
        <f t="shared" si="52"/>
        <v>1</v>
      </c>
      <c r="E167" s="136">
        <f t="shared" si="52"/>
        <v>1</v>
      </c>
      <c r="F167" s="136">
        <f t="shared" si="52"/>
        <v>1</v>
      </c>
      <c r="G167" s="136">
        <f t="shared" si="52"/>
        <v>1</v>
      </c>
      <c r="H167" s="136">
        <f t="shared" si="52"/>
        <v>1</v>
      </c>
      <c r="I167" s="136">
        <f t="shared" si="52"/>
        <v>1</v>
      </c>
      <c r="J167" s="136">
        <f t="shared" si="52"/>
        <v>1</v>
      </c>
      <c r="K167" s="136">
        <f t="shared" si="52"/>
        <v>1</v>
      </c>
      <c r="L167" s="136">
        <f t="shared" si="52"/>
        <v>1</v>
      </c>
      <c r="M167" s="136">
        <f t="shared" si="52"/>
        <v>1</v>
      </c>
      <c r="N167" s="136">
        <f t="shared" si="52"/>
        <v>1</v>
      </c>
      <c r="O167" s="136">
        <f t="shared" si="52"/>
        <v>1</v>
      </c>
      <c r="P167" s="136">
        <f t="shared" si="52"/>
        <v>1</v>
      </c>
      <c r="Q167" s="136">
        <f t="shared" si="52"/>
        <v>1</v>
      </c>
      <c r="R167" s="136">
        <f t="shared" si="52"/>
        <v>1</v>
      </c>
      <c r="S167" s="136">
        <f t="shared" si="53"/>
        <v>1</v>
      </c>
      <c r="T167" s="136">
        <f t="shared" si="53"/>
        <v>1</v>
      </c>
      <c r="U167" s="136">
        <f t="shared" si="53"/>
        <v>1</v>
      </c>
      <c r="V167" s="136">
        <f t="shared" si="53"/>
        <v>1</v>
      </c>
      <c r="W167" s="136">
        <f t="shared" si="53"/>
        <v>1</v>
      </c>
      <c r="X167" s="136">
        <f t="shared" si="53"/>
        <v>1</v>
      </c>
      <c r="Y167" s="136">
        <f t="shared" si="53"/>
        <v>1</v>
      </c>
      <c r="Z167" s="136">
        <f t="shared" si="53"/>
        <v>1</v>
      </c>
      <c r="AA167" s="136">
        <f t="shared" si="53"/>
        <v>1</v>
      </c>
      <c r="AB167" s="136">
        <f t="shared" si="53"/>
        <v>1</v>
      </c>
      <c r="AC167" s="136">
        <f t="shared" si="53"/>
        <v>1</v>
      </c>
      <c r="AD167" s="136">
        <f t="shared" si="53"/>
        <v>1</v>
      </c>
      <c r="AE167" s="136">
        <f t="shared" si="53"/>
        <v>1</v>
      </c>
      <c r="AF167" s="136">
        <f t="shared" si="53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54">AF169</f>
        <v>1</v>
      </c>
      <c r="C169" s="137">
        <v>1</v>
      </c>
      <c r="D169" s="136">
        <f t="shared" ref="D169:S176" si="55">C169</f>
        <v>1</v>
      </c>
      <c r="E169" s="136">
        <f t="shared" si="55"/>
        <v>1</v>
      </c>
      <c r="F169" s="136">
        <f t="shared" si="55"/>
        <v>1</v>
      </c>
      <c r="G169" s="136">
        <f t="shared" si="55"/>
        <v>1</v>
      </c>
      <c r="H169" s="136">
        <f t="shared" si="55"/>
        <v>1</v>
      </c>
      <c r="I169" s="136">
        <f t="shared" si="55"/>
        <v>1</v>
      </c>
      <c r="J169" s="136">
        <f t="shared" si="55"/>
        <v>1</v>
      </c>
      <c r="K169" s="136">
        <f t="shared" si="55"/>
        <v>1</v>
      </c>
      <c r="L169" s="136">
        <f t="shared" si="55"/>
        <v>1</v>
      </c>
      <c r="M169" s="136">
        <f t="shared" si="55"/>
        <v>1</v>
      </c>
      <c r="N169" s="136">
        <f t="shared" si="55"/>
        <v>1</v>
      </c>
      <c r="O169" s="136">
        <f t="shared" si="55"/>
        <v>1</v>
      </c>
      <c r="P169" s="136">
        <f t="shared" si="55"/>
        <v>1</v>
      </c>
      <c r="Q169" s="136">
        <f t="shared" si="55"/>
        <v>1</v>
      </c>
      <c r="R169" s="136">
        <f t="shared" si="55"/>
        <v>1</v>
      </c>
      <c r="S169" s="136">
        <f t="shared" si="55"/>
        <v>1</v>
      </c>
      <c r="T169" s="136">
        <f t="shared" ref="S169:AF176" si="56">S169</f>
        <v>1</v>
      </c>
      <c r="U169" s="136">
        <f t="shared" si="56"/>
        <v>1</v>
      </c>
      <c r="V169" s="136">
        <f t="shared" si="56"/>
        <v>1</v>
      </c>
      <c r="W169" s="136">
        <f t="shared" si="56"/>
        <v>1</v>
      </c>
      <c r="X169" s="136">
        <f t="shared" si="56"/>
        <v>1</v>
      </c>
      <c r="Y169" s="136">
        <f t="shared" si="56"/>
        <v>1</v>
      </c>
      <c r="Z169" s="136">
        <f t="shared" si="56"/>
        <v>1</v>
      </c>
      <c r="AA169" s="136">
        <f t="shared" si="56"/>
        <v>1</v>
      </c>
      <c r="AB169" s="136">
        <f t="shared" si="56"/>
        <v>1</v>
      </c>
      <c r="AC169" s="136">
        <f t="shared" si="56"/>
        <v>1</v>
      </c>
      <c r="AD169" s="136">
        <f t="shared" si="56"/>
        <v>1</v>
      </c>
      <c r="AE169" s="136">
        <f t="shared" si="56"/>
        <v>1</v>
      </c>
      <c r="AF169" s="136">
        <f t="shared" si="56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54"/>
        <v>0.42</v>
      </c>
      <c r="C170" s="137">
        <v>0.42</v>
      </c>
      <c r="D170" s="136">
        <f t="shared" si="55"/>
        <v>0.42</v>
      </c>
      <c r="E170" s="136">
        <f t="shared" si="55"/>
        <v>0.42</v>
      </c>
      <c r="F170" s="136">
        <f t="shared" si="55"/>
        <v>0.42</v>
      </c>
      <c r="G170" s="136">
        <f t="shared" si="55"/>
        <v>0.42</v>
      </c>
      <c r="H170" s="136">
        <f t="shared" si="55"/>
        <v>0.42</v>
      </c>
      <c r="I170" s="136">
        <f t="shared" si="55"/>
        <v>0.42</v>
      </c>
      <c r="J170" s="136">
        <f t="shared" si="55"/>
        <v>0.42</v>
      </c>
      <c r="K170" s="136">
        <f t="shared" si="55"/>
        <v>0.42</v>
      </c>
      <c r="L170" s="136">
        <f t="shared" si="55"/>
        <v>0.42</v>
      </c>
      <c r="M170" s="136">
        <f t="shared" si="55"/>
        <v>0.42</v>
      </c>
      <c r="N170" s="136">
        <f t="shared" si="55"/>
        <v>0.42</v>
      </c>
      <c r="O170" s="136">
        <f t="shared" si="55"/>
        <v>0.42</v>
      </c>
      <c r="P170" s="136">
        <f t="shared" si="55"/>
        <v>0.42</v>
      </c>
      <c r="Q170" s="136">
        <f t="shared" si="55"/>
        <v>0.42</v>
      </c>
      <c r="R170" s="136">
        <f t="shared" si="55"/>
        <v>0.42</v>
      </c>
      <c r="S170" s="136">
        <f t="shared" si="56"/>
        <v>0.42</v>
      </c>
      <c r="T170" s="136">
        <f t="shared" si="56"/>
        <v>0.42</v>
      </c>
      <c r="U170" s="136">
        <f t="shared" si="56"/>
        <v>0.42</v>
      </c>
      <c r="V170" s="136">
        <f t="shared" si="56"/>
        <v>0.42</v>
      </c>
      <c r="W170" s="136">
        <f t="shared" si="56"/>
        <v>0.42</v>
      </c>
      <c r="X170" s="136">
        <f t="shared" si="56"/>
        <v>0.42</v>
      </c>
      <c r="Y170" s="136">
        <f t="shared" si="56"/>
        <v>0.42</v>
      </c>
      <c r="Z170" s="136">
        <f t="shared" si="56"/>
        <v>0.42</v>
      </c>
      <c r="AA170" s="136">
        <f t="shared" si="56"/>
        <v>0.42</v>
      </c>
      <c r="AB170" s="136">
        <f t="shared" si="56"/>
        <v>0.42</v>
      </c>
      <c r="AC170" s="136">
        <f t="shared" si="56"/>
        <v>0.42</v>
      </c>
      <c r="AD170" s="136">
        <f t="shared" si="56"/>
        <v>0.42</v>
      </c>
      <c r="AE170" s="136">
        <f t="shared" si="56"/>
        <v>0.42</v>
      </c>
      <c r="AF170" s="136">
        <f t="shared" si="56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54"/>
        <v>0.46</v>
      </c>
      <c r="C171" s="137">
        <v>0.46</v>
      </c>
      <c r="D171" s="136">
        <f t="shared" si="55"/>
        <v>0.46</v>
      </c>
      <c r="E171" s="136">
        <f t="shared" si="55"/>
        <v>0.46</v>
      </c>
      <c r="F171" s="136">
        <f t="shared" si="55"/>
        <v>0.46</v>
      </c>
      <c r="G171" s="136">
        <f t="shared" si="55"/>
        <v>0.46</v>
      </c>
      <c r="H171" s="136">
        <f t="shared" si="55"/>
        <v>0.46</v>
      </c>
      <c r="I171" s="136">
        <f t="shared" si="55"/>
        <v>0.46</v>
      </c>
      <c r="J171" s="136">
        <f t="shared" si="55"/>
        <v>0.46</v>
      </c>
      <c r="K171" s="136">
        <f t="shared" si="55"/>
        <v>0.46</v>
      </c>
      <c r="L171" s="136">
        <f t="shared" si="55"/>
        <v>0.46</v>
      </c>
      <c r="M171" s="136">
        <f t="shared" si="55"/>
        <v>0.46</v>
      </c>
      <c r="N171" s="136">
        <f t="shared" si="55"/>
        <v>0.46</v>
      </c>
      <c r="O171" s="136">
        <f t="shared" si="55"/>
        <v>0.46</v>
      </c>
      <c r="P171" s="136">
        <f t="shared" si="55"/>
        <v>0.46</v>
      </c>
      <c r="Q171" s="136">
        <f t="shared" si="55"/>
        <v>0.46</v>
      </c>
      <c r="R171" s="136">
        <f t="shared" si="55"/>
        <v>0.46</v>
      </c>
      <c r="S171" s="136">
        <f t="shared" si="56"/>
        <v>0.46</v>
      </c>
      <c r="T171" s="136">
        <f t="shared" si="56"/>
        <v>0.46</v>
      </c>
      <c r="U171" s="136">
        <f t="shared" si="56"/>
        <v>0.46</v>
      </c>
      <c r="V171" s="136">
        <f t="shared" si="56"/>
        <v>0.46</v>
      </c>
      <c r="W171" s="136">
        <f t="shared" si="56"/>
        <v>0.46</v>
      </c>
      <c r="X171" s="136">
        <f t="shared" si="56"/>
        <v>0.46</v>
      </c>
      <c r="Y171" s="136">
        <f t="shared" si="56"/>
        <v>0.46</v>
      </c>
      <c r="Z171" s="136">
        <f t="shared" si="56"/>
        <v>0.46</v>
      </c>
      <c r="AA171" s="136">
        <f t="shared" si="56"/>
        <v>0.46</v>
      </c>
      <c r="AB171" s="136">
        <f t="shared" si="56"/>
        <v>0.46</v>
      </c>
      <c r="AC171" s="136">
        <f t="shared" si="56"/>
        <v>0.46</v>
      </c>
      <c r="AD171" s="136">
        <f t="shared" si="56"/>
        <v>0.46</v>
      </c>
      <c r="AE171" s="136">
        <f t="shared" si="56"/>
        <v>0.46</v>
      </c>
      <c r="AF171" s="136">
        <f t="shared" si="56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54"/>
        <v>0.85</v>
      </c>
      <c r="C172" s="137">
        <v>0.85</v>
      </c>
      <c r="D172" s="136">
        <f t="shared" si="55"/>
        <v>0.85</v>
      </c>
      <c r="E172" s="136">
        <f t="shared" si="55"/>
        <v>0.85</v>
      </c>
      <c r="F172" s="136">
        <f t="shared" si="55"/>
        <v>0.85</v>
      </c>
      <c r="G172" s="136">
        <f t="shared" si="55"/>
        <v>0.85</v>
      </c>
      <c r="H172" s="136">
        <f t="shared" si="55"/>
        <v>0.85</v>
      </c>
      <c r="I172" s="136">
        <f t="shared" si="55"/>
        <v>0.85</v>
      </c>
      <c r="J172" s="136">
        <f t="shared" si="55"/>
        <v>0.85</v>
      </c>
      <c r="K172" s="136">
        <f t="shared" si="55"/>
        <v>0.85</v>
      </c>
      <c r="L172" s="136">
        <f t="shared" si="55"/>
        <v>0.85</v>
      </c>
      <c r="M172" s="136">
        <f t="shared" si="55"/>
        <v>0.85</v>
      </c>
      <c r="N172" s="136">
        <f t="shared" si="55"/>
        <v>0.85</v>
      </c>
      <c r="O172" s="136">
        <f t="shared" si="55"/>
        <v>0.85</v>
      </c>
      <c r="P172" s="136">
        <f t="shared" si="55"/>
        <v>0.85</v>
      </c>
      <c r="Q172" s="136">
        <f t="shared" si="55"/>
        <v>0.85</v>
      </c>
      <c r="R172" s="136">
        <f t="shared" si="55"/>
        <v>0.85</v>
      </c>
      <c r="S172" s="136">
        <f t="shared" si="56"/>
        <v>0.85</v>
      </c>
      <c r="T172" s="136">
        <f t="shared" si="56"/>
        <v>0.85</v>
      </c>
      <c r="U172" s="136">
        <f t="shared" si="56"/>
        <v>0.85</v>
      </c>
      <c r="V172" s="136">
        <f t="shared" si="56"/>
        <v>0.85</v>
      </c>
      <c r="W172" s="136">
        <f t="shared" si="56"/>
        <v>0.85</v>
      </c>
      <c r="X172" s="136">
        <f t="shared" si="56"/>
        <v>0.85</v>
      </c>
      <c r="Y172" s="136">
        <f t="shared" si="56"/>
        <v>0.85</v>
      </c>
      <c r="Z172" s="136">
        <f t="shared" si="56"/>
        <v>0.85</v>
      </c>
      <c r="AA172" s="136">
        <f t="shared" si="56"/>
        <v>0.85</v>
      </c>
      <c r="AB172" s="136">
        <f t="shared" si="56"/>
        <v>0.85</v>
      </c>
      <c r="AC172" s="136">
        <f t="shared" si="56"/>
        <v>0.85</v>
      </c>
      <c r="AD172" s="136">
        <f t="shared" si="56"/>
        <v>0.85</v>
      </c>
      <c r="AE172" s="136">
        <f t="shared" si="56"/>
        <v>0.85</v>
      </c>
      <c r="AF172" s="136">
        <f t="shared" si="56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54"/>
        <v>0.9</v>
      </c>
      <c r="C173" s="137">
        <v>0.9</v>
      </c>
      <c r="D173" s="136">
        <f t="shared" si="55"/>
        <v>0.9</v>
      </c>
      <c r="E173" s="136">
        <f t="shared" si="55"/>
        <v>0.9</v>
      </c>
      <c r="F173" s="136">
        <f t="shared" si="55"/>
        <v>0.9</v>
      </c>
      <c r="G173" s="136">
        <f t="shared" si="55"/>
        <v>0.9</v>
      </c>
      <c r="H173" s="136">
        <f t="shared" si="55"/>
        <v>0.9</v>
      </c>
      <c r="I173" s="136">
        <f t="shared" si="55"/>
        <v>0.9</v>
      </c>
      <c r="J173" s="136">
        <f t="shared" si="55"/>
        <v>0.9</v>
      </c>
      <c r="K173" s="136">
        <f t="shared" si="55"/>
        <v>0.9</v>
      </c>
      <c r="L173" s="136">
        <f t="shared" si="55"/>
        <v>0.9</v>
      </c>
      <c r="M173" s="136">
        <f t="shared" si="55"/>
        <v>0.9</v>
      </c>
      <c r="N173" s="136">
        <f t="shared" si="55"/>
        <v>0.9</v>
      </c>
      <c r="O173" s="136">
        <f t="shared" si="55"/>
        <v>0.9</v>
      </c>
      <c r="P173" s="136">
        <f t="shared" si="55"/>
        <v>0.9</v>
      </c>
      <c r="Q173" s="136">
        <f t="shared" si="55"/>
        <v>0.9</v>
      </c>
      <c r="R173" s="136">
        <f t="shared" si="55"/>
        <v>0.9</v>
      </c>
      <c r="S173" s="136">
        <f t="shared" si="56"/>
        <v>0.9</v>
      </c>
      <c r="T173" s="136">
        <f t="shared" si="56"/>
        <v>0.9</v>
      </c>
      <c r="U173" s="136">
        <f t="shared" si="56"/>
        <v>0.9</v>
      </c>
      <c r="V173" s="136">
        <f t="shared" si="56"/>
        <v>0.9</v>
      </c>
      <c r="W173" s="136">
        <f t="shared" si="56"/>
        <v>0.9</v>
      </c>
      <c r="X173" s="136">
        <f t="shared" si="56"/>
        <v>0.9</v>
      </c>
      <c r="Y173" s="136">
        <f t="shared" si="56"/>
        <v>0.9</v>
      </c>
      <c r="Z173" s="136">
        <f t="shared" si="56"/>
        <v>0.9</v>
      </c>
      <c r="AA173" s="136">
        <f t="shared" si="56"/>
        <v>0.9</v>
      </c>
      <c r="AB173" s="136">
        <f t="shared" si="56"/>
        <v>0.9</v>
      </c>
      <c r="AC173" s="136">
        <f t="shared" si="56"/>
        <v>0.9</v>
      </c>
      <c r="AD173" s="136">
        <f t="shared" si="56"/>
        <v>0.9</v>
      </c>
      <c r="AE173" s="136">
        <f t="shared" si="56"/>
        <v>0.9</v>
      </c>
      <c r="AF173" s="136">
        <f t="shared" si="56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54"/>
        <v>0.44</v>
      </c>
      <c r="C174" s="137">
        <v>0.44</v>
      </c>
      <c r="D174" s="136">
        <f t="shared" si="55"/>
        <v>0.44</v>
      </c>
      <c r="E174" s="136">
        <f t="shared" si="55"/>
        <v>0.44</v>
      </c>
      <c r="F174" s="136">
        <f t="shared" si="55"/>
        <v>0.44</v>
      </c>
      <c r="G174" s="136">
        <f t="shared" si="55"/>
        <v>0.44</v>
      </c>
      <c r="H174" s="136">
        <f t="shared" si="55"/>
        <v>0.44</v>
      </c>
      <c r="I174" s="136">
        <f t="shared" si="55"/>
        <v>0.44</v>
      </c>
      <c r="J174" s="136">
        <f t="shared" si="55"/>
        <v>0.44</v>
      </c>
      <c r="K174" s="136">
        <f t="shared" si="55"/>
        <v>0.44</v>
      </c>
      <c r="L174" s="136">
        <f t="shared" si="55"/>
        <v>0.44</v>
      </c>
      <c r="M174" s="136">
        <f t="shared" si="55"/>
        <v>0.44</v>
      </c>
      <c r="N174" s="136">
        <f t="shared" si="55"/>
        <v>0.44</v>
      </c>
      <c r="O174" s="136">
        <f t="shared" si="55"/>
        <v>0.44</v>
      </c>
      <c r="P174" s="136">
        <f t="shared" si="55"/>
        <v>0.44</v>
      </c>
      <c r="Q174" s="136">
        <f t="shared" si="55"/>
        <v>0.44</v>
      </c>
      <c r="R174" s="136">
        <f t="shared" si="55"/>
        <v>0.44</v>
      </c>
      <c r="S174" s="136">
        <f t="shared" si="56"/>
        <v>0.44</v>
      </c>
      <c r="T174" s="136">
        <f t="shared" si="56"/>
        <v>0.44</v>
      </c>
      <c r="U174" s="136">
        <f t="shared" si="56"/>
        <v>0.44</v>
      </c>
      <c r="V174" s="136">
        <f t="shared" si="56"/>
        <v>0.44</v>
      </c>
      <c r="W174" s="136">
        <f t="shared" si="56"/>
        <v>0.44</v>
      </c>
      <c r="X174" s="136">
        <f t="shared" si="56"/>
        <v>0.44</v>
      </c>
      <c r="Y174" s="136">
        <f t="shared" si="56"/>
        <v>0.44</v>
      </c>
      <c r="Z174" s="136">
        <f t="shared" si="56"/>
        <v>0.44</v>
      </c>
      <c r="AA174" s="136">
        <f t="shared" si="56"/>
        <v>0.44</v>
      </c>
      <c r="AB174" s="136">
        <f t="shared" si="56"/>
        <v>0.44</v>
      </c>
      <c r="AC174" s="136">
        <f t="shared" si="56"/>
        <v>0.44</v>
      </c>
      <c r="AD174" s="136">
        <f t="shared" si="56"/>
        <v>0.44</v>
      </c>
      <c r="AE174" s="136">
        <f t="shared" si="56"/>
        <v>0.44</v>
      </c>
      <c r="AF174" s="136">
        <f t="shared" si="56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54"/>
        <v>2.1</v>
      </c>
      <c r="C175" s="137">
        <v>2.1</v>
      </c>
      <c r="D175" s="136">
        <f t="shared" si="55"/>
        <v>2.1</v>
      </c>
      <c r="E175" s="136">
        <f t="shared" si="55"/>
        <v>2.1</v>
      </c>
      <c r="F175" s="136">
        <f t="shared" si="55"/>
        <v>2.1</v>
      </c>
      <c r="G175" s="136">
        <f t="shared" si="55"/>
        <v>2.1</v>
      </c>
      <c r="H175" s="136">
        <f t="shared" si="55"/>
        <v>2.1</v>
      </c>
      <c r="I175" s="136">
        <f t="shared" si="55"/>
        <v>2.1</v>
      </c>
      <c r="J175" s="136">
        <f t="shared" si="55"/>
        <v>2.1</v>
      </c>
      <c r="K175" s="136">
        <f t="shared" si="55"/>
        <v>2.1</v>
      </c>
      <c r="L175" s="136">
        <f t="shared" si="55"/>
        <v>2.1</v>
      </c>
      <c r="M175" s="136">
        <f t="shared" si="55"/>
        <v>2.1</v>
      </c>
      <c r="N175" s="136">
        <f t="shared" si="55"/>
        <v>2.1</v>
      </c>
      <c r="O175" s="136">
        <f t="shared" si="55"/>
        <v>2.1</v>
      </c>
      <c r="P175" s="136">
        <f t="shared" si="55"/>
        <v>2.1</v>
      </c>
      <c r="Q175" s="136">
        <f t="shared" si="55"/>
        <v>2.1</v>
      </c>
      <c r="R175" s="136">
        <f t="shared" si="55"/>
        <v>2.1</v>
      </c>
      <c r="S175" s="136">
        <f t="shared" si="56"/>
        <v>2.1</v>
      </c>
      <c r="T175" s="136">
        <f t="shared" si="56"/>
        <v>2.1</v>
      </c>
      <c r="U175" s="136">
        <f t="shared" si="56"/>
        <v>2.1</v>
      </c>
      <c r="V175" s="136">
        <f t="shared" si="56"/>
        <v>2.1</v>
      </c>
      <c r="W175" s="136">
        <f t="shared" si="56"/>
        <v>2.1</v>
      </c>
      <c r="X175" s="136">
        <f t="shared" si="56"/>
        <v>2.1</v>
      </c>
      <c r="Y175" s="136">
        <f t="shared" si="56"/>
        <v>2.1</v>
      </c>
      <c r="Z175" s="136">
        <f t="shared" si="56"/>
        <v>2.1</v>
      </c>
      <c r="AA175" s="136">
        <f t="shared" si="56"/>
        <v>2.1</v>
      </c>
      <c r="AB175" s="136">
        <f t="shared" si="56"/>
        <v>2.1</v>
      </c>
      <c r="AC175" s="136">
        <f t="shared" si="56"/>
        <v>2.1</v>
      </c>
      <c r="AD175" s="136">
        <f t="shared" si="56"/>
        <v>2.1</v>
      </c>
      <c r="AE175" s="136">
        <f t="shared" si="56"/>
        <v>2.1</v>
      </c>
      <c r="AF175" s="136">
        <f t="shared" si="56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54"/>
        <v>0.9</v>
      </c>
      <c r="C176" s="137">
        <v>0.9</v>
      </c>
      <c r="D176" s="136">
        <f t="shared" si="55"/>
        <v>0.9</v>
      </c>
      <c r="E176" s="136">
        <f t="shared" si="55"/>
        <v>0.9</v>
      </c>
      <c r="F176" s="136">
        <f t="shared" si="55"/>
        <v>0.9</v>
      </c>
      <c r="G176" s="136">
        <f t="shared" si="55"/>
        <v>0.9</v>
      </c>
      <c r="H176" s="136">
        <f t="shared" si="55"/>
        <v>0.9</v>
      </c>
      <c r="I176" s="136">
        <f t="shared" si="55"/>
        <v>0.9</v>
      </c>
      <c r="J176" s="136">
        <f t="shared" si="55"/>
        <v>0.9</v>
      </c>
      <c r="K176" s="136">
        <f t="shared" si="55"/>
        <v>0.9</v>
      </c>
      <c r="L176" s="136">
        <f t="shared" si="55"/>
        <v>0.9</v>
      </c>
      <c r="M176" s="136">
        <f t="shared" si="55"/>
        <v>0.9</v>
      </c>
      <c r="N176" s="136">
        <f t="shared" si="55"/>
        <v>0.9</v>
      </c>
      <c r="O176" s="136">
        <f t="shared" si="55"/>
        <v>0.9</v>
      </c>
      <c r="P176" s="136">
        <f t="shared" si="55"/>
        <v>0.9</v>
      </c>
      <c r="Q176" s="136">
        <f t="shared" si="55"/>
        <v>0.9</v>
      </c>
      <c r="R176" s="136">
        <f t="shared" si="55"/>
        <v>0.9</v>
      </c>
      <c r="S176" s="136">
        <f t="shared" si="56"/>
        <v>0.9</v>
      </c>
      <c r="T176" s="136">
        <f t="shared" si="56"/>
        <v>0.9</v>
      </c>
      <c r="U176" s="136">
        <f t="shared" si="56"/>
        <v>0.9</v>
      </c>
      <c r="V176" s="136">
        <f t="shared" si="56"/>
        <v>0.9</v>
      </c>
      <c r="W176" s="136">
        <f t="shared" si="56"/>
        <v>0.9</v>
      </c>
      <c r="X176" s="136">
        <f t="shared" si="56"/>
        <v>0.9</v>
      </c>
      <c r="Y176" s="136">
        <f t="shared" si="56"/>
        <v>0.9</v>
      </c>
      <c r="Z176" s="136">
        <f t="shared" si="56"/>
        <v>0.9</v>
      </c>
      <c r="AA176" s="136">
        <f t="shared" si="56"/>
        <v>0.9</v>
      </c>
      <c r="AB176" s="136">
        <f t="shared" si="56"/>
        <v>0.9</v>
      </c>
      <c r="AC176" s="136">
        <f t="shared" si="56"/>
        <v>0.9</v>
      </c>
      <c r="AD176" s="136">
        <f t="shared" si="56"/>
        <v>0.9</v>
      </c>
      <c r="AE176" s="136">
        <f t="shared" si="56"/>
        <v>0.9</v>
      </c>
      <c r="AF176" s="136">
        <f t="shared" si="56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7">AF178</f>
        <v>0.57999999999999996</v>
      </c>
      <c r="C178" s="137">
        <v>0.57999999999999996</v>
      </c>
      <c r="D178" s="136">
        <f t="shared" ref="D178:S190" si="58">C178</f>
        <v>0.57999999999999996</v>
      </c>
      <c r="E178" s="136">
        <f t="shared" si="58"/>
        <v>0.57999999999999996</v>
      </c>
      <c r="F178" s="136">
        <f t="shared" si="58"/>
        <v>0.57999999999999996</v>
      </c>
      <c r="G178" s="136">
        <f t="shared" si="58"/>
        <v>0.57999999999999996</v>
      </c>
      <c r="H178" s="136">
        <f t="shared" si="58"/>
        <v>0.57999999999999996</v>
      </c>
      <c r="I178" s="136">
        <f t="shared" si="58"/>
        <v>0.57999999999999996</v>
      </c>
      <c r="J178" s="136">
        <f t="shared" si="58"/>
        <v>0.57999999999999996</v>
      </c>
      <c r="K178" s="136">
        <f t="shared" si="58"/>
        <v>0.57999999999999996</v>
      </c>
      <c r="L178" s="136">
        <f t="shared" si="58"/>
        <v>0.57999999999999996</v>
      </c>
      <c r="M178" s="136">
        <f t="shared" si="58"/>
        <v>0.57999999999999996</v>
      </c>
      <c r="N178" s="136">
        <f t="shared" si="58"/>
        <v>0.57999999999999996</v>
      </c>
      <c r="O178" s="136">
        <f t="shared" si="58"/>
        <v>0.57999999999999996</v>
      </c>
      <c r="P178" s="136">
        <f t="shared" si="58"/>
        <v>0.57999999999999996</v>
      </c>
      <c r="Q178" s="136">
        <f t="shared" si="58"/>
        <v>0.57999999999999996</v>
      </c>
      <c r="R178" s="136">
        <f t="shared" si="58"/>
        <v>0.57999999999999996</v>
      </c>
      <c r="S178" s="136">
        <f t="shared" si="58"/>
        <v>0.57999999999999996</v>
      </c>
      <c r="T178" s="136">
        <f t="shared" ref="S178:AF190" si="59">S178</f>
        <v>0.57999999999999996</v>
      </c>
      <c r="U178" s="136">
        <f t="shared" si="59"/>
        <v>0.57999999999999996</v>
      </c>
      <c r="V178" s="136">
        <f t="shared" si="59"/>
        <v>0.57999999999999996</v>
      </c>
      <c r="W178" s="136">
        <f t="shared" si="59"/>
        <v>0.57999999999999996</v>
      </c>
      <c r="X178" s="136">
        <f t="shared" si="59"/>
        <v>0.57999999999999996</v>
      </c>
      <c r="Y178" s="136">
        <f t="shared" si="59"/>
        <v>0.57999999999999996</v>
      </c>
      <c r="Z178" s="136">
        <f t="shared" si="59"/>
        <v>0.57999999999999996</v>
      </c>
      <c r="AA178" s="136">
        <f t="shared" si="59"/>
        <v>0.57999999999999996</v>
      </c>
      <c r="AB178" s="136">
        <f t="shared" si="59"/>
        <v>0.57999999999999996</v>
      </c>
      <c r="AC178" s="136">
        <f t="shared" si="59"/>
        <v>0.57999999999999996</v>
      </c>
      <c r="AD178" s="136">
        <f t="shared" si="59"/>
        <v>0.57999999999999996</v>
      </c>
      <c r="AE178" s="136">
        <f t="shared" si="59"/>
        <v>0.57999999999999996</v>
      </c>
      <c r="AF178" s="136">
        <f t="shared" si="59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7"/>
        <v>0.8</v>
      </c>
      <c r="C179" s="137">
        <v>0.8</v>
      </c>
      <c r="D179" s="136">
        <f t="shared" si="58"/>
        <v>0.8</v>
      </c>
      <c r="E179" s="136">
        <f t="shared" si="58"/>
        <v>0.8</v>
      </c>
      <c r="F179" s="136">
        <f t="shared" si="58"/>
        <v>0.8</v>
      </c>
      <c r="G179" s="136">
        <f t="shared" si="58"/>
        <v>0.8</v>
      </c>
      <c r="H179" s="136">
        <f t="shared" si="58"/>
        <v>0.8</v>
      </c>
      <c r="I179" s="136">
        <f t="shared" si="58"/>
        <v>0.8</v>
      </c>
      <c r="J179" s="136">
        <f t="shared" si="58"/>
        <v>0.8</v>
      </c>
      <c r="K179" s="136">
        <f t="shared" si="58"/>
        <v>0.8</v>
      </c>
      <c r="L179" s="136">
        <f t="shared" si="58"/>
        <v>0.8</v>
      </c>
      <c r="M179" s="136">
        <f t="shared" si="58"/>
        <v>0.8</v>
      </c>
      <c r="N179" s="136">
        <f t="shared" si="58"/>
        <v>0.8</v>
      </c>
      <c r="O179" s="136">
        <f t="shared" si="58"/>
        <v>0.8</v>
      </c>
      <c r="P179" s="136">
        <f t="shared" si="58"/>
        <v>0.8</v>
      </c>
      <c r="Q179" s="136">
        <f t="shared" si="58"/>
        <v>0.8</v>
      </c>
      <c r="R179" s="136">
        <f t="shared" si="58"/>
        <v>0.8</v>
      </c>
      <c r="S179" s="136">
        <f t="shared" si="58"/>
        <v>0.8</v>
      </c>
      <c r="T179" s="136">
        <f t="shared" si="59"/>
        <v>0.8</v>
      </c>
      <c r="U179" s="136">
        <f t="shared" si="59"/>
        <v>0.8</v>
      </c>
      <c r="V179" s="136">
        <f t="shared" si="59"/>
        <v>0.8</v>
      </c>
      <c r="W179" s="136">
        <f t="shared" si="59"/>
        <v>0.8</v>
      </c>
      <c r="X179" s="136">
        <f t="shared" si="59"/>
        <v>0.8</v>
      </c>
      <c r="Y179" s="136">
        <f t="shared" si="59"/>
        <v>0.8</v>
      </c>
      <c r="Z179" s="136">
        <f t="shared" si="59"/>
        <v>0.8</v>
      </c>
      <c r="AA179" s="136">
        <f t="shared" si="59"/>
        <v>0.8</v>
      </c>
      <c r="AB179" s="136">
        <f t="shared" si="59"/>
        <v>0.8</v>
      </c>
      <c r="AC179" s="136">
        <f t="shared" si="59"/>
        <v>0.8</v>
      </c>
      <c r="AD179" s="136">
        <f t="shared" si="59"/>
        <v>0.8</v>
      </c>
      <c r="AE179" s="136">
        <f t="shared" si="59"/>
        <v>0.8</v>
      </c>
      <c r="AF179" s="136">
        <f t="shared" si="59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7"/>
        <v>0</v>
      </c>
      <c r="C180" s="137">
        <v>0</v>
      </c>
      <c r="D180" s="136">
        <f t="shared" si="58"/>
        <v>0</v>
      </c>
      <c r="E180" s="136">
        <f t="shared" si="58"/>
        <v>0</v>
      </c>
      <c r="F180" s="136">
        <f t="shared" si="58"/>
        <v>0</v>
      </c>
      <c r="G180" s="136">
        <f t="shared" si="58"/>
        <v>0</v>
      </c>
      <c r="H180" s="136">
        <f t="shared" si="58"/>
        <v>0</v>
      </c>
      <c r="I180" s="136">
        <f t="shared" si="58"/>
        <v>0</v>
      </c>
      <c r="J180" s="136">
        <f t="shared" si="58"/>
        <v>0</v>
      </c>
      <c r="K180" s="136">
        <f t="shared" si="58"/>
        <v>0</v>
      </c>
      <c r="L180" s="136">
        <f t="shared" si="58"/>
        <v>0</v>
      </c>
      <c r="M180" s="136">
        <f t="shared" si="58"/>
        <v>0</v>
      </c>
      <c r="N180" s="136">
        <f t="shared" si="58"/>
        <v>0</v>
      </c>
      <c r="O180" s="136">
        <f t="shared" si="58"/>
        <v>0</v>
      </c>
      <c r="P180" s="136">
        <f t="shared" si="58"/>
        <v>0</v>
      </c>
      <c r="Q180" s="136">
        <f t="shared" si="58"/>
        <v>0</v>
      </c>
      <c r="R180" s="136">
        <f t="shared" si="58"/>
        <v>0</v>
      </c>
      <c r="S180" s="136">
        <f t="shared" si="58"/>
        <v>0</v>
      </c>
      <c r="T180" s="136">
        <f t="shared" si="59"/>
        <v>0</v>
      </c>
      <c r="U180" s="136">
        <f t="shared" si="59"/>
        <v>0</v>
      </c>
      <c r="V180" s="136">
        <f t="shared" si="59"/>
        <v>0</v>
      </c>
      <c r="W180" s="136">
        <f t="shared" si="59"/>
        <v>0</v>
      </c>
      <c r="X180" s="136">
        <f t="shared" si="59"/>
        <v>0</v>
      </c>
      <c r="Y180" s="136">
        <f t="shared" si="59"/>
        <v>0</v>
      </c>
      <c r="Z180" s="136">
        <f t="shared" si="59"/>
        <v>0</v>
      </c>
      <c r="AA180" s="136">
        <f t="shared" si="59"/>
        <v>0</v>
      </c>
      <c r="AB180" s="136">
        <f t="shared" si="59"/>
        <v>0</v>
      </c>
      <c r="AC180" s="136">
        <f t="shared" si="59"/>
        <v>0</v>
      </c>
      <c r="AD180" s="136">
        <f t="shared" si="59"/>
        <v>0</v>
      </c>
      <c r="AE180" s="136">
        <f t="shared" si="59"/>
        <v>0</v>
      </c>
      <c r="AF180" s="136">
        <f t="shared" si="59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7"/>
        <v>0.6</v>
      </c>
      <c r="C181" s="137">
        <v>0.6</v>
      </c>
      <c r="D181" s="136">
        <f t="shared" si="58"/>
        <v>0.6</v>
      </c>
      <c r="E181" s="136">
        <f t="shared" si="58"/>
        <v>0.6</v>
      </c>
      <c r="F181" s="136">
        <f t="shared" si="58"/>
        <v>0.6</v>
      </c>
      <c r="G181" s="136">
        <f t="shared" si="58"/>
        <v>0.6</v>
      </c>
      <c r="H181" s="136">
        <f t="shared" si="58"/>
        <v>0.6</v>
      </c>
      <c r="I181" s="136">
        <f t="shared" si="58"/>
        <v>0.6</v>
      </c>
      <c r="J181" s="136">
        <f t="shared" si="58"/>
        <v>0.6</v>
      </c>
      <c r="K181" s="136">
        <f t="shared" si="58"/>
        <v>0.6</v>
      </c>
      <c r="L181" s="136">
        <f t="shared" si="58"/>
        <v>0.6</v>
      </c>
      <c r="M181" s="136">
        <f t="shared" si="58"/>
        <v>0.6</v>
      </c>
      <c r="N181" s="136">
        <f t="shared" si="58"/>
        <v>0.6</v>
      </c>
      <c r="O181" s="136">
        <f t="shared" si="58"/>
        <v>0.6</v>
      </c>
      <c r="P181" s="136">
        <f t="shared" si="58"/>
        <v>0.6</v>
      </c>
      <c r="Q181" s="136">
        <f t="shared" si="58"/>
        <v>0.6</v>
      </c>
      <c r="R181" s="136">
        <f t="shared" si="58"/>
        <v>0.6</v>
      </c>
      <c r="S181" s="136">
        <f t="shared" si="58"/>
        <v>0.6</v>
      </c>
      <c r="T181" s="136">
        <f t="shared" si="59"/>
        <v>0.6</v>
      </c>
      <c r="U181" s="136">
        <f t="shared" si="59"/>
        <v>0.6</v>
      </c>
      <c r="V181" s="136">
        <f t="shared" si="59"/>
        <v>0.6</v>
      </c>
      <c r="W181" s="136">
        <f t="shared" si="59"/>
        <v>0.6</v>
      </c>
      <c r="X181" s="136">
        <f t="shared" si="59"/>
        <v>0.6</v>
      </c>
      <c r="Y181" s="136">
        <f t="shared" si="59"/>
        <v>0.6</v>
      </c>
      <c r="Z181" s="136">
        <f t="shared" si="59"/>
        <v>0.6</v>
      </c>
      <c r="AA181" s="136">
        <f t="shared" si="59"/>
        <v>0.6</v>
      </c>
      <c r="AB181" s="136">
        <f t="shared" si="59"/>
        <v>0.6</v>
      </c>
      <c r="AC181" s="136">
        <f t="shared" si="59"/>
        <v>0.6</v>
      </c>
      <c r="AD181" s="136">
        <f t="shared" si="59"/>
        <v>0.6</v>
      </c>
      <c r="AE181" s="136">
        <f t="shared" si="59"/>
        <v>0.6</v>
      </c>
      <c r="AF181" s="136">
        <f t="shared" si="59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7"/>
        <v>0.6</v>
      </c>
      <c r="C182" s="137">
        <v>0.6</v>
      </c>
      <c r="D182" s="136">
        <f t="shared" si="58"/>
        <v>0.6</v>
      </c>
      <c r="E182" s="136">
        <f t="shared" si="58"/>
        <v>0.6</v>
      </c>
      <c r="F182" s="136">
        <f t="shared" si="58"/>
        <v>0.6</v>
      </c>
      <c r="G182" s="136">
        <f t="shared" si="58"/>
        <v>0.6</v>
      </c>
      <c r="H182" s="136">
        <f t="shared" si="58"/>
        <v>0.6</v>
      </c>
      <c r="I182" s="136">
        <f t="shared" si="58"/>
        <v>0.6</v>
      </c>
      <c r="J182" s="136">
        <f t="shared" si="58"/>
        <v>0.6</v>
      </c>
      <c r="K182" s="136">
        <f t="shared" si="58"/>
        <v>0.6</v>
      </c>
      <c r="L182" s="136">
        <f t="shared" si="58"/>
        <v>0.6</v>
      </c>
      <c r="M182" s="136">
        <f t="shared" si="58"/>
        <v>0.6</v>
      </c>
      <c r="N182" s="136">
        <f t="shared" si="58"/>
        <v>0.6</v>
      </c>
      <c r="O182" s="136">
        <f t="shared" si="58"/>
        <v>0.6</v>
      </c>
      <c r="P182" s="136">
        <f t="shared" si="58"/>
        <v>0.6</v>
      </c>
      <c r="Q182" s="136">
        <f t="shared" si="58"/>
        <v>0.6</v>
      </c>
      <c r="R182" s="136">
        <f t="shared" si="58"/>
        <v>0.6</v>
      </c>
      <c r="S182" s="136">
        <f t="shared" si="58"/>
        <v>0.6</v>
      </c>
      <c r="T182" s="136">
        <f t="shared" si="59"/>
        <v>0.6</v>
      </c>
      <c r="U182" s="136">
        <f t="shared" si="59"/>
        <v>0.6</v>
      </c>
      <c r="V182" s="136">
        <f t="shared" si="59"/>
        <v>0.6</v>
      </c>
      <c r="W182" s="136">
        <f t="shared" si="59"/>
        <v>0.6</v>
      </c>
      <c r="X182" s="136">
        <f t="shared" si="59"/>
        <v>0.6</v>
      </c>
      <c r="Y182" s="136">
        <f t="shared" si="59"/>
        <v>0.6</v>
      </c>
      <c r="Z182" s="136">
        <f t="shared" si="59"/>
        <v>0.6</v>
      </c>
      <c r="AA182" s="136">
        <f t="shared" si="59"/>
        <v>0.6</v>
      </c>
      <c r="AB182" s="136">
        <f t="shared" si="59"/>
        <v>0.6</v>
      </c>
      <c r="AC182" s="136">
        <f t="shared" si="59"/>
        <v>0.6</v>
      </c>
      <c r="AD182" s="136">
        <f t="shared" si="59"/>
        <v>0.6</v>
      </c>
      <c r="AE182" s="136">
        <f t="shared" si="59"/>
        <v>0.6</v>
      </c>
      <c r="AF182" s="136">
        <f t="shared" si="59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7"/>
        <v>0.35</v>
      </c>
      <c r="C183" s="137">
        <v>0.35</v>
      </c>
      <c r="D183" s="136">
        <f t="shared" si="58"/>
        <v>0.35</v>
      </c>
      <c r="E183" s="136">
        <f t="shared" si="58"/>
        <v>0.35</v>
      </c>
      <c r="F183" s="136">
        <f t="shared" si="58"/>
        <v>0.35</v>
      </c>
      <c r="G183" s="136">
        <f t="shared" si="58"/>
        <v>0.35</v>
      </c>
      <c r="H183" s="136">
        <f t="shared" si="58"/>
        <v>0.35</v>
      </c>
      <c r="I183" s="136">
        <f t="shared" si="58"/>
        <v>0.35</v>
      </c>
      <c r="J183" s="136">
        <f t="shared" si="58"/>
        <v>0.35</v>
      </c>
      <c r="K183" s="136">
        <f t="shared" si="58"/>
        <v>0.35</v>
      </c>
      <c r="L183" s="136">
        <f t="shared" si="58"/>
        <v>0.35</v>
      </c>
      <c r="M183" s="136">
        <f t="shared" si="58"/>
        <v>0.35</v>
      </c>
      <c r="N183" s="136">
        <f t="shared" si="58"/>
        <v>0.35</v>
      </c>
      <c r="O183" s="136">
        <f t="shared" si="58"/>
        <v>0.35</v>
      </c>
      <c r="P183" s="136">
        <f t="shared" si="58"/>
        <v>0.35</v>
      </c>
      <c r="Q183" s="136">
        <f t="shared" si="58"/>
        <v>0.35</v>
      </c>
      <c r="R183" s="136">
        <f t="shared" si="58"/>
        <v>0.35</v>
      </c>
      <c r="S183" s="136">
        <f t="shared" si="58"/>
        <v>0.35</v>
      </c>
      <c r="T183" s="136">
        <f t="shared" si="59"/>
        <v>0.35</v>
      </c>
      <c r="U183" s="136">
        <f t="shared" si="59"/>
        <v>0.35</v>
      </c>
      <c r="V183" s="136">
        <f t="shared" si="59"/>
        <v>0.35</v>
      </c>
      <c r="W183" s="136">
        <f t="shared" si="59"/>
        <v>0.35</v>
      </c>
      <c r="X183" s="136">
        <f t="shared" si="59"/>
        <v>0.35</v>
      </c>
      <c r="Y183" s="136">
        <f t="shared" si="59"/>
        <v>0.35</v>
      </c>
      <c r="Z183" s="136">
        <f t="shared" si="59"/>
        <v>0.35</v>
      </c>
      <c r="AA183" s="136">
        <f t="shared" si="59"/>
        <v>0.35</v>
      </c>
      <c r="AB183" s="136">
        <f t="shared" si="59"/>
        <v>0.35</v>
      </c>
      <c r="AC183" s="136">
        <f t="shared" si="59"/>
        <v>0.35</v>
      </c>
      <c r="AD183" s="136">
        <f t="shared" si="59"/>
        <v>0.35</v>
      </c>
      <c r="AE183" s="136">
        <f t="shared" si="59"/>
        <v>0.35</v>
      </c>
      <c r="AF183" s="136">
        <f t="shared" si="59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7"/>
        <v>0.28999999999999998</v>
      </c>
      <c r="C184" s="137">
        <v>0.28999999999999998</v>
      </c>
      <c r="D184" s="136">
        <f t="shared" si="58"/>
        <v>0.28999999999999998</v>
      </c>
      <c r="E184" s="136">
        <f t="shared" si="58"/>
        <v>0.28999999999999998</v>
      </c>
      <c r="F184" s="136">
        <f t="shared" si="58"/>
        <v>0.28999999999999998</v>
      </c>
      <c r="G184" s="136">
        <f t="shared" si="58"/>
        <v>0.28999999999999998</v>
      </c>
      <c r="H184" s="136">
        <f t="shared" si="58"/>
        <v>0.28999999999999998</v>
      </c>
      <c r="I184" s="136">
        <f t="shared" si="58"/>
        <v>0.28999999999999998</v>
      </c>
      <c r="J184" s="136">
        <f t="shared" si="58"/>
        <v>0.28999999999999998</v>
      </c>
      <c r="K184" s="136">
        <f t="shared" si="58"/>
        <v>0.28999999999999998</v>
      </c>
      <c r="L184" s="136">
        <f t="shared" si="58"/>
        <v>0.28999999999999998</v>
      </c>
      <c r="M184" s="136">
        <f t="shared" si="58"/>
        <v>0.28999999999999998</v>
      </c>
      <c r="N184" s="136">
        <f t="shared" si="58"/>
        <v>0.28999999999999998</v>
      </c>
      <c r="O184" s="136">
        <f t="shared" si="58"/>
        <v>0.28999999999999998</v>
      </c>
      <c r="P184" s="136">
        <f t="shared" si="58"/>
        <v>0.28999999999999998</v>
      </c>
      <c r="Q184" s="136">
        <f t="shared" si="58"/>
        <v>0.28999999999999998</v>
      </c>
      <c r="R184" s="136">
        <f t="shared" si="58"/>
        <v>0.28999999999999998</v>
      </c>
      <c r="S184" s="136">
        <f t="shared" si="58"/>
        <v>0.28999999999999998</v>
      </c>
      <c r="T184" s="136">
        <f t="shared" si="59"/>
        <v>0.28999999999999998</v>
      </c>
      <c r="U184" s="136">
        <f t="shared" si="59"/>
        <v>0.28999999999999998</v>
      </c>
      <c r="V184" s="136">
        <f t="shared" si="59"/>
        <v>0.28999999999999998</v>
      </c>
      <c r="W184" s="136">
        <f t="shared" si="59"/>
        <v>0.28999999999999998</v>
      </c>
      <c r="X184" s="136">
        <f t="shared" si="59"/>
        <v>0.28999999999999998</v>
      </c>
      <c r="Y184" s="136">
        <f t="shared" si="59"/>
        <v>0.28999999999999998</v>
      </c>
      <c r="Z184" s="136">
        <f t="shared" si="59"/>
        <v>0.28999999999999998</v>
      </c>
      <c r="AA184" s="136">
        <f t="shared" si="59"/>
        <v>0.28999999999999998</v>
      </c>
      <c r="AB184" s="136">
        <f t="shared" si="59"/>
        <v>0.28999999999999998</v>
      </c>
      <c r="AC184" s="136">
        <f t="shared" si="59"/>
        <v>0.28999999999999998</v>
      </c>
      <c r="AD184" s="136">
        <f t="shared" si="59"/>
        <v>0.28999999999999998</v>
      </c>
      <c r="AE184" s="136">
        <f t="shared" si="59"/>
        <v>0.28999999999999998</v>
      </c>
      <c r="AF184" s="136">
        <f t="shared" si="59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7"/>
        <v>0.06</v>
      </c>
      <c r="C185" s="137">
        <v>0.06</v>
      </c>
      <c r="D185" s="136">
        <f t="shared" si="58"/>
        <v>0.06</v>
      </c>
      <c r="E185" s="136">
        <f t="shared" si="58"/>
        <v>0.06</v>
      </c>
      <c r="F185" s="136">
        <f t="shared" si="58"/>
        <v>0.06</v>
      </c>
      <c r="G185" s="136">
        <f t="shared" si="58"/>
        <v>0.06</v>
      </c>
      <c r="H185" s="136">
        <f t="shared" si="58"/>
        <v>0.06</v>
      </c>
      <c r="I185" s="136">
        <f t="shared" si="58"/>
        <v>0.06</v>
      </c>
      <c r="J185" s="136">
        <f t="shared" si="58"/>
        <v>0.06</v>
      </c>
      <c r="K185" s="136">
        <f t="shared" si="58"/>
        <v>0.06</v>
      </c>
      <c r="L185" s="136">
        <f t="shared" si="58"/>
        <v>0.06</v>
      </c>
      <c r="M185" s="136">
        <f t="shared" si="58"/>
        <v>0.06</v>
      </c>
      <c r="N185" s="136">
        <f t="shared" si="58"/>
        <v>0.06</v>
      </c>
      <c r="O185" s="136">
        <f t="shared" si="58"/>
        <v>0.06</v>
      </c>
      <c r="P185" s="136">
        <f t="shared" si="58"/>
        <v>0.06</v>
      </c>
      <c r="Q185" s="136">
        <f t="shared" si="58"/>
        <v>0.06</v>
      </c>
      <c r="R185" s="136">
        <f t="shared" si="58"/>
        <v>0.06</v>
      </c>
      <c r="S185" s="136">
        <f t="shared" si="58"/>
        <v>0.06</v>
      </c>
      <c r="T185" s="136">
        <f t="shared" si="59"/>
        <v>0.06</v>
      </c>
      <c r="U185" s="136">
        <f t="shared" si="59"/>
        <v>0.06</v>
      </c>
      <c r="V185" s="136">
        <f t="shared" si="59"/>
        <v>0.06</v>
      </c>
      <c r="W185" s="136">
        <f t="shared" si="59"/>
        <v>0.06</v>
      </c>
      <c r="X185" s="136">
        <f t="shared" si="59"/>
        <v>0.06</v>
      </c>
      <c r="Y185" s="136">
        <f t="shared" si="59"/>
        <v>0.06</v>
      </c>
      <c r="Z185" s="136">
        <f t="shared" si="59"/>
        <v>0.06</v>
      </c>
      <c r="AA185" s="136">
        <f t="shared" si="59"/>
        <v>0.06</v>
      </c>
      <c r="AB185" s="136">
        <f t="shared" si="59"/>
        <v>0.06</v>
      </c>
      <c r="AC185" s="136">
        <f t="shared" si="59"/>
        <v>0.06</v>
      </c>
      <c r="AD185" s="136">
        <f t="shared" si="59"/>
        <v>0.06</v>
      </c>
      <c r="AE185" s="136">
        <f t="shared" si="59"/>
        <v>0.06</v>
      </c>
      <c r="AF185" s="136">
        <f t="shared" si="59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7"/>
        <v>0.11</v>
      </c>
      <c r="C186" s="137">
        <v>0.11</v>
      </c>
      <c r="D186" s="136">
        <f t="shared" si="58"/>
        <v>0.11</v>
      </c>
      <c r="E186" s="136">
        <f t="shared" si="58"/>
        <v>0.11</v>
      </c>
      <c r="F186" s="136">
        <f t="shared" si="58"/>
        <v>0.11</v>
      </c>
      <c r="G186" s="136">
        <f t="shared" si="58"/>
        <v>0.11</v>
      </c>
      <c r="H186" s="136">
        <f t="shared" si="58"/>
        <v>0.11</v>
      </c>
      <c r="I186" s="136">
        <f t="shared" si="58"/>
        <v>0.11</v>
      </c>
      <c r="J186" s="136">
        <f t="shared" si="58"/>
        <v>0.11</v>
      </c>
      <c r="K186" s="136">
        <f t="shared" si="58"/>
        <v>0.11</v>
      </c>
      <c r="L186" s="136">
        <f t="shared" si="58"/>
        <v>0.11</v>
      </c>
      <c r="M186" s="136">
        <f t="shared" si="58"/>
        <v>0.11</v>
      </c>
      <c r="N186" s="136">
        <f t="shared" si="58"/>
        <v>0.11</v>
      </c>
      <c r="O186" s="136">
        <f t="shared" si="58"/>
        <v>0.11</v>
      </c>
      <c r="P186" s="136">
        <f t="shared" si="58"/>
        <v>0.11</v>
      </c>
      <c r="Q186" s="136">
        <f t="shared" si="58"/>
        <v>0.11</v>
      </c>
      <c r="R186" s="136">
        <f t="shared" si="58"/>
        <v>0.11</v>
      </c>
      <c r="S186" s="136">
        <f t="shared" si="58"/>
        <v>0.11</v>
      </c>
      <c r="T186" s="136">
        <f t="shared" si="59"/>
        <v>0.11</v>
      </c>
      <c r="U186" s="136">
        <f t="shared" si="59"/>
        <v>0.11</v>
      </c>
      <c r="V186" s="136">
        <f t="shared" si="59"/>
        <v>0.11</v>
      </c>
      <c r="W186" s="136">
        <f t="shared" si="59"/>
        <v>0.11</v>
      </c>
      <c r="X186" s="136">
        <f t="shared" si="59"/>
        <v>0.11</v>
      </c>
      <c r="Y186" s="136">
        <f t="shared" si="59"/>
        <v>0.11</v>
      </c>
      <c r="Z186" s="136">
        <f t="shared" si="59"/>
        <v>0.11</v>
      </c>
      <c r="AA186" s="136">
        <f t="shared" si="59"/>
        <v>0.11</v>
      </c>
      <c r="AB186" s="136">
        <f t="shared" si="59"/>
        <v>0.11</v>
      </c>
      <c r="AC186" s="136">
        <f t="shared" si="59"/>
        <v>0.11</v>
      </c>
      <c r="AD186" s="136">
        <f t="shared" si="59"/>
        <v>0.11</v>
      </c>
      <c r="AE186" s="136">
        <f t="shared" si="59"/>
        <v>0.11</v>
      </c>
      <c r="AF186" s="136">
        <f t="shared" si="59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7"/>
        <v>0.1</v>
      </c>
      <c r="C187" s="137">
        <v>0.1</v>
      </c>
      <c r="D187" s="136">
        <f t="shared" si="58"/>
        <v>0.1</v>
      </c>
      <c r="E187" s="136">
        <f t="shared" si="58"/>
        <v>0.1</v>
      </c>
      <c r="F187" s="136">
        <f t="shared" si="58"/>
        <v>0.1</v>
      </c>
      <c r="G187" s="136">
        <f t="shared" si="58"/>
        <v>0.1</v>
      </c>
      <c r="H187" s="136">
        <f t="shared" si="58"/>
        <v>0.1</v>
      </c>
      <c r="I187" s="136">
        <f t="shared" si="58"/>
        <v>0.1</v>
      </c>
      <c r="J187" s="136">
        <f t="shared" si="58"/>
        <v>0.1</v>
      </c>
      <c r="K187" s="136">
        <f t="shared" si="58"/>
        <v>0.1</v>
      </c>
      <c r="L187" s="136">
        <f t="shared" si="58"/>
        <v>0.1</v>
      </c>
      <c r="M187" s="136">
        <f t="shared" si="58"/>
        <v>0.1</v>
      </c>
      <c r="N187" s="136">
        <f t="shared" si="58"/>
        <v>0.1</v>
      </c>
      <c r="O187" s="136">
        <f t="shared" si="58"/>
        <v>0.1</v>
      </c>
      <c r="P187" s="136">
        <f t="shared" si="58"/>
        <v>0.1</v>
      </c>
      <c r="Q187" s="136">
        <f t="shared" si="58"/>
        <v>0.1</v>
      </c>
      <c r="R187" s="136">
        <f t="shared" si="58"/>
        <v>0.1</v>
      </c>
      <c r="S187" s="136">
        <f t="shared" si="59"/>
        <v>0.1</v>
      </c>
      <c r="T187" s="136">
        <f t="shared" si="59"/>
        <v>0.1</v>
      </c>
      <c r="U187" s="136">
        <f t="shared" si="59"/>
        <v>0.1</v>
      </c>
      <c r="V187" s="136">
        <f t="shared" si="59"/>
        <v>0.1</v>
      </c>
      <c r="W187" s="136">
        <f t="shared" si="59"/>
        <v>0.1</v>
      </c>
      <c r="X187" s="136">
        <f t="shared" si="59"/>
        <v>0.1</v>
      </c>
      <c r="Y187" s="136">
        <f t="shared" si="59"/>
        <v>0.1</v>
      </c>
      <c r="Z187" s="136">
        <f t="shared" si="59"/>
        <v>0.1</v>
      </c>
      <c r="AA187" s="136">
        <f t="shared" si="59"/>
        <v>0.1</v>
      </c>
      <c r="AB187" s="136">
        <f t="shared" si="59"/>
        <v>0.1</v>
      </c>
      <c r="AC187" s="136">
        <f t="shared" si="59"/>
        <v>0.1</v>
      </c>
      <c r="AD187" s="136">
        <f t="shared" si="59"/>
        <v>0.1</v>
      </c>
      <c r="AE187" s="136">
        <f t="shared" si="59"/>
        <v>0.1</v>
      </c>
      <c r="AF187" s="136">
        <f t="shared" si="59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7"/>
        <v>0.09</v>
      </c>
      <c r="C188" s="137">
        <v>0.09</v>
      </c>
      <c r="D188" s="136">
        <f t="shared" si="58"/>
        <v>0.09</v>
      </c>
      <c r="E188" s="136">
        <f t="shared" si="58"/>
        <v>0.09</v>
      </c>
      <c r="F188" s="136">
        <f t="shared" si="58"/>
        <v>0.09</v>
      </c>
      <c r="G188" s="136">
        <f t="shared" si="58"/>
        <v>0.09</v>
      </c>
      <c r="H188" s="136">
        <f t="shared" si="58"/>
        <v>0.09</v>
      </c>
      <c r="I188" s="136">
        <f t="shared" si="58"/>
        <v>0.09</v>
      </c>
      <c r="J188" s="136">
        <f t="shared" si="58"/>
        <v>0.09</v>
      </c>
      <c r="K188" s="136">
        <f t="shared" si="58"/>
        <v>0.09</v>
      </c>
      <c r="L188" s="136">
        <f t="shared" si="58"/>
        <v>0.09</v>
      </c>
      <c r="M188" s="136">
        <f t="shared" si="58"/>
        <v>0.09</v>
      </c>
      <c r="N188" s="136">
        <f t="shared" si="58"/>
        <v>0.09</v>
      </c>
      <c r="O188" s="136">
        <f t="shared" si="58"/>
        <v>0.09</v>
      </c>
      <c r="P188" s="136">
        <f t="shared" si="58"/>
        <v>0.09</v>
      </c>
      <c r="Q188" s="136">
        <f t="shared" si="58"/>
        <v>0.09</v>
      </c>
      <c r="R188" s="136">
        <f t="shared" si="58"/>
        <v>0.09</v>
      </c>
      <c r="S188" s="136">
        <f t="shared" si="59"/>
        <v>0.09</v>
      </c>
      <c r="T188" s="136">
        <f t="shared" si="59"/>
        <v>0.09</v>
      </c>
      <c r="U188" s="136">
        <f t="shared" si="59"/>
        <v>0.09</v>
      </c>
      <c r="V188" s="136">
        <f t="shared" si="59"/>
        <v>0.09</v>
      </c>
      <c r="W188" s="136">
        <f t="shared" si="59"/>
        <v>0.09</v>
      </c>
      <c r="X188" s="136">
        <f t="shared" si="59"/>
        <v>0.09</v>
      </c>
      <c r="Y188" s="136">
        <f t="shared" si="59"/>
        <v>0.09</v>
      </c>
      <c r="Z188" s="136">
        <f t="shared" si="59"/>
        <v>0.09</v>
      </c>
      <c r="AA188" s="136">
        <f t="shared" si="59"/>
        <v>0.09</v>
      </c>
      <c r="AB188" s="136">
        <f t="shared" si="59"/>
        <v>0.09</v>
      </c>
      <c r="AC188" s="136">
        <f t="shared" si="59"/>
        <v>0.09</v>
      </c>
      <c r="AD188" s="136">
        <f t="shared" si="59"/>
        <v>0.09</v>
      </c>
      <c r="AE188" s="136">
        <f t="shared" si="59"/>
        <v>0.09</v>
      </c>
      <c r="AF188" s="136">
        <f t="shared" si="59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7"/>
        <v>0.04</v>
      </c>
      <c r="C189" s="53">
        <v>0.04</v>
      </c>
      <c r="D189" s="136">
        <f t="shared" si="58"/>
        <v>0.04</v>
      </c>
      <c r="E189" s="136">
        <f t="shared" si="58"/>
        <v>0.04</v>
      </c>
      <c r="F189" s="136">
        <f t="shared" si="58"/>
        <v>0.04</v>
      </c>
      <c r="G189" s="136">
        <f t="shared" si="58"/>
        <v>0.04</v>
      </c>
      <c r="H189" s="136">
        <f t="shared" si="58"/>
        <v>0.04</v>
      </c>
      <c r="I189" s="136">
        <f t="shared" si="58"/>
        <v>0.04</v>
      </c>
      <c r="J189" s="136">
        <f t="shared" si="58"/>
        <v>0.04</v>
      </c>
      <c r="K189" s="136">
        <f t="shared" si="58"/>
        <v>0.04</v>
      </c>
      <c r="L189" s="136">
        <f t="shared" si="58"/>
        <v>0.04</v>
      </c>
      <c r="M189" s="136">
        <f t="shared" si="58"/>
        <v>0.04</v>
      </c>
      <c r="N189" s="136">
        <f t="shared" si="58"/>
        <v>0.04</v>
      </c>
      <c r="O189" s="136">
        <f t="shared" si="58"/>
        <v>0.04</v>
      </c>
      <c r="P189" s="136">
        <f t="shared" si="58"/>
        <v>0.04</v>
      </c>
      <c r="Q189" s="136">
        <f t="shared" si="58"/>
        <v>0.04</v>
      </c>
      <c r="R189" s="136">
        <f t="shared" si="58"/>
        <v>0.04</v>
      </c>
      <c r="S189" s="136">
        <f t="shared" si="59"/>
        <v>0.04</v>
      </c>
      <c r="T189" s="136">
        <f t="shared" si="59"/>
        <v>0.04</v>
      </c>
      <c r="U189" s="136">
        <f t="shared" si="59"/>
        <v>0.04</v>
      </c>
      <c r="V189" s="136">
        <f t="shared" si="59"/>
        <v>0.04</v>
      </c>
      <c r="W189" s="136">
        <f t="shared" si="59"/>
        <v>0.04</v>
      </c>
      <c r="X189" s="136">
        <f t="shared" si="59"/>
        <v>0.04</v>
      </c>
      <c r="Y189" s="136">
        <f t="shared" si="59"/>
        <v>0.04</v>
      </c>
      <c r="Z189" s="136">
        <f t="shared" si="59"/>
        <v>0.04</v>
      </c>
      <c r="AA189" s="136">
        <f t="shared" si="59"/>
        <v>0.04</v>
      </c>
      <c r="AB189" s="136">
        <f t="shared" si="59"/>
        <v>0.04</v>
      </c>
      <c r="AC189" s="136">
        <f t="shared" si="59"/>
        <v>0.04</v>
      </c>
      <c r="AD189" s="136">
        <f t="shared" si="59"/>
        <v>0.04</v>
      </c>
      <c r="AE189" s="136">
        <f t="shared" si="59"/>
        <v>0.04</v>
      </c>
      <c r="AF189" s="136">
        <f t="shared" si="59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7"/>
        <v>2.3E-2</v>
      </c>
      <c r="C190" s="53">
        <v>2.3E-2</v>
      </c>
      <c r="D190" s="136">
        <f>C190</f>
        <v>2.3E-2</v>
      </c>
      <c r="E190" s="136">
        <f t="shared" si="58"/>
        <v>2.3E-2</v>
      </c>
      <c r="F190" s="136">
        <f t="shared" si="58"/>
        <v>2.3E-2</v>
      </c>
      <c r="G190" s="136">
        <f t="shared" si="58"/>
        <v>2.3E-2</v>
      </c>
      <c r="H190" s="136">
        <f t="shared" si="58"/>
        <v>2.3E-2</v>
      </c>
      <c r="I190" s="136">
        <f t="shared" si="58"/>
        <v>2.3E-2</v>
      </c>
      <c r="J190" s="136">
        <f t="shared" si="58"/>
        <v>2.3E-2</v>
      </c>
      <c r="K190" s="136">
        <f t="shared" si="58"/>
        <v>2.3E-2</v>
      </c>
      <c r="L190" s="136">
        <f t="shared" si="58"/>
        <v>2.3E-2</v>
      </c>
      <c r="M190" s="136">
        <f t="shared" si="58"/>
        <v>2.3E-2</v>
      </c>
      <c r="N190" s="136">
        <f t="shared" si="58"/>
        <v>2.3E-2</v>
      </c>
      <c r="O190" s="136">
        <f t="shared" si="58"/>
        <v>2.3E-2</v>
      </c>
      <c r="P190" s="136">
        <f t="shared" si="58"/>
        <v>2.3E-2</v>
      </c>
      <c r="Q190" s="136">
        <f t="shared" si="58"/>
        <v>2.3E-2</v>
      </c>
      <c r="R190" s="136">
        <f t="shared" si="58"/>
        <v>2.3E-2</v>
      </c>
      <c r="S190" s="136">
        <f t="shared" si="59"/>
        <v>2.3E-2</v>
      </c>
      <c r="T190" s="136">
        <f t="shared" si="59"/>
        <v>2.3E-2</v>
      </c>
      <c r="U190" s="136">
        <f t="shared" si="59"/>
        <v>2.3E-2</v>
      </c>
      <c r="V190" s="136">
        <f t="shared" si="59"/>
        <v>2.3E-2</v>
      </c>
      <c r="W190" s="136">
        <f t="shared" si="59"/>
        <v>2.3E-2</v>
      </c>
      <c r="X190" s="136">
        <f t="shared" si="59"/>
        <v>2.3E-2</v>
      </c>
      <c r="Y190" s="136">
        <f t="shared" si="59"/>
        <v>2.3E-2</v>
      </c>
      <c r="Z190" s="136">
        <f t="shared" si="59"/>
        <v>2.3E-2</v>
      </c>
      <c r="AA190" s="136">
        <f t="shared" si="59"/>
        <v>2.3E-2</v>
      </c>
      <c r="AB190" s="136">
        <f t="shared" si="59"/>
        <v>2.3E-2</v>
      </c>
      <c r="AC190" s="136">
        <f t="shared" si="59"/>
        <v>2.3E-2</v>
      </c>
      <c r="AD190" s="136">
        <f t="shared" si="59"/>
        <v>2.3E-2</v>
      </c>
      <c r="AE190" s="136">
        <f t="shared" si="59"/>
        <v>2.3E-2</v>
      </c>
      <c r="AF190" s="136">
        <f t="shared" si="59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0">SUM(C101:C190)</f>
        <v>194.70600000000002</v>
      </c>
      <c r="D191" s="141">
        <f t="shared" si="60"/>
        <v>194.70600000000002</v>
      </c>
      <c r="E191" s="141">
        <f t="shared" si="60"/>
        <v>194.70600000000002</v>
      </c>
      <c r="F191" s="141">
        <f t="shared" si="60"/>
        <v>194.70600000000002</v>
      </c>
      <c r="G191" s="141">
        <f t="shared" si="60"/>
        <v>194.70600000000002</v>
      </c>
      <c r="H191" s="141">
        <f t="shared" si="60"/>
        <v>194.70600000000002</v>
      </c>
      <c r="I191" s="141">
        <f t="shared" si="60"/>
        <v>194.70600000000002</v>
      </c>
      <c r="J191" s="141">
        <f t="shared" si="60"/>
        <v>192.10600000000005</v>
      </c>
      <c r="K191" s="141">
        <f t="shared" si="60"/>
        <v>192.10600000000005</v>
      </c>
      <c r="L191" s="141">
        <f t="shared" si="60"/>
        <v>192.10600000000005</v>
      </c>
      <c r="M191" s="141">
        <f t="shared" si="60"/>
        <v>192.10600000000005</v>
      </c>
      <c r="N191" s="141">
        <f t="shared" si="60"/>
        <v>192.10600000000005</v>
      </c>
      <c r="O191" s="141">
        <f t="shared" si="60"/>
        <v>192.10600000000005</v>
      </c>
      <c r="P191" s="141">
        <f t="shared" si="60"/>
        <v>192.10600000000005</v>
      </c>
      <c r="Q191" s="141">
        <f t="shared" si="60"/>
        <v>192.10600000000005</v>
      </c>
      <c r="R191" s="141">
        <f t="shared" si="60"/>
        <v>192.10600000000005</v>
      </c>
      <c r="S191" s="141">
        <f t="shared" si="60"/>
        <v>192.10600000000005</v>
      </c>
      <c r="T191" s="141">
        <f t="shared" si="60"/>
        <v>192.10600000000005</v>
      </c>
      <c r="U191" s="141">
        <f t="shared" si="60"/>
        <v>192.10600000000005</v>
      </c>
      <c r="V191" s="141">
        <f t="shared" si="60"/>
        <v>192.10600000000005</v>
      </c>
      <c r="W191" s="141">
        <f t="shared" si="60"/>
        <v>192.10600000000005</v>
      </c>
      <c r="X191" s="141">
        <f t="shared" si="60"/>
        <v>192.10600000000005</v>
      </c>
      <c r="Y191" s="141">
        <f t="shared" si="60"/>
        <v>192.10600000000005</v>
      </c>
      <c r="Z191" s="141">
        <f t="shared" si="60"/>
        <v>192.10600000000005</v>
      </c>
      <c r="AA191" s="141">
        <f t="shared" si="60"/>
        <v>192.10600000000005</v>
      </c>
      <c r="AB191" s="141">
        <f t="shared" si="60"/>
        <v>192.10600000000005</v>
      </c>
      <c r="AC191" s="141">
        <f t="shared" si="60"/>
        <v>192.10600000000005</v>
      </c>
      <c r="AD191" s="141">
        <f t="shared" si="60"/>
        <v>192.10600000000005</v>
      </c>
      <c r="AE191" s="141">
        <f t="shared" si="60"/>
        <v>192.10600000000005</v>
      </c>
      <c r="AF191" s="141">
        <f t="shared" si="60"/>
        <v>192.10600000000005</v>
      </c>
      <c r="AG191" s="142">
        <f t="shared" si="60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61">AF193</f>
        <v>0.3</v>
      </c>
      <c r="C193" s="143">
        <v>0.3</v>
      </c>
      <c r="D193" s="143">
        <f t="shared" ref="D193:S198" si="62">C193</f>
        <v>0.3</v>
      </c>
      <c r="E193" s="143">
        <f t="shared" si="62"/>
        <v>0.3</v>
      </c>
      <c r="F193" s="143">
        <f t="shared" si="62"/>
        <v>0.3</v>
      </c>
      <c r="G193" s="143">
        <f t="shared" si="62"/>
        <v>0.3</v>
      </c>
      <c r="H193" s="143">
        <f t="shared" si="62"/>
        <v>0.3</v>
      </c>
      <c r="I193" s="143">
        <f t="shared" si="62"/>
        <v>0.3</v>
      </c>
      <c r="J193" s="143">
        <f t="shared" si="62"/>
        <v>0.3</v>
      </c>
      <c r="K193" s="143">
        <f t="shared" si="62"/>
        <v>0.3</v>
      </c>
      <c r="L193" s="143">
        <f t="shared" si="62"/>
        <v>0.3</v>
      </c>
      <c r="M193" s="143">
        <f t="shared" si="62"/>
        <v>0.3</v>
      </c>
      <c r="N193" s="143">
        <f t="shared" si="62"/>
        <v>0.3</v>
      </c>
      <c r="O193" s="143">
        <f t="shared" si="62"/>
        <v>0.3</v>
      </c>
      <c r="P193" s="143">
        <f t="shared" si="62"/>
        <v>0.3</v>
      </c>
      <c r="Q193" s="143">
        <f t="shared" si="62"/>
        <v>0.3</v>
      </c>
      <c r="R193" s="143">
        <f t="shared" si="62"/>
        <v>0.3</v>
      </c>
      <c r="S193" s="143">
        <f t="shared" si="62"/>
        <v>0.3</v>
      </c>
      <c r="T193" s="143">
        <f t="shared" ref="T193:AF198" si="63">S193</f>
        <v>0.3</v>
      </c>
      <c r="U193" s="143">
        <f t="shared" si="63"/>
        <v>0.3</v>
      </c>
      <c r="V193" s="143">
        <f t="shared" si="63"/>
        <v>0.3</v>
      </c>
      <c r="W193" s="143">
        <f t="shared" si="63"/>
        <v>0.3</v>
      </c>
      <c r="X193" s="143">
        <f t="shared" si="63"/>
        <v>0.3</v>
      </c>
      <c r="Y193" s="143">
        <f t="shared" si="63"/>
        <v>0.3</v>
      </c>
      <c r="Z193" s="143">
        <f t="shared" si="63"/>
        <v>0.3</v>
      </c>
      <c r="AA193" s="143">
        <f t="shared" si="63"/>
        <v>0.3</v>
      </c>
      <c r="AB193" s="143">
        <f t="shared" si="63"/>
        <v>0.3</v>
      </c>
      <c r="AC193" s="143">
        <f t="shared" si="63"/>
        <v>0.3</v>
      </c>
      <c r="AD193" s="143">
        <f t="shared" si="63"/>
        <v>0.3</v>
      </c>
      <c r="AE193" s="143">
        <f t="shared" si="63"/>
        <v>0.3</v>
      </c>
      <c r="AF193" s="143">
        <f t="shared" si="63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61"/>
        <v>0.4</v>
      </c>
      <c r="C194" s="136">
        <v>0.4</v>
      </c>
      <c r="D194" s="136">
        <f t="shared" si="62"/>
        <v>0.4</v>
      </c>
      <c r="E194" s="136">
        <f t="shared" si="62"/>
        <v>0.4</v>
      </c>
      <c r="F194" s="136">
        <f t="shared" si="62"/>
        <v>0.4</v>
      </c>
      <c r="G194" s="136">
        <f t="shared" si="62"/>
        <v>0.4</v>
      </c>
      <c r="H194" s="136">
        <f t="shared" si="62"/>
        <v>0.4</v>
      </c>
      <c r="I194" s="136">
        <f t="shared" si="62"/>
        <v>0.4</v>
      </c>
      <c r="J194" s="136">
        <f t="shared" si="62"/>
        <v>0.4</v>
      </c>
      <c r="K194" s="136">
        <f t="shared" si="62"/>
        <v>0.4</v>
      </c>
      <c r="L194" s="136">
        <f t="shared" si="62"/>
        <v>0.4</v>
      </c>
      <c r="M194" s="136">
        <f t="shared" si="62"/>
        <v>0.4</v>
      </c>
      <c r="N194" s="136">
        <f t="shared" si="62"/>
        <v>0.4</v>
      </c>
      <c r="O194" s="136">
        <f t="shared" si="62"/>
        <v>0.4</v>
      </c>
      <c r="P194" s="136">
        <f t="shared" si="62"/>
        <v>0.4</v>
      </c>
      <c r="Q194" s="136">
        <f t="shared" si="62"/>
        <v>0.4</v>
      </c>
      <c r="R194" s="136">
        <f t="shared" si="62"/>
        <v>0.4</v>
      </c>
      <c r="S194" s="136">
        <f t="shared" si="62"/>
        <v>0.4</v>
      </c>
      <c r="T194" s="136">
        <f t="shared" si="63"/>
        <v>0.4</v>
      </c>
      <c r="U194" s="136">
        <f t="shared" si="63"/>
        <v>0.4</v>
      </c>
      <c r="V194" s="136">
        <f t="shared" si="63"/>
        <v>0.4</v>
      </c>
      <c r="W194" s="136">
        <f>V194</f>
        <v>0.4</v>
      </c>
      <c r="X194" s="136">
        <f>W194</f>
        <v>0.4</v>
      </c>
      <c r="Y194" s="136">
        <f t="shared" si="63"/>
        <v>0.4</v>
      </c>
      <c r="Z194" s="136">
        <f t="shared" si="63"/>
        <v>0.4</v>
      </c>
      <c r="AA194" s="136">
        <f t="shared" si="63"/>
        <v>0.4</v>
      </c>
      <c r="AB194" s="136">
        <f t="shared" si="63"/>
        <v>0.4</v>
      </c>
      <c r="AC194" s="136">
        <f t="shared" si="63"/>
        <v>0.4</v>
      </c>
      <c r="AD194" s="136">
        <f t="shared" si="63"/>
        <v>0.4</v>
      </c>
      <c r="AE194" s="136">
        <f t="shared" si="63"/>
        <v>0.4</v>
      </c>
      <c r="AF194" s="136">
        <f t="shared" si="63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61"/>
        <v>1.5</v>
      </c>
      <c r="C195" s="136">
        <v>1.5</v>
      </c>
      <c r="D195" s="136">
        <f t="shared" si="62"/>
        <v>1.5</v>
      </c>
      <c r="E195" s="136">
        <f t="shared" si="62"/>
        <v>1.5</v>
      </c>
      <c r="F195" s="136">
        <f t="shared" si="62"/>
        <v>1.5</v>
      </c>
      <c r="G195" s="136">
        <f t="shared" si="62"/>
        <v>1.5</v>
      </c>
      <c r="H195" s="136">
        <f t="shared" si="62"/>
        <v>1.5</v>
      </c>
      <c r="I195" s="136">
        <f t="shared" si="62"/>
        <v>1.5</v>
      </c>
      <c r="J195" s="136">
        <f t="shared" si="62"/>
        <v>1.5</v>
      </c>
      <c r="K195" s="136">
        <f t="shared" si="62"/>
        <v>1.5</v>
      </c>
      <c r="L195" s="136">
        <f t="shared" si="62"/>
        <v>1.5</v>
      </c>
      <c r="M195" s="136">
        <f t="shared" si="62"/>
        <v>1.5</v>
      </c>
      <c r="N195" s="136">
        <f t="shared" si="62"/>
        <v>1.5</v>
      </c>
      <c r="O195" s="136">
        <f t="shared" si="62"/>
        <v>1.5</v>
      </c>
      <c r="P195" s="136">
        <f t="shared" si="62"/>
        <v>1.5</v>
      </c>
      <c r="Q195" s="136">
        <f t="shared" si="62"/>
        <v>1.5</v>
      </c>
      <c r="R195" s="136">
        <f t="shared" si="62"/>
        <v>1.5</v>
      </c>
      <c r="S195" s="136">
        <f t="shared" si="62"/>
        <v>1.5</v>
      </c>
      <c r="T195" s="136">
        <f t="shared" si="63"/>
        <v>1.5</v>
      </c>
      <c r="U195" s="136">
        <f t="shared" si="63"/>
        <v>1.5</v>
      </c>
      <c r="V195" s="136">
        <f t="shared" si="63"/>
        <v>1.5</v>
      </c>
      <c r="W195" s="136">
        <f t="shared" si="63"/>
        <v>1.5</v>
      </c>
      <c r="X195" s="136">
        <f t="shared" si="63"/>
        <v>1.5</v>
      </c>
      <c r="Y195" s="136">
        <f t="shared" si="63"/>
        <v>1.5</v>
      </c>
      <c r="Z195" s="136">
        <f t="shared" si="63"/>
        <v>1.5</v>
      </c>
      <c r="AA195" s="136">
        <f t="shared" si="63"/>
        <v>1.5</v>
      </c>
      <c r="AB195" s="136">
        <f t="shared" si="63"/>
        <v>1.5</v>
      </c>
      <c r="AC195" s="136">
        <f t="shared" si="63"/>
        <v>1.5</v>
      </c>
      <c r="AD195" s="136">
        <f t="shared" si="63"/>
        <v>1.5</v>
      </c>
      <c r="AE195" s="136">
        <f t="shared" si="63"/>
        <v>1.5</v>
      </c>
      <c r="AF195" s="136">
        <f t="shared" si="63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61"/>
        <v>0.3</v>
      </c>
      <c r="C196" s="136">
        <v>0.3</v>
      </c>
      <c r="D196" s="136">
        <f t="shared" si="62"/>
        <v>0.3</v>
      </c>
      <c r="E196" s="136">
        <f t="shared" si="62"/>
        <v>0.3</v>
      </c>
      <c r="F196" s="136">
        <f t="shared" si="62"/>
        <v>0.3</v>
      </c>
      <c r="G196" s="136">
        <f t="shared" si="62"/>
        <v>0.3</v>
      </c>
      <c r="H196" s="136">
        <f t="shared" si="62"/>
        <v>0.3</v>
      </c>
      <c r="I196" s="136">
        <f t="shared" si="62"/>
        <v>0.3</v>
      </c>
      <c r="J196" s="136">
        <f t="shared" si="62"/>
        <v>0.3</v>
      </c>
      <c r="K196" s="136">
        <f t="shared" si="62"/>
        <v>0.3</v>
      </c>
      <c r="L196" s="136">
        <f t="shared" si="62"/>
        <v>0.3</v>
      </c>
      <c r="M196" s="136">
        <f t="shared" si="62"/>
        <v>0.3</v>
      </c>
      <c r="N196" s="136">
        <f t="shared" si="62"/>
        <v>0.3</v>
      </c>
      <c r="O196" s="136">
        <f t="shared" si="62"/>
        <v>0.3</v>
      </c>
      <c r="P196" s="136">
        <f t="shared" si="62"/>
        <v>0.3</v>
      </c>
      <c r="Q196" s="136">
        <f t="shared" si="62"/>
        <v>0.3</v>
      </c>
      <c r="R196" s="136">
        <f t="shared" si="62"/>
        <v>0.3</v>
      </c>
      <c r="S196" s="136">
        <f t="shared" si="62"/>
        <v>0.3</v>
      </c>
      <c r="T196" s="136">
        <f t="shared" si="63"/>
        <v>0.3</v>
      </c>
      <c r="U196" s="136">
        <f t="shared" si="63"/>
        <v>0.3</v>
      </c>
      <c r="V196" s="136">
        <f t="shared" si="63"/>
        <v>0.3</v>
      </c>
      <c r="W196" s="136">
        <f t="shared" si="63"/>
        <v>0.3</v>
      </c>
      <c r="X196" s="136">
        <f t="shared" si="63"/>
        <v>0.3</v>
      </c>
      <c r="Y196" s="136">
        <f t="shared" si="63"/>
        <v>0.3</v>
      </c>
      <c r="Z196" s="136">
        <f t="shared" si="63"/>
        <v>0.3</v>
      </c>
      <c r="AA196" s="136">
        <f t="shared" si="63"/>
        <v>0.3</v>
      </c>
      <c r="AB196" s="136">
        <f t="shared" si="63"/>
        <v>0.3</v>
      </c>
      <c r="AC196" s="136">
        <f t="shared" si="63"/>
        <v>0.3</v>
      </c>
      <c r="AD196" s="136">
        <f t="shared" si="63"/>
        <v>0.3</v>
      </c>
      <c r="AE196" s="136">
        <f t="shared" si="63"/>
        <v>0.3</v>
      </c>
      <c r="AF196" s="136">
        <f t="shared" si="63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61"/>
        <v>0.4</v>
      </c>
      <c r="C197" s="136">
        <v>0.4</v>
      </c>
      <c r="D197" s="136">
        <f t="shared" si="62"/>
        <v>0.4</v>
      </c>
      <c r="E197" s="136">
        <f t="shared" si="62"/>
        <v>0.4</v>
      </c>
      <c r="F197" s="136">
        <f t="shared" si="62"/>
        <v>0.4</v>
      </c>
      <c r="G197" s="136">
        <f t="shared" si="62"/>
        <v>0.4</v>
      </c>
      <c r="H197" s="136">
        <f t="shared" si="62"/>
        <v>0.4</v>
      </c>
      <c r="I197" s="136">
        <f t="shared" si="62"/>
        <v>0.4</v>
      </c>
      <c r="J197" s="136">
        <f t="shared" si="62"/>
        <v>0.4</v>
      </c>
      <c r="K197" s="136">
        <f t="shared" si="62"/>
        <v>0.4</v>
      </c>
      <c r="L197" s="136">
        <f t="shared" si="62"/>
        <v>0.4</v>
      </c>
      <c r="M197" s="136">
        <f t="shared" si="62"/>
        <v>0.4</v>
      </c>
      <c r="N197" s="136">
        <f t="shared" si="62"/>
        <v>0.4</v>
      </c>
      <c r="O197" s="136">
        <f t="shared" si="62"/>
        <v>0.4</v>
      </c>
      <c r="P197" s="136">
        <f t="shared" si="62"/>
        <v>0.4</v>
      </c>
      <c r="Q197" s="136">
        <f t="shared" si="62"/>
        <v>0.4</v>
      </c>
      <c r="R197" s="136">
        <f t="shared" si="62"/>
        <v>0.4</v>
      </c>
      <c r="S197" s="136">
        <f t="shared" si="62"/>
        <v>0.4</v>
      </c>
      <c r="T197" s="136">
        <f t="shared" si="63"/>
        <v>0.4</v>
      </c>
      <c r="U197" s="136">
        <f t="shared" si="63"/>
        <v>0.4</v>
      </c>
      <c r="V197" s="136">
        <f t="shared" si="63"/>
        <v>0.4</v>
      </c>
      <c r="W197" s="136">
        <f t="shared" si="63"/>
        <v>0.4</v>
      </c>
      <c r="X197" s="136">
        <f t="shared" si="63"/>
        <v>0.4</v>
      </c>
      <c r="Y197" s="136">
        <f t="shared" si="63"/>
        <v>0.4</v>
      </c>
      <c r="Z197" s="136">
        <f t="shared" si="63"/>
        <v>0.4</v>
      </c>
      <c r="AA197" s="136">
        <f t="shared" si="63"/>
        <v>0.4</v>
      </c>
      <c r="AB197" s="136">
        <f t="shared" si="63"/>
        <v>0.4</v>
      </c>
      <c r="AC197" s="136">
        <f t="shared" si="63"/>
        <v>0.4</v>
      </c>
      <c r="AD197" s="136">
        <f t="shared" si="63"/>
        <v>0.4</v>
      </c>
      <c r="AE197" s="136">
        <f t="shared" si="63"/>
        <v>0.4</v>
      </c>
      <c r="AF197" s="136">
        <f t="shared" si="63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61"/>
        <v>0.64</v>
      </c>
      <c r="C198" s="146">
        <v>0.64</v>
      </c>
      <c r="D198" s="146">
        <f t="shared" si="62"/>
        <v>0.64</v>
      </c>
      <c r="E198" s="146">
        <f t="shared" si="62"/>
        <v>0.64</v>
      </c>
      <c r="F198" s="146">
        <f t="shared" si="62"/>
        <v>0.64</v>
      </c>
      <c r="G198" s="146">
        <f t="shared" si="62"/>
        <v>0.64</v>
      </c>
      <c r="H198" s="146">
        <f t="shared" si="62"/>
        <v>0.64</v>
      </c>
      <c r="I198" s="146">
        <f t="shared" si="62"/>
        <v>0.64</v>
      </c>
      <c r="J198" s="146">
        <f t="shared" si="62"/>
        <v>0.64</v>
      </c>
      <c r="K198" s="146">
        <f t="shared" si="62"/>
        <v>0.64</v>
      </c>
      <c r="L198" s="146">
        <f t="shared" si="62"/>
        <v>0.64</v>
      </c>
      <c r="M198" s="146">
        <f t="shared" si="62"/>
        <v>0.64</v>
      </c>
      <c r="N198" s="146">
        <f t="shared" si="62"/>
        <v>0.64</v>
      </c>
      <c r="O198" s="146">
        <f t="shared" si="62"/>
        <v>0.64</v>
      </c>
      <c r="P198" s="146">
        <f t="shared" si="62"/>
        <v>0.64</v>
      </c>
      <c r="Q198" s="146">
        <f t="shared" si="62"/>
        <v>0.64</v>
      </c>
      <c r="R198" s="146">
        <f t="shared" si="62"/>
        <v>0.64</v>
      </c>
      <c r="S198" s="146">
        <f t="shared" si="62"/>
        <v>0.64</v>
      </c>
      <c r="T198" s="146">
        <f t="shared" si="63"/>
        <v>0.64</v>
      </c>
      <c r="U198" s="146">
        <f t="shared" si="63"/>
        <v>0.64</v>
      </c>
      <c r="V198" s="146">
        <f t="shared" si="63"/>
        <v>0.64</v>
      </c>
      <c r="W198" s="146">
        <f t="shared" si="63"/>
        <v>0.64</v>
      </c>
      <c r="X198" s="146">
        <f t="shared" si="63"/>
        <v>0.64</v>
      </c>
      <c r="Y198" s="146">
        <f t="shared" si="63"/>
        <v>0.64</v>
      </c>
      <c r="Z198" s="146">
        <f t="shared" si="63"/>
        <v>0.64</v>
      </c>
      <c r="AA198" s="146">
        <f t="shared" si="63"/>
        <v>0.64</v>
      </c>
      <c r="AB198" s="146">
        <f t="shared" si="63"/>
        <v>0.64</v>
      </c>
      <c r="AC198" s="146">
        <f t="shared" si="63"/>
        <v>0.64</v>
      </c>
      <c r="AD198" s="146">
        <f t="shared" si="63"/>
        <v>0.64</v>
      </c>
      <c r="AE198" s="146">
        <f t="shared" si="63"/>
        <v>0.64</v>
      </c>
      <c r="AF198" s="146">
        <f t="shared" si="63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64">SUM(D193:D198)</f>
        <v>3.54</v>
      </c>
      <c r="E199" s="149">
        <f t="shared" si="64"/>
        <v>3.54</v>
      </c>
      <c r="F199" s="149">
        <f t="shared" si="64"/>
        <v>3.54</v>
      </c>
      <c r="G199" s="149">
        <f t="shared" si="64"/>
        <v>3.54</v>
      </c>
      <c r="H199" s="149">
        <f t="shared" si="64"/>
        <v>3.54</v>
      </c>
      <c r="I199" s="149">
        <f t="shared" si="64"/>
        <v>3.54</v>
      </c>
      <c r="J199" s="149">
        <f t="shared" si="64"/>
        <v>3.54</v>
      </c>
      <c r="K199" s="149">
        <f t="shared" si="64"/>
        <v>3.54</v>
      </c>
      <c r="L199" s="149">
        <f t="shared" si="64"/>
        <v>3.54</v>
      </c>
      <c r="M199" s="149">
        <f>SUM(M193:M198)</f>
        <v>3.54</v>
      </c>
      <c r="N199" s="149">
        <f t="shared" ref="N199:S199" si="65">SUM(N193:N198)</f>
        <v>3.54</v>
      </c>
      <c r="O199" s="149">
        <f t="shared" si="65"/>
        <v>3.54</v>
      </c>
      <c r="P199" s="149">
        <f t="shared" si="65"/>
        <v>3.54</v>
      </c>
      <c r="Q199" s="149">
        <f t="shared" si="65"/>
        <v>3.54</v>
      </c>
      <c r="R199" s="149">
        <f t="shared" si="65"/>
        <v>3.54</v>
      </c>
      <c r="S199" s="149">
        <f t="shared" si="65"/>
        <v>3.54</v>
      </c>
      <c r="T199" s="149">
        <f>SUM(T193:T198)</f>
        <v>3.54</v>
      </c>
      <c r="U199" s="149">
        <f t="shared" ref="U199:AG199" si="66">SUM(U193:U198)</f>
        <v>3.54</v>
      </c>
      <c r="V199" s="149">
        <f t="shared" si="66"/>
        <v>3.54</v>
      </c>
      <c r="W199" s="149">
        <f t="shared" si="66"/>
        <v>3.54</v>
      </c>
      <c r="X199" s="149">
        <f t="shared" si="66"/>
        <v>3.54</v>
      </c>
      <c r="Y199" s="149">
        <f t="shared" si="66"/>
        <v>3.54</v>
      </c>
      <c r="Z199" s="149">
        <f t="shared" si="66"/>
        <v>3.54</v>
      </c>
      <c r="AA199" s="149">
        <f t="shared" si="66"/>
        <v>3.54</v>
      </c>
      <c r="AB199" s="149">
        <f t="shared" si="66"/>
        <v>3.54</v>
      </c>
      <c r="AC199" s="149">
        <f t="shared" si="66"/>
        <v>3.54</v>
      </c>
      <c r="AD199" s="149">
        <f t="shared" si="66"/>
        <v>3.54</v>
      </c>
      <c r="AE199" s="149">
        <f t="shared" si="66"/>
        <v>3.54</v>
      </c>
      <c r="AF199" s="149">
        <f t="shared" si="66"/>
        <v>3.54</v>
      </c>
      <c r="AG199" s="150">
        <f t="shared" si="66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1508.8400000000001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2078/11/4)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7">B75</f>
        <v>950.83999999999992</v>
      </c>
      <c r="U213" s="174">
        <f t="shared" si="67"/>
        <v>938.29999999999984</v>
      </c>
      <c r="V213" s="174">
        <f t="shared" si="67"/>
        <v>915.43999999999994</v>
      </c>
      <c r="W213" s="174">
        <f t="shared" si="67"/>
        <v>932.34</v>
      </c>
      <c r="X213" s="174">
        <f t="shared" si="67"/>
        <v>927.54</v>
      </c>
      <c r="Y213" s="174">
        <f t="shared" si="67"/>
        <v>1008.53</v>
      </c>
      <c r="Z213" s="174">
        <f t="shared" si="67"/>
        <v>1046.46</v>
      </c>
      <c r="AA213" s="174">
        <f t="shared" si="67"/>
        <v>1129.54</v>
      </c>
      <c r="AB213" s="174">
        <f t="shared" si="67"/>
        <v>1263.74</v>
      </c>
      <c r="AC213" s="174">
        <f t="shared" si="67"/>
        <v>1404.94</v>
      </c>
      <c r="AD213" s="174">
        <f t="shared" si="67"/>
        <v>1508.8400000000001</v>
      </c>
      <c r="AE213" s="174">
        <f t="shared" si="67"/>
        <v>1501.2400000000002</v>
      </c>
      <c r="AF213" s="174">
        <f t="shared" si="67"/>
        <v>1459.6399999999999</v>
      </c>
      <c r="AG213" s="174">
        <f t="shared" si="67"/>
        <v>1372.79</v>
      </c>
      <c r="AH213" s="174">
        <f t="shared" si="67"/>
        <v>1301.94</v>
      </c>
      <c r="AI213" s="174">
        <f t="shared" si="67"/>
        <v>1283.1400000000001</v>
      </c>
      <c r="AJ213" s="174">
        <f t="shared" si="67"/>
        <v>1235.18</v>
      </c>
      <c r="AK213" s="174">
        <f t="shared" si="67"/>
        <v>1208.0300000000002</v>
      </c>
      <c r="AL213" s="174">
        <f t="shared" si="67"/>
        <v>1222.33</v>
      </c>
      <c r="AM213" s="174">
        <f t="shared" si="67"/>
        <v>1190.94</v>
      </c>
      <c r="AN213" s="174">
        <f t="shared" si="67"/>
        <v>1269.6399999999999</v>
      </c>
      <c r="AO213" s="174">
        <f t="shared" si="67"/>
        <v>1281.6399999999999</v>
      </c>
      <c r="AP213" s="174">
        <f t="shared" si="67"/>
        <v>1292.1399999999999</v>
      </c>
      <c r="AQ213" s="174">
        <f t="shared" si="67"/>
        <v>1553.4399999999998</v>
      </c>
      <c r="AR213" s="174">
        <f t="shared" si="67"/>
        <v>1549.1399999999999</v>
      </c>
      <c r="AS213" s="174">
        <f t="shared" si="67"/>
        <v>1502.94</v>
      </c>
      <c r="AT213" s="174">
        <f t="shared" si="67"/>
        <v>1399.3400000000001</v>
      </c>
      <c r="AU213" s="174">
        <f t="shared" si="67"/>
        <v>1343.8400000000001</v>
      </c>
      <c r="AV213" s="174">
        <f t="shared" si="67"/>
        <v>1300.6399999999999</v>
      </c>
      <c r="AW213" s="174">
        <f t="shared" si="67"/>
        <v>1089.1399999999999</v>
      </c>
      <c r="AX213" s="174">
        <f t="shared" si="67"/>
        <v>972.54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8">C198</f>
        <v>0.64</v>
      </c>
      <c r="C234" s="177">
        <f t="shared" si="68"/>
        <v>0.64</v>
      </c>
      <c r="D234" s="177">
        <f t="shared" si="68"/>
        <v>0.64</v>
      </c>
      <c r="E234" s="177">
        <f t="shared" si="68"/>
        <v>0.64</v>
      </c>
      <c r="F234" s="177">
        <f t="shared" si="68"/>
        <v>0.64</v>
      </c>
      <c r="G234" s="177">
        <f t="shared" si="68"/>
        <v>0.64</v>
      </c>
      <c r="H234" s="177">
        <f t="shared" si="68"/>
        <v>0.64</v>
      </c>
      <c r="I234" s="177">
        <f t="shared" si="68"/>
        <v>0.64</v>
      </c>
      <c r="J234" s="177">
        <f t="shared" si="68"/>
        <v>0.64</v>
      </c>
      <c r="K234" s="177">
        <f t="shared" si="68"/>
        <v>0.64</v>
      </c>
      <c r="L234" s="177">
        <f t="shared" si="68"/>
        <v>0.64</v>
      </c>
      <c r="M234" s="177">
        <f t="shared" si="68"/>
        <v>0.64</v>
      </c>
      <c r="N234" s="177">
        <f t="shared" si="68"/>
        <v>0.64</v>
      </c>
      <c r="O234" s="177">
        <f t="shared" si="68"/>
        <v>0.64</v>
      </c>
      <c r="P234" s="177">
        <f t="shared" si="68"/>
        <v>0.64</v>
      </c>
      <c r="Q234" s="177">
        <f t="shared" si="68"/>
        <v>0.64</v>
      </c>
      <c r="R234" s="177">
        <f t="shared" si="68"/>
        <v>0.64</v>
      </c>
      <c r="S234" s="177">
        <f t="shared" si="68"/>
        <v>0.64</v>
      </c>
      <c r="T234" s="177">
        <f t="shared" si="68"/>
        <v>0.64</v>
      </c>
      <c r="U234" s="177">
        <f t="shared" si="68"/>
        <v>0.64</v>
      </c>
      <c r="V234" s="177">
        <f t="shared" si="68"/>
        <v>0.64</v>
      </c>
      <c r="W234" s="177">
        <f t="shared" si="68"/>
        <v>0.64</v>
      </c>
      <c r="X234" s="177">
        <f t="shared" si="68"/>
        <v>0.64</v>
      </c>
      <c r="Y234" s="177">
        <f t="shared" si="68"/>
        <v>0.64</v>
      </c>
      <c r="Z234" s="177">
        <f t="shared" si="68"/>
        <v>0.64</v>
      </c>
      <c r="AA234" s="177">
        <f t="shared" si="68"/>
        <v>0.64</v>
      </c>
      <c r="AB234" s="177">
        <f t="shared" si="68"/>
        <v>0.64</v>
      </c>
      <c r="AC234" s="177">
        <f t="shared" si="68"/>
        <v>0.64</v>
      </c>
      <c r="AD234" s="177">
        <f t="shared" si="68"/>
        <v>0.64</v>
      </c>
      <c r="AE234" s="177">
        <f t="shared" si="68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9">IF(C202&lt;100,"",C202-520)</f>
        <v/>
      </c>
      <c r="D235" s="120" t="str">
        <f t="shared" si="69"/>
        <v/>
      </c>
      <c r="E235" s="120" t="str">
        <f t="shared" si="69"/>
        <v/>
      </c>
      <c r="F235" s="120" t="str">
        <f t="shared" si="69"/>
        <v/>
      </c>
      <c r="G235" s="120" t="str">
        <f t="shared" si="69"/>
        <v/>
      </c>
      <c r="H235" s="120" t="str">
        <f t="shared" si="69"/>
        <v/>
      </c>
      <c r="I235" s="120" t="str">
        <f t="shared" si="69"/>
        <v/>
      </c>
      <c r="J235" s="120" t="str">
        <f t="shared" si="69"/>
        <v/>
      </c>
      <c r="K235" s="120" t="str">
        <f t="shared" si="69"/>
        <v/>
      </c>
      <c r="L235" s="120" t="str">
        <f t="shared" si="69"/>
        <v/>
      </c>
      <c r="M235" s="120" t="str">
        <f t="shared" si="69"/>
        <v/>
      </c>
      <c r="N235" s="120" t="str">
        <f t="shared" si="69"/>
        <v/>
      </c>
      <c r="O235" s="120" t="str">
        <f t="shared" si="69"/>
        <v/>
      </c>
      <c r="P235" s="120" t="str">
        <f t="shared" si="69"/>
        <v/>
      </c>
      <c r="Q235" s="120" t="str">
        <f t="shared" si="69"/>
        <v/>
      </c>
      <c r="R235" s="120" t="str">
        <f t="shared" si="69"/>
        <v/>
      </c>
      <c r="S235" s="120" t="str">
        <f t="shared" si="69"/>
        <v/>
      </c>
      <c r="T235" s="120" t="str">
        <f t="shared" si="69"/>
        <v/>
      </c>
      <c r="U235" s="120" t="str">
        <f t="shared" si="69"/>
        <v/>
      </c>
      <c r="V235" s="120" t="str">
        <f t="shared" si="69"/>
        <v/>
      </c>
      <c r="W235" s="120" t="str">
        <f t="shared" si="69"/>
        <v/>
      </c>
      <c r="X235" s="120" t="str">
        <f t="shared" si="69"/>
        <v/>
      </c>
      <c r="Y235" s="120" t="str">
        <f t="shared" si="69"/>
        <v/>
      </c>
      <c r="Z235" s="120" t="str">
        <f t="shared" si="69"/>
        <v/>
      </c>
      <c r="AA235" s="120" t="str">
        <f t="shared" si="69"/>
        <v/>
      </c>
      <c r="AB235" s="120" t="str">
        <f t="shared" si="69"/>
        <v/>
      </c>
      <c r="AC235" s="120" t="str">
        <f t="shared" si="69"/>
        <v/>
      </c>
      <c r="AD235" s="120" t="str">
        <f t="shared" si="69"/>
        <v/>
      </c>
      <c r="AE235" s="120" t="str">
        <f t="shared" si="69"/>
        <v/>
      </c>
      <c r="AF235" s="120" t="str">
        <f t="shared" si="69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0">IF(B203&lt;100,"",B203-620)</f>
        <v/>
      </c>
      <c r="C236" s="120" t="str">
        <f t="shared" si="70"/>
        <v/>
      </c>
      <c r="D236" s="120" t="str">
        <f t="shared" si="70"/>
        <v/>
      </c>
      <c r="E236" s="120" t="str">
        <f t="shared" si="70"/>
        <v/>
      </c>
      <c r="F236" s="120" t="str">
        <f t="shared" si="70"/>
        <v/>
      </c>
      <c r="G236" s="120" t="str">
        <f t="shared" si="70"/>
        <v/>
      </c>
      <c r="H236" s="120" t="str">
        <f t="shared" si="70"/>
        <v/>
      </c>
      <c r="I236" s="120" t="str">
        <f t="shared" si="70"/>
        <v/>
      </c>
      <c r="J236" s="120" t="str">
        <f t="shared" si="70"/>
        <v/>
      </c>
      <c r="K236" s="120" t="str">
        <f t="shared" si="70"/>
        <v/>
      </c>
      <c r="L236" s="120" t="str">
        <f t="shared" si="70"/>
        <v/>
      </c>
      <c r="M236" s="120" t="str">
        <f t="shared" si="70"/>
        <v/>
      </c>
      <c r="N236" s="120" t="str">
        <f t="shared" si="70"/>
        <v/>
      </c>
      <c r="O236" s="120" t="str">
        <f t="shared" si="70"/>
        <v/>
      </c>
      <c r="P236" s="120" t="str">
        <f t="shared" si="70"/>
        <v/>
      </c>
      <c r="Q236" s="120" t="str">
        <f t="shared" si="70"/>
        <v/>
      </c>
      <c r="R236" s="120" t="str">
        <f t="shared" si="70"/>
        <v/>
      </c>
      <c r="S236" s="120" t="str">
        <f t="shared" si="70"/>
        <v/>
      </c>
      <c r="T236" s="120" t="str">
        <f t="shared" si="70"/>
        <v/>
      </c>
      <c r="U236" s="120" t="str">
        <f t="shared" si="70"/>
        <v/>
      </c>
      <c r="V236" s="120" t="str">
        <f t="shared" si="70"/>
        <v/>
      </c>
      <c r="W236" s="120" t="str">
        <f t="shared" si="70"/>
        <v/>
      </c>
      <c r="X236" s="120" t="str">
        <f t="shared" si="70"/>
        <v/>
      </c>
      <c r="Y236" s="120" t="str">
        <f t="shared" si="70"/>
        <v/>
      </c>
      <c r="Z236" s="120" t="str">
        <f t="shared" si="70"/>
        <v/>
      </c>
      <c r="AA236" s="120" t="str">
        <f t="shared" si="70"/>
        <v/>
      </c>
      <c r="AB236" s="120" t="str">
        <f t="shared" si="70"/>
        <v/>
      </c>
      <c r="AC236" s="120" t="str">
        <f t="shared" si="70"/>
        <v/>
      </c>
      <c r="AD236" s="120" t="str">
        <f t="shared" si="70"/>
        <v/>
      </c>
      <c r="AE236" s="120" t="str">
        <f t="shared" si="70"/>
        <v/>
      </c>
      <c r="AF236" s="120" t="str">
        <f t="shared" si="70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71">IF(B204&lt;100,"",B204-330)</f>
        <v/>
      </c>
      <c r="C237" s="120" t="str">
        <f t="shared" si="71"/>
        <v/>
      </c>
      <c r="D237" s="120" t="str">
        <f t="shared" si="71"/>
        <v/>
      </c>
      <c r="E237" s="120" t="str">
        <f t="shared" si="71"/>
        <v/>
      </c>
      <c r="F237" s="120" t="str">
        <f t="shared" si="71"/>
        <v/>
      </c>
      <c r="G237" s="120" t="str">
        <f t="shared" si="71"/>
        <v/>
      </c>
      <c r="H237" s="120" t="str">
        <f t="shared" si="71"/>
        <v/>
      </c>
      <c r="I237" s="120" t="str">
        <f t="shared" si="71"/>
        <v/>
      </c>
      <c r="J237" s="120" t="str">
        <f t="shared" si="71"/>
        <v/>
      </c>
      <c r="K237" s="120" t="str">
        <f t="shared" si="71"/>
        <v/>
      </c>
      <c r="L237" s="120" t="str">
        <f t="shared" si="71"/>
        <v/>
      </c>
      <c r="M237" s="120" t="str">
        <f t="shared" si="71"/>
        <v/>
      </c>
      <c r="N237" s="120" t="str">
        <f t="shared" si="71"/>
        <v/>
      </c>
      <c r="O237" s="120" t="str">
        <f t="shared" si="71"/>
        <v/>
      </c>
      <c r="P237" s="120" t="str">
        <f t="shared" si="71"/>
        <v/>
      </c>
      <c r="Q237" s="120" t="str">
        <f t="shared" si="71"/>
        <v/>
      </c>
      <c r="R237" s="120" t="str">
        <f t="shared" si="71"/>
        <v/>
      </c>
      <c r="S237" s="120" t="str">
        <f t="shared" si="71"/>
        <v/>
      </c>
      <c r="T237" s="120" t="str">
        <f t="shared" si="71"/>
        <v/>
      </c>
      <c r="U237" s="120" t="str">
        <f t="shared" si="71"/>
        <v/>
      </c>
      <c r="V237" s="120" t="str">
        <f t="shared" si="71"/>
        <v/>
      </c>
      <c r="W237" s="120" t="str">
        <f t="shared" si="71"/>
        <v/>
      </c>
      <c r="X237" s="120" t="str">
        <f t="shared" si="71"/>
        <v/>
      </c>
      <c r="Y237" s="120" t="str">
        <f t="shared" si="71"/>
        <v/>
      </c>
      <c r="Z237" s="120" t="str">
        <f t="shared" si="71"/>
        <v/>
      </c>
      <c r="AA237" s="120" t="str">
        <f t="shared" si="71"/>
        <v/>
      </c>
      <c r="AB237" s="120" t="str">
        <f t="shared" si="71"/>
        <v/>
      </c>
      <c r="AC237" s="120" t="str">
        <f t="shared" si="71"/>
        <v/>
      </c>
      <c r="AD237" s="120" t="str">
        <f t="shared" si="71"/>
        <v/>
      </c>
      <c r="AE237" s="120" t="str">
        <f t="shared" si="71"/>
        <v/>
      </c>
      <c r="AF237" s="120" t="str">
        <f t="shared" si="71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72">IF(C205&lt;100,"",C205-1500)</f>
        <v/>
      </c>
      <c r="D238" s="120" t="str">
        <f t="shared" si="72"/>
        <v/>
      </c>
      <c r="E238" s="120" t="str">
        <f t="shared" si="72"/>
        <v/>
      </c>
      <c r="F238" s="120" t="str">
        <f t="shared" si="72"/>
        <v/>
      </c>
      <c r="G238" s="120" t="str">
        <f t="shared" si="72"/>
        <v/>
      </c>
      <c r="H238" s="120" t="str">
        <f t="shared" si="72"/>
        <v/>
      </c>
      <c r="I238" s="120" t="str">
        <f t="shared" si="72"/>
        <v/>
      </c>
      <c r="J238" s="120" t="str">
        <f t="shared" si="72"/>
        <v/>
      </c>
      <c r="K238" s="120" t="str">
        <f t="shared" si="72"/>
        <v/>
      </c>
      <c r="L238" s="120" t="str">
        <f t="shared" si="72"/>
        <v/>
      </c>
      <c r="M238" s="120" t="str">
        <f t="shared" si="72"/>
        <v/>
      </c>
      <c r="N238" s="120" t="str">
        <f t="shared" si="72"/>
        <v/>
      </c>
      <c r="O238" s="120" t="str">
        <f t="shared" si="72"/>
        <v/>
      </c>
      <c r="P238" s="120" t="str">
        <f t="shared" si="72"/>
        <v/>
      </c>
      <c r="Q238" s="120" t="str">
        <f t="shared" si="72"/>
        <v/>
      </c>
      <c r="R238" s="120" t="str">
        <f t="shared" si="72"/>
        <v/>
      </c>
      <c r="S238" s="120" t="str">
        <f t="shared" si="72"/>
        <v/>
      </c>
      <c r="T238" s="120" t="str">
        <f t="shared" si="72"/>
        <v/>
      </c>
      <c r="U238" s="120" t="str">
        <f t="shared" si="72"/>
        <v/>
      </c>
      <c r="V238" s="120" t="str">
        <f t="shared" si="72"/>
        <v/>
      </c>
      <c r="W238" s="120" t="str">
        <f t="shared" si="72"/>
        <v/>
      </c>
      <c r="X238" s="120" t="str">
        <f t="shared" si="72"/>
        <v/>
      </c>
      <c r="Y238" s="120" t="str">
        <f t="shared" si="72"/>
        <v/>
      </c>
      <c r="Z238" s="120" t="str">
        <f t="shared" si="72"/>
        <v/>
      </c>
      <c r="AA238" s="120" t="str">
        <f t="shared" si="72"/>
        <v/>
      </c>
      <c r="AB238" s="120" t="str">
        <f t="shared" si="72"/>
        <v/>
      </c>
      <c r="AC238" s="120" t="str">
        <f t="shared" si="72"/>
        <v/>
      </c>
      <c r="AD238" s="120" t="str">
        <f t="shared" si="72"/>
        <v/>
      </c>
      <c r="AE238" s="120" t="str">
        <f t="shared" si="72"/>
        <v/>
      </c>
      <c r="AF238" s="120" t="str">
        <f t="shared" si="72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M37:R37 C57:L59 P39:R39 M39:O42 P40:Q42 N12:R14 M11:R11 X85:X91 AB81:AF81 B81:R81 C56:X56 B82:X83 D193:AF199 B193:B199 C68:X72 B84:B91 M53:X55 B73:X80 B9:AF10 B191:AF191 B53:B72 AG73 B94:B99 U212:AF212 H61:N61 H60:O60 C60:G61 C63:H67 I65:K67 B36:R36 N62:N67 O61:O67 R39:R42 N45:R48 P60:R67 R40:T41 M58:W59 S11:X14 N16:X32 S36:X37 U40:X42 Z68:AF80 Z82:AF83 Z85:AA91 Z53:AF56 AB16:AF26 AB28:AF31 AB36:AF36 AB11:AF14 Z40:AF43 AB84:AF91 AB94:AF99">
    <cfRule type="expression" dxfId="8081" priority="356">
      <formula>B$9&gt;=20/24</formula>
    </cfRule>
    <cfRule type="expression" dxfId="8080" priority="357">
      <formula>AND(B$9&gt;=14/24,B$9&lt;20/24)</formula>
    </cfRule>
    <cfRule type="expression" dxfId="8079" priority="358">
      <formula>AND(B$9&gt;=8/24,B$9&lt;14/24)</formula>
    </cfRule>
    <cfRule type="expression" dxfId="8078" priority="359">
      <formula>B$9&lt;8/24</formula>
    </cfRule>
  </conditionalFormatting>
  <conditionalFormatting sqref="AL4:AL6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8077" priority="351">
      <formula>M$9&gt;=20/24</formula>
    </cfRule>
    <cfRule type="expression" dxfId="8076" priority="352">
      <formula>AND(M$9&gt;=14/24,M$9&lt;20/24)</formula>
    </cfRule>
    <cfRule type="expression" dxfId="8075" priority="353">
      <formula>AND(M$9&gt;=8/24,M$9&lt;14/24)</formula>
    </cfRule>
    <cfRule type="expression" dxfId="8074" priority="354">
      <formula>M$9&lt;8/24</formula>
    </cfRule>
  </conditionalFormatting>
  <conditionalFormatting sqref="M43:R43">
    <cfRule type="expression" dxfId="8073" priority="347">
      <formula>M$9&gt;=20/24</formula>
    </cfRule>
    <cfRule type="expression" dxfId="8072" priority="348">
      <formula>AND(M$9&gt;=14/24,M$9&lt;20/24)</formula>
    </cfRule>
    <cfRule type="expression" dxfId="8071" priority="349">
      <formula>AND(M$9&gt;=8/24,M$9&lt;14/24)</formula>
    </cfRule>
    <cfRule type="expression" dxfId="8070" priority="350">
      <formula>M$9&lt;8/24</formula>
    </cfRule>
  </conditionalFormatting>
  <conditionalFormatting sqref="AB32:AF32">
    <cfRule type="expression" dxfId="8069" priority="343">
      <formula>AB$9&gt;=20/24</formula>
    </cfRule>
    <cfRule type="expression" dxfId="8068" priority="344">
      <formula>AND(AB$9&gt;=14/24,AB$9&lt;20/24)</formula>
    </cfRule>
    <cfRule type="expression" dxfId="8067" priority="345">
      <formula>AND(AB$9&gt;=8/24,AB$9&lt;14/24)</formula>
    </cfRule>
    <cfRule type="expression" dxfId="8066" priority="346">
      <formula>AB$9&lt;8/24</formula>
    </cfRule>
  </conditionalFormatting>
  <conditionalFormatting sqref="S39:X39 Z39:AF39">
    <cfRule type="expression" dxfId="8065" priority="339">
      <formula>S$9&gt;=20/24</formula>
    </cfRule>
    <cfRule type="expression" dxfId="8064" priority="340">
      <formula>AND(S$9&gt;=14/24,S$9&lt;20/24)</formula>
    </cfRule>
    <cfRule type="expression" dxfId="8063" priority="341">
      <formula>AND(S$9&gt;=8/24,S$9&lt;14/24)</formula>
    </cfRule>
    <cfRule type="expression" dxfId="8062" priority="342">
      <formula>S$9&lt;8/24</formula>
    </cfRule>
  </conditionalFormatting>
  <conditionalFormatting sqref="S57:X57 Z57:AF57">
    <cfRule type="expression" dxfId="8061" priority="335">
      <formula>S$9&gt;=20/24</formula>
    </cfRule>
    <cfRule type="expression" dxfId="8060" priority="336">
      <formula>AND(S$9&gt;=14/24,S$9&lt;20/24)</formula>
    </cfRule>
    <cfRule type="expression" dxfId="8059" priority="337">
      <formula>AND(S$9&gt;=8/24,S$9&lt;14/24)</formula>
    </cfRule>
    <cfRule type="expression" dxfId="8058" priority="338">
      <formula>S$9&lt;8/24</formula>
    </cfRule>
  </conditionalFormatting>
  <conditionalFormatting sqref="S81:X81 Z81:AA81">
    <cfRule type="expression" dxfId="8057" priority="331">
      <formula>S$9&gt;=20/24</formula>
    </cfRule>
    <cfRule type="expression" dxfId="8056" priority="332">
      <formula>AND(S$9&gt;=14/24,S$9&lt;20/24)</formula>
    </cfRule>
    <cfRule type="expression" dxfId="8055" priority="333">
      <formula>AND(S$9&gt;=8/24,S$9&lt;14/24)</formula>
    </cfRule>
    <cfRule type="expression" dxfId="8054" priority="334">
      <formula>S$9&lt;8/24</formula>
    </cfRule>
  </conditionalFormatting>
  <conditionalFormatting sqref="U84:X84 Z84:AA84">
    <cfRule type="expression" dxfId="8053" priority="327">
      <formula>U$9&gt;=20/24</formula>
    </cfRule>
    <cfRule type="expression" dxfId="8052" priority="328">
      <formula>AND(U$9&gt;=14/24,U$9&lt;20/24)</formula>
    </cfRule>
    <cfRule type="expression" dxfId="8051" priority="329">
      <formula>AND(U$9&gt;=8/24,U$9&lt;14/24)</formula>
    </cfRule>
    <cfRule type="expression" dxfId="8050" priority="330">
      <formula>U$9&lt;8/24</formula>
    </cfRule>
  </conditionalFormatting>
  <conditionalFormatting sqref="N35:X35">
    <cfRule type="expression" dxfId="8049" priority="323">
      <formula>N$9&gt;=20/24</formula>
    </cfRule>
    <cfRule type="expression" dxfId="8048" priority="324">
      <formula>AND(N$9&gt;=14/24,N$9&lt;20/24)</formula>
    </cfRule>
    <cfRule type="expression" dxfId="8047" priority="325">
      <formula>AND(N$9&gt;=8/24,N$9&lt;14/24)</formula>
    </cfRule>
    <cfRule type="expression" dxfId="8046" priority="326">
      <formula>N$9&lt;8/24</formula>
    </cfRule>
  </conditionalFormatting>
  <conditionalFormatting sqref="M49:X49">
    <cfRule type="expression" dxfId="8045" priority="319">
      <formula>M$9&gt;=20/24</formula>
    </cfRule>
    <cfRule type="expression" dxfId="8044" priority="320">
      <formula>AND(M$9&gt;=14/24,M$9&lt;20/24)</formula>
    </cfRule>
    <cfRule type="expression" dxfId="8043" priority="321">
      <formula>AND(M$9&gt;=8/24,M$9&lt;14/24)</formula>
    </cfRule>
    <cfRule type="expression" dxfId="8042" priority="322">
      <formula>M$9&lt;8/24</formula>
    </cfRule>
  </conditionalFormatting>
  <conditionalFormatting sqref="M50:R50">
    <cfRule type="expression" dxfId="8041" priority="315">
      <formula>M$9&gt;=20/24</formula>
    </cfRule>
    <cfRule type="expression" dxfId="8040" priority="316">
      <formula>AND(M$9&gt;=14/24,M$9&lt;20/24)</formula>
    </cfRule>
    <cfRule type="expression" dxfId="8039" priority="317">
      <formula>AND(M$9&gt;=8/24,M$9&lt;14/24)</formula>
    </cfRule>
    <cfRule type="expression" dxfId="8038" priority="318">
      <formula>M$9&lt;8/24</formula>
    </cfRule>
  </conditionalFormatting>
  <conditionalFormatting sqref="M45:R48">
    <cfRule type="expression" dxfId="8037" priority="311">
      <formula>M$9&gt;=20/24</formula>
    </cfRule>
    <cfRule type="expression" dxfId="8036" priority="312">
      <formula>AND(M$9&gt;=14/24,M$9&lt;20/24)</formula>
    </cfRule>
    <cfRule type="expression" dxfId="8035" priority="313">
      <formula>AND(M$9&gt;=8/24,M$9&lt;14/24)</formula>
    </cfRule>
    <cfRule type="expression" dxfId="8034" priority="314">
      <formula>M$9&lt;8/24</formula>
    </cfRule>
  </conditionalFormatting>
  <conditionalFormatting sqref="AB37:AF37">
    <cfRule type="expression" dxfId="8033" priority="307">
      <formula>AB$9&gt;=20/24</formula>
    </cfRule>
    <cfRule type="expression" dxfId="8032" priority="308">
      <formula>AND(AB$9&gt;=14/24,AB$9&lt;20/24)</formula>
    </cfRule>
    <cfRule type="expression" dxfId="8031" priority="309">
      <formula>AND(AB$9&gt;=8/24,AB$9&lt;14/24)</formula>
    </cfRule>
    <cfRule type="expression" dxfId="8030" priority="310">
      <formula>AB$9&lt;8/24</formula>
    </cfRule>
  </conditionalFormatting>
  <conditionalFormatting sqref="AB35:AF35">
    <cfRule type="expression" dxfId="8029" priority="303">
      <formula>AB$9&gt;=20/24</formula>
    </cfRule>
    <cfRule type="expression" dxfId="8028" priority="304">
      <formula>AND(AB$9&gt;=14/24,AB$9&lt;20/24)</formula>
    </cfRule>
    <cfRule type="expression" dxfId="8027" priority="305">
      <formula>AND(AB$9&gt;=8/24,AB$9&lt;14/24)</formula>
    </cfRule>
    <cfRule type="expression" dxfId="8026" priority="306">
      <formula>AB$9&lt;8/24</formula>
    </cfRule>
  </conditionalFormatting>
  <conditionalFormatting sqref="S42:T43 U43:X43 S45:X48 AA45:AB45 AB46:AB48 AC45:AF48">
    <cfRule type="expression" dxfId="8025" priority="299">
      <formula>S$9&gt;=20/24</formula>
    </cfRule>
    <cfRule type="expression" dxfId="8024" priority="300">
      <formula>AND(S$9&gt;=14/24,S$9&lt;20/24)</formula>
    </cfRule>
    <cfRule type="expression" dxfId="8023" priority="301">
      <formula>AND(S$9&gt;=8/24,S$9&lt;14/24)</formula>
    </cfRule>
    <cfRule type="expression" dxfId="8022" priority="302">
      <formula>S$9&lt;8/24</formula>
    </cfRule>
  </conditionalFormatting>
  <conditionalFormatting sqref="S49:X49 AB49:AF49">
    <cfRule type="expression" dxfId="8021" priority="295">
      <formula>S$9&gt;=20/24</formula>
    </cfRule>
    <cfRule type="expression" dxfId="8020" priority="296">
      <formula>AND(S$9&gt;=14/24,S$9&lt;20/24)</formula>
    </cfRule>
    <cfRule type="expression" dxfId="8019" priority="297">
      <formula>AND(S$9&gt;=8/24,S$9&lt;14/24)</formula>
    </cfRule>
    <cfRule type="expression" dxfId="8018" priority="298">
      <formula>S$9&lt;8/24</formula>
    </cfRule>
  </conditionalFormatting>
  <conditionalFormatting sqref="S50:X50 AB50:AF50">
    <cfRule type="expression" dxfId="8017" priority="291">
      <formula>S$9&gt;=20/24</formula>
    </cfRule>
    <cfRule type="expression" dxfId="8016" priority="292">
      <formula>AND(S$9&gt;=14/24,S$9&lt;20/24)</formula>
    </cfRule>
    <cfRule type="expression" dxfId="8015" priority="293">
      <formula>AND(S$9&gt;=8/24,S$9&lt;14/24)</formula>
    </cfRule>
    <cfRule type="expression" dxfId="8014" priority="294">
      <formula>S$9&lt;8/24</formula>
    </cfRule>
  </conditionalFormatting>
  <conditionalFormatting sqref="S62:U67 S60:T61 V63:W67 X60:X67 Z60:AF67">
    <cfRule type="expression" dxfId="8013" priority="287">
      <formula>S$9&gt;=20/24</formula>
    </cfRule>
    <cfRule type="expression" dxfId="8012" priority="288">
      <formula>AND(S$9&gt;=14/24,S$9&lt;20/24)</formula>
    </cfRule>
    <cfRule type="expression" dxfId="8011" priority="289">
      <formula>AND(S$9&gt;=8/24,S$9&lt;14/24)</formula>
    </cfRule>
    <cfRule type="expression" dxfId="8010" priority="290">
      <formula>S$9&lt;8/24</formula>
    </cfRule>
  </conditionalFormatting>
  <conditionalFormatting sqref="C62:H62 L62:L67 I62:K64">
    <cfRule type="expression" dxfId="8009" priority="283">
      <formula>C$9&gt;=20/24</formula>
    </cfRule>
    <cfRule type="expression" dxfId="8008" priority="284">
      <formula>AND(C$9&gt;=14/24,C$9&lt;20/24)</formula>
    </cfRule>
    <cfRule type="expression" dxfId="8007" priority="285">
      <formula>AND(C$9&gt;=8/24,C$9&lt;14/24)</formula>
    </cfRule>
    <cfRule type="expression" dxfId="8006" priority="286">
      <formula>C$9&lt;8/24</formula>
    </cfRule>
  </conditionalFormatting>
  <conditionalFormatting sqref="U94:X97 Z94:AA97">
    <cfRule type="expression" dxfId="8005" priority="279">
      <formula>U$9&gt;=20/24</formula>
    </cfRule>
    <cfRule type="expression" dxfId="8004" priority="280">
      <formula>AND(U$9&gt;=14/24,U$9&lt;20/24)</formula>
    </cfRule>
    <cfRule type="expression" dxfId="8003" priority="281">
      <formula>AND(U$9&gt;=8/24,U$9&lt;14/24)</formula>
    </cfRule>
    <cfRule type="expression" dxfId="8002" priority="282">
      <formula>U$9&lt;8/24</formula>
    </cfRule>
  </conditionalFormatting>
  <conditionalFormatting sqref="AG51 N12:R14 J11:R11 B11:I32 J12:L32 B34:L35 N34:R35 B36:R37 N16:X32 S11:X14 S34:X37 B38:X56 Z38:AF38 AA45:AB45 AB46:AB50 Z39:AB44 Z51:AF56 AB11:AF32 AB34:AF37 AC39:AF50">
    <cfRule type="expression" dxfId="8001" priority="278">
      <formula>B11&gt;$AG11</formula>
    </cfRule>
  </conditionalFormatting>
  <conditionalFormatting sqref="A100:A156 A84:A97 A11:A14 A16:A32 A46:A72 A80:A82 A74:A78 A35:A43 A169:A199">
    <cfRule type="expression" dxfId="8000" priority="277">
      <formula>$AH11=0</formula>
    </cfRule>
  </conditionalFormatting>
  <conditionalFormatting sqref="U98:X98 Z98:AA98">
    <cfRule type="expression" dxfId="7999" priority="273">
      <formula>U$9&gt;=20/24</formula>
    </cfRule>
    <cfRule type="expression" dxfId="7998" priority="274">
      <formula>AND(U$9&gt;=14/24,U$9&lt;20/24)</formula>
    </cfRule>
    <cfRule type="expression" dxfId="7997" priority="275">
      <formula>AND(U$9&gt;=8/24,U$9&lt;14/24)</formula>
    </cfRule>
    <cfRule type="expression" dxfId="7996" priority="276">
      <formula>U$9&lt;8/24</formula>
    </cfRule>
  </conditionalFormatting>
  <conditionalFormatting sqref="A98">
    <cfRule type="expression" dxfId="7995" priority="272">
      <formula>$AH98=0</formula>
    </cfRule>
  </conditionalFormatting>
  <conditionalFormatting sqref="M62:M67">
    <cfRule type="expression" dxfId="7994" priority="260">
      <formula>M$9&gt;=20/24</formula>
    </cfRule>
    <cfRule type="expression" dxfId="7993" priority="261">
      <formula>AND(M$9&gt;=14/24,M$9&lt;20/24)</formula>
    </cfRule>
    <cfRule type="expression" dxfId="7992" priority="262">
      <formula>AND(M$9&gt;=8/24,M$9&lt;14/24)</formula>
    </cfRule>
    <cfRule type="expression" dxfId="7991" priority="263">
      <formula>M$9&lt;8/24</formula>
    </cfRule>
  </conditionalFormatting>
  <conditionalFormatting sqref="AL32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B34:AF34">
    <cfRule type="expression" dxfId="7990" priority="255">
      <formula>AB$9&gt;=20/24</formula>
    </cfRule>
    <cfRule type="expression" dxfId="7989" priority="256">
      <formula>AND(AB$9&gt;=14/24,AB$9&lt;20/24)</formula>
    </cfRule>
    <cfRule type="expression" dxfId="7988" priority="257">
      <formula>AND(AB$9&gt;=8/24,AB$9&lt;14/24)</formula>
    </cfRule>
    <cfRule type="expression" dxfId="7987" priority="258">
      <formula>AB$9&lt;8/24</formula>
    </cfRule>
  </conditionalFormatting>
  <conditionalFormatting sqref="N34:X34">
    <cfRule type="expression" dxfId="7986" priority="251">
      <formula>N$9&gt;=20/24</formula>
    </cfRule>
    <cfRule type="expression" dxfId="7985" priority="252">
      <formula>AND(N$9&gt;=14/24,N$9&lt;20/24)</formula>
    </cfRule>
    <cfRule type="expression" dxfId="7984" priority="253">
      <formula>AND(N$9&gt;=8/24,N$9&lt;14/24)</formula>
    </cfRule>
    <cfRule type="expression" dxfId="7983" priority="254">
      <formula>N$9&lt;8/24</formula>
    </cfRule>
  </conditionalFormatting>
  <conditionalFormatting sqref="A34">
    <cfRule type="expression" dxfId="7982" priority="246">
      <formula>$AH34=0</formula>
    </cfRule>
  </conditionalFormatting>
  <conditionalFormatting sqref="A83">
    <cfRule type="expression" dxfId="7981" priority="245">
      <formula>$AH83=0</formula>
    </cfRule>
  </conditionalFormatting>
  <conditionalFormatting sqref="AB15:AF15">
    <cfRule type="expression" dxfId="7980" priority="241">
      <formula>AB$9&gt;=20/24</formula>
    </cfRule>
    <cfRule type="expression" dxfId="7979" priority="242">
      <formula>AND(AB$9&gt;=14/24,AB$9&lt;20/24)</formula>
    </cfRule>
    <cfRule type="expression" dxfId="7978" priority="243">
      <formula>AND(AB$9&gt;=8/24,AB$9&lt;14/24)</formula>
    </cfRule>
    <cfRule type="expression" dxfId="7977" priority="244">
      <formula>AB$9&lt;8/24</formula>
    </cfRule>
  </conditionalFormatting>
  <conditionalFormatting sqref="N15:X15">
    <cfRule type="expression" dxfId="7976" priority="237">
      <formula>N$9&gt;=20/24</formula>
    </cfRule>
    <cfRule type="expression" dxfId="7975" priority="238">
      <formula>AND(N$9&gt;=14/24,N$9&lt;20/24)</formula>
    </cfRule>
    <cfRule type="expression" dxfId="7974" priority="239">
      <formula>AND(N$9&gt;=8/24,N$9&lt;14/24)</formula>
    </cfRule>
    <cfRule type="expression" dxfId="7973" priority="240">
      <formula>N$9&lt;8/24</formula>
    </cfRule>
  </conditionalFormatting>
  <conditionalFormatting sqref="N15:X15">
    <cfRule type="expression" dxfId="7972" priority="236">
      <formula>N15&gt;$AG15</formula>
    </cfRule>
  </conditionalFormatting>
  <conditionalFormatting sqref="A15">
    <cfRule type="expression" dxfId="7971" priority="235">
      <formula>$AH15=0</formula>
    </cfRule>
  </conditionalFormatting>
  <conditionalFormatting sqref="A163:A168">
    <cfRule type="expression" dxfId="7970" priority="234">
      <formula>$AH163=0</formula>
    </cfRule>
  </conditionalFormatting>
  <conditionalFormatting sqref="A157:A162">
    <cfRule type="expression" dxfId="7969" priority="233">
      <formula>$AH157=0</formula>
    </cfRule>
  </conditionalFormatting>
  <conditionalFormatting sqref="Z44:AF44">
    <cfRule type="expression" dxfId="7968" priority="229">
      <formula>Z$9&gt;=20/24</formula>
    </cfRule>
    <cfRule type="expression" dxfId="7967" priority="230">
      <formula>AND(Z$9&gt;=14/24,Z$9&lt;20/24)</formula>
    </cfRule>
    <cfRule type="expression" dxfId="7966" priority="231">
      <formula>AND(Z$9&gt;=8/24,Z$9&lt;14/24)</formula>
    </cfRule>
    <cfRule type="expression" dxfId="7965" priority="232">
      <formula>Z$9&lt;8/24</formula>
    </cfRule>
  </conditionalFormatting>
  <conditionalFormatting sqref="M44:R44">
    <cfRule type="expression" dxfId="7964" priority="225">
      <formula>M$9&gt;=20/24</formula>
    </cfRule>
    <cfRule type="expression" dxfId="7963" priority="226">
      <formula>AND(M$9&gt;=14/24,M$9&lt;20/24)</formula>
    </cfRule>
    <cfRule type="expression" dxfId="7962" priority="227">
      <formula>AND(M$9&gt;=8/24,M$9&lt;14/24)</formula>
    </cfRule>
    <cfRule type="expression" dxfId="7961" priority="228">
      <formula>M$9&lt;8/24</formula>
    </cfRule>
  </conditionalFormatting>
  <conditionalFormatting sqref="S44:X44">
    <cfRule type="expression" dxfId="7960" priority="221">
      <formula>S$9&gt;=20/24</formula>
    </cfRule>
    <cfRule type="expression" dxfId="7959" priority="222">
      <formula>AND(S$9&gt;=14/24,S$9&lt;20/24)</formula>
    </cfRule>
    <cfRule type="expression" dxfId="7958" priority="223">
      <formula>AND(S$9&gt;=8/24,S$9&lt;14/24)</formula>
    </cfRule>
    <cfRule type="expression" dxfId="7957" priority="224">
      <formula>S$9&lt;8/24</formula>
    </cfRule>
  </conditionalFormatting>
  <conditionalFormatting sqref="A44">
    <cfRule type="expression" dxfId="7956" priority="220">
      <formula>$AH44=0</formula>
    </cfRule>
  </conditionalFormatting>
  <conditionalFormatting sqref="A79">
    <cfRule type="expression" dxfId="7955" priority="219">
      <formula>$AH79=0</formula>
    </cfRule>
  </conditionalFormatting>
  <conditionalFormatting sqref="A73">
    <cfRule type="expression" dxfId="7954" priority="218">
      <formula>$AH73=0</formula>
    </cfRule>
  </conditionalFormatting>
  <conditionalFormatting sqref="AL34:AL35 AL7:AL31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U60:V61 V62 W60:W62">
    <cfRule type="expression" dxfId="7953" priority="214">
      <formula>U$9&gt;=20/24</formula>
    </cfRule>
    <cfRule type="expression" dxfId="7952" priority="215">
      <formula>AND(U$9&gt;=14/24,U$9&lt;20/24)</formula>
    </cfRule>
    <cfRule type="expression" dxfId="7951" priority="216">
      <formula>AND(U$9&gt;=8/24,U$9&lt;14/24)</formula>
    </cfRule>
    <cfRule type="expression" dxfId="7950" priority="217">
      <formula>U$9&lt;8/24</formula>
    </cfRule>
  </conditionalFormatting>
  <conditionalFormatting sqref="U85:W91">
    <cfRule type="expression" dxfId="7949" priority="210">
      <formula>U$9&gt;=20/24</formula>
    </cfRule>
    <cfRule type="expression" dxfId="7948" priority="211">
      <formula>AND(U$9&gt;=14/24,U$9&lt;20/24)</formula>
    </cfRule>
    <cfRule type="expression" dxfId="7947" priority="212">
      <formula>AND(U$9&gt;=8/24,U$9&lt;14/24)</formula>
    </cfRule>
    <cfRule type="expression" dxfId="7946" priority="213">
      <formula>U$9&lt;8/24</formula>
    </cfRule>
  </conditionalFormatting>
  <conditionalFormatting sqref="S85:T91 C84:R91">
    <cfRule type="expression" dxfId="7945" priority="206">
      <formula>C$9&gt;=20/24</formula>
    </cfRule>
    <cfRule type="expression" dxfId="7944" priority="207">
      <formula>AND(C$9&gt;=14/24,C$9&lt;20/24)</formula>
    </cfRule>
    <cfRule type="expression" dxfId="7943" priority="208">
      <formula>AND(C$9&gt;=8/24,C$9&lt;14/24)</formula>
    </cfRule>
    <cfRule type="expression" dxfId="7942" priority="209">
      <formula>C$9&lt;8/24</formula>
    </cfRule>
  </conditionalFormatting>
  <conditionalFormatting sqref="S84:T84">
    <cfRule type="expression" dxfId="7941" priority="202">
      <formula>S$9&gt;=20/24</formula>
    </cfRule>
    <cfRule type="expression" dxfId="7940" priority="203">
      <formula>AND(S$9&gt;=14/24,S$9&lt;20/24)</formula>
    </cfRule>
    <cfRule type="expression" dxfId="7939" priority="204">
      <formula>AND(S$9&gt;=8/24,S$9&lt;14/24)</formula>
    </cfRule>
    <cfRule type="expression" dxfId="7938" priority="205">
      <formula>S$9&lt;8/24</formula>
    </cfRule>
  </conditionalFormatting>
  <conditionalFormatting sqref="C94:F94 C95:M97">
    <cfRule type="expression" dxfId="7937" priority="198">
      <formula>C$9&gt;=20/24</formula>
    </cfRule>
    <cfRule type="expression" dxfId="7936" priority="199">
      <formula>AND(C$9&gt;=14/24,C$9&lt;20/24)</formula>
    </cfRule>
    <cfRule type="expression" dxfId="7935" priority="200">
      <formula>AND(C$9&gt;=8/24,C$9&lt;14/24)</formula>
    </cfRule>
    <cfRule type="expression" dxfId="7934" priority="201">
      <formula>C$9&lt;8/24</formula>
    </cfRule>
  </conditionalFormatting>
  <conditionalFormatting sqref="N95:R97 O94:R94">
    <cfRule type="expression" dxfId="7933" priority="194">
      <formula>N$9&gt;=20/24</formula>
    </cfRule>
    <cfRule type="expression" dxfId="7932" priority="195">
      <formula>AND(N$9&gt;=14/24,N$9&lt;20/24)</formula>
    </cfRule>
    <cfRule type="expression" dxfId="7931" priority="196">
      <formula>AND(N$9&gt;=8/24,N$9&lt;14/24)</formula>
    </cfRule>
    <cfRule type="expression" dxfId="7930" priority="197">
      <formula>N$9&lt;8/24</formula>
    </cfRule>
  </conditionalFormatting>
  <conditionalFormatting sqref="S94:T97">
    <cfRule type="expression" dxfId="7929" priority="190">
      <formula>S$9&gt;=20/24</formula>
    </cfRule>
    <cfRule type="expression" dxfId="7928" priority="191">
      <formula>AND(S$9&gt;=14/24,S$9&lt;20/24)</formula>
    </cfRule>
    <cfRule type="expression" dxfId="7927" priority="192">
      <formula>AND(S$9&gt;=8/24,S$9&lt;14/24)</formula>
    </cfRule>
    <cfRule type="expression" dxfId="7926" priority="193">
      <formula>S$9&lt;8/24</formula>
    </cfRule>
  </conditionalFormatting>
  <conditionalFormatting sqref="C98:M98">
    <cfRule type="expression" dxfId="7925" priority="186">
      <formula>C$9&gt;=20/24</formula>
    </cfRule>
    <cfRule type="expression" dxfId="7924" priority="187">
      <formula>AND(C$9&gt;=14/24,C$9&lt;20/24)</formula>
    </cfRule>
    <cfRule type="expression" dxfId="7923" priority="188">
      <formula>AND(C$9&gt;=8/24,C$9&lt;14/24)</formula>
    </cfRule>
    <cfRule type="expression" dxfId="7922" priority="189">
      <formula>C$9&lt;8/24</formula>
    </cfRule>
  </conditionalFormatting>
  <conditionalFormatting sqref="N98:R98">
    <cfRule type="expression" dxfId="7921" priority="182">
      <formula>N$9&gt;=20/24</formula>
    </cfRule>
    <cfRule type="expression" dxfId="7920" priority="183">
      <formula>AND(N$9&gt;=14/24,N$9&lt;20/24)</formula>
    </cfRule>
    <cfRule type="expression" dxfId="7919" priority="184">
      <formula>AND(N$9&gt;=8/24,N$9&lt;14/24)</formula>
    </cfRule>
    <cfRule type="expression" dxfId="7918" priority="185">
      <formula>N$9&lt;8/24</formula>
    </cfRule>
  </conditionalFormatting>
  <conditionalFormatting sqref="S98:T98">
    <cfRule type="expression" dxfId="7917" priority="178">
      <formula>S$9&gt;=20/24</formula>
    </cfRule>
    <cfRule type="expression" dxfId="7916" priority="179">
      <formula>AND(S$9&gt;=14/24,S$9&lt;20/24)</formula>
    </cfRule>
    <cfRule type="expression" dxfId="7915" priority="180">
      <formula>AND(S$9&gt;=8/24,S$9&lt;14/24)</formula>
    </cfRule>
    <cfRule type="expression" dxfId="7914" priority="181">
      <formula>S$9&lt;8/24</formula>
    </cfRule>
  </conditionalFormatting>
  <conditionalFormatting sqref="M94:N94">
    <cfRule type="expression" dxfId="7913" priority="174">
      <formula>M$9&gt;=20/24</formula>
    </cfRule>
    <cfRule type="expression" dxfId="7912" priority="175">
      <formula>AND(M$9&gt;=14/24,M$9&lt;20/24)</formula>
    </cfRule>
    <cfRule type="expression" dxfId="7911" priority="176">
      <formula>AND(M$9&gt;=8/24,M$9&lt;14/24)</formula>
    </cfRule>
    <cfRule type="expression" dxfId="7910" priority="177">
      <formula>M$9&lt;8/24</formula>
    </cfRule>
  </conditionalFormatting>
  <conditionalFormatting sqref="G94:L94">
    <cfRule type="expression" dxfId="7909" priority="170">
      <formula>G$9&gt;=20/24</formula>
    </cfRule>
    <cfRule type="expression" dxfId="7908" priority="171">
      <formula>AND(G$9&gt;=14/24,G$9&lt;20/24)</formula>
    </cfRule>
    <cfRule type="expression" dxfId="7907" priority="172">
      <formula>AND(G$9&gt;=8/24,G$9&lt;14/24)</formula>
    </cfRule>
    <cfRule type="expression" dxfId="7906" priority="173">
      <formula>G$9&lt;8/24</formula>
    </cfRule>
  </conditionalFormatting>
  <conditionalFormatting sqref="U94:W94">
    <cfRule type="expression" dxfId="7905" priority="166">
      <formula>U$9&gt;=20/24</formula>
    </cfRule>
    <cfRule type="expression" dxfId="7904" priority="167">
      <formula>AND(U$9&gt;=14/24,U$9&lt;20/24)</formula>
    </cfRule>
    <cfRule type="expression" dxfId="7903" priority="168">
      <formula>AND(U$9&gt;=8/24,U$9&lt;14/24)</formula>
    </cfRule>
    <cfRule type="expression" dxfId="7902" priority="169">
      <formula>U$9&lt;8/24</formula>
    </cfRule>
  </conditionalFormatting>
  <conditionalFormatting sqref="N94:T94">
    <cfRule type="expression" dxfId="7901" priority="162">
      <formula>N$9&gt;=20/24</formula>
    </cfRule>
    <cfRule type="expression" dxfId="7900" priority="163">
      <formula>AND(N$9&gt;=14/24,N$9&lt;20/24)</formula>
    </cfRule>
    <cfRule type="expression" dxfId="7899" priority="164">
      <formula>AND(N$9&gt;=8/24,N$9&lt;14/24)</formula>
    </cfRule>
    <cfRule type="expression" dxfId="7898" priority="165">
      <formula>N$9&lt;8/24</formula>
    </cfRule>
  </conditionalFormatting>
  <conditionalFormatting sqref="U99:X99 Z99:AA99">
    <cfRule type="expression" dxfId="7897" priority="158">
      <formula>U$9&gt;=20/24</formula>
    </cfRule>
    <cfRule type="expression" dxfId="7896" priority="159">
      <formula>AND(U$9&gt;=14/24,U$9&lt;20/24)</formula>
    </cfRule>
    <cfRule type="expression" dxfId="7895" priority="160">
      <formula>AND(U$9&gt;=8/24,U$9&lt;14/24)</formula>
    </cfRule>
    <cfRule type="expression" dxfId="7894" priority="161">
      <formula>U$9&lt;8/24</formula>
    </cfRule>
  </conditionalFormatting>
  <conditionalFormatting sqref="C99:M99">
    <cfRule type="expression" dxfId="7893" priority="154">
      <formula>C$9&gt;=20/24</formula>
    </cfRule>
    <cfRule type="expression" dxfId="7892" priority="155">
      <formula>AND(C$9&gt;=14/24,C$9&lt;20/24)</formula>
    </cfRule>
    <cfRule type="expression" dxfId="7891" priority="156">
      <formula>AND(C$9&gt;=8/24,C$9&lt;14/24)</formula>
    </cfRule>
    <cfRule type="expression" dxfId="7890" priority="157">
      <formula>C$9&lt;8/24</formula>
    </cfRule>
  </conditionalFormatting>
  <conditionalFormatting sqref="N99:R99">
    <cfRule type="expression" dxfId="7889" priority="150">
      <formula>N$9&gt;=20/24</formula>
    </cfRule>
    <cfRule type="expression" dxfId="7888" priority="151">
      <formula>AND(N$9&gt;=14/24,N$9&lt;20/24)</formula>
    </cfRule>
    <cfRule type="expression" dxfId="7887" priority="152">
      <formula>AND(N$9&gt;=8/24,N$9&lt;14/24)</formula>
    </cfRule>
    <cfRule type="expression" dxfId="7886" priority="153">
      <formula>N$9&lt;8/24</formula>
    </cfRule>
  </conditionalFormatting>
  <conditionalFormatting sqref="S99:T99">
    <cfRule type="expression" dxfId="7885" priority="146">
      <formula>S$9&gt;=20/24</formula>
    </cfRule>
    <cfRule type="expression" dxfId="7884" priority="147">
      <formula>AND(S$9&gt;=14/24,S$9&lt;20/24)</formula>
    </cfRule>
    <cfRule type="expression" dxfId="7883" priority="148">
      <formula>AND(S$9&gt;=8/24,S$9&lt;14/24)</formula>
    </cfRule>
    <cfRule type="expression" dxfId="7882" priority="149">
      <formula>S$9&lt;8/24</formula>
    </cfRule>
  </conditionalFormatting>
  <conditionalFormatting sqref="AB58:AF59">
    <cfRule type="expression" dxfId="7881" priority="130">
      <formula>AB$9&gt;=20/24</formula>
    </cfRule>
    <cfRule type="expression" dxfId="7880" priority="131">
      <formula>AND(AB$9&gt;=14/24,AB$9&lt;20/24)</formula>
    </cfRule>
    <cfRule type="expression" dxfId="7879" priority="132">
      <formula>AND(AB$9&gt;=8/24,AB$9&lt;14/24)</formula>
    </cfRule>
    <cfRule type="expression" dxfId="7878" priority="133">
      <formula>AB$9&lt;8/24</formula>
    </cfRule>
  </conditionalFormatting>
  <conditionalFormatting sqref="AL3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877" priority="363">
      <formula>C$9&gt;=20/24</formula>
    </cfRule>
    <cfRule type="expression" dxfId="7876" priority="364">
      <formula>AND(C$9&gt;=14/24,C$9&lt;20/24)</formula>
    </cfRule>
    <cfRule type="expression" dxfId="7875" priority="365">
      <formula>AND(C$9&gt;=8/24,C$9&lt;14/24)</formula>
    </cfRule>
    <cfRule type="expression" dxfId="7874" priority="366">
      <formula>C$9&lt;8/24</formula>
    </cfRule>
  </conditionalFormatting>
  <conditionalFormatting sqref="A200">
    <cfRule type="expression" dxfId="7873" priority="367">
      <formula>$AH200=0</formula>
    </cfRule>
  </conditionalFormatting>
  <conditionalFormatting sqref="AG212">
    <cfRule type="expression" dxfId="7872" priority="368">
      <formula>B$9&gt;=20/24</formula>
    </cfRule>
    <cfRule type="expression" dxfId="7871" priority="369">
      <formula>AND(B$9&gt;=14/24,B$9&lt;20/24)</formula>
    </cfRule>
    <cfRule type="expression" dxfId="7870" priority="370">
      <formula>AND(B$9&gt;=8/24,B$9&lt;14/24)</formula>
    </cfRule>
    <cfRule type="expression" dxfId="7869" priority="371">
      <formula>B$9&lt;8/24</formula>
    </cfRule>
  </conditionalFormatting>
  <conditionalFormatting sqref="S8">
    <cfRule type="expression" dxfId="7868" priority="124">
      <formula>U$9&gt;=20/24</formula>
    </cfRule>
    <cfRule type="expression" dxfId="7867" priority="125">
      <formula>AND(U$9&gt;=14/24,U$9&lt;20/24)</formula>
    </cfRule>
    <cfRule type="expression" dxfId="7866" priority="126">
      <formula>AND(U$9&gt;=8/24,U$9&lt;14/24)</formula>
    </cfRule>
    <cfRule type="expression" dxfId="7865" priority="127">
      <formula>U$9&lt;8/24</formula>
    </cfRule>
  </conditionalFormatting>
  <conditionalFormatting sqref="AB8">
    <cfRule type="expression" dxfId="7864" priority="120">
      <formula>AD$9&gt;=20/24</formula>
    </cfRule>
    <cfRule type="expression" dxfId="7863" priority="121">
      <formula>AND(AD$9&gt;=14/24,AD$9&lt;20/24)</formula>
    </cfRule>
    <cfRule type="expression" dxfId="7862" priority="122">
      <formula>AND(AD$9&gt;=8/24,AD$9&lt;14/24)</formula>
    </cfRule>
    <cfRule type="expression" dxfId="7861" priority="123">
      <formula>AD$9&lt;8/24</formula>
    </cfRule>
  </conditionalFormatting>
  <conditionalFormatting sqref="AH212:AX212">
    <cfRule type="expression" dxfId="7860" priority="372">
      <formula>AG$9&gt;=20/24</formula>
    </cfRule>
    <cfRule type="expression" dxfId="7859" priority="373">
      <formula>AND(AG$9&gt;=14/24,AG$9&lt;20/24)</formula>
    </cfRule>
    <cfRule type="expression" dxfId="7858" priority="374">
      <formula>AND(AG$9&gt;=8/24,AG$9&lt;14/24)</formula>
    </cfRule>
    <cfRule type="expression" dxfId="7857" priority="375">
      <formula>AG$9&lt;8/24</formula>
    </cfRule>
  </conditionalFormatting>
  <conditionalFormatting sqref="T212">
    <cfRule type="expression" dxfId="7856" priority="376">
      <formula>AX$9&gt;=20/24</formula>
    </cfRule>
    <cfRule type="expression" dxfId="7855" priority="377">
      <formula>AND(AX$9&gt;=14/24,AX$9&lt;20/24)</formula>
    </cfRule>
    <cfRule type="expression" dxfId="7854" priority="378">
      <formula>AND(AX$9&gt;=8/24,AX$9&lt;14/24)</formula>
    </cfRule>
    <cfRule type="expression" dxfId="7853" priority="379">
      <formula>AX$9&lt;8/24</formula>
    </cfRule>
  </conditionalFormatting>
  <conditionalFormatting sqref="A99">
    <cfRule type="expression" dxfId="7852" priority="119">
      <formula>$AH99=0</formula>
    </cfRule>
  </conditionalFormatting>
  <conditionalFormatting sqref="N33:X33">
    <cfRule type="expression" dxfId="7851" priority="115">
      <formula>N$9&gt;=20/24</formula>
    </cfRule>
    <cfRule type="expression" dxfId="7850" priority="116">
      <formula>AND(N$9&gt;=14/24,N$9&lt;20/24)</formula>
    </cfRule>
    <cfRule type="expression" dxfId="7849" priority="117">
      <formula>AND(N$9&gt;=8/24,N$9&lt;14/24)</formula>
    </cfRule>
    <cfRule type="expression" dxfId="7848" priority="118">
      <formula>N$9&lt;8/24</formula>
    </cfRule>
  </conditionalFormatting>
  <conditionalFormatting sqref="AB33:AF33">
    <cfRule type="expression" dxfId="7847" priority="111">
      <formula>AB$9&gt;=20/24</formula>
    </cfRule>
    <cfRule type="expression" dxfId="7846" priority="112">
      <formula>AND(AB$9&gt;=14/24,AB$9&lt;20/24)</formula>
    </cfRule>
    <cfRule type="expression" dxfId="7845" priority="113">
      <formula>AND(AB$9&gt;=8/24,AB$9&lt;14/24)</formula>
    </cfRule>
    <cfRule type="expression" dxfId="7844" priority="114">
      <formula>AB$9&lt;8/24</formula>
    </cfRule>
  </conditionalFormatting>
  <conditionalFormatting sqref="B33:L33 N33:X33 AB33:AF33">
    <cfRule type="expression" dxfId="7843" priority="106">
      <formula>B33&gt;$AG33</formula>
    </cfRule>
  </conditionalFormatting>
  <conditionalFormatting sqref="M12:M14 M16:M32">
    <cfRule type="expression" dxfId="7842" priority="102">
      <formula>M$9&gt;=20/24</formula>
    </cfRule>
    <cfRule type="expression" dxfId="7841" priority="103">
      <formula>AND(M$9&gt;=14/24,M$9&lt;20/24)</formula>
    </cfRule>
    <cfRule type="expression" dxfId="7840" priority="104">
      <formula>AND(M$9&gt;=8/24,M$9&lt;14/24)</formula>
    </cfRule>
    <cfRule type="expression" dxfId="7839" priority="105">
      <formula>M$9&lt;8/24</formula>
    </cfRule>
  </conditionalFormatting>
  <conditionalFormatting sqref="M35">
    <cfRule type="expression" dxfId="7838" priority="98">
      <formula>M$9&gt;=20/24</formula>
    </cfRule>
    <cfRule type="expression" dxfId="7837" priority="99">
      <formula>AND(M$9&gt;=14/24,M$9&lt;20/24)</formula>
    </cfRule>
    <cfRule type="expression" dxfId="7836" priority="100">
      <formula>AND(M$9&gt;=8/24,M$9&lt;14/24)</formula>
    </cfRule>
    <cfRule type="expression" dxfId="7835" priority="101">
      <formula>M$9&lt;8/24</formula>
    </cfRule>
  </conditionalFormatting>
  <conditionalFormatting sqref="M12:M14 M16:M32 M34:M35">
    <cfRule type="expression" dxfId="7834" priority="97">
      <formula>M12&gt;$AG12</formula>
    </cfRule>
  </conditionalFormatting>
  <conditionalFormatting sqref="M34">
    <cfRule type="expression" dxfId="7833" priority="93">
      <formula>M$9&gt;=20/24</formula>
    </cfRule>
    <cfRule type="expression" dxfId="7832" priority="94">
      <formula>AND(M$9&gt;=14/24,M$9&lt;20/24)</formula>
    </cfRule>
    <cfRule type="expression" dxfId="7831" priority="95">
      <formula>AND(M$9&gt;=8/24,M$9&lt;14/24)</formula>
    </cfRule>
    <cfRule type="expression" dxfId="7830" priority="96">
      <formula>M$9&lt;8/24</formula>
    </cfRule>
  </conditionalFormatting>
  <conditionalFormatting sqref="M15">
    <cfRule type="expression" dxfId="7829" priority="89">
      <formula>M$9&gt;=20/24</formula>
    </cfRule>
    <cfRule type="expression" dxfId="7828" priority="90">
      <formula>AND(M$9&gt;=14/24,M$9&lt;20/24)</formula>
    </cfRule>
    <cfRule type="expression" dxfId="7827" priority="91">
      <formula>AND(M$9&gt;=8/24,M$9&lt;14/24)</formula>
    </cfRule>
    <cfRule type="expression" dxfId="7826" priority="92">
      <formula>M$9&lt;8/24</formula>
    </cfRule>
  </conditionalFormatting>
  <conditionalFormatting sqref="M15">
    <cfRule type="expression" dxfId="7825" priority="88">
      <formula>M15&gt;$AG15</formula>
    </cfRule>
  </conditionalFormatting>
  <conditionalFormatting sqref="M33">
    <cfRule type="expression" dxfId="7824" priority="84">
      <formula>M$9&gt;=20/24</formula>
    </cfRule>
    <cfRule type="expression" dxfId="7823" priority="85">
      <formula>AND(M$9&gt;=14/24,M$9&lt;20/24)</formula>
    </cfRule>
    <cfRule type="expression" dxfId="7822" priority="86">
      <formula>AND(M$9&gt;=8/24,M$9&lt;14/24)</formula>
    </cfRule>
    <cfRule type="expression" dxfId="7821" priority="87">
      <formula>M$9&lt;8/24</formula>
    </cfRule>
  </conditionalFormatting>
  <conditionalFormatting sqref="M33">
    <cfRule type="expression" dxfId="7820" priority="83">
      <formula>M33&gt;$AG33</formula>
    </cfRule>
  </conditionalFormatting>
  <conditionalFormatting sqref="A45">
    <cfRule type="expression" dxfId="7819" priority="82">
      <formula>$AH45=0</formula>
    </cfRule>
  </conditionalFormatting>
  <conditionalFormatting sqref="Y85:Y91 Y82:Y83 Y53:Y56 Y68:Y80 Y40:Y42 Y11:AA14 Y16:AA32 Y36:AA37">
    <cfRule type="expression" dxfId="7818" priority="72">
      <formula>Y$9&gt;=20/24</formula>
    </cfRule>
    <cfRule type="expression" dxfId="7817" priority="73">
      <formula>AND(Y$9&gt;=14/24,Y$9&lt;20/24)</formula>
    </cfRule>
    <cfRule type="expression" dxfId="7816" priority="74">
      <formula>AND(Y$9&gt;=8/24,Y$9&lt;14/24)</formula>
    </cfRule>
    <cfRule type="expression" dxfId="7815" priority="75">
      <formula>Y$9&lt;8/24</formula>
    </cfRule>
  </conditionalFormatting>
  <conditionalFormatting sqref="Y39">
    <cfRule type="expression" dxfId="7814" priority="68">
      <formula>Y$9&gt;=20/24</formula>
    </cfRule>
    <cfRule type="expression" dxfId="7813" priority="69">
      <formula>AND(Y$9&gt;=14/24,Y$9&lt;20/24)</formula>
    </cfRule>
    <cfRule type="expression" dxfId="7812" priority="70">
      <formula>AND(Y$9&gt;=8/24,Y$9&lt;14/24)</formula>
    </cfRule>
    <cfRule type="expression" dxfId="7811" priority="71">
      <formula>Y$9&lt;8/24</formula>
    </cfRule>
  </conditionalFormatting>
  <conditionalFormatting sqref="Y57">
    <cfRule type="expression" dxfId="7810" priority="64">
      <formula>Y$9&gt;=20/24</formula>
    </cfRule>
    <cfRule type="expression" dxfId="7809" priority="65">
      <formula>AND(Y$9&gt;=14/24,Y$9&lt;20/24)</formula>
    </cfRule>
    <cfRule type="expression" dxfId="7808" priority="66">
      <formula>AND(Y$9&gt;=8/24,Y$9&lt;14/24)</formula>
    </cfRule>
    <cfRule type="expression" dxfId="7807" priority="67">
      <formula>Y$9&lt;8/24</formula>
    </cfRule>
  </conditionalFormatting>
  <conditionalFormatting sqref="Y81">
    <cfRule type="expression" dxfId="7806" priority="60">
      <formula>Y$9&gt;=20/24</formula>
    </cfRule>
    <cfRule type="expression" dxfId="7805" priority="61">
      <formula>AND(Y$9&gt;=14/24,Y$9&lt;20/24)</formula>
    </cfRule>
    <cfRule type="expression" dxfId="7804" priority="62">
      <formula>AND(Y$9&gt;=8/24,Y$9&lt;14/24)</formula>
    </cfRule>
    <cfRule type="expression" dxfId="7803" priority="63">
      <formula>Y$9&lt;8/24</formula>
    </cfRule>
  </conditionalFormatting>
  <conditionalFormatting sqref="Y84">
    <cfRule type="expression" dxfId="7802" priority="56">
      <formula>Y$9&gt;=20/24</formula>
    </cfRule>
    <cfRule type="expression" dxfId="7801" priority="57">
      <formula>AND(Y$9&gt;=14/24,Y$9&lt;20/24)</formula>
    </cfRule>
    <cfRule type="expression" dxfId="7800" priority="58">
      <formula>AND(Y$9&gt;=8/24,Y$9&lt;14/24)</formula>
    </cfRule>
    <cfRule type="expression" dxfId="7799" priority="59">
      <formula>Y$9&lt;8/24</formula>
    </cfRule>
  </conditionalFormatting>
  <conditionalFormatting sqref="Y35:AA35">
    <cfRule type="expression" dxfId="7798" priority="52">
      <formula>Y$9&gt;=20/24</formula>
    </cfRule>
    <cfRule type="expression" dxfId="7797" priority="53">
      <formula>AND(Y$9&gt;=14/24,Y$9&lt;20/24)</formula>
    </cfRule>
    <cfRule type="expression" dxfId="7796" priority="54">
      <formula>AND(Y$9&gt;=8/24,Y$9&lt;14/24)</formula>
    </cfRule>
    <cfRule type="expression" dxfId="7795" priority="55">
      <formula>Y$9&lt;8/24</formula>
    </cfRule>
  </conditionalFormatting>
  <conditionalFormatting sqref="Y49:AA49">
    <cfRule type="expression" dxfId="7794" priority="48">
      <formula>Y$9&gt;=20/24</formula>
    </cfRule>
    <cfRule type="expression" dxfId="7793" priority="49">
      <formula>AND(Y$9&gt;=14/24,Y$9&lt;20/24)</formula>
    </cfRule>
    <cfRule type="expression" dxfId="7792" priority="50">
      <formula>AND(Y$9&gt;=8/24,Y$9&lt;14/24)</formula>
    </cfRule>
    <cfRule type="expression" dxfId="7791" priority="51">
      <formula>Y$9&lt;8/24</formula>
    </cfRule>
  </conditionalFormatting>
  <conditionalFormatting sqref="Y43 Y45:Z48 AA46:AA48">
    <cfRule type="expression" dxfId="7790" priority="44">
      <formula>Y$9&gt;=20/24</formula>
    </cfRule>
    <cfRule type="expression" dxfId="7789" priority="45">
      <formula>AND(Y$9&gt;=14/24,Y$9&lt;20/24)</formula>
    </cfRule>
    <cfRule type="expression" dxfId="7788" priority="46">
      <formula>AND(Y$9&gt;=8/24,Y$9&lt;14/24)</formula>
    </cfRule>
    <cfRule type="expression" dxfId="7787" priority="47">
      <formula>Y$9&lt;8/24</formula>
    </cfRule>
  </conditionalFormatting>
  <conditionalFormatting sqref="Y49:AA49">
    <cfRule type="expression" dxfId="7786" priority="40">
      <formula>Y$9&gt;=20/24</formula>
    </cfRule>
    <cfRule type="expression" dxfId="7785" priority="41">
      <formula>AND(Y$9&gt;=14/24,Y$9&lt;20/24)</formula>
    </cfRule>
    <cfRule type="expression" dxfId="7784" priority="42">
      <formula>AND(Y$9&gt;=8/24,Y$9&lt;14/24)</formula>
    </cfRule>
    <cfRule type="expression" dxfId="7783" priority="43">
      <formula>Y$9&lt;8/24</formula>
    </cfRule>
  </conditionalFormatting>
  <conditionalFormatting sqref="Y50:AA50">
    <cfRule type="expression" dxfId="7782" priority="36">
      <formula>Y$9&gt;=20/24</formula>
    </cfRule>
    <cfRule type="expression" dxfId="7781" priority="37">
      <formula>AND(Y$9&gt;=14/24,Y$9&lt;20/24)</formula>
    </cfRule>
    <cfRule type="expression" dxfId="7780" priority="38">
      <formula>AND(Y$9&gt;=8/24,Y$9&lt;14/24)</formula>
    </cfRule>
    <cfRule type="expression" dxfId="7779" priority="39">
      <formula>Y$9&lt;8/24</formula>
    </cfRule>
  </conditionalFormatting>
  <conditionalFormatting sqref="Y60:Y67">
    <cfRule type="expression" dxfId="7778" priority="32">
      <formula>Y$9&gt;=20/24</formula>
    </cfRule>
    <cfRule type="expression" dxfId="7777" priority="33">
      <formula>AND(Y$9&gt;=14/24,Y$9&lt;20/24)</formula>
    </cfRule>
    <cfRule type="expression" dxfId="7776" priority="34">
      <formula>AND(Y$9&gt;=8/24,Y$9&lt;14/24)</formula>
    </cfRule>
    <cfRule type="expression" dxfId="7775" priority="35">
      <formula>Y$9&lt;8/24</formula>
    </cfRule>
  </conditionalFormatting>
  <conditionalFormatting sqref="Y34:Y56 Z45:Z50 Y16:AA32 Y11:AA14 Z34:AA37 AA46:AA50">
    <cfRule type="expression" dxfId="7774" priority="31">
      <formula>Y11&gt;$AG11</formula>
    </cfRule>
  </conditionalFormatting>
  <conditionalFormatting sqref="Y34:AA34">
    <cfRule type="expression" dxfId="7773" priority="27">
      <formula>Y$9&gt;=20/24</formula>
    </cfRule>
    <cfRule type="expression" dxfId="7772" priority="28">
      <formula>AND(Y$9&gt;=14/24,Y$9&lt;20/24)</formula>
    </cfRule>
    <cfRule type="expression" dxfId="7771" priority="29">
      <formula>AND(Y$9&gt;=8/24,Y$9&lt;14/24)</formula>
    </cfRule>
    <cfRule type="expression" dxfId="7770" priority="30">
      <formula>Y$9&lt;8/24</formula>
    </cfRule>
  </conditionalFormatting>
  <conditionalFormatting sqref="Y15:AA15">
    <cfRule type="expression" dxfId="7769" priority="23">
      <formula>Y$9&gt;=20/24</formula>
    </cfRule>
    <cfRule type="expression" dxfId="7768" priority="24">
      <formula>AND(Y$9&gt;=14/24,Y$9&lt;20/24)</formula>
    </cfRule>
    <cfRule type="expression" dxfId="7767" priority="25">
      <formula>AND(Y$9&gt;=8/24,Y$9&lt;14/24)</formula>
    </cfRule>
    <cfRule type="expression" dxfId="7766" priority="26">
      <formula>Y$9&lt;8/24</formula>
    </cfRule>
  </conditionalFormatting>
  <conditionalFormatting sqref="Y15:AA15">
    <cfRule type="expression" dxfId="7765" priority="22">
      <formula>Y15&gt;$AG15</formula>
    </cfRule>
  </conditionalFormatting>
  <conditionalFormatting sqref="Y44">
    <cfRule type="expression" dxfId="7764" priority="18">
      <formula>Y$9&gt;=20/24</formula>
    </cfRule>
    <cfRule type="expression" dxfId="7763" priority="19">
      <formula>AND(Y$9&gt;=14/24,Y$9&lt;20/24)</formula>
    </cfRule>
    <cfRule type="expression" dxfId="7762" priority="20">
      <formula>AND(Y$9&gt;=8/24,Y$9&lt;14/24)</formula>
    </cfRule>
    <cfRule type="expression" dxfId="7761" priority="21">
      <formula>Y$9&lt;8/24</formula>
    </cfRule>
  </conditionalFormatting>
  <conditionalFormatting sqref="Y33:AA33">
    <cfRule type="expression" dxfId="7760" priority="14">
      <formula>Y$9&gt;=20/24</formula>
    </cfRule>
    <cfRule type="expression" dxfId="7759" priority="15">
      <formula>AND(Y$9&gt;=14/24,Y$9&lt;20/24)</formula>
    </cfRule>
    <cfRule type="expression" dxfId="7758" priority="16">
      <formula>AND(Y$9&gt;=8/24,Y$9&lt;14/24)</formula>
    </cfRule>
    <cfRule type="expression" dxfId="7757" priority="17">
      <formula>Y$9&lt;8/24</formula>
    </cfRule>
  </conditionalFormatting>
  <conditionalFormatting sqref="Y33:AA33">
    <cfRule type="expression" dxfId="7756" priority="13">
      <formula>Y33&gt;$AG33</formula>
    </cfRule>
  </conditionalFormatting>
  <conditionalFormatting sqref="Y94:Y97">
    <cfRule type="expression" dxfId="7755" priority="9">
      <formula>Y$9&gt;=20/24</formula>
    </cfRule>
    <cfRule type="expression" dxfId="7754" priority="10">
      <formula>AND(Y$9&gt;=14/24,Y$9&lt;20/24)</formula>
    </cfRule>
    <cfRule type="expression" dxfId="7753" priority="11">
      <formula>AND(Y$9&gt;=8/24,Y$9&lt;14/24)</formula>
    </cfRule>
    <cfRule type="expression" dxfId="7752" priority="12">
      <formula>Y$9&lt;8/24</formula>
    </cfRule>
  </conditionalFormatting>
  <conditionalFormatting sqref="Y98">
    <cfRule type="expression" dxfId="7751" priority="5">
      <formula>Y$9&gt;=20/24</formula>
    </cfRule>
    <cfRule type="expression" dxfId="7750" priority="6">
      <formula>AND(Y$9&gt;=14/24,Y$9&lt;20/24)</formula>
    </cfRule>
    <cfRule type="expression" dxfId="7749" priority="7">
      <formula>AND(Y$9&gt;=8/24,Y$9&lt;14/24)</formula>
    </cfRule>
    <cfRule type="expression" dxfId="7748" priority="8">
      <formula>Y$9&lt;8/24</formula>
    </cfRule>
  </conditionalFormatting>
  <conditionalFormatting sqref="Y99">
    <cfRule type="expression" dxfId="7747" priority="1">
      <formula>Y$9&gt;=20/24</formula>
    </cfRule>
    <cfRule type="expression" dxfId="7746" priority="2">
      <formula>AND(Y$9&gt;=14/24,Y$9&lt;20/24)</formula>
    </cfRule>
    <cfRule type="expression" dxfId="7745" priority="3">
      <formula>AND(Y$9&gt;=8/24,Y$9&lt;14/24)</formula>
    </cfRule>
    <cfRule type="expression" dxfId="7744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9" id="{BFFB0779-322E-445A-8086-C1306DB7272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G60" sqref="G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2078/11/5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404</v>
      </c>
      <c r="C5" s="32">
        <f t="shared" si="0"/>
        <v>394</v>
      </c>
      <c r="D5" s="32">
        <f t="shared" si="0"/>
        <v>391</v>
      </c>
      <c r="E5" s="32">
        <f t="shared" si="0"/>
        <v>388</v>
      </c>
      <c r="F5" s="32">
        <f t="shared" si="0"/>
        <v>452.6</v>
      </c>
      <c r="G5" s="32">
        <f t="shared" si="0"/>
        <v>505.2</v>
      </c>
      <c r="H5" s="32">
        <f t="shared" si="0"/>
        <v>557</v>
      </c>
      <c r="I5" s="32">
        <f t="shared" si="0"/>
        <v>489.20000000000005</v>
      </c>
      <c r="J5" s="32">
        <f t="shared" si="0"/>
        <v>363.09999999999997</v>
      </c>
      <c r="K5" s="32">
        <f t="shared" si="0"/>
        <v>346.3</v>
      </c>
      <c r="L5" s="32">
        <f t="shared" si="0"/>
        <v>286.84999999999997</v>
      </c>
      <c r="M5" s="32">
        <f t="shared" si="0"/>
        <v>357.59999999999997</v>
      </c>
      <c r="N5" s="32">
        <f t="shared" si="0"/>
        <v>397.4</v>
      </c>
      <c r="O5" s="32">
        <f t="shared" si="0"/>
        <v>545</v>
      </c>
      <c r="P5" s="32">
        <f t="shared" si="0"/>
        <v>606.69999999999993</v>
      </c>
      <c r="Q5" s="32">
        <f t="shared" si="0"/>
        <v>575</v>
      </c>
      <c r="R5" s="32">
        <f t="shared" si="0"/>
        <v>582.87</v>
      </c>
      <c r="S5" s="32">
        <f t="shared" si="0"/>
        <v>574</v>
      </c>
      <c r="T5" s="32">
        <f t="shared" si="0"/>
        <v>571.79999999999995</v>
      </c>
      <c r="U5" s="32">
        <f t="shared" si="0"/>
        <v>566</v>
      </c>
      <c r="V5" s="32">
        <f t="shared" si="0"/>
        <v>366.60999999999996</v>
      </c>
      <c r="W5" s="32">
        <f t="shared" si="0"/>
        <v>335.90000000000003</v>
      </c>
      <c r="X5" s="32">
        <f t="shared" si="0"/>
        <v>360.4</v>
      </c>
      <c r="Y5" s="32">
        <f t="shared" si="0"/>
        <v>274.60000000000002</v>
      </c>
      <c r="Z5" s="32">
        <f t="shared" si="0"/>
        <v>265.60000000000002</v>
      </c>
      <c r="AA5" s="32">
        <f t="shared" si="0"/>
        <v>327.5</v>
      </c>
      <c r="AB5" s="32">
        <f t="shared" si="0"/>
        <v>514.5</v>
      </c>
      <c r="AC5" s="32">
        <f t="shared" si="0"/>
        <v>578.19999999999993</v>
      </c>
      <c r="AD5" s="32">
        <f t="shared" si="0"/>
        <v>547.84999999999991</v>
      </c>
      <c r="AE5" s="32">
        <f t="shared" si="0"/>
        <v>531.55000000000007</v>
      </c>
      <c r="AF5" s="32">
        <f>B68</f>
        <v>440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1492MW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Load=894</v>
      </c>
      <c r="B7" s="37">
        <f>B75</f>
        <v>995.54</v>
      </c>
      <c r="C7" s="37">
        <f t="shared" ref="C7:AF7" si="1">C75</f>
        <v>911.1400000000001</v>
      </c>
      <c r="D7" s="37">
        <f t="shared" si="1"/>
        <v>907.33999999999992</v>
      </c>
      <c r="E7" s="37">
        <f t="shared" si="1"/>
        <v>903.44</v>
      </c>
      <c r="F7" s="37">
        <f t="shared" si="1"/>
        <v>894.04000000000008</v>
      </c>
      <c r="G7" s="37">
        <f t="shared" si="1"/>
        <v>966.04</v>
      </c>
      <c r="H7" s="37">
        <f t="shared" si="1"/>
        <v>1044.2399999999998</v>
      </c>
      <c r="I7" s="37">
        <f t="shared" si="1"/>
        <v>1125.8399999999999</v>
      </c>
      <c r="J7" s="37">
        <f t="shared" si="1"/>
        <v>1299.94</v>
      </c>
      <c r="K7" s="37">
        <f t="shared" si="1"/>
        <v>1399.44</v>
      </c>
      <c r="L7" s="37">
        <f t="shared" si="1"/>
        <v>1475.44</v>
      </c>
      <c r="M7" s="37">
        <f t="shared" si="1"/>
        <v>1491.59</v>
      </c>
      <c r="N7" s="37">
        <f t="shared" si="1"/>
        <v>1438.3400000000001</v>
      </c>
      <c r="O7" s="37">
        <f t="shared" si="1"/>
        <v>1336.3399999999997</v>
      </c>
      <c r="P7" s="37">
        <f t="shared" si="1"/>
        <v>1273.6399999999999</v>
      </c>
      <c r="Q7" s="37">
        <f t="shared" si="1"/>
        <v>1230.3399999999999</v>
      </c>
      <c r="R7" s="37">
        <f t="shared" si="1"/>
        <v>1193.74</v>
      </c>
      <c r="S7" s="37">
        <f t="shared" si="1"/>
        <v>1168.81</v>
      </c>
      <c r="T7" s="37">
        <f t="shared" si="1"/>
        <v>1154.04</v>
      </c>
      <c r="U7" s="37">
        <f t="shared" si="1"/>
        <v>1180.94</v>
      </c>
      <c r="V7" s="37">
        <f t="shared" si="1"/>
        <v>1244.44</v>
      </c>
      <c r="W7" s="37">
        <f t="shared" si="1"/>
        <v>1251.3499999999999</v>
      </c>
      <c r="X7" s="37">
        <f t="shared" si="1"/>
        <v>1349.2399999999998</v>
      </c>
      <c r="Y7" s="37">
        <f t="shared" si="1"/>
        <v>1463.1399999999999</v>
      </c>
      <c r="Z7" s="37">
        <f t="shared" si="1"/>
        <v>1493.0400000000002</v>
      </c>
      <c r="AA7" s="37">
        <f t="shared" si="1"/>
        <v>1441.2400000000002</v>
      </c>
      <c r="AB7" s="37">
        <f t="shared" si="1"/>
        <v>1367.3400000000001</v>
      </c>
      <c r="AC7" s="37">
        <f t="shared" si="1"/>
        <v>1317.2399999999998</v>
      </c>
      <c r="AD7" s="37">
        <f t="shared" si="1"/>
        <v>1256.9399999999998</v>
      </c>
      <c r="AE7" s="37">
        <f t="shared" si="1"/>
        <v>1115.1899999999998</v>
      </c>
      <c r="AF7" s="37">
        <f t="shared" si="1"/>
        <v>1020.69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150</v>
      </c>
      <c r="K11" s="49">
        <v>280</v>
      </c>
      <c r="L11" s="49">
        <v>300</v>
      </c>
      <c r="M11" s="50">
        <v>350</v>
      </c>
      <c r="N11" s="50">
        <v>220</v>
      </c>
      <c r="O11" s="50">
        <v>145</v>
      </c>
      <c r="P11" s="50">
        <v>12</v>
      </c>
      <c r="Q11" s="50">
        <v>12</v>
      </c>
      <c r="R11" s="51">
        <v>12</v>
      </c>
      <c r="S11" s="50">
        <v>12</v>
      </c>
      <c r="T11" s="50">
        <v>12</v>
      </c>
      <c r="U11" s="50">
        <v>12</v>
      </c>
      <c r="V11" s="50">
        <v>30</v>
      </c>
      <c r="W11" s="50">
        <v>160</v>
      </c>
      <c r="X11" s="50">
        <v>240</v>
      </c>
      <c r="Y11" s="50">
        <v>260</v>
      </c>
      <c r="Z11" s="50">
        <v>370</v>
      </c>
      <c r="AA11" s="50">
        <v>340</v>
      </c>
      <c r="AB11" s="50">
        <v>230</v>
      </c>
      <c r="AC11" s="50">
        <v>70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370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33</v>
      </c>
      <c r="C12" s="49">
        <v>33</v>
      </c>
      <c r="D12" s="49">
        <v>33</v>
      </c>
      <c r="E12" s="49">
        <v>33</v>
      </c>
      <c r="F12" s="49">
        <v>33</v>
      </c>
      <c r="G12" s="49">
        <v>33</v>
      </c>
      <c r="H12" s="49">
        <v>33</v>
      </c>
      <c r="I12" s="49">
        <v>33</v>
      </c>
      <c r="J12" s="49">
        <v>33</v>
      </c>
      <c r="K12" s="49">
        <v>33</v>
      </c>
      <c r="L12" s="49">
        <v>33</v>
      </c>
      <c r="M12" s="49">
        <v>33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30</v>
      </c>
      <c r="Z12" s="58">
        <v>30</v>
      </c>
      <c r="AA12" s="58">
        <v>30</v>
      </c>
      <c r="AB12" s="58">
        <v>30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33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18.3</v>
      </c>
      <c r="C13" s="49">
        <v>18.3</v>
      </c>
      <c r="D13" s="49">
        <v>18.3</v>
      </c>
      <c r="E13" s="49">
        <v>18.2</v>
      </c>
      <c r="F13" s="49">
        <v>18.2</v>
      </c>
      <c r="G13" s="49">
        <v>18.2</v>
      </c>
      <c r="H13" s="49">
        <v>18.2</v>
      </c>
      <c r="I13" s="49">
        <v>18.2</v>
      </c>
      <c r="J13" s="49">
        <v>18.2</v>
      </c>
      <c r="K13" s="49">
        <v>18.2</v>
      </c>
      <c r="L13" s="49">
        <v>18.2</v>
      </c>
      <c r="M13" s="49">
        <v>18.2</v>
      </c>
      <c r="N13" s="49">
        <v>18.2</v>
      </c>
      <c r="O13" s="49">
        <v>18.2</v>
      </c>
      <c r="P13" s="49">
        <v>18.2</v>
      </c>
      <c r="Q13" s="49">
        <v>18.2</v>
      </c>
      <c r="R13" s="49">
        <v>18.2</v>
      </c>
      <c r="S13" s="58">
        <v>18.2</v>
      </c>
      <c r="T13" s="58">
        <v>18.2</v>
      </c>
      <c r="U13" s="58">
        <v>18.2</v>
      </c>
      <c r="V13" s="58">
        <v>18.2</v>
      </c>
      <c r="W13" s="58">
        <v>18.2</v>
      </c>
      <c r="X13" s="58">
        <v>18.2</v>
      </c>
      <c r="Y13" s="58">
        <v>18.3</v>
      </c>
      <c r="Z13" s="58">
        <v>18.3</v>
      </c>
      <c r="AA13" s="58">
        <v>18.3</v>
      </c>
      <c r="AB13" s="58">
        <v>18.3</v>
      </c>
      <c r="AC13" s="50">
        <v>18.3</v>
      </c>
      <c r="AD13" s="50">
        <v>18.3</v>
      </c>
      <c r="AE13" s="50">
        <v>18.3</v>
      </c>
      <c r="AF13" s="50">
        <v>18.3</v>
      </c>
      <c r="AG13" s="59">
        <v>52.4</v>
      </c>
      <c r="AH13" s="54">
        <f t="shared" si="2"/>
        <v>18.3</v>
      </c>
      <c r="AI13" s="55">
        <f t="shared" si="3"/>
        <v>18.2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34.700000000000003</v>
      </c>
      <c r="C14" s="49">
        <v>34.700000000000003</v>
      </c>
      <c r="D14" s="49">
        <v>34.700000000000003</v>
      </c>
      <c r="E14" s="49">
        <v>34.6</v>
      </c>
      <c r="F14" s="49">
        <v>34.6</v>
      </c>
      <c r="G14" s="49">
        <v>34.9</v>
      </c>
      <c r="H14" s="49">
        <v>35.5</v>
      </c>
      <c r="I14" s="49">
        <v>35</v>
      </c>
      <c r="J14" s="49">
        <v>35</v>
      </c>
      <c r="K14" s="49">
        <v>35</v>
      </c>
      <c r="L14" s="49">
        <v>35</v>
      </c>
      <c r="M14" s="50">
        <v>35</v>
      </c>
      <c r="N14" s="50">
        <v>35</v>
      </c>
      <c r="O14" s="50">
        <v>35</v>
      </c>
      <c r="P14" s="50">
        <v>35</v>
      </c>
      <c r="Q14" s="50">
        <v>35.200000000000003</v>
      </c>
      <c r="R14" s="50">
        <v>35.200000000000003</v>
      </c>
      <c r="S14" s="60">
        <v>35.4</v>
      </c>
      <c r="T14" s="60">
        <v>35.4</v>
      </c>
      <c r="U14" s="60">
        <v>35.4</v>
      </c>
      <c r="V14" s="60">
        <v>35.4</v>
      </c>
      <c r="W14" s="60">
        <v>35.4</v>
      </c>
      <c r="X14" s="60">
        <v>35.4</v>
      </c>
      <c r="Y14" s="60">
        <v>35.1</v>
      </c>
      <c r="Z14" s="60">
        <v>35.1</v>
      </c>
      <c r="AA14" s="60">
        <v>35.1</v>
      </c>
      <c r="AB14" s="60">
        <v>35.1</v>
      </c>
      <c r="AC14" s="50">
        <v>35.1</v>
      </c>
      <c r="AD14" s="50">
        <v>35.1</v>
      </c>
      <c r="AE14" s="50">
        <v>35.1</v>
      </c>
      <c r="AF14" s="50">
        <v>35.1</v>
      </c>
      <c r="AG14" s="59">
        <v>50</v>
      </c>
      <c r="AH14" s="54">
        <f t="shared" si="2"/>
        <v>35.5</v>
      </c>
      <c r="AI14" s="55">
        <f t="shared" si="3"/>
        <v>34.6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21.4</v>
      </c>
      <c r="C15" s="61">
        <v>21.4</v>
      </c>
      <c r="D15" s="61">
        <v>21.4</v>
      </c>
      <c r="E15" s="61">
        <v>20.8</v>
      </c>
      <c r="F15" s="61">
        <v>20.8</v>
      </c>
      <c r="G15" s="61">
        <v>20.8</v>
      </c>
      <c r="H15" s="61">
        <v>20.8</v>
      </c>
      <c r="I15" s="61">
        <v>20.100000000000001</v>
      </c>
      <c r="J15" s="61">
        <v>20.100000000000001</v>
      </c>
      <c r="K15" s="61">
        <v>20.100000000000001</v>
      </c>
      <c r="L15" s="61">
        <v>20.100000000000001</v>
      </c>
      <c r="M15" s="50">
        <v>20.100000000000001</v>
      </c>
      <c r="N15" s="50">
        <v>20.100000000000001</v>
      </c>
      <c r="O15" s="50">
        <v>20.100000000000001</v>
      </c>
      <c r="P15" s="50">
        <v>20.100000000000001</v>
      </c>
      <c r="Q15" s="50">
        <v>19.3</v>
      </c>
      <c r="R15" s="50">
        <v>19.3</v>
      </c>
      <c r="S15" s="60">
        <v>19.399999999999999</v>
      </c>
      <c r="T15" s="60">
        <v>19.399999999999999</v>
      </c>
      <c r="U15" s="60">
        <v>19.399999999999999</v>
      </c>
      <c r="V15" s="60">
        <v>19.399999999999999</v>
      </c>
      <c r="W15" s="60">
        <v>19.399999999999999</v>
      </c>
      <c r="X15" s="60">
        <v>19.399999999999999</v>
      </c>
      <c r="Y15" s="60">
        <v>21</v>
      </c>
      <c r="Z15" s="60">
        <v>21</v>
      </c>
      <c r="AA15" s="60">
        <v>21</v>
      </c>
      <c r="AB15" s="60">
        <v>21</v>
      </c>
      <c r="AC15" s="50">
        <v>21</v>
      </c>
      <c r="AD15" s="50">
        <v>21</v>
      </c>
      <c r="AE15" s="50">
        <v>21</v>
      </c>
      <c r="AF15" s="50">
        <v>21</v>
      </c>
      <c r="AG15" s="62">
        <v>45</v>
      </c>
      <c r="AH15" s="54">
        <f t="shared" si="2"/>
        <v>21.4</v>
      </c>
      <c r="AI15" s="55">
        <f t="shared" si="3"/>
        <v>19.3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3">
        <v>10</v>
      </c>
      <c r="T16" s="63">
        <v>10</v>
      </c>
      <c r="U16" s="63">
        <v>10</v>
      </c>
      <c r="V16" s="63">
        <v>10</v>
      </c>
      <c r="W16" s="63">
        <v>10</v>
      </c>
      <c r="X16" s="63">
        <v>10</v>
      </c>
      <c r="Y16" s="63">
        <v>10</v>
      </c>
      <c r="Z16" s="63">
        <v>10</v>
      </c>
      <c r="AA16" s="63">
        <v>10</v>
      </c>
      <c r="AB16" s="63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7.5</v>
      </c>
      <c r="C17" s="49">
        <v>7.5</v>
      </c>
      <c r="D17" s="49">
        <v>7.5</v>
      </c>
      <c r="E17" s="49">
        <v>7.5</v>
      </c>
      <c r="F17" s="49">
        <v>7.5</v>
      </c>
      <c r="G17" s="49">
        <v>7.5</v>
      </c>
      <c r="H17" s="49">
        <v>7.5</v>
      </c>
      <c r="I17" s="49">
        <v>7.5</v>
      </c>
      <c r="J17" s="49">
        <v>7.5</v>
      </c>
      <c r="K17" s="49">
        <v>7.5</v>
      </c>
      <c r="L17" s="49">
        <v>7.5</v>
      </c>
      <c r="M17" s="50">
        <v>7.5</v>
      </c>
      <c r="N17" s="50">
        <v>7.5</v>
      </c>
      <c r="O17" s="50">
        <v>7.5</v>
      </c>
      <c r="P17" s="50">
        <v>7.5</v>
      </c>
      <c r="Q17" s="50">
        <v>7.5</v>
      </c>
      <c r="R17" s="50">
        <v>7.5</v>
      </c>
      <c r="S17" s="60">
        <v>7.5</v>
      </c>
      <c r="T17" s="60">
        <v>7.5</v>
      </c>
      <c r="U17" s="60">
        <v>7.5</v>
      </c>
      <c r="V17" s="60">
        <v>7.5</v>
      </c>
      <c r="W17" s="60">
        <v>7.5</v>
      </c>
      <c r="X17" s="60">
        <v>7.5</v>
      </c>
      <c r="Y17" s="60">
        <v>7.5</v>
      </c>
      <c r="Z17" s="60">
        <v>7.5</v>
      </c>
      <c r="AA17" s="60">
        <v>7.5</v>
      </c>
      <c r="AB17" s="60">
        <v>7.5</v>
      </c>
      <c r="AC17" s="50">
        <v>7.5</v>
      </c>
      <c r="AD17" s="50">
        <v>7.5</v>
      </c>
      <c r="AE17" s="50">
        <v>7.5</v>
      </c>
      <c r="AF17" s="50">
        <v>7.5</v>
      </c>
      <c r="AG17" s="59">
        <v>42</v>
      </c>
      <c r="AH17" s="54">
        <f t="shared" si="2"/>
        <v>7.5</v>
      </c>
      <c r="AI17" s="55">
        <f t="shared" si="3"/>
        <v>7.5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9</v>
      </c>
      <c r="C18" s="49">
        <v>9</v>
      </c>
      <c r="D18" s="49">
        <v>9</v>
      </c>
      <c r="E18" s="49">
        <v>9</v>
      </c>
      <c r="F18" s="49">
        <v>9</v>
      </c>
      <c r="G18" s="49">
        <v>9</v>
      </c>
      <c r="H18" s="49">
        <v>9</v>
      </c>
      <c r="I18" s="49">
        <v>9</v>
      </c>
      <c r="J18" s="49">
        <v>9</v>
      </c>
      <c r="K18" s="49">
        <v>9</v>
      </c>
      <c r="L18" s="49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9.1</v>
      </c>
      <c r="C19" s="49">
        <v>9.1</v>
      </c>
      <c r="D19" s="49">
        <v>9.1</v>
      </c>
      <c r="E19" s="49">
        <v>9.4</v>
      </c>
      <c r="F19" s="49">
        <v>9.4</v>
      </c>
      <c r="G19" s="49">
        <v>9.4</v>
      </c>
      <c r="H19" s="49">
        <v>9.4</v>
      </c>
      <c r="I19" s="49">
        <v>9.4</v>
      </c>
      <c r="J19" s="49">
        <v>9.4</v>
      </c>
      <c r="K19" s="49">
        <v>9.4</v>
      </c>
      <c r="L19" s="49">
        <v>9.4</v>
      </c>
      <c r="M19" s="50">
        <v>9.4</v>
      </c>
      <c r="N19" s="50">
        <v>9.4</v>
      </c>
      <c r="O19" s="50">
        <v>9.4</v>
      </c>
      <c r="P19" s="50">
        <v>9.4</v>
      </c>
      <c r="Q19" s="50">
        <v>9.4</v>
      </c>
      <c r="R19" s="50">
        <v>9.4</v>
      </c>
      <c r="S19" s="50">
        <v>9.4</v>
      </c>
      <c r="T19" s="50">
        <v>9.4</v>
      </c>
      <c r="U19" s="50">
        <v>9.4</v>
      </c>
      <c r="V19" s="50">
        <v>9.4</v>
      </c>
      <c r="W19" s="50">
        <v>9.4</v>
      </c>
      <c r="X19" s="50">
        <v>9.4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9">
        <v>30</v>
      </c>
      <c r="AH19" s="54">
        <f t="shared" si="2"/>
        <v>9.4</v>
      </c>
      <c r="AI19" s="55">
        <f t="shared" si="3"/>
        <v>9.1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</v>
      </c>
      <c r="C22" s="49">
        <v>11</v>
      </c>
      <c r="D22" s="49">
        <v>11</v>
      </c>
      <c r="E22" s="49">
        <v>11</v>
      </c>
      <c r="F22" s="49">
        <v>11</v>
      </c>
      <c r="G22" s="49">
        <v>11</v>
      </c>
      <c r="H22" s="49">
        <v>11</v>
      </c>
      <c r="I22" s="49">
        <v>10.9</v>
      </c>
      <c r="J22" s="49">
        <v>10.9</v>
      </c>
      <c r="K22" s="49">
        <v>10.9</v>
      </c>
      <c r="L22" s="49">
        <v>10.9</v>
      </c>
      <c r="M22" s="50">
        <v>10.9</v>
      </c>
      <c r="N22" s="50">
        <v>10.9</v>
      </c>
      <c r="O22" s="50">
        <v>10.9</v>
      </c>
      <c r="P22" s="50">
        <v>10.9</v>
      </c>
      <c r="Q22" s="50">
        <v>12.1</v>
      </c>
      <c r="R22" s="50">
        <v>11</v>
      </c>
      <c r="S22" s="50">
        <v>9.8000000000000007</v>
      </c>
      <c r="T22" s="50">
        <v>9.8000000000000007</v>
      </c>
      <c r="U22" s="50">
        <v>9.8000000000000007</v>
      </c>
      <c r="V22" s="50">
        <v>9.8000000000000007</v>
      </c>
      <c r="W22" s="50">
        <v>9.8000000000000007</v>
      </c>
      <c r="X22" s="50">
        <v>9.8000000000000007</v>
      </c>
      <c r="Y22" s="50">
        <v>18</v>
      </c>
      <c r="Z22" s="50">
        <v>18</v>
      </c>
      <c r="AA22" s="50">
        <v>18</v>
      </c>
      <c r="AB22" s="50">
        <v>14</v>
      </c>
      <c r="AC22" s="50">
        <v>12</v>
      </c>
      <c r="AD22" s="50">
        <v>9.5</v>
      </c>
      <c r="AE22" s="50">
        <v>9.5</v>
      </c>
      <c r="AF22" s="50">
        <v>9.5</v>
      </c>
      <c r="AG22" s="59">
        <v>25</v>
      </c>
      <c r="AH22" s="54">
        <f t="shared" si="2"/>
        <v>18</v>
      </c>
      <c r="AI22" s="55">
        <f t="shared" si="3"/>
        <v>9.5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12.8</v>
      </c>
      <c r="C24" s="49">
        <v>12.8</v>
      </c>
      <c r="D24" s="49">
        <v>12.8</v>
      </c>
      <c r="E24" s="49">
        <v>12.8</v>
      </c>
      <c r="F24" s="49">
        <v>12.8</v>
      </c>
      <c r="G24" s="49">
        <v>13.1</v>
      </c>
      <c r="H24" s="49">
        <v>13.1</v>
      </c>
      <c r="I24" s="49">
        <v>12.7</v>
      </c>
      <c r="J24" s="49">
        <v>12.7</v>
      </c>
      <c r="K24" s="49">
        <v>12.7</v>
      </c>
      <c r="L24" s="49">
        <v>11.5</v>
      </c>
      <c r="M24" s="50">
        <v>11.5</v>
      </c>
      <c r="N24" s="50">
        <v>11.5</v>
      </c>
      <c r="O24" s="50">
        <v>11.5</v>
      </c>
      <c r="P24" s="50">
        <v>11.5</v>
      </c>
      <c r="Q24" s="50">
        <v>11.5</v>
      </c>
      <c r="R24" s="50">
        <v>10</v>
      </c>
      <c r="S24" s="50">
        <v>9</v>
      </c>
      <c r="T24" s="50">
        <v>9</v>
      </c>
      <c r="U24" s="50">
        <v>9</v>
      </c>
      <c r="V24" s="50">
        <v>9</v>
      </c>
      <c r="W24" s="50">
        <v>9</v>
      </c>
      <c r="X24" s="50">
        <v>9</v>
      </c>
      <c r="Y24" s="50">
        <v>11.7</v>
      </c>
      <c r="Z24" s="50">
        <v>11.7</v>
      </c>
      <c r="AA24" s="50">
        <v>11.7</v>
      </c>
      <c r="AB24" s="50">
        <v>11.7</v>
      </c>
      <c r="AC24" s="50">
        <v>11.7</v>
      </c>
      <c r="AD24" s="50">
        <v>11.7</v>
      </c>
      <c r="AE24" s="50">
        <v>11.7</v>
      </c>
      <c r="AF24" s="50">
        <v>11.7</v>
      </c>
      <c r="AG24" s="59">
        <v>25</v>
      </c>
      <c r="AH24" s="54">
        <f t="shared" si="2"/>
        <v>13.1</v>
      </c>
      <c r="AI24" s="55">
        <f t="shared" si="3"/>
        <v>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49">
        <v>2.5</v>
      </c>
      <c r="AD27" s="49">
        <v>2.5</v>
      </c>
      <c r="AE27" s="49">
        <v>2.5</v>
      </c>
      <c r="AF27" s="49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f>14.5+29.1</f>
        <v>43.6</v>
      </c>
      <c r="C37" s="61">
        <f>14.4+28.5</f>
        <v>42.9</v>
      </c>
      <c r="D37" s="61">
        <f>14.4+28.5</f>
        <v>42.9</v>
      </c>
      <c r="E37" s="61">
        <f>29.3+14.6</f>
        <v>43.9</v>
      </c>
      <c r="F37" s="61">
        <f>29.8+14.8</f>
        <v>44.6</v>
      </c>
      <c r="G37" s="61">
        <f>29.5+14.7</f>
        <v>44.2</v>
      </c>
      <c r="H37" s="61">
        <f>28.6+14.2</f>
        <v>42.8</v>
      </c>
      <c r="I37" s="61">
        <f>28.8+14.3</f>
        <v>43.1</v>
      </c>
      <c r="J37" s="61">
        <f>27.6+13.7</f>
        <v>41.3</v>
      </c>
      <c r="K37" s="61">
        <f>25.9+13.2</f>
        <v>39.099999999999994</v>
      </c>
      <c r="L37" s="61">
        <f>25.2+12.9</f>
        <v>38.1</v>
      </c>
      <c r="M37" s="70">
        <f>12.7+24.5</f>
        <v>37.200000000000003</v>
      </c>
      <c r="N37" s="70">
        <f>13.3+26.2</f>
        <v>39.5</v>
      </c>
      <c r="O37" s="70">
        <f>13.9+27.9</f>
        <v>41.8</v>
      </c>
      <c r="P37" s="70">
        <f>13.8+27.4</f>
        <v>41.2</v>
      </c>
      <c r="Q37" s="70">
        <f>14+27.7</f>
        <v>41.7</v>
      </c>
      <c r="R37" s="70">
        <f>14+28</f>
        <v>42</v>
      </c>
      <c r="S37" s="70">
        <f>13.3+26.8</f>
        <v>40.1</v>
      </c>
      <c r="T37" s="70">
        <f t="shared" ref="T37:V37" si="4">13.3+26.8</f>
        <v>40.1</v>
      </c>
      <c r="U37" s="70">
        <f t="shared" si="4"/>
        <v>40.1</v>
      </c>
      <c r="V37" s="70">
        <f t="shared" si="4"/>
        <v>40.1</v>
      </c>
      <c r="W37" s="70">
        <f>13.1+26.1</f>
        <v>39.200000000000003</v>
      </c>
      <c r="X37" s="70">
        <f>12.8+25.8</f>
        <v>38.6</v>
      </c>
      <c r="Y37" s="70">
        <f>12.7+25.2</f>
        <v>37.9</v>
      </c>
      <c r="Z37" s="70">
        <f>12.7+25.2</f>
        <v>37.9</v>
      </c>
      <c r="AA37" s="70">
        <f>12.5+24.8</f>
        <v>37.299999999999997</v>
      </c>
      <c r="AB37" s="70">
        <v>37</v>
      </c>
      <c r="AC37" s="70">
        <v>38.5</v>
      </c>
      <c r="AD37" s="70">
        <v>38</v>
      </c>
      <c r="AE37" s="70">
        <v>40</v>
      </c>
      <c r="AF37" s="70">
        <v>40.5</v>
      </c>
      <c r="AG37" s="67">
        <v>240</v>
      </c>
      <c r="AH37" s="54">
        <f t="shared" si="2"/>
        <v>44.6</v>
      </c>
      <c r="AI37" s="55">
        <f t="shared" si="3"/>
        <v>37</v>
      </c>
      <c r="AK37" s="56"/>
    </row>
    <row r="38" spans="1:88" ht="15.75" thickBot="1" x14ac:dyDescent="0.3">
      <c r="A38" s="71" t="s">
        <v>46</v>
      </c>
      <c r="B38" s="72">
        <v>398.29999999999995</v>
      </c>
      <c r="C38" s="72">
        <f t="shared" ref="C38:AF38" si="5">SUM(C11:C36)</f>
        <v>394.2</v>
      </c>
      <c r="D38" s="72">
        <f t="shared" si="5"/>
        <v>394.2</v>
      </c>
      <c r="E38" s="72">
        <f t="shared" si="5"/>
        <v>393.70000000000005</v>
      </c>
      <c r="F38" s="72">
        <f t="shared" si="5"/>
        <v>393.70000000000005</v>
      </c>
      <c r="G38" s="72">
        <f t="shared" si="5"/>
        <v>394.29999999999995</v>
      </c>
      <c r="H38" s="72">
        <f t="shared" si="5"/>
        <v>394.9</v>
      </c>
      <c r="I38" s="72">
        <f t="shared" si="5"/>
        <v>393.2</v>
      </c>
      <c r="J38" s="72">
        <f t="shared" si="5"/>
        <v>531.19999999999993</v>
      </c>
      <c r="K38" s="72">
        <f t="shared" si="5"/>
        <v>661.19999999999993</v>
      </c>
      <c r="L38" s="72">
        <f t="shared" si="5"/>
        <v>680</v>
      </c>
      <c r="M38" s="72">
        <f t="shared" si="5"/>
        <v>730</v>
      </c>
      <c r="N38" s="72">
        <f t="shared" si="5"/>
        <v>598</v>
      </c>
      <c r="O38" s="72">
        <f t="shared" si="5"/>
        <v>522.99999999999989</v>
      </c>
      <c r="P38" s="72">
        <f t="shared" si="5"/>
        <v>390</v>
      </c>
      <c r="Q38" s="72">
        <f t="shared" si="5"/>
        <v>390.59999999999997</v>
      </c>
      <c r="R38" s="72">
        <f t="shared" si="5"/>
        <v>388</v>
      </c>
      <c r="S38" s="72">
        <f t="shared" si="5"/>
        <v>386.1</v>
      </c>
      <c r="T38" s="72">
        <f t="shared" si="5"/>
        <v>386.1</v>
      </c>
      <c r="U38" s="72">
        <f t="shared" si="5"/>
        <v>386.1</v>
      </c>
      <c r="V38" s="72">
        <f t="shared" si="5"/>
        <v>404.1</v>
      </c>
      <c r="W38" s="72">
        <f t="shared" si="5"/>
        <v>534.09999999999991</v>
      </c>
      <c r="X38" s="72">
        <f t="shared" si="5"/>
        <v>614.09999999999991</v>
      </c>
      <c r="Y38" s="72">
        <f t="shared" si="5"/>
        <v>645.1</v>
      </c>
      <c r="Z38" s="72">
        <f t="shared" si="5"/>
        <v>755.10000000000014</v>
      </c>
      <c r="AA38" s="72">
        <f t="shared" si="5"/>
        <v>725.10000000000014</v>
      </c>
      <c r="AB38" s="72">
        <f t="shared" si="5"/>
        <v>611.1</v>
      </c>
      <c r="AC38" s="72">
        <f t="shared" si="5"/>
        <v>450.09999999999997</v>
      </c>
      <c r="AD38" s="72">
        <f t="shared" si="5"/>
        <v>389.59999999999997</v>
      </c>
      <c r="AE38" s="72">
        <f t="shared" si="5"/>
        <v>389.59999999999997</v>
      </c>
      <c r="AF38" s="72">
        <f t="shared" si="5"/>
        <v>389.59999999999997</v>
      </c>
      <c r="AG38" s="67">
        <f>SUM(AG11:AG37)</f>
        <v>1492.8299999999997</v>
      </c>
      <c r="AH38" s="54">
        <f t="shared" si="2"/>
        <v>755.10000000000014</v>
      </c>
      <c r="AI38" s="55">
        <f t="shared" si="3"/>
        <v>386.1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0</v>
      </c>
      <c r="H39" s="61">
        <v>25.4</v>
      </c>
      <c r="I39" s="61">
        <v>25.3</v>
      </c>
      <c r="J39" s="61">
        <v>84.6</v>
      </c>
      <c r="K39" s="61">
        <v>121.4</v>
      </c>
      <c r="L39" s="61">
        <v>144.4</v>
      </c>
      <c r="M39" s="50">
        <v>145.80000000000001</v>
      </c>
      <c r="N39" s="50">
        <v>145.80000000000001</v>
      </c>
      <c r="O39" s="50">
        <v>121.8</v>
      </c>
      <c r="P39" s="50">
        <v>103.7</v>
      </c>
      <c r="Q39" s="50">
        <v>60.2</v>
      </c>
      <c r="R39" s="50">
        <v>60.9</v>
      </c>
      <c r="S39" s="50">
        <v>60.9</v>
      </c>
      <c r="T39" s="50">
        <v>60.9</v>
      </c>
      <c r="U39" s="50">
        <v>60.9</v>
      </c>
      <c r="V39" s="50">
        <v>90</v>
      </c>
      <c r="W39" s="50">
        <v>121.5</v>
      </c>
      <c r="X39" s="50">
        <v>140.4</v>
      </c>
      <c r="Y39" s="50">
        <v>145.1</v>
      </c>
      <c r="Z39" s="50">
        <v>145.1</v>
      </c>
      <c r="AA39" s="50">
        <v>144.69999999999999</v>
      </c>
      <c r="AB39" s="50">
        <v>144.4</v>
      </c>
      <c r="AC39" s="50">
        <v>117.8</v>
      </c>
      <c r="AD39" s="50">
        <v>90.4</v>
      </c>
      <c r="AE39" s="50">
        <v>31</v>
      </c>
      <c r="AF39" s="49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22</v>
      </c>
      <c r="J40" s="61">
        <v>35</v>
      </c>
      <c r="K40" s="61">
        <v>37.200000000000003</v>
      </c>
      <c r="L40" s="61">
        <v>36.1</v>
      </c>
      <c r="M40" s="73">
        <v>69.099999999999994</v>
      </c>
      <c r="N40" s="73">
        <v>69.3</v>
      </c>
      <c r="O40" s="73">
        <v>69</v>
      </c>
      <c r="P40" s="73">
        <v>49</v>
      </c>
      <c r="Q40" s="73">
        <v>23.7</v>
      </c>
      <c r="R40" s="73">
        <v>32.200000000000003</v>
      </c>
      <c r="S40" s="73">
        <v>21.5</v>
      </c>
      <c r="T40" s="73">
        <v>21.5</v>
      </c>
      <c r="U40" s="73">
        <v>21.5</v>
      </c>
      <c r="V40" s="73">
        <v>35</v>
      </c>
      <c r="W40" s="73">
        <v>69.2</v>
      </c>
      <c r="X40" s="73">
        <v>70.5</v>
      </c>
      <c r="Y40" s="73">
        <v>71.599999999999994</v>
      </c>
      <c r="Z40" s="73">
        <v>71.599999999999994</v>
      </c>
      <c r="AA40" s="73">
        <v>70.400000000000006</v>
      </c>
      <c r="AB40" s="73">
        <v>71.3</v>
      </c>
      <c r="AC40" s="73">
        <v>60.5</v>
      </c>
      <c r="AD40" s="73">
        <v>34.299999999999997</v>
      </c>
      <c r="AE40" s="73">
        <v>22.5</v>
      </c>
      <c r="AF40" s="61">
        <v>0</v>
      </c>
      <c r="AG40" s="67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17.100000000000001</v>
      </c>
      <c r="C41" s="61">
        <v>17.399999999999999</v>
      </c>
      <c r="D41" s="61">
        <v>23.6</v>
      </c>
      <c r="E41" s="61">
        <v>23.5</v>
      </c>
      <c r="F41" s="61">
        <v>17.100000000000001</v>
      </c>
      <c r="G41" s="61">
        <v>23.6</v>
      </c>
      <c r="H41" s="61">
        <v>23.5</v>
      </c>
      <c r="I41" s="61">
        <v>23.1</v>
      </c>
      <c r="J41" s="61">
        <v>47.7</v>
      </c>
      <c r="K41" s="61">
        <v>68.7</v>
      </c>
      <c r="L41" s="61">
        <v>68.5</v>
      </c>
      <c r="M41" s="73">
        <v>68</v>
      </c>
      <c r="N41" s="73">
        <v>67</v>
      </c>
      <c r="O41" s="73">
        <v>55.3</v>
      </c>
      <c r="P41" s="73">
        <v>55.4</v>
      </c>
      <c r="Q41" s="73">
        <v>35.4</v>
      </c>
      <c r="R41" s="73">
        <v>16.899999999999999</v>
      </c>
      <c r="S41" s="73">
        <v>0</v>
      </c>
      <c r="T41" s="73">
        <v>0</v>
      </c>
      <c r="U41" s="73">
        <v>24</v>
      </c>
      <c r="V41" s="73">
        <v>24</v>
      </c>
      <c r="W41" s="73">
        <v>34.9</v>
      </c>
      <c r="X41" s="73">
        <v>64.5</v>
      </c>
      <c r="Y41" s="73">
        <v>68.3</v>
      </c>
      <c r="Z41" s="73">
        <v>68.3</v>
      </c>
      <c r="AA41" s="73">
        <v>67.2</v>
      </c>
      <c r="AB41" s="73">
        <v>67.400000000000006</v>
      </c>
      <c r="AC41" s="73">
        <v>33</v>
      </c>
      <c r="AD41" s="73">
        <v>34</v>
      </c>
      <c r="AE41" s="73">
        <v>15.3</v>
      </c>
      <c r="AF41" s="61">
        <v>0</v>
      </c>
      <c r="AG41" s="67">
        <v>69</v>
      </c>
      <c r="AH41" s="54">
        <f t="shared" si="2"/>
        <v>68.7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47.4</v>
      </c>
      <c r="C42" s="61">
        <v>47.4</v>
      </c>
      <c r="D42" s="61">
        <v>47.4</v>
      </c>
      <c r="E42" s="61">
        <v>47.1</v>
      </c>
      <c r="F42" s="61">
        <v>47.1</v>
      </c>
      <c r="G42" s="61">
        <v>47.4</v>
      </c>
      <c r="H42" s="61">
        <v>47.1</v>
      </c>
      <c r="I42" s="61">
        <v>47.1</v>
      </c>
      <c r="J42" s="61">
        <v>49.1</v>
      </c>
      <c r="K42" s="61">
        <v>49.1</v>
      </c>
      <c r="L42" s="61">
        <v>49.1</v>
      </c>
      <c r="M42" s="73">
        <v>49.1</v>
      </c>
      <c r="N42" s="73">
        <v>48.6</v>
      </c>
      <c r="O42" s="73">
        <v>48.9</v>
      </c>
      <c r="P42" s="73">
        <v>48.6</v>
      </c>
      <c r="Q42" s="73">
        <v>48.1</v>
      </c>
      <c r="R42" s="73">
        <v>46.6</v>
      </c>
      <c r="S42" s="73">
        <v>46.9</v>
      </c>
      <c r="T42" s="73">
        <v>46.9</v>
      </c>
      <c r="U42" s="73">
        <v>46.9</v>
      </c>
      <c r="V42" s="73">
        <v>46.9</v>
      </c>
      <c r="W42" s="73">
        <v>42.3</v>
      </c>
      <c r="X42" s="73">
        <v>44.4</v>
      </c>
      <c r="Y42" s="73">
        <v>44.6</v>
      </c>
      <c r="Z42" s="73">
        <v>44.6</v>
      </c>
      <c r="AA42" s="73">
        <v>45.1</v>
      </c>
      <c r="AB42" s="73">
        <v>45.1</v>
      </c>
      <c r="AC42" s="73">
        <v>50.4</v>
      </c>
      <c r="AD42" s="73">
        <v>49.4</v>
      </c>
      <c r="AE42" s="73">
        <v>51.4</v>
      </c>
      <c r="AF42" s="61">
        <v>51.4</v>
      </c>
      <c r="AG42" s="67">
        <v>60</v>
      </c>
      <c r="AH42" s="54">
        <f t="shared" si="2"/>
        <v>51.4</v>
      </c>
      <c r="AI42" s="55">
        <f t="shared" si="3"/>
        <v>42.3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10</v>
      </c>
      <c r="J43" s="61">
        <v>15</v>
      </c>
      <c r="K43" s="61">
        <v>28</v>
      </c>
      <c r="L43" s="61">
        <v>30</v>
      </c>
      <c r="M43" s="50">
        <v>30</v>
      </c>
      <c r="N43" s="50">
        <v>29</v>
      </c>
      <c r="O43" s="50">
        <v>15</v>
      </c>
      <c r="P43" s="50">
        <v>10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10</v>
      </c>
      <c r="W43" s="50">
        <v>10</v>
      </c>
      <c r="X43" s="50">
        <v>10</v>
      </c>
      <c r="Y43" s="50">
        <v>25</v>
      </c>
      <c r="Z43" s="50">
        <v>30</v>
      </c>
      <c r="AA43" s="73">
        <v>23</v>
      </c>
      <c r="AB43" s="73">
        <v>23</v>
      </c>
      <c r="AC43" s="73">
        <v>10</v>
      </c>
      <c r="AD43" s="73">
        <v>0</v>
      </c>
      <c r="AE43" s="73">
        <v>0</v>
      </c>
      <c r="AF43" s="73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61">
        <v>4</v>
      </c>
      <c r="Q46" s="61">
        <v>4</v>
      </c>
      <c r="R46" s="61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6.4</v>
      </c>
      <c r="C49" s="61">
        <v>6.4</v>
      </c>
      <c r="D49" s="61">
        <v>6.4</v>
      </c>
      <c r="E49" s="61">
        <v>6.4</v>
      </c>
      <c r="F49" s="61">
        <v>6.4</v>
      </c>
      <c r="G49" s="61">
        <v>6.4</v>
      </c>
      <c r="H49" s="61">
        <v>6.4</v>
      </c>
      <c r="I49" s="61">
        <v>6.4</v>
      </c>
      <c r="J49" s="61">
        <v>6.4</v>
      </c>
      <c r="K49" s="61">
        <v>6.4</v>
      </c>
      <c r="L49" s="61">
        <v>6.4</v>
      </c>
      <c r="M49" s="61">
        <v>6.4</v>
      </c>
      <c r="N49" s="61">
        <v>6.4</v>
      </c>
      <c r="O49" s="61">
        <v>6.4</v>
      </c>
      <c r="P49" s="61">
        <v>6.4</v>
      </c>
      <c r="Q49" s="61">
        <v>6.4</v>
      </c>
      <c r="R49" s="61">
        <v>6.4</v>
      </c>
      <c r="S49" s="50">
        <v>6.4</v>
      </c>
      <c r="T49" s="50">
        <v>6.4</v>
      </c>
      <c r="U49" s="50">
        <v>6.4</v>
      </c>
      <c r="V49" s="50">
        <v>6.4</v>
      </c>
      <c r="W49" s="50">
        <v>6.4</v>
      </c>
      <c r="X49" s="50">
        <v>6.4</v>
      </c>
      <c r="Y49" s="50">
        <v>6.4</v>
      </c>
      <c r="Z49" s="50">
        <v>6.4</v>
      </c>
      <c r="AA49" s="50">
        <v>6.4</v>
      </c>
      <c r="AB49" s="50">
        <v>6.4</v>
      </c>
      <c r="AC49" s="50">
        <v>6.4</v>
      </c>
      <c r="AD49" s="50">
        <v>6.4</v>
      </c>
      <c r="AE49" s="50">
        <v>6.4</v>
      </c>
      <c r="AF49" s="50">
        <v>6.4</v>
      </c>
      <c r="AG49" s="67">
        <v>10.050000000000001</v>
      </c>
      <c r="AH49" s="54">
        <f t="shared" si="2"/>
        <v>6.4</v>
      </c>
      <c r="AI49" s="55">
        <f t="shared" si="3"/>
        <v>6.4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61">
        <v>3.2</v>
      </c>
      <c r="N50" s="61">
        <v>3.2</v>
      </c>
      <c r="O50" s="61">
        <v>3.2</v>
      </c>
      <c r="P50" s="61">
        <v>3.2</v>
      </c>
      <c r="Q50" s="61">
        <v>3.2</v>
      </c>
      <c r="R50" s="61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v>157.23999999999998</v>
      </c>
      <c r="C52" s="72">
        <f t="shared" ref="C52:AF52" si="7">SUM(C39:C51)</f>
        <v>112.94000000000001</v>
      </c>
      <c r="D52" s="72">
        <f t="shared" si="7"/>
        <v>119.14000000000001</v>
      </c>
      <c r="E52" s="72">
        <f t="shared" si="7"/>
        <v>118.74000000000001</v>
      </c>
      <c r="F52" s="72">
        <f t="shared" si="7"/>
        <v>112.34000000000002</v>
      </c>
      <c r="G52" s="72">
        <f t="shared" si="7"/>
        <v>119.14000000000001</v>
      </c>
      <c r="H52" s="72">
        <f t="shared" si="7"/>
        <v>144.13999999999999</v>
      </c>
      <c r="I52" s="72">
        <f t="shared" si="7"/>
        <v>175.64</v>
      </c>
      <c r="J52" s="72">
        <f t="shared" si="7"/>
        <v>279.53999999999996</v>
      </c>
      <c r="K52" s="72">
        <f t="shared" si="7"/>
        <v>352.54</v>
      </c>
      <c r="L52" s="72">
        <f t="shared" si="7"/>
        <v>376.24</v>
      </c>
      <c r="M52" s="72">
        <f t="shared" si="7"/>
        <v>410.14</v>
      </c>
      <c r="N52" s="72">
        <f t="shared" si="7"/>
        <v>407.84000000000003</v>
      </c>
      <c r="O52" s="72">
        <f t="shared" si="7"/>
        <v>358.14</v>
      </c>
      <c r="P52" s="72">
        <f t="shared" si="7"/>
        <v>314.83999999999997</v>
      </c>
      <c r="Q52" s="72">
        <f t="shared" si="7"/>
        <v>215.54</v>
      </c>
      <c r="R52" s="72">
        <f t="shared" si="7"/>
        <v>204.73999999999998</v>
      </c>
      <c r="S52" s="72">
        <f t="shared" si="7"/>
        <v>177.44</v>
      </c>
      <c r="T52" s="72">
        <f t="shared" si="7"/>
        <v>177.44</v>
      </c>
      <c r="U52" s="72">
        <f t="shared" si="7"/>
        <v>201.44</v>
      </c>
      <c r="V52" s="72">
        <f t="shared" si="7"/>
        <v>254.04</v>
      </c>
      <c r="W52" s="72">
        <f t="shared" si="7"/>
        <v>326.03999999999996</v>
      </c>
      <c r="X52" s="72">
        <f t="shared" si="7"/>
        <v>377.93999999999994</v>
      </c>
      <c r="Y52" s="72">
        <f t="shared" si="7"/>
        <v>402.74</v>
      </c>
      <c r="Z52" s="72">
        <f t="shared" si="7"/>
        <v>407.74</v>
      </c>
      <c r="AA52" s="72">
        <f t="shared" si="7"/>
        <v>398.54</v>
      </c>
      <c r="AB52" s="72">
        <f t="shared" si="7"/>
        <v>399.34000000000003</v>
      </c>
      <c r="AC52" s="72">
        <f t="shared" si="7"/>
        <v>319.83999999999997</v>
      </c>
      <c r="AD52" s="72">
        <f t="shared" si="7"/>
        <v>256.24</v>
      </c>
      <c r="AE52" s="72">
        <f t="shared" si="7"/>
        <v>168.33999999999997</v>
      </c>
      <c r="AF52" s="72">
        <f t="shared" si="7"/>
        <v>99.54000000000002</v>
      </c>
      <c r="AG52" s="78">
        <f>SUM(AG39:AG51)</f>
        <v>489.91</v>
      </c>
      <c r="AH52" s="54">
        <f t="shared" si="2"/>
        <v>410.14</v>
      </c>
      <c r="AI52" s="55">
        <f t="shared" si="3"/>
        <v>99.54000000000002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14.3</v>
      </c>
      <c r="L53" s="61">
        <v>44.4</v>
      </c>
      <c r="M53" s="79">
        <v>40.299999999999997</v>
      </c>
      <c r="N53" s="79">
        <v>50.2</v>
      </c>
      <c r="O53" s="79">
        <v>36</v>
      </c>
      <c r="P53" s="79">
        <v>14.3</v>
      </c>
      <c r="Q53" s="50">
        <v>10.5</v>
      </c>
      <c r="R53" s="50">
        <v>20</v>
      </c>
      <c r="S53" s="50">
        <v>13.5</v>
      </c>
      <c r="T53" s="50">
        <v>10</v>
      </c>
      <c r="U53" s="50">
        <v>14</v>
      </c>
      <c r="V53" s="50">
        <v>14</v>
      </c>
      <c r="W53" s="50">
        <v>13.8</v>
      </c>
      <c r="X53" s="50">
        <v>14.1</v>
      </c>
      <c r="Y53" s="50">
        <v>35.4</v>
      </c>
      <c r="Z53" s="50">
        <v>34.799999999999997</v>
      </c>
      <c r="AA53" s="50">
        <v>31.1</v>
      </c>
      <c r="AB53" s="50">
        <v>20.399999999999999</v>
      </c>
      <c r="AC53" s="50">
        <v>20.399999999999999</v>
      </c>
      <c r="AD53" s="50">
        <v>20.5</v>
      </c>
      <c r="AE53" s="50">
        <v>0</v>
      </c>
      <c r="AF53" s="50">
        <v>0</v>
      </c>
      <c r="AG53" s="62">
        <v>60</v>
      </c>
      <c r="AH53" s="54">
        <f t="shared" si="2"/>
        <v>50.2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6.1</v>
      </c>
      <c r="L54" s="61">
        <v>20.9</v>
      </c>
      <c r="M54" s="79">
        <v>17.8</v>
      </c>
      <c r="N54" s="79">
        <v>18.100000000000001</v>
      </c>
      <c r="O54" s="79">
        <v>16</v>
      </c>
      <c r="P54" s="79">
        <v>7</v>
      </c>
      <c r="Q54" s="73">
        <v>5.0999999999999996</v>
      </c>
      <c r="R54" s="73">
        <v>4.4000000000000004</v>
      </c>
      <c r="S54" s="50">
        <v>6.5</v>
      </c>
      <c r="T54" s="50">
        <v>4.5</v>
      </c>
      <c r="U54" s="50">
        <v>5.6</v>
      </c>
      <c r="V54" s="73">
        <v>4.5999999999999996</v>
      </c>
      <c r="W54" s="73">
        <v>7.9</v>
      </c>
      <c r="X54" s="73">
        <v>5.3</v>
      </c>
      <c r="Y54" s="73">
        <v>14.3</v>
      </c>
      <c r="Z54" s="73">
        <v>15.5</v>
      </c>
      <c r="AA54" s="73">
        <v>15.1</v>
      </c>
      <c r="AB54" s="73">
        <v>6.6</v>
      </c>
      <c r="AC54" s="73">
        <v>9.1</v>
      </c>
      <c r="AD54" s="73">
        <v>9.1</v>
      </c>
      <c r="AE54" s="73">
        <v>6.9</v>
      </c>
      <c r="AF54" s="73">
        <v>0</v>
      </c>
      <c r="AG54" s="67">
        <v>32</v>
      </c>
      <c r="AH54" s="54">
        <f t="shared" si="2"/>
        <v>20.9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2.2000000000000002</v>
      </c>
      <c r="L55" s="74">
        <v>7.6</v>
      </c>
      <c r="M55" s="81">
        <v>6.5</v>
      </c>
      <c r="N55" s="81">
        <v>6.6</v>
      </c>
      <c r="O55" s="81">
        <v>5.8</v>
      </c>
      <c r="P55" s="81">
        <v>2.5</v>
      </c>
      <c r="Q55" s="80">
        <v>1.9</v>
      </c>
      <c r="R55" s="80">
        <v>1.6</v>
      </c>
      <c r="S55" s="50">
        <v>2.4</v>
      </c>
      <c r="T55" s="50">
        <v>2</v>
      </c>
      <c r="U55" s="50">
        <v>2</v>
      </c>
      <c r="V55" s="80">
        <v>1.7</v>
      </c>
      <c r="W55" s="80">
        <v>2.9</v>
      </c>
      <c r="X55" s="80">
        <v>1.9</v>
      </c>
      <c r="Y55" s="80">
        <v>5.2</v>
      </c>
      <c r="Z55" s="80">
        <v>5.3</v>
      </c>
      <c r="AA55" s="80">
        <v>5.8</v>
      </c>
      <c r="AB55" s="80">
        <v>2.4</v>
      </c>
      <c r="AC55" s="80">
        <v>3.3</v>
      </c>
      <c r="AD55" s="80">
        <v>3.3</v>
      </c>
      <c r="AE55" s="80">
        <v>2.5</v>
      </c>
      <c r="AF55" s="80">
        <v>0</v>
      </c>
      <c r="AG55" s="82">
        <v>14</v>
      </c>
      <c r="AH55" s="54">
        <f t="shared" si="2"/>
        <v>7.6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0</v>
      </c>
      <c r="K56" s="72">
        <f t="shared" si="8"/>
        <v>22.599999999999998</v>
      </c>
      <c r="L56" s="72">
        <f t="shared" si="8"/>
        <v>72.899999999999991</v>
      </c>
      <c r="M56" s="72">
        <f t="shared" si="8"/>
        <v>64.599999999999994</v>
      </c>
      <c r="N56" s="72">
        <f t="shared" si="8"/>
        <v>74.900000000000006</v>
      </c>
      <c r="O56" s="72">
        <f t="shared" si="8"/>
        <v>57.8</v>
      </c>
      <c r="P56" s="72">
        <f t="shared" si="8"/>
        <v>23.8</v>
      </c>
      <c r="Q56" s="72">
        <f t="shared" si="8"/>
        <v>17.5</v>
      </c>
      <c r="R56" s="72">
        <f t="shared" si="8"/>
        <v>26</v>
      </c>
      <c r="S56" s="72">
        <f t="shared" si="8"/>
        <v>22.4</v>
      </c>
      <c r="T56" s="72">
        <f t="shared" si="8"/>
        <v>16.5</v>
      </c>
      <c r="U56" s="72">
        <f t="shared" si="8"/>
        <v>21.6</v>
      </c>
      <c r="V56" s="72">
        <f t="shared" si="8"/>
        <v>20.3</v>
      </c>
      <c r="W56" s="72">
        <f t="shared" si="8"/>
        <v>24.6</v>
      </c>
      <c r="X56" s="72">
        <f t="shared" si="8"/>
        <v>21.299999999999997</v>
      </c>
      <c r="Y56" s="72">
        <f t="shared" si="8"/>
        <v>54.900000000000006</v>
      </c>
      <c r="Z56" s="72">
        <f t="shared" si="8"/>
        <v>55.599999999999994</v>
      </c>
      <c r="AA56" s="72">
        <f t="shared" si="8"/>
        <v>52</v>
      </c>
      <c r="AB56" s="72">
        <f t="shared" si="8"/>
        <v>29.4</v>
      </c>
      <c r="AC56" s="72">
        <f t="shared" si="8"/>
        <v>32.799999999999997</v>
      </c>
      <c r="AD56" s="72">
        <f t="shared" si="8"/>
        <v>32.9</v>
      </c>
      <c r="AE56" s="72">
        <f t="shared" si="8"/>
        <v>9.4</v>
      </c>
      <c r="AF56" s="72">
        <f t="shared" si="8"/>
        <v>0</v>
      </c>
      <c r="AG56" s="78">
        <f>SUM(AG53:AG55)</f>
        <v>106</v>
      </c>
      <c r="AH56" s="54">
        <f t="shared" si="2"/>
        <v>74.900000000000006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70</v>
      </c>
      <c r="C57" s="50">
        <v>64</v>
      </c>
      <c r="D57" s="50">
        <v>64</v>
      </c>
      <c r="E57" s="50">
        <v>71</v>
      </c>
      <c r="F57" s="50">
        <v>70</v>
      </c>
      <c r="G57" s="50">
        <v>74</v>
      </c>
      <c r="H57" s="50">
        <v>69</v>
      </c>
      <c r="I57" s="50">
        <v>69</v>
      </c>
      <c r="J57" s="50">
        <v>73</v>
      </c>
      <c r="K57" s="50">
        <v>72</v>
      </c>
      <c r="L57" s="50">
        <v>70.5</v>
      </c>
      <c r="M57" s="50">
        <v>71.05</v>
      </c>
      <c r="N57" s="50">
        <v>68</v>
      </c>
      <c r="O57" s="50">
        <v>70</v>
      </c>
      <c r="P57" s="50">
        <v>67</v>
      </c>
      <c r="Q57" s="50">
        <v>69</v>
      </c>
      <c r="R57" s="50">
        <v>67</v>
      </c>
      <c r="S57" s="50">
        <v>68.47</v>
      </c>
      <c r="T57" s="50">
        <v>69</v>
      </c>
      <c r="U57" s="50">
        <v>72</v>
      </c>
      <c r="V57" s="50">
        <v>69</v>
      </c>
      <c r="W57" s="50">
        <v>69.209999999999994</v>
      </c>
      <c r="X57" s="50">
        <v>75.5</v>
      </c>
      <c r="Y57" s="50">
        <v>72</v>
      </c>
      <c r="Z57" s="50">
        <v>67</v>
      </c>
      <c r="AA57" s="50">
        <v>68</v>
      </c>
      <c r="AB57" s="50">
        <v>67</v>
      </c>
      <c r="AC57" s="50">
        <v>68.599999999999994</v>
      </c>
      <c r="AD57" s="50">
        <v>70</v>
      </c>
      <c r="AE57" s="50">
        <v>68.95</v>
      </c>
      <c r="AF57" s="50">
        <v>57.35</v>
      </c>
      <c r="AG57" s="62"/>
      <c r="AH57" s="54">
        <f t="shared" si="2"/>
        <v>75.5</v>
      </c>
      <c r="AI57" s="55">
        <f t="shared" si="3"/>
        <v>57.35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99</v>
      </c>
      <c r="L58" s="73">
        <v>106</v>
      </c>
      <c r="M58" s="50">
        <v>31.9</v>
      </c>
      <c r="N58" s="50">
        <v>122</v>
      </c>
      <c r="O58" s="50">
        <v>61.7</v>
      </c>
      <c r="P58" s="50">
        <v>102</v>
      </c>
      <c r="Q58" s="50">
        <v>80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80</v>
      </c>
      <c r="X58" s="83">
        <v>85</v>
      </c>
      <c r="Y58" s="83">
        <f>85</f>
        <v>85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122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372</v>
      </c>
      <c r="C59" s="73">
        <v>340</v>
      </c>
      <c r="D59" s="73">
        <v>330</v>
      </c>
      <c r="E59" s="73">
        <v>320</v>
      </c>
      <c r="F59" s="73">
        <v>318</v>
      </c>
      <c r="G59" s="73">
        <v>346</v>
      </c>
      <c r="H59" s="50">
        <v>323.3</v>
      </c>
      <c r="I59" s="50">
        <v>370</v>
      </c>
      <c r="J59" s="50">
        <v>285</v>
      </c>
      <c r="K59" s="50">
        <v>55</v>
      </c>
      <c r="L59" s="50">
        <v>40</v>
      </c>
      <c r="M59" s="73">
        <v>65.400000000000006</v>
      </c>
      <c r="N59" s="73">
        <v>43.7</v>
      </c>
      <c r="O59" s="73">
        <v>148</v>
      </c>
      <c r="P59" s="73">
        <v>252.4</v>
      </c>
      <c r="Q59" s="73">
        <v>330</v>
      </c>
      <c r="R59" s="73">
        <v>386</v>
      </c>
      <c r="S59" s="73">
        <v>394.7</v>
      </c>
      <c r="T59" s="73">
        <v>390</v>
      </c>
      <c r="U59" s="73">
        <v>397</v>
      </c>
      <c r="V59" s="73">
        <v>380</v>
      </c>
      <c r="W59" s="73">
        <v>95</v>
      </c>
      <c r="X59" s="84">
        <v>50</v>
      </c>
      <c r="Y59" s="84">
        <v>75</v>
      </c>
      <c r="Z59" s="84">
        <v>75</v>
      </c>
      <c r="AA59" s="84">
        <v>65</v>
      </c>
      <c r="AB59" s="73">
        <v>129.69999999999999</v>
      </c>
      <c r="AC59" s="73">
        <v>316</v>
      </c>
      <c r="AD59" s="73">
        <v>379</v>
      </c>
      <c r="AE59" s="73">
        <v>347</v>
      </c>
      <c r="AF59" s="73">
        <v>340.8</v>
      </c>
      <c r="AG59" s="85"/>
      <c r="AH59" s="54">
        <f t="shared" si="2"/>
        <v>397</v>
      </c>
      <c r="AI59" s="55">
        <f t="shared" si="3"/>
        <v>40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32.6</v>
      </c>
      <c r="H60" s="58">
        <v>39.200000000000003</v>
      </c>
      <c r="I60" s="58">
        <v>41.9</v>
      </c>
      <c r="J60" s="58">
        <v>54.6</v>
      </c>
      <c r="K60" s="58">
        <v>56.4</v>
      </c>
      <c r="L60" s="58">
        <v>57.1</v>
      </c>
      <c r="M60" s="73">
        <v>56.8</v>
      </c>
      <c r="N60" s="73">
        <v>60</v>
      </c>
      <c r="O60" s="73">
        <v>53.5</v>
      </c>
      <c r="P60" s="73">
        <v>58.2</v>
      </c>
      <c r="Q60" s="73">
        <v>56.4</v>
      </c>
      <c r="R60" s="73">
        <v>57.1</v>
      </c>
      <c r="S60" s="73">
        <v>52.7</v>
      </c>
      <c r="T60" s="73">
        <v>50</v>
      </c>
      <c r="U60" s="73">
        <v>41.5</v>
      </c>
      <c r="V60" s="73">
        <v>51.4</v>
      </c>
      <c r="W60" s="73">
        <v>55.9</v>
      </c>
      <c r="X60" s="73">
        <v>54.1</v>
      </c>
      <c r="Y60" s="73">
        <v>53.4</v>
      </c>
      <c r="Z60" s="73">
        <v>52.8</v>
      </c>
      <c r="AA60" s="73">
        <v>52.8</v>
      </c>
      <c r="AB60" s="73">
        <v>47.7</v>
      </c>
      <c r="AC60" s="73">
        <v>47.7</v>
      </c>
      <c r="AD60" s="73">
        <v>47.9</v>
      </c>
      <c r="AE60" s="73">
        <v>48.4</v>
      </c>
      <c r="AF60" s="58">
        <v>51.7</v>
      </c>
      <c r="AG60" s="85"/>
      <c r="AH60" s="54">
        <f t="shared" si="2"/>
        <v>60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73.7</v>
      </c>
      <c r="I61" s="58">
        <v>76.099999999999994</v>
      </c>
      <c r="J61" s="58">
        <v>76.599999999999994</v>
      </c>
      <c r="K61" s="58">
        <v>80.7</v>
      </c>
      <c r="L61" s="58">
        <v>72.7</v>
      </c>
      <c r="M61" s="50">
        <v>61.7</v>
      </c>
      <c r="N61" s="50">
        <v>63.9</v>
      </c>
      <c r="O61" s="50">
        <v>64.2</v>
      </c>
      <c r="P61" s="50">
        <v>65.400000000000006</v>
      </c>
      <c r="Q61" s="50">
        <v>71.3</v>
      </c>
      <c r="R61" s="50">
        <v>64.900000000000006</v>
      </c>
      <c r="S61" s="50">
        <v>67</v>
      </c>
      <c r="T61" s="50">
        <v>65</v>
      </c>
      <c r="U61" s="50">
        <v>61.3</v>
      </c>
      <c r="V61" s="50">
        <v>65.599999999999994</v>
      </c>
      <c r="W61" s="50">
        <v>66.5</v>
      </c>
      <c r="X61" s="50">
        <v>71.3</v>
      </c>
      <c r="Y61" s="50">
        <v>75</v>
      </c>
      <c r="Z61" s="50">
        <v>79.8</v>
      </c>
      <c r="AA61" s="50">
        <v>79.8</v>
      </c>
      <c r="AB61" s="50">
        <v>83.1</v>
      </c>
      <c r="AC61" s="50">
        <v>82.2</v>
      </c>
      <c r="AD61" s="50">
        <v>81.3</v>
      </c>
      <c r="AE61" s="50">
        <v>83.5</v>
      </c>
      <c r="AF61" s="50">
        <v>81.7</v>
      </c>
      <c r="AG61" s="85"/>
      <c r="AH61" s="54">
        <f t="shared" si="2"/>
        <v>83.5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60">
        <v>0</v>
      </c>
      <c r="AD64" s="60">
        <v>0</v>
      </c>
      <c r="AE64" s="60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60">
        <v>0</v>
      </c>
      <c r="AD65" s="60">
        <v>0</v>
      </c>
      <c r="AE65" s="60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63">
        <v>0</v>
      </c>
      <c r="O66" s="63">
        <v>0</v>
      </c>
      <c r="P66" s="63">
        <v>0</v>
      </c>
      <c r="Q66" s="58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0">
        <v>0</v>
      </c>
      <c r="AD66" s="60">
        <v>0</v>
      </c>
      <c r="AE66" s="60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63">
        <v>0</v>
      </c>
      <c r="O67" s="63">
        <v>0</v>
      </c>
      <c r="P67" s="63">
        <v>0</v>
      </c>
      <c r="Q67" s="58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0">
        <v>0</v>
      </c>
      <c r="AD67" s="60">
        <v>0</v>
      </c>
      <c r="AE67" s="60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v>440</v>
      </c>
      <c r="C68" s="72">
        <f>SUM(C57:C67)</f>
        <v>404</v>
      </c>
      <c r="D68" s="72">
        <f t="shared" ref="D68:AF68" si="9">SUM(D57:D67)</f>
        <v>394</v>
      </c>
      <c r="E68" s="72">
        <f t="shared" si="9"/>
        <v>391</v>
      </c>
      <c r="F68" s="72">
        <f t="shared" si="9"/>
        <v>388</v>
      </c>
      <c r="G68" s="72">
        <f t="shared" si="9"/>
        <v>452.6</v>
      </c>
      <c r="H68" s="72">
        <f t="shared" si="9"/>
        <v>505.2</v>
      </c>
      <c r="I68" s="72">
        <f t="shared" si="9"/>
        <v>557</v>
      </c>
      <c r="J68" s="72">
        <f t="shared" si="9"/>
        <v>489.20000000000005</v>
      </c>
      <c r="K68" s="72">
        <f t="shared" si="9"/>
        <v>363.09999999999997</v>
      </c>
      <c r="L68" s="72">
        <f t="shared" si="9"/>
        <v>346.3</v>
      </c>
      <c r="M68" s="72">
        <f t="shared" si="9"/>
        <v>286.84999999999997</v>
      </c>
      <c r="N68" s="72">
        <f t="shared" si="9"/>
        <v>357.59999999999997</v>
      </c>
      <c r="O68" s="72">
        <f t="shared" si="9"/>
        <v>397.4</v>
      </c>
      <c r="P68" s="72">
        <f t="shared" si="9"/>
        <v>545</v>
      </c>
      <c r="Q68" s="72">
        <f t="shared" si="9"/>
        <v>606.69999999999993</v>
      </c>
      <c r="R68" s="72">
        <f t="shared" si="9"/>
        <v>575</v>
      </c>
      <c r="S68" s="72">
        <f t="shared" si="9"/>
        <v>582.87</v>
      </c>
      <c r="T68" s="72">
        <f t="shared" si="9"/>
        <v>574</v>
      </c>
      <c r="U68" s="72">
        <f t="shared" si="9"/>
        <v>571.79999999999995</v>
      </c>
      <c r="V68" s="72">
        <f t="shared" si="9"/>
        <v>566</v>
      </c>
      <c r="W68" s="72">
        <f t="shared" si="9"/>
        <v>366.60999999999996</v>
      </c>
      <c r="X68" s="72">
        <f t="shared" si="9"/>
        <v>335.90000000000003</v>
      </c>
      <c r="Y68" s="72">
        <f t="shared" si="9"/>
        <v>360.4</v>
      </c>
      <c r="Z68" s="72">
        <f t="shared" si="9"/>
        <v>274.60000000000002</v>
      </c>
      <c r="AA68" s="72">
        <f t="shared" si="9"/>
        <v>265.60000000000002</v>
      </c>
      <c r="AB68" s="72">
        <f t="shared" si="9"/>
        <v>327.5</v>
      </c>
      <c r="AC68" s="72">
        <f t="shared" si="9"/>
        <v>514.5</v>
      </c>
      <c r="AD68" s="72">
        <f t="shared" si="9"/>
        <v>578.19999999999993</v>
      </c>
      <c r="AE68" s="72">
        <f t="shared" si="9"/>
        <v>547.84999999999991</v>
      </c>
      <c r="AF68" s="72">
        <f t="shared" si="9"/>
        <v>531.55000000000007</v>
      </c>
      <c r="AG68" s="78">
        <f>SUM(AG57:AG67)</f>
        <v>0</v>
      </c>
      <c r="AH68" s="54">
        <f t="shared" si="2"/>
        <v>606.69999999999993</v>
      </c>
      <c r="AI68" s="55">
        <f t="shared" si="3"/>
        <v>265.60000000000002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v>995.54</v>
      </c>
      <c r="C73" s="89">
        <f>C68+C56+C52+C38+C72</f>
        <v>911.1400000000001</v>
      </c>
      <c r="D73" s="89">
        <f t="shared" ref="D73:AG73" si="11">D68+D56+D52+D38+D72</f>
        <v>907.33999999999992</v>
      </c>
      <c r="E73" s="89">
        <f t="shared" si="11"/>
        <v>903.44</v>
      </c>
      <c r="F73" s="89">
        <f t="shared" si="11"/>
        <v>894.04000000000008</v>
      </c>
      <c r="G73" s="89">
        <f t="shared" si="11"/>
        <v>966.04</v>
      </c>
      <c r="H73" s="89">
        <f t="shared" si="11"/>
        <v>1044.2399999999998</v>
      </c>
      <c r="I73" s="89">
        <f t="shared" si="11"/>
        <v>1125.8399999999999</v>
      </c>
      <c r="J73" s="89">
        <f t="shared" si="11"/>
        <v>1299.94</v>
      </c>
      <c r="K73" s="89">
        <f t="shared" si="11"/>
        <v>1399.44</v>
      </c>
      <c r="L73" s="89">
        <f t="shared" si="11"/>
        <v>1475.44</v>
      </c>
      <c r="M73" s="89">
        <f t="shared" si="11"/>
        <v>1491.59</v>
      </c>
      <c r="N73" s="89">
        <f t="shared" si="11"/>
        <v>1438.3400000000001</v>
      </c>
      <c r="O73" s="89">
        <f t="shared" si="11"/>
        <v>1336.3399999999997</v>
      </c>
      <c r="P73" s="89">
        <f t="shared" si="11"/>
        <v>1273.6399999999999</v>
      </c>
      <c r="Q73" s="89">
        <f t="shared" si="11"/>
        <v>1230.3399999999999</v>
      </c>
      <c r="R73" s="89">
        <f t="shared" si="11"/>
        <v>1193.74</v>
      </c>
      <c r="S73" s="89">
        <f t="shared" si="11"/>
        <v>1168.81</v>
      </c>
      <c r="T73" s="89">
        <f t="shared" si="11"/>
        <v>1154.04</v>
      </c>
      <c r="U73" s="89">
        <f t="shared" si="11"/>
        <v>1180.94</v>
      </c>
      <c r="V73" s="89">
        <f t="shared" si="11"/>
        <v>1244.44</v>
      </c>
      <c r="W73" s="89">
        <f t="shared" si="11"/>
        <v>1251.3499999999999</v>
      </c>
      <c r="X73" s="89">
        <f t="shared" si="11"/>
        <v>1349.2399999999998</v>
      </c>
      <c r="Y73" s="89">
        <f t="shared" si="11"/>
        <v>1463.1399999999999</v>
      </c>
      <c r="Z73" s="89">
        <f t="shared" si="11"/>
        <v>1493.0400000000002</v>
      </c>
      <c r="AA73" s="89">
        <f t="shared" si="11"/>
        <v>1441.2400000000002</v>
      </c>
      <c r="AB73" s="89">
        <f t="shared" si="11"/>
        <v>1367.3400000000001</v>
      </c>
      <c r="AC73" s="89">
        <f t="shared" si="11"/>
        <v>1317.2399999999998</v>
      </c>
      <c r="AD73" s="89">
        <f t="shared" si="11"/>
        <v>1256.9399999999998</v>
      </c>
      <c r="AE73" s="89">
        <f t="shared" si="11"/>
        <v>1115.1899999999998</v>
      </c>
      <c r="AF73" s="89">
        <f t="shared" si="11"/>
        <v>1020.69</v>
      </c>
      <c r="AG73" s="89">
        <f t="shared" si="11"/>
        <v>2144.14</v>
      </c>
      <c r="AH73" s="54">
        <f t="shared" si="2"/>
        <v>1493.0400000000002</v>
      </c>
      <c r="AI73" s="55">
        <f t="shared" si="3"/>
        <v>894.04000000000008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v>995.54</v>
      </c>
      <c r="C75" s="89">
        <f>C73+C74</f>
        <v>911.1400000000001</v>
      </c>
      <c r="D75" s="89">
        <f t="shared" ref="D75:AF75" si="12">D72+D68+D56+D52+D38+D74</f>
        <v>907.33999999999992</v>
      </c>
      <c r="E75" s="89">
        <f t="shared" si="12"/>
        <v>903.44</v>
      </c>
      <c r="F75" s="89">
        <f t="shared" si="12"/>
        <v>894.04000000000008</v>
      </c>
      <c r="G75" s="89">
        <f t="shared" si="12"/>
        <v>966.04</v>
      </c>
      <c r="H75" s="89">
        <f t="shared" si="12"/>
        <v>1044.2399999999998</v>
      </c>
      <c r="I75" s="89">
        <f t="shared" si="12"/>
        <v>1125.8399999999999</v>
      </c>
      <c r="J75" s="89">
        <f t="shared" si="12"/>
        <v>1299.94</v>
      </c>
      <c r="K75" s="89">
        <f t="shared" si="12"/>
        <v>1399.44</v>
      </c>
      <c r="L75" s="89">
        <f t="shared" si="12"/>
        <v>1475.44</v>
      </c>
      <c r="M75" s="89">
        <f t="shared" si="12"/>
        <v>1491.59</v>
      </c>
      <c r="N75" s="89">
        <f t="shared" si="12"/>
        <v>1438.3400000000001</v>
      </c>
      <c r="O75" s="89">
        <f t="shared" si="12"/>
        <v>1336.3399999999997</v>
      </c>
      <c r="P75" s="89">
        <f t="shared" si="12"/>
        <v>1273.6399999999999</v>
      </c>
      <c r="Q75" s="89">
        <f t="shared" si="12"/>
        <v>1230.3399999999999</v>
      </c>
      <c r="R75" s="89">
        <f t="shared" si="12"/>
        <v>1193.74</v>
      </c>
      <c r="S75" s="89">
        <f t="shared" si="12"/>
        <v>1168.81</v>
      </c>
      <c r="T75" s="89">
        <f t="shared" si="12"/>
        <v>1154.04</v>
      </c>
      <c r="U75" s="89">
        <f t="shared" si="12"/>
        <v>1180.94</v>
      </c>
      <c r="V75" s="89">
        <f t="shared" si="12"/>
        <v>1244.44</v>
      </c>
      <c r="W75" s="89">
        <f t="shared" si="12"/>
        <v>1251.3499999999999</v>
      </c>
      <c r="X75" s="89">
        <f t="shared" si="12"/>
        <v>1349.2399999999998</v>
      </c>
      <c r="Y75" s="89">
        <f t="shared" si="12"/>
        <v>1463.1399999999999</v>
      </c>
      <c r="Z75" s="89">
        <f t="shared" si="12"/>
        <v>1493.0400000000002</v>
      </c>
      <c r="AA75" s="89">
        <f t="shared" si="12"/>
        <v>1441.2400000000002</v>
      </c>
      <c r="AB75" s="89">
        <f t="shared" si="12"/>
        <v>1367.3400000000001</v>
      </c>
      <c r="AC75" s="89">
        <f t="shared" si="12"/>
        <v>1317.2399999999998</v>
      </c>
      <c r="AD75" s="89">
        <f t="shared" si="12"/>
        <v>1256.9399999999998</v>
      </c>
      <c r="AE75" s="89">
        <f t="shared" si="12"/>
        <v>1115.1899999999998</v>
      </c>
      <c r="AF75" s="89">
        <f t="shared" si="12"/>
        <v>1020.69</v>
      </c>
      <c r="AG75" s="78">
        <f>AG72+AG68+AG56+AG52+AG38+AG74</f>
        <v>2144.14</v>
      </c>
      <c r="AH75" s="54">
        <f t="shared" si="2"/>
        <v>1493.0400000000002</v>
      </c>
      <c r="AI75" s="55">
        <f t="shared" si="3"/>
        <v>894.04000000000008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>
        <f t="shared" si="13"/>
        <v>0</v>
      </c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f t="shared" si="16"/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f t="shared" si="17"/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f t="shared" si="18"/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f t="shared" si="19"/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f t="shared" si="20"/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v>1991.08</v>
      </c>
      <c r="C83" s="72">
        <f t="shared" ref="C83:AG83" si="21">SUM(C70:C82)</f>
        <v>1822.2800000000002</v>
      </c>
      <c r="D83" s="72">
        <f t="shared" si="21"/>
        <v>1814.6799999999998</v>
      </c>
      <c r="E83" s="72">
        <f t="shared" si="21"/>
        <v>1806.88</v>
      </c>
      <c r="F83" s="72">
        <f t="shared" si="21"/>
        <v>1788.0800000000002</v>
      </c>
      <c r="G83" s="72">
        <f t="shared" si="21"/>
        <v>1932.08</v>
      </c>
      <c r="H83" s="72">
        <f t="shared" si="21"/>
        <v>2088.4799999999996</v>
      </c>
      <c r="I83" s="72">
        <f t="shared" si="21"/>
        <v>2251.6799999999998</v>
      </c>
      <c r="J83" s="72">
        <f t="shared" si="21"/>
        <v>2599.88</v>
      </c>
      <c r="K83" s="72">
        <f t="shared" si="21"/>
        <v>2798.88</v>
      </c>
      <c r="L83" s="72">
        <f t="shared" si="21"/>
        <v>2950.88</v>
      </c>
      <c r="M83" s="72">
        <f t="shared" si="21"/>
        <v>2983.18</v>
      </c>
      <c r="N83" s="72">
        <f t="shared" si="21"/>
        <v>2876.6800000000003</v>
      </c>
      <c r="O83" s="72">
        <f t="shared" si="21"/>
        <v>2672.6799999999994</v>
      </c>
      <c r="P83" s="72">
        <f t="shared" si="21"/>
        <v>2547.2799999999997</v>
      </c>
      <c r="Q83" s="72">
        <f t="shared" si="21"/>
        <v>2460.6799999999998</v>
      </c>
      <c r="R83" s="72">
        <f t="shared" si="21"/>
        <v>2387.48</v>
      </c>
      <c r="S83" s="72">
        <f t="shared" si="21"/>
        <v>2337.62</v>
      </c>
      <c r="T83" s="72">
        <f t="shared" si="21"/>
        <v>2308.08</v>
      </c>
      <c r="U83" s="72">
        <f t="shared" si="21"/>
        <v>2361.88</v>
      </c>
      <c r="V83" s="72">
        <f t="shared" si="21"/>
        <v>2488.88</v>
      </c>
      <c r="W83" s="72">
        <f t="shared" si="21"/>
        <v>2502.6999999999998</v>
      </c>
      <c r="X83" s="72">
        <f t="shared" si="21"/>
        <v>2698.4799999999996</v>
      </c>
      <c r="Y83" s="72">
        <f t="shared" si="21"/>
        <v>2926.2799999999997</v>
      </c>
      <c r="Z83" s="72">
        <f t="shared" si="21"/>
        <v>2986.0800000000004</v>
      </c>
      <c r="AA83" s="72">
        <f t="shared" si="21"/>
        <v>2882.4800000000005</v>
      </c>
      <c r="AB83" s="72">
        <f t="shared" si="21"/>
        <v>2734.6800000000003</v>
      </c>
      <c r="AC83" s="72">
        <f t="shared" si="21"/>
        <v>2634.4799999999996</v>
      </c>
      <c r="AD83" s="72">
        <f t="shared" si="21"/>
        <v>2513.8799999999997</v>
      </c>
      <c r="AE83" s="72">
        <f t="shared" si="21"/>
        <v>2230.3799999999997</v>
      </c>
      <c r="AF83" s="72">
        <f t="shared" si="21"/>
        <v>2041.38</v>
      </c>
      <c r="AG83" s="78">
        <f t="shared" si="21"/>
        <v>4360.08</v>
      </c>
      <c r="AH83" s="54">
        <f t="shared" si="14"/>
        <v>2986.0800000000004</v>
      </c>
      <c r="AI83" s="55">
        <f t="shared" si="15"/>
        <v>1788.0800000000002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49.98</v>
      </c>
      <c r="C84" s="95">
        <v>49.98</v>
      </c>
      <c r="D84" s="95">
        <v>50</v>
      </c>
      <c r="E84" s="96">
        <v>50.003</v>
      </c>
      <c r="F84" s="96">
        <v>50.033999999999999</v>
      </c>
      <c r="G84" s="96">
        <v>49.991999999999997</v>
      </c>
      <c r="H84" s="96">
        <v>50.027999999999999</v>
      </c>
      <c r="I84" s="96">
        <v>50.030999999999999</v>
      </c>
      <c r="J84" s="96">
        <v>50.067</v>
      </c>
      <c r="K84" s="96">
        <v>49.831000000000003</v>
      </c>
      <c r="L84" s="96">
        <v>49.856000000000002</v>
      </c>
      <c r="M84" s="96">
        <v>50.061999999999998</v>
      </c>
      <c r="N84" s="96">
        <v>50.017000000000003</v>
      </c>
      <c r="O84" s="96">
        <v>50.094999999999999</v>
      </c>
      <c r="P84" s="96">
        <v>50.023000000000003</v>
      </c>
      <c r="Q84" s="96">
        <v>50</v>
      </c>
      <c r="R84" s="96">
        <v>50.055</v>
      </c>
      <c r="S84" s="96">
        <v>50.000999999999998</v>
      </c>
      <c r="T84" s="96">
        <v>50.000999999999998</v>
      </c>
      <c r="U84" s="96">
        <v>49.953000000000003</v>
      </c>
      <c r="V84" s="96">
        <v>50</v>
      </c>
      <c r="W84" s="96">
        <v>49.994999999999997</v>
      </c>
      <c r="X84" s="96">
        <v>49.906999999999996</v>
      </c>
      <c r="Y84" s="96">
        <v>49.857999999999997</v>
      </c>
      <c r="Z84" s="96">
        <v>49.857999999999997</v>
      </c>
      <c r="AA84" s="96">
        <v>49.954999999999998</v>
      </c>
      <c r="AB84" s="96">
        <v>49.930999999999997</v>
      </c>
      <c r="AC84" s="96">
        <v>49.929000000000002</v>
      </c>
      <c r="AD84" s="96">
        <v>50.076999999999998</v>
      </c>
      <c r="AE84" s="96">
        <v>50.029000000000003</v>
      </c>
      <c r="AF84" s="96">
        <v>49.976999999999997</v>
      </c>
      <c r="AG84" s="97"/>
      <c r="AH84" s="54">
        <f t="shared" si="14"/>
        <v>50.094999999999999</v>
      </c>
      <c r="AI84" s="55">
        <f t="shared" si="15"/>
        <v>49.831000000000003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125.1</v>
      </c>
      <c r="C85" s="99">
        <v>125.1</v>
      </c>
      <c r="D85" s="99">
        <v>126.1</v>
      </c>
      <c r="E85" s="73">
        <v>127.2</v>
      </c>
      <c r="F85" s="73">
        <v>127.4</v>
      </c>
      <c r="G85" s="73">
        <v>125.4</v>
      </c>
      <c r="H85" s="73">
        <v>127.2</v>
      </c>
      <c r="I85" s="73">
        <v>126.2</v>
      </c>
      <c r="J85" s="73">
        <v>125.4</v>
      </c>
      <c r="K85" s="73">
        <v>124.6</v>
      </c>
      <c r="L85" s="73">
        <v>124.4</v>
      </c>
      <c r="M85" s="73">
        <v>122.8</v>
      </c>
      <c r="N85" s="73">
        <v>124.9</v>
      </c>
      <c r="O85" s="73">
        <v>125.3</v>
      </c>
      <c r="P85" s="73">
        <v>132.19999999999999</v>
      </c>
      <c r="Q85" s="73">
        <v>122.5</v>
      </c>
      <c r="R85" s="73">
        <v>123.3</v>
      </c>
      <c r="S85" s="73">
        <v>124.4</v>
      </c>
      <c r="T85" s="73">
        <v>124.4</v>
      </c>
      <c r="U85" s="100">
        <v>123.8</v>
      </c>
      <c r="V85" s="100">
        <v>128</v>
      </c>
      <c r="W85" s="100">
        <v>126.4</v>
      </c>
      <c r="X85" s="100">
        <v>125.3</v>
      </c>
      <c r="Y85" s="100">
        <v>125.4</v>
      </c>
      <c r="Z85" s="100">
        <v>125.4</v>
      </c>
      <c r="AA85" s="100">
        <v>125.1</v>
      </c>
      <c r="AB85" s="73">
        <v>126.5</v>
      </c>
      <c r="AC85" s="73">
        <v>127</v>
      </c>
      <c r="AD85" s="73">
        <v>126</v>
      </c>
      <c r="AE85" s="73">
        <v>126.7</v>
      </c>
      <c r="AF85" s="73">
        <v>125.9</v>
      </c>
      <c r="AG85" s="101"/>
      <c r="AH85" s="54">
        <f t="shared" si="14"/>
        <v>132.19999999999999</v>
      </c>
      <c r="AI85" s="55">
        <f t="shared" si="15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128.4</v>
      </c>
      <c r="C86" s="99">
        <v>128.4</v>
      </c>
      <c r="D86" s="99">
        <v>130.1</v>
      </c>
      <c r="E86" s="73">
        <v>131</v>
      </c>
      <c r="F86" s="73">
        <v>131.30000000000001</v>
      </c>
      <c r="G86" s="73">
        <v>129.4</v>
      </c>
      <c r="H86" s="73">
        <v>130.19999999999999</v>
      </c>
      <c r="I86" s="73">
        <v>129</v>
      </c>
      <c r="J86" s="73">
        <v>128.30000000000001</v>
      </c>
      <c r="K86" s="73">
        <v>127.1</v>
      </c>
      <c r="L86" s="73">
        <v>126.8</v>
      </c>
      <c r="M86" s="73">
        <v>125.1</v>
      </c>
      <c r="N86" s="73">
        <v>127.4</v>
      </c>
      <c r="O86" s="73">
        <v>127.5</v>
      </c>
      <c r="P86" s="73">
        <v>124.7</v>
      </c>
      <c r="Q86" s="73">
        <v>125.2</v>
      </c>
      <c r="R86" s="73">
        <v>125.9</v>
      </c>
      <c r="S86" s="73">
        <v>127</v>
      </c>
      <c r="T86" s="73">
        <v>127</v>
      </c>
      <c r="U86" s="100">
        <v>127</v>
      </c>
      <c r="V86" s="100">
        <v>130</v>
      </c>
      <c r="W86" s="100">
        <v>127.8</v>
      </c>
      <c r="X86" s="100">
        <v>127.3</v>
      </c>
      <c r="Y86" s="100">
        <v>127.8</v>
      </c>
      <c r="Z86" s="100">
        <v>127.8</v>
      </c>
      <c r="AA86" s="100">
        <v>126.5</v>
      </c>
      <c r="AB86" s="73">
        <v>127</v>
      </c>
      <c r="AC86" s="73">
        <v>129.19999999999999</v>
      </c>
      <c r="AD86" s="73">
        <v>128.6</v>
      </c>
      <c r="AE86" s="73">
        <v>129.19999999999999</v>
      </c>
      <c r="AF86" s="73">
        <v>129.1</v>
      </c>
      <c r="AG86" s="101"/>
      <c r="AH86" s="54">
        <f t="shared" si="14"/>
        <v>131.30000000000001</v>
      </c>
      <c r="AI86" s="55">
        <f t="shared" si="15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127.9</v>
      </c>
      <c r="C87" s="99">
        <v>127.9</v>
      </c>
      <c r="D87" s="99">
        <v>128.19999999999999</v>
      </c>
      <c r="E87" s="73">
        <v>129</v>
      </c>
      <c r="F87" s="73">
        <v>130.4</v>
      </c>
      <c r="G87" s="73">
        <v>128.1</v>
      </c>
      <c r="H87" s="73">
        <v>129.4</v>
      </c>
      <c r="I87" s="73">
        <v>129.9</v>
      </c>
      <c r="J87" s="73">
        <v>128.19999999999999</v>
      </c>
      <c r="K87" s="73">
        <v>129.1</v>
      </c>
      <c r="L87" s="73">
        <v>127.4</v>
      </c>
      <c r="M87" s="73">
        <v>131</v>
      </c>
      <c r="N87" s="73">
        <v>131.1</v>
      </c>
      <c r="O87" s="73">
        <v>130.80000000000001</v>
      </c>
      <c r="P87" s="73">
        <v>131.19999999999999</v>
      </c>
      <c r="Q87" s="73">
        <v>128.30000000000001</v>
      </c>
      <c r="R87" s="73">
        <v>128.19999999999999</v>
      </c>
      <c r="S87" s="73">
        <v>126.6</v>
      </c>
      <c r="T87" s="73">
        <v>126.6</v>
      </c>
      <c r="U87" s="73">
        <v>126.6</v>
      </c>
      <c r="V87" s="73">
        <v>132</v>
      </c>
      <c r="W87" s="73">
        <v>130.69999999999999</v>
      </c>
      <c r="X87" s="100">
        <v>129.6</v>
      </c>
      <c r="Y87" s="100">
        <v>128</v>
      </c>
      <c r="Z87" s="100">
        <v>128</v>
      </c>
      <c r="AA87" s="100">
        <v>129.5</v>
      </c>
      <c r="AB87" s="73">
        <v>128.19999999999999</v>
      </c>
      <c r="AC87" s="73">
        <v>130.9</v>
      </c>
      <c r="AD87" s="73">
        <v>129</v>
      </c>
      <c r="AE87" s="73">
        <v>129.19999999999999</v>
      </c>
      <c r="AF87" s="73">
        <v>129.19999999999999</v>
      </c>
      <c r="AG87" s="101"/>
      <c r="AH87" s="54">
        <f t="shared" si="14"/>
        <v>132</v>
      </c>
      <c r="AI87" s="55">
        <f t="shared" si="15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131</v>
      </c>
      <c r="C88" s="99">
        <v>131</v>
      </c>
      <c r="D88" s="99">
        <v>131.5</v>
      </c>
      <c r="E88" s="73">
        <v>132.4</v>
      </c>
      <c r="F88" s="73">
        <v>133.9</v>
      </c>
      <c r="G88" s="73">
        <v>131.4</v>
      </c>
      <c r="H88" s="73">
        <v>132.1</v>
      </c>
      <c r="I88" s="73">
        <v>132.19999999999999</v>
      </c>
      <c r="J88" s="73">
        <v>131.4</v>
      </c>
      <c r="K88" s="73">
        <v>131.69999999999999</v>
      </c>
      <c r="L88" s="73">
        <v>129.19999999999999</v>
      </c>
      <c r="M88" s="73">
        <v>129</v>
      </c>
      <c r="N88" s="73">
        <v>133.80000000000001</v>
      </c>
      <c r="O88" s="73">
        <v>134</v>
      </c>
      <c r="P88" s="73">
        <v>134.5</v>
      </c>
      <c r="Q88" s="73">
        <v>130.80000000000001</v>
      </c>
      <c r="R88" s="73">
        <v>131.80000000000001</v>
      </c>
      <c r="S88" s="73">
        <v>129.5</v>
      </c>
      <c r="T88" s="73">
        <v>129.5</v>
      </c>
      <c r="U88" s="73">
        <v>131</v>
      </c>
      <c r="V88" s="73">
        <v>134</v>
      </c>
      <c r="W88" s="73">
        <v>134.30000000000001</v>
      </c>
      <c r="X88" s="100">
        <v>132.80000000000001</v>
      </c>
      <c r="Y88" s="100">
        <v>131.5</v>
      </c>
      <c r="Z88" s="100">
        <v>131.5</v>
      </c>
      <c r="AA88" s="100">
        <v>134.30000000000001</v>
      </c>
      <c r="AB88" s="73">
        <v>132.19999999999999</v>
      </c>
      <c r="AC88" s="73">
        <v>134.80000000000001</v>
      </c>
      <c r="AD88" s="73">
        <v>132.19999999999999</v>
      </c>
      <c r="AE88" s="73">
        <v>130.69999999999999</v>
      </c>
      <c r="AF88" s="73">
        <v>130.6</v>
      </c>
      <c r="AG88" s="101"/>
      <c r="AH88" s="54">
        <f t="shared" si="14"/>
        <v>134.80000000000001</v>
      </c>
      <c r="AI88" s="55">
        <f t="shared" si="15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135.1</v>
      </c>
      <c r="C89" s="103">
        <v>135.1</v>
      </c>
      <c r="D89" s="103">
        <v>128.1</v>
      </c>
      <c r="E89" s="104">
        <v>130.6</v>
      </c>
      <c r="F89" s="104">
        <v>130.6</v>
      </c>
      <c r="G89" s="104">
        <v>131.1</v>
      </c>
      <c r="H89" s="104">
        <v>133.5</v>
      </c>
      <c r="I89" s="104">
        <v>131.1</v>
      </c>
      <c r="J89" s="104">
        <v>135.4</v>
      </c>
      <c r="K89" s="104">
        <v>131.9</v>
      </c>
      <c r="L89" s="104">
        <v>134</v>
      </c>
      <c r="M89" s="104">
        <v>131.5</v>
      </c>
      <c r="N89" s="104">
        <v>134.5</v>
      </c>
      <c r="O89" s="104">
        <v>133.5</v>
      </c>
      <c r="P89" s="104">
        <v>132.6</v>
      </c>
      <c r="Q89" s="104">
        <v>128.80000000000001</v>
      </c>
      <c r="R89" s="104">
        <v>131.19999999999999</v>
      </c>
      <c r="S89" s="104">
        <v>136.5</v>
      </c>
      <c r="T89" s="104">
        <v>136.5</v>
      </c>
      <c r="U89" s="104">
        <v>134.1</v>
      </c>
      <c r="V89" s="104">
        <v>136</v>
      </c>
      <c r="W89" s="104">
        <v>135</v>
      </c>
      <c r="X89" s="100">
        <v>136.30000000000001</v>
      </c>
      <c r="Y89" s="100">
        <v>133.4</v>
      </c>
      <c r="Z89" s="100">
        <v>133.4</v>
      </c>
      <c r="AA89" s="100">
        <v>133.1</v>
      </c>
      <c r="AB89" s="104">
        <v>136.19999999999999</v>
      </c>
      <c r="AC89" s="104">
        <v>135.19999999999999</v>
      </c>
      <c r="AD89" s="104">
        <v>133.5</v>
      </c>
      <c r="AE89" s="104">
        <v>131.6</v>
      </c>
      <c r="AF89" s="104">
        <v>127.7</v>
      </c>
      <c r="AG89" s="105"/>
      <c r="AH89" s="54">
        <f t="shared" si="14"/>
        <v>136.5</v>
      </c>
      <c r="AI89" s="55">
        <f t="shared" si="15"/>
        <v>127.7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135.19999999999999</v>
      </c>
      <c r="C90" s="99">
        <v>135.19999999999999</v>
      </c>
      <c r="D90" s="99">
        <v>136.9</v>
      </c>
      <c r="E90" s="73">
        <v>136.30000000000001</v>
      </c>
      <c r="F90" s="73">
        <v>137</v>
      </c>
      <c r="G90" s="73">
        <v>136</v>
      </c>
      <c r="H90" s="73">
        <v>136</v>
      </c>
      <c r="I90" s="73">
        <v>133.6</v>
      </c>
      <c r="J90" s="73">
        <v>130.9</v>
      </c>
      <c r="K90" s="73">
        <v>131.80000000000001</v>
      </c>
      <c r="L90" s="73">
        <v>129.6</v>
      </c>
      <c r="M90" s="73">
        <v>130.69999999999999</v>
      </c>
      <c r="N90" s="73">
        <v>130.80000000000001</v>
      </c>
      <c r="O90" s="73">
        <v>129.80000000000001</v>
      </c>
      <c r="P90" s="73">
        <v>130.69999999999999</v>
      </c>
      <c r="Q90" s="73">
        <v>134.1</v>
      </c>
      <c r="R90" s="73">
        <v>134.1</v>
      </c>
      <c r="S90" s="73">
        <v>133.9</v>
      </c>
      <c r="T90" s="73">
        <v>133.9</v>
      </c>
      <c r="U90" s="73">
        <v>133.6</v>
      </c>
      <c r="V90" s="73">
        <v>133</v>
      </c>
      <c r="W90" s="73">
        <v>132.6</v>
      </c>
      <c r="X90" s="100">
        <v>132.9</v>
      </c>
      <c r="Y90" s="100">
        <v>129.80000000000001</v>
      </c>
      <c r="Z90" s="100">
        <v>129.80000000000001</v>
      </c>
      <c r="AA90" s="100">
        <v>136.19999999999999</v>
      </c>
      <c r="AB90" s="73">
        <v>136.1</v>
      </c>
      <c r="AC90" s="73">
        <v>134.4</v>
      </c>
      <c r="AD90" s="73">
        <v>135.5</v>
      </c>
      <c r="AE90" s="73">
        <v>134.1</v>
      </c>
      <c r="AF90" s="73">
        <v>135.80000000000001</v>
      </c>
      <c r="AG90" s="101"/>
      <c r="AH90" s="54">
        <f t="shared" si="14"/>
        <v>137</v>
      </c>
      <c r="AI90" s="55">
        <f t="shared" si="15"/>
        <v>129.6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64.900000000000006</v>
      </c>
      <c r="C91" s="106">
        <v>64.900000000000006</v>
      </c>
      <c r="D91" s="106">
        <v>66</v>
      </c>
      <c r="E91" s="107">
        <v>66.3</v>
      </c>
      <c r="F91" s="107">
        <v>66.2</v>
      </c>
      <c r="G91" s="107">
        <v>65.3</v>
      </c>
      <c r="H91" s="107">
        <v>65.900000000000006</v>
      </c>
      <c r="I91" s="107">
        <v>65.400000000000006</v>
      </c>
      <c r="J91" s="107">
        <v>64.900000000000006</v>
      </c>
      <c r="K91" s="107">
        <v>63.6</v>
      </c>
      <c r="L91" s="107">
        <v>64.3</v>
      </c>
      <c r="M91" s="107">
        <v>63.5</v>
      </c>
      <c r="N91" s="107">
        <v>63.5</v>
      </c>
      <c r="O91" s="107">
        <v>64.7</v>
      </c>
      <c r="P91" s="107">
        <v>62.7</v>
      </c>
      <c r="Q91" s="107">
        <v>63.2</v>
      </c>
      <c r="R91" s="107">
        <v>63.7</v>
      </c>
      <c r="S91" s="107">
        <v>64.3</v>
      </c>
      <c r="T91" s="107">
        <v>64.3</v>
      </c>
      <c r="U91" s="107">
        <v>64.2</v>
      </c>
      <c r="V91" s="107">
        <v>65.400000000000006</v>
      </c>
      <c r="W91" s="107">
        <v>64.599999999999994</v>
      </c>
      <c r="X91" s="107">
        <v>64.5</v>
      </c>
      <c r="Y91" s="107">
        <v>64.3</v>
      </c>
      <c r="Z91" s="107">
        <v>64.3</v>
      </c>
      <c r="AA91" s="107">
        <v>64.2</v>
      </c>
      <c r="AB91" s="107">
        <v>64.8</v>
      </c>
      <c r="AC91" s="107">
        <v>65.400000000000006</v>
      </c>
      <c r="AD91" s="107">
        <v>65</v>
      </c>
      <c r="AE91" s="107">
        <v>65.2</v>
      </c>
      <c r="AF91" s="107">
        <v>65.2</v>
      </c>
      <c r="AG91" s="108"/>
      <c r="AH91" s="54">
        <f t="shared" si="14"/>
        <v>66.3</v>
      </c>
      <c r="AI91" s="55">
        <f t="shared" si="15"/>
        <v>62.7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174.23999999999998</v>
      </c>
      <c r="C93" s="114">
        <f>SUM(C15,C18,C21:C22,C42,C44:C45,C47,C49,C94:C97,C102,C108,C114,C123,C125,C137,C144,C147:C148,C155,C157,C159,C163:C165,C167:C169,C174,C180:C181,C183:C185,C193,C198)</f>
        <v>168.83999999999997</v>
      </c>
      <c r="D93" s="114">
        <f t="shared" ref="D93:AF93" si="22">SUM(D15,D18,D21:D22,D42,D44:D45,D47,D49,D94:D97,D102,D108,D114,D123,D125,D137,D144,D147:D148,D155,D157,D159,D163:D165,D167:D169,D174,D180:D181,D183:D185,D193,D198)</f>
        <v>162.03999999999996</v>
      </c>
      <c r="E93" s="114">
        <f t="shared" si="22"/>
        <v>174.94</v>
      </c>
      <c r="F93" s="114">
        <f t="shared" si="22"/>
        <v>178.34</v>
      </c>
      <c r="G93" s="113">
        <f t="shared" si="22"/>
        <v>195.03999999999996</v>
      </c>
      <c r="H93" s="113">
        <f t="shared" si="22"/>
        <v>227.03999999999996</v>
      </c>
      <c r="I93" s="113">
        <f t="shared" si="22"/>
        <v>259.34000000000003</v>
      </c>
      <c r="J93" s="113">
        <f t="shared" si="22"/>
        <v>306.44000000000005</v>
      </c>
      <c r="K93" s="113">
        <f t="shared" si="22"/>
        <v>360.44000000000005</v>
      </c>
      <c r="L93" s="113">
        <f t="shared" si="22"/>
        <v>402.74</v>
      </c>
      <c r="M93" s="113">
        <f t="shared" si="22"/>
        <v>405.34000000000003</v>
      </c>
      <c r="N93" s="113">
        <f t="shared" si="22"/>
        <v>379.84000000000003</v>
      </c>
      <c r="O93" s="113">
        <f t="shared" si="22"/>
        <v>375.14000000000004</v>
      </c>
      <c r="P93" s="113">
        <f t="shared" si="22"/>
        <v>354.64000000000004</v>
      </c>
      <c r="Q93" s="113">
        <f t="shared" si="22"/>
        <v>337.14000000000004</v>
      </c>
      <c r="R93" s="113">
        <f t="shared" si="22"/>
        <v>331.74</v>
      </c>
      <c r="S93" s="113">
        <f t="shared" si="22"/>
        <v>325.34000000000003</v>
      </c>
      <c r="T93" s="113">
        <f t="shared" si="22"/>
        <v>325.34000000000003</v>
      </c>
      <c r="U93" s="113">
        <f t="shared" si="22"/>
        <v>329.54000000000008</v>
      </c>
      <c r="V93" s="113">
        <f t="shared" si="22"/>
        <v>345.34000000000003</v>
      </c>
      <c r="W93" s="113">
        <f t="shared" si="22"/>
        <v>345.14000000000004</v>
      </c>
      <c r="X93" s="113">
        <f t="shared" si="22"/>
        <v>389.04000000000008</v>
      </c>
      <c r="Y93" s="113">
        <f t="shared" si="22"/>
        <v>429.94000000000005</v>
      </c>
      <c r="Z93" s="113">
        <f t="shared" si="22"/>
        <v>437.44000000000005</v>
      </c>
      <c r="AA93" s="113">
        <f t="shared" si="22"/>
        <v>437.94000000000005</v>
      </c>
      <c r="AB93" s="113">
        <f t="shared" si="22"/>
        <v>396.74000000000007</v>
      </c>
      <c r="AC93" s="113">
        <f t="shared" si="22"/>
        <v>368.04</v>
      </c>
      <c r="AD93" s="113">
        <f t="shared" si="22"/>
        <v>348.64000000000004</v>
      </c>
      <c r="AE93" s="113">
        <f t="shared" si="22"/>
        <v>279.84000000000003</v>
      </c>
      <c r="AF93" s="113">
        <f t="shared" si="22"/>
        <v>221.94</v>
      </c>
      <c r="AG93" s="115"/>
      <c r="AH93" s="54">
        <f>MAX(C93:AF93)</f>
        <v>437.94000000000005</v>
      </c>
      <c r="AI93" s="55">
        <f>MIN(C93:AF93)</f>
        <v>162.03999999999996</v>
      </c>
    </row>
    <row r="94" spans="1:88" x14ac:dyDescent="0.25">
      <c r="A94" s="116" t="s">
        <v>98</v>
      </c>
      <c r="B94" s="117">
        <v>-39.4</v>
      </c>
      <c r="C94" s="117">
        <v>-35</v>
      </c>
      <c r="D94" s="58">
        <v>-33.5</v>
      </c>
      <c r="E94" s="58">
        <v>-32</v>
      </c>
      <c r="F94" s="58">
        <v>-33.299999999999997</v>
      </c>
      <c r="G94" s="118">
        <v>-17.399999999999999</v>
      </c>
      <c r="H94" s="118">
        <v>-12.9</v>
      </c>
      <c r="I94" s="118">
        <v>-5.8</v>
      </c>
      <c r="J94" s="118">
        <v>23.9</v>
      </c>
      <c r="K94" s="118">
        <v>41.8</v>
      </c>
      <c r="L94" s="118">
        <v>45.1</v>
      </c>
      <c r="M94" s="119">
        <v>57.9</v>
      </c>
      <c r="N94" s="118">
        <v>62.7</v>
      </c>
      <c r="O94" s="118">
        <v>69.400000000000006</v>
      </c>
      <c r="P94" s="118">
        <v>50.9</v>
      </c>
      <c r="Q94" s="118">
        <v>13.8</v>
      </c>
      <c r="R94" s="118">
        <v>6.8</v>
      </c>
      <c r="S94" s="118">
        <v>7.2</v>
      </c>
      <c r="T94" s="118">
        <v>7.2</v>
      </c>
      <c r="U94" s="119">
        <v>11.3</v>
      </c>
      <c r="V94" s="119">
        <v>41</v>
      </c>
      <c r="W94" s="119">
        <v>55.4</v>
      </c>
      <c r="X94" s="118">
        <v>64.5</v>
      </c>
      <c r="Y94" s="118">
        <v>64.8</v>
      </c>
      <c r="Z94" s="118">
        <v>56.8</v>
      </c>
      <c r="AA94" s="118">
        <v>56.8</v>
      </c>
      <c r="AB94" s="119">
        <v>71.599999999999994</v>
      </c>
      <c r="AC94" s="119">
        <v>39.9</v>
      </c>
      <c r="AD94" s="119">
        <v>21.2</v>
      </c>
      <c r="AE94" s="119">
        <v>-6.9</v>
      </c>
      <c r="AF94" s="119">
        <v>-35.1</v>
      </c>
      <c r="AG94" s="120">
        <v>75</v>
      </c>
      <c r="AH94" s="54">
        <f>IF(ABS(MAX(C94:AF94))&gt;ABS(MIN(C94:AF94)),MAX(C94:AF94),MIN(C94:AF94))</f>
        <v>71.599999999999994</v>
      </c>
      <c r="AI94" s="121">
        <f>INDEX($C$9:$AF$9,1,MATCH(AH94,C94:AF94,0))</f>
        <v>0.83333333333333337</v>
      </c>
    </row>
    <row r="95" spans="1:88" x14ac:dyDescent="0.25">
      <c r="A95" s="122" t="s">
        <v>99</v>
      </c>
      <c r="B95" s="123">
        <f>-12.9-14.7</f>
        <v>-27.6</v>
      </c>
      <c r="C95" s="123">
        <f>-13.8-15.6</f>
        <v>-29.4</v>
      </c>
      <c r="D95" s="60">
        <f>-16.7-18</f>
        <v>-34.700000000000003</v>
      </c>
      <c r="E95" s="60">
        <v>-34</v>
      </c>
      <c r="F95" s="60">
        <v>-30</v>
      </c>
      <c r="G95" s="60">
        <v>-30</v>
      </c>
      <c r="H95" s="60">
        <v>-4</v>
      </c>
      <c r="I95" s="60">
        <v>6</v>
      </c>
      <c r="J95" s="60">
        <v>15</v>
      </c>
      <c r="K95" s="60">
        <v>30</v>
      </c>
      <c r="L95" s="60">
        <v>50</v>
      </c>
      <c r="M95" s="60">
        <v>45</v>
      </c>
      <c r="N95" s="60">
        <v>24</v>
      </c>
      <c r="O95" s="60">
        <v>20</v>
      </c>
      <c r="P95" s="60">
        <v>42.7</v>
      </c>
      <c r="Q95" s="60">
        <v>42</v>
      </c>
      <c r="R95" s="60">
        <v>39.700000000000003</v>
      </c>
      <c r="S95" s="60">
        <v>41.2</v>
      </c>
      <c r="T95" s="60">
        <v>41.2</v>
      </c>
      <c r="U95" s="60">
        <v>44</v>
      </c>
      <c r="V95" s="60">
        <v>30</v>
      </c>
      <c r="W95" s="60">
        <v>60</v>
      </c>
      <c r="X95" s="60">
        <v>54</v>
      </c>
      <c r="Y95" s="60">
        <v>70</v>
      </c>
      <c r="Z95" s="60">
        <v>80</v>
      </c>
      <c r="AA95" s="60">
        <v>80</v>
      </c>
      <c r="AB95" s="73">
        <v>60</v>
      </c>
      <c r="AC95" s="73">
        <v>39.1</v>
      </c>
      <c r="AD95" s="73">
        <v>37</v>
      </c>
      <c r="AE95" s="73">
        <v>17</v>
      </c>
      <c r="AF95" s="73">
        <v>-2</v>
      </c>
      <c r="AG95" s="120">
        <v>240</v>
      </c>
      <c r="AH95" s="54">
        <f>IF(ABS(MAX(C95:AF95))&gt;ABS(MIN(C95:AF95)),MAX(C95:AF95),MIN(C95:AF95))</f>
        <v>80</v>
      </c>
      <c r="AI95" s="121">
        <f>INDEX($C$9:$AF$9,1,MATCH(AH95,C95:AF95,0))</f>
        <v>0.79166666666666663</v>
      </c>
    </row>
    <row r="96" spans="1:88" x14ac:dyDescent="0.25">
      <c r="A96" s="122" t="s">
        <v>100</v>
      </c>
      <c r="B96" s="123">
        <v>-13.8</v>
      </c>
      <c r="C96" s="123">
        <v>-16.899999999999999</v>
      </c>
      <c r="D96" s="60">
        <v>-14.6</v>
      </c>
      <c r="E96" s="60">
        <v>-3.3</v>
      </c>
      <c r="F96" s="60">
        <v>-3.9</v>
      </c>
      <c r="G96" s="60">
        <v>-5.9</v>
      </c>
      <c r="H96" s="60">
        <v>-1.9</v>
      </c>
      <c r="I96" s="60">
        <v>8.1</v>
      </c>
      <c r="J96" s="60">
        <v>8.1</v>
      </c>
      <c r="K96" s="60">
        <v>18.3</v>
      </c>
      <c r="L96" s="60">
        <v>42.8</v>
      </c>
      <c r="M96" s="60">
        <v>38.1</v>
      </c>
      <c r="N96" s="60">
        <v>40.799999999999997</v>
      </c>
      <c r="O96" s="60">
        <v>39.5</v>
      </c>
      <c r="P96" s="60">
        <v>23.5</v>
      </c>
      <c r="Q96" s="60">
        <v>19.8</v>
      </c>
      <c r="R96" s="60">
        <v>30</v>
      </c>
      <c r="S96" s="60">
        <v>21.7</v>
      </c>
      <c r="T96" s="60">
        <v>21.7</v>
      </c>
      <c r="U96" s="60">
        <v>21.9</v>
      </c>
      <c r="V96" s="60">
        <v>23</v>
      </c>
      <c r="W96" s="60">
        <v>23.4</v>
      </c>
      <c r="X96" s="60">
        <v>44.6</v>
      </c>
      <c r="Y96" s="60">
        <v>44.3</v>
      </c>
      <c r="Z96" s="60">
        <v>44.6</v>
      </c>
      <c r="AA96" s="60">
        <v>44.6</v>
      </c>
      <c r="AB96" s="73">
        <v>30.5</v>
      </c>
      <c r="AC96" s="73">
        <v>29.7</v>
      </c>
      <c r="AD96" s="73">
        <v>29.6</v>
      </c>
      <c r="AE96" s="73">
        <v>10.3</v>
      </c>
      <c r="AF96" s="73">
        <v>6.7</v>
      </c>
      <c r="AG96" s="120">
        <v>60</v>
      </c>
      <c r="AH96" s="54">
        <f>IF(ABS(MAX(C96:AF96))&gt;ABS(MIN(C96:AF96)),MAX(C96:AF96),MIN(C96:AF96))</f>
        <v>44.6</v>
      </c>
      <c r="AI96" s="121">
        <f>INDEX($C$9:$AF$9,1,MATCH(AH96,C96:AF96,0))</f>
        <v>0.75</v>
      </c>
    </row>
    <row r="97" spans="1:37" x14ac:dyDescent="0.25">
      <c r="A97" s="124" t="s">
        <v>101</v>
      </c>
      <c r="B97" s="125">
        <v>95</v>
      </c>
      <c r="C97" s="125">
        <v>90.1</v>
      </c>
      <c r="D97" s="63">
        <v>84.8</v>
      </c>
      <c r="E97" s="63">
        <v>85.1</v>
      </c>
      <c r="F97" s="63">
        <v>86.4</v>
      </c>
      <c r="G97" s="63">
        <v>88.9</v>
      </c>
      <c r="H97" s="63">
        <v>86.7</v>
      </c>
      <c r="I97" s="63">
        <v>92.7</v>
      </c>
      <c r="J97" s="63">
        <v>99.1</v>
      </c>
      <c r="K97" s="63">
        <v>110</v>
      </c>
      <c r="L97" s="63">
        <v>104.5</v>
      </c>
      <c r="M97" s="63">
        <v>104</v>
      </c>
      <c r="N97" s="63">
        <v>92.5</v>
      </c>
      <c r="O97" s="63">
        <v>86.1</v>
      </c>
      <c r="P97" s="63">
        <v>77.7</v>
      </c>
      <c r="Q97" s="63">
        <v>101.8</v>
      </c>
      <c r="R97" s="63">
        <v>98.1</v>
      </c>
      <c r="S97" s="63">
        <v>98.9</v>
      </c>
      <c r="T97" s="63">
        <v>98.9</v>
      </c>
      <c r="U97" s="63">
        <v>96</v>
      </c>
      <c r="V97" s="63">
        <v>95</v>
      </c>
      <c r="W97" s="63">
        <v>54.6</v>
      </c>
      <c r="X97" s="63">
        <v>72.099999999999994</v>
      </c>
      <c r="Y97" s="63">
        <v>87</v>
      </c>
      <c r="Z97" s="63">
        <v>92.2</v>
      </c>
      <c r="AA97" s="63">
        <v>92.2</v>
      </c>
      <c r="AB97" s="126">
        <v>74.3</v>
      </c>
      <c r="AC97" s="126">
        <v>95.7</v>
      </c>
      <c r="AD97" s="126">
        <v>100.7</v>
      </c>
      <c r="AE97" s="126">
        <v>97.3</v>
      </c>
      <c r="AF97" s="126">
        <v>90.2</v>
      </c>
      <c r="AG97" s="127">
        <v>120</v>
      </c>
      <c r="AH97" s="54">
        <f>IF(ABS(MAX(C97:AF97))&gt;ABS(MIN(C97:AF97)),MAX(C97:AF97),MIN(C97:AF97))</f>
        <v>110</v>
      </c>
      <c r="AI97" s="121">
        <f>INDEX($C$9:$AF$9,1,MATCH(AH97,C97:AF97,0))</f>
        <v>0.29166666666666669</v>
      </c>
    </row>
    <row r="98" spans="1:37" x14ac:dyDescent="0.25">
      <c r="A98" s="124" t="s">
        <v>102</v>
      </c>
      <c r="B98" s="125">
        <v>98.6</v>
      </c>
      <c r="C98" s="125">
        <v>94.9</v>
      </c>
      <c r="D98" s="63">
        <v>73.7</v>
      </c>
      <c r="E98" s="63">
        <v>88.6</v>
      </c>
      <c r="F98" s="63">
        <v>92.4</v>
      </c>
      <c r="G98" s="63">
        <v>91.5</v>
      </c>
      <c r="H98" s="63">
        <v>75.5</v>
      </c>
      <c r="I98" s="63">
        <v>78.5</v>
      </c>
      <c r="J98" s="63">
        <v>76.599999999999994</v>
      </c>
      <c r="K98" s="63">
        <v>76.2</v>
      </c>
      <c r="L98" s="63">
        <v>75</v>
      </c>
      <c r="M98" s="63">
        <v>73.900000000000006</v>
      </c>
      <c r="N98" s="63">
        <v>42.3</v>
      </c>
      <c r="O98" s="63">
        <v>38.700000000000003</v>
      </c>
      <c r="P98" s="63">
        <v>77.599999999999994</v>
      </c>
      <c r="Q98" s="63">
        <v>103</v>
      </c>
      <c r="R98" s="63">
        <v>99.5</v>
      </c>
      <c r="S98" s="63">
        <v>99.6</v>
      </c>
      <c r="T98" s="63">
        <v>99.6</v>
      </c>
      <c r="U98" s="63">
        <v>101</v>
      </c>
      <c r="V98" s="63">
        <v>60</v>
      </c>
      <c r="W98" s="63">
        <v>76.599999999999994</v>
      </c>
      <c r="X98" s="63">
        <v>73.2</v>
      </c>
      <c r="Y98" s="63">
        <v>76.2</v>
      </c>
      <c r="Z98" s="63">
        <v>91.7</v>
      </c>
      <c r="AA98" s="63">
        <v>91.7</v>
      </c>
      <c r="AB98" s="126">
        <v>70.900000000000006</v>
      </c>
      <c r="AC98" s="126">
        <v>71.099999999999994</v>
      </c>
      <c r="AD98" s="126">
        <v>80.2</v>
      </c>
      <c r="AE98" s="126">
        <v>83.5</v>
      </c>
      <c r="AF98" s="126">
        <v>81.3</v>
      </c>
      <c r="AG98" s="127"/>
      <c r="AH98" s="54">
        <f>IF(ABS(MAX(C98:AF98))&gt;ABS(MIN(C98:AF98)),MAX(C98:AF98),MIN(C98:AF98))</f>
        <v>103</v>
      </c>
      <c r="AI98" s="121">
        <f>INDEX($C$9:$AF$9,1,MATCH(AH98,C98:AF98,0))</f>
        <v>0.5</v>
      </c>
    </row>
    <row r="99" spans="1:37" ht="15.75" thickBot="1" x14ac:dyDescent="0.3">
      <c r="A99" s="124" t="s">
        <v>103</v>
      </c>
      <c r="B99" s="125">
        <v>77.400000000000006</v>
      </c>
      <c r="C99" s="125">
        <v>73.900000000000006</v>
      </c>
      <c r="D99" s="63"/>
      <c r="E99" s="63">
        <v>72.7</v>
      </c>
      <c r="F99" s="63">
        <v>68.400000000000006</v>
      </c>
      <c r="G99" s="63">
        <v>49</v>
      </c>
      <c r="H99" s="63">
        <v>42.8</v>
      </c>
      <c r="I99" s="63">
        <v>51.8</v>
      </c>
      <c r="J99" s="63">
        <v>28.1</v>
      </c>
      <c r="K99" s="63">
        <v>18.8</v>
      </c>
      <c r="L99" s="63">
        <v>10.6</v>
      </c>
      <c r="M99" s="63">
        <v>11.2</v>
      </c>
      <c r="N99" s="63">
        <v>4</v>
      </c>
      <c r="O99" s="63">
        <v>4.5999999999999996</v>
      </c>
      <c r="P99" s="63">
        <v>18.8</v>
      </c>
      <c r="Q99" s="63">
        <v>38.200000000000003</v>
      </c>
      <c r="R99" s="63">
        <v>30.2</v>
      </c>
      <c r="S99" s="63">
        <v>23</v>
      </c>
      <c r="T99" s="63">
        <v>23</v>
      </c>
      <c r="U99" s="63">
        <v>28</v>
      </c>
      <c r="V99" s="63">
        <v>9</v>
      </c>
      <c r="W99" s="63">
        <v>8.4</v>
      </c>
      <c r="X99" s="63">
        <v>3.3</v>
      </c>
      <c r="Y99" s="63">
        <v>9.6</v>
      </c>
      <c r="Z99" s="63">
        <v>21.9</v>
      </c>
      <c r="AA99" s="63">
        <v>21.9</v>
      </c>
      <c r="AB99" s="126">
        <v>9.6</v>
      </c>
      <c r="AC99" s="126">
        <v>22.5</v>
      </c>
      <c r="AD99" s="126">
        <v>33</v>
      </c>
      <c r="AE99" s="126">
        <v>47.4</v>
      </c>
      <c r="AF99" s="126">
        <v>60.8</v>
      </c>
      <c r="AG99" s="128"/>
      <c r="AH99" s="54"/>
      <c r="AI99" s="121"/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3">AF101</f>
        <v>9.9</v>
      </c>
      <c r="C101" s="53">
        <v>9.9</v>
      </c>
      <c r="D101" s="134">
        <f t="shared" ref="D101:S106" si="24">C101</f>
        <v>9.9</v>
      </c>
      <c r="E101" s="134">
        <f t="shared" si="24"/>
        <v>9.9</v>
      </c>
      <c r="F101" s="134">
        <f t="shared" si="24"/>
        <v>9.9</v>
      </c>
      <c r="G101" s="134">
        <f t="shared" si="24"/>
        <v>9.9</v>
      </c>
      <c r="H101" s="134">
        <f t="shared" si="24"/>
        <v>9.9</v>
      </c>
      <c r="I101" s="134">
        <f t="shared" si="24"/>
        <v>9.9</v>
      </c>
      <c r="J101" s="134">
        <f t="shared" si="24"/>
        <v>9.9</v>
      </c>
      <c r="K101" s="134">
        <f t="shared" si="24"/>
        <v>9.9</v>
      </c>
      <c r="L101" s="134">
        <f t="shared" si="24"/>
        <v>9.9</v>
      </c>
      <c r="M101" s="134">
        <f t="shared" si="24"/>
        <v>9.9</v>
      </c>
      <c r="N101" s="134">
        <f t="shared" si="24"/>
        <v>9.9</v>
      </c>
      <c r="O101" s="134">
        <f t="shared" si="24"/>
        <v>9.9</v>
      </c>
      <c r="P101" s="134">
        <f t="shared" si="24"/>
        <v>9.9</v>
      </c>
      <c r="Q101" s="134">
        <f t="shared" si="24"/>
        <v>9.9</v>
      </c>
      <c r="R101" s="134">
        <f t="shared" si="24"/>
        <v>9.9</v>
      </c>
      <c r="S101" s="134">
        <f t="shared" si="24"/>
        <v>9.9</v>
      </c>
      <c r="T101" s="134">
        <f t="shared" ref="T101:AF106" si="25">S101</f>
        <v>9.9</v>
      </c>
      <c r="U101" s="134">
        <f t="shared" si="25"/>
        <v>9.9</v>
      </c>
      <c r="V101" s="134">
        <f t="shared" si="25"/>
        <v>9.9</v>
      </c>
      <c r="W101" s="134">
        <f t="shared" si="25"/>
        <v>9.9</v>
      </c>
      <c r="X101" s="134">
        <f t="shared" si="25"/>
        <v>9.9</v>
      </c>
      <c r="Y101" s="134">
        <f t="shared" si="25"/>
        <v>9.9</v>
      </c>
      <c r="Z101" s="134">
        <f t="shared" si="25"/>
        <v>9.9</v>
      </c>
      <c r="AA101" s="134">
        <f t="shared" si="25"/>
        <v>9.9</v>
      </c>
      <c r="AB101" s="134">
        <f t="shared" si="25"/>
        <v>9.9</v>
      </c>
      <c r="AC101" s="134">
        <f t="shared" si="25"/>
        <v>9.9</v>
      </c>
      <c r="AD101" s="134">
        <f t="shared" si="25"/>
        <v>9.9</v>
      </c>
      <c r="AE101" s="134">
        <f t="shared" si="25"/>
        <v>9.9</v>
      </c>
      <c r="AF101" s="134">
        <f t="shared" si="25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3"/>
        <v>9.6</v>
      </c>
      <c r="C102" s="137">
        <v>9.6</v>
      </c>
      <c r="D102" s="136">
        <f t="shared" si="24"/>
        <v>9.6</v>
      </c>
      <c r="E102" s="136">
        <f t="shared" si="24"/>
        <v>9.6</v>
      </c>
      <c r="F102" s="136">
        <f t="shared" si="24"/>
        <v>9.6</v>
      </c>
      <c r="G102" s="136">
        <f t="shared" si="24"/>
        <v>9.6</v>
      </c>
      <c r="H102" s="136">
        <f t="shared" si="24"/>
        <v>9.6</v>
      </c>
      <c r="I102" s="136">
        <f t="shared" si="24"/>
        <v>9.6</v>
      </c>
      <c r="J102" s="136">
        <f t="shared" si="24"/>
        <v>9.6</v>
      </c>
      <c r="K102" s="136">
        <f t="shared" si="24"/>
        <v>9.6</v>
      </c>
      <c r="L102" s="136">
        <f t="shared" si="24"/>
        <v>9.6</v>
      </c>
      <c r="M102" s="136">
        <f t="shared" si="24"/>
        <v>9.6</v>
      </c>
      <c r="N102" s="136">
        <f t="shared" si="24"/>
        <v>9.6</v>
      </c>
      <c r="O102" s="136">
        <f t="shared" si="24"/>
        <v>9.6</v>
      </c>
      <c r="P102" s="136">
        <f t="shared" si="24"/>
        <v>9.6</v>
      </c>
      <c r="Q102" s="136">
        <f t="shared" si="24"/>
        <v>9.6</v>
      </c>
      <c r="R102" s="136">
        <f t="shared" si="24"/>
        <v>9.6</v>
      </c>
      <c r="S102" s="136">
        <f t="shared" si="24"/>
        <v>9.6</v>
      </c>
      <c r="T102" s="136">
        <f t="shared" si="25"/>
        <v>9.6</v>
      </c>
      <c r="U102" s="136">
        <f t="shared" si="25"/>
        <v>9.6</v>
      </c>
      <c r="V102" s="136">
        <f t="shared" si="25"/>
        <v>9.6</v>
      </c>
      <c r="W102" s="136">
        <f t="shared" si="25"/>
        <v>9.6</v>
      </c>
      <c r="X102" s="136">
        <f t="shared" si="25"/>
        <v>9.6</v>
      </c>
      <c r="Y102" s="136">
        <f t="shared" si="25"/>
        <v>9.6</v>
      </c>
      <c r="Z102" s="136">
        <f t="shared" si="25"/>
        <v>9.6</v>
      </c>
      <c r="AA102" s="136">
        <f t="shared" si="25"/>
        <v>9.6</v>
      </c>
      <c r="AB102" s="136">
        <f t="shared" si="25"/>
        <v>9.6</v>
      </c>
      <c r="AC102" s="136">
        <f t="shared" si="25"/>
        <v>9.6</v>
      </c>
      <c r="AD102" s="136">
        <f t="shared" si="25"/>
        <v>9.6</v>
      </c>
      <c r="AE102" s="136">
        <f t="shared" si="25"/>
        <v>9.6</v>
      </c>
      <c r="AF102" s="136">
        <f t="shared" si="25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3"/>
        <v>9.98</v>
      </c>
      <c r="C103" s="137">
        <v>9.98</v>
      </c>
      <c r="D103" s="136">
        <f t="shared" si="24"/>
        <v>9.98</v>
      </c>
      <c r="E103" s="136">
        <f t="shared" si="24"/>
        <v>9.98</v>
      </c>
      <c r="F103" s="136">
        <f t="shared" si="24"/>
        <v>9.98</v>
      </c>
      <c r="G103" s="136">
        <f t="shared" si="24"/>
        <v>9.98</v>
      </c>
      <c r="H103" s="136">
        <f t="shared" si="24"/>
        <v>9.98</v>
      </c>
      <c r="I103" s="136">
        <f t="shared" si="24"/>
        <v>9.98</v>
      </c>
      <c r="J103" s="136">
        <f t="shared" si="24"/>
        <v>9.98</v>
      </c>
      <c r="K103" s="136">
        <f t="shared" si="24"/>
        <v>9.98</v>
      </c>
      <c r="L103" s="136">
        <f t="shared" si="24"/>
        <v>9.98</v>
      </c>
      <c r="M103" s="136">
        <f t="shared" si="24"/>
        <v>9.98</v>
      </c>
      <c r="N103" s="136">
        <f t="shared" si="24"/>
        <v>9.98</v>
      </c>
      <c r="O103" s="136">
        <f t="shared" si="24"/>
        <v>9.98</v>
      </c>
      <c r="P103" s="136">
        <f t="shared" si="24"/>
        <v>9.98</v>
      </c>
      <c r="Q103" s="136">
        <f t="shared" si="24"/>
        <v>9.98</v>
      </c>
      <c r="R103" s="136">
        <f t="shared" si="24"/>
        <v>9.98</v>
      </c>
      <c r="S103" s="136">
        <f t="shared" si="24"/>
        <v>9.98</v>
      </c>
      <c r="T103" s="136">
        <f t="shared" si="25"/>
        <v>9.98</v>
      </c>
      <c r="U103" s="136">
        <f t="shared" si="25"/>
        <v>9.98</v>
      </c>
      <c r="V103" s="136">
        <f t="shared" si="25"/>
        <v>9.98</v>
      </c>
      <c r="W103" s="136">
        <f t="shared" si="25"/>
        <v>9.98</v>
      </c>
      <c r="X103" s="136">
        <f t="shared" si="25"/>
        <v>9.98</v>
      </c>
      <c r="Y103" s="136">
        <f t="shared" si="25"/>
        <v>9.98</v>
      </c>
      <c r="Z103" s="136">
        <f t="shared" si="25"/>
        <v>9.98</v>
      </c>
      <c r="AA103" s="136">
        <f t="shared" si="25"/>
        <v>9.98</v>
      </c>
      <c r="AB103" s="136">
        <f t="shared" si="25"/>
        <v>9.98</v>
      </c>
      <c r="AC103" s="136">
        <f t="shared" si="25"/>
        <v>9.98</v>
      </c>
      <c r="AD103" s="136">
        <f t="shared" si="25"/>
        <v>9.98</v>
      </c>
      <c r="AE103" s="136">
        <f t="shared" si="25"/>
        <v>9.98</v>
      </c>
      <c r="AF103" s="136">
        <f t="shared" si="25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3"/>
        <v>9.1</v>
      </c>
      <c r="C104" s="137">
        <v>9.1</v>
      </c>
      <c r="D104" s="136">
        <f t="shared" si="24"/>
        <v>9.1</v>
      </c>
      <c r="E104" s="136">
        <f t="shared" si="24"/>
        <v>9.1</v>
      </c>
      <c r="F104" s="136">
        <f t="shared" si="24"/>
        <v>9.1</v>
      </c>
      <c r="G104" s="136">
        <f t="shared" si="24"/>
        <v>9.1</v>
      </c>
      <c r="H104" s="136">
        <f t="shared" si="24"/>
        <v>9.1</v>
      </c>
      <c r="I104" s="136">
        <f t="shared" si="24"/>
        <v>9.1</v>
      </c>
      <c r="J104" s="136">
        <f t="shared" si="24"/>
        <v>9.1</v>
      </c>
      <c r="K104" s="136">
        <f t="shared" si="24"/>
        <v>9.1</v>
      </c>
      <c r="L104" s="136">
        <f t="shared" si="24"/>
        <v>9.1</v>
      </c>
      <c r="M104" s="136">
        <f t="shared" si="24"/>
        <v>9.1</v>
      </c>
      <c r="N104" s="136">
        <f t="shared" si="24"/>
        <v>9.1</v>
      </c>
      <c r="O104" s="136">
        <f t="shared" si="24"/>
        <v>9.1</v>
      </c>
      <c r="P104" s="136">
        <f t="shared" si="24"/>
        <v>9.1</v>
      </c>
      <c r="Q104" s="136">
        <f t="shared" si="24"/>
        <v>9.1</v>
      </c>
      <c r="R104" s="136">
        <f t="shared" si="24"/>
        <v>9.1</v>
      </c>
      <c r="S104" s="136">
        <f t="shared" si="24"/>
        <v>9.1</v>
      </c>
      <c r="T104" s="136">
        <f t="shared" si="25"/>
        <v>9.1</v>
      </c>
      <c r="U104" s="136">
        <f t="shared" si="25"/>
        <v>9.1</v>
      </c>
      <c r="V104" s="136">
        <f t="shared" si="25"/>
        <v>9.1</v>
      </c>
      <c r="W104" s="136">
        <f t="shared" si="25"/>
        <v>9.1</v>
      </c>
      <c r="X104" s="136">
        <f t="shared" si="25"/>
        <v>9.1</v>
      </c>
      <c r="Y104" s="136">
        <f t="shared" si="25"/>
        <v>9.1</v>
      </c>
      <c r="Z104" s="136">
        <f t="shared" si="25"/>
        <v>9.1</v>
      </c>
      <c r="AA104" s="136">
        <f t="shared" si="25"/>
        <v>9.1</v>
      </c>
      <c r="AB104" s="136">
        <f t="shared" si="25"/>
        <v>9.1</v>
      </c>
      <c r="AC104" s="136">
        <f t="shared" si="25"/>
        <v>9.1</v>
      </c>
      <c r="AD104" s="136">
        <f t="shared" si="25"/>
        <v>9.1</v>
      </c>
      <c r="AE104" s="136">
        <f t="shared" si="25"/>
        <v>9.1</v>
      </c>
      <c r="AF104" s="136">
        <f t="shared" si="25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3"/>
        <v>9.18</v>
      </c>
      <c r="C105" s="137">
        <v>9.18</v>
      </c>
      <c r="D105" s="136">
        <f t="shared" si="24"/>
        <v>9.18</v>
      </c>
      <c r="E105" s="136">
        <f t="shared" si="24"/>
        <v>9.18</v>
      </c>
      <c r="F105" s="136">
        <f t="shared" si="24"/>
        <v>9.18</v>
      </c>
      <c r="G105" s="136">
        <f t="shared" si="24"/>
        <v>9.18</v>
      </c>
      <c r="H105" s="136">
        <f t="shared" si="24"/>
        <v>9.18</v>
      </c>
      <c r="I105" s="136">
        <f t="shared" si="24"/>
        <v>9.18</v>
      </c>
      <c r="J105" s="136">
        <f t="shared" si="24"/>
        <v>9.18</v>
      </c>
      <c r="K105" s="136">
        <f t="shared" si="24"/>
        <v>9.18</v>
      </c>
      <c r="L105" s="136">
        <f t="shared" si="24"/>
        <v>9.18</v>
      </c>
      <c r="M105" s="136">
        <f t="shared" si="24"/>
        <v>9.18</v>
      </c>
      <c r="N105" s="136">
        <f t="shared" si="24"/>
        <v>9.18</v>
      </c>
      <c r="O105" s="136">
        <f t="shared" si="24"/>
        <v>9.18</v>
      </c>
      <c r="P105" s="136">
        <f t="shared" si="24"/>
        <v>9.18</v>
      </c>
      <c r="Q105" s="136">
        <f t="shared" si="24"/>
        <v>9.18</v>
      </c>
      <c r="R105" s="136">
        <f t="shared" si="24"/>
        <v>9.18</v>
      </c>
      <c r="S105" s="136">
        <f t="shared" si="24"/>
        <v>9.18</v>
      </c>
      <c r="T105" s="136">
        <f t="shared" si="25"/>
        <v>9.18</v>
      </c>
      <c r="U105" s="136">
        <f t="shared" si="25"/>
        <v>9.18</v>
      </c>
      <c r="V105" s="136">
        <f t="shared" si="25"/>
        <v>9.18</v>
      </c>
      <c r="W105" s="136">
        <f t="shared" si="25"/>
        <v>9.18</v>
      </c>
      <c r="X105" s="136">
        <f t="shared" si="25"/>
        <v>9.18</v>
      </c>
      <c r="Y105" s="136">
        <f t="shared" si="25"/>
        <v>9.18</v>
      </c>
      <c r="Z105" s="136">
        <f t="shared" si="25"/>
        <v>9.18</v>
      </c>
      <c r="AA105" s="136">
        <f t="shared" si="25"/>
        <v>9.18</v>
      </c>
      <c r="AB105" s="136">
        <f t="shared" si="25"/>
        <v>9.18</v>
      </c>
      <c r="AC105" s="136">
        <f t="shared" si="25"/>
        <v>9.18</v>
      </c>
      <c r="AD105" s="136">
        <f t="shared" si="25"/>
        <v>9.18</v>
      </c>
      <c r="AE105" s="136">
        <f t="shared" si="25"/>
        <v>9.18</v>
      </c>
      <c r="AF105" s="136">
        <f t="shared" si="25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3"/>
        <v>7</v>
      </c>
      <c r="C106" s="137">
        <v>7</v>
      </c>
      <c r="D106" s="136">
        <f t="shared" si="24"/>
        <v>7</v>
      </c>
      <c r="E106" s="136">
        <f t="shared" si="24"/>
        <v>7</v>
      </c>
      <c r="F106" s="136">
        <f t="shared" si="24"/>
        <v>7</v>
      </c>
      <c r="G106" s="136">
        <f t="shared" si="24"/>
        <v>7</v>
      </c>
      <c r="H106" s="136">
        <f t="shared" si="24"/>
        <v>7</v>
      </c>
      <c r="I106" s="136">
        <f t="shared" si="24"/>
        <v>7</v>
      </c>
      <c r="J106" s="136">
        <f t="shared" si="24"/>
        <v>7</v>
      </c>
      <c r="K106" s="136">
        <f t="shared" si="24"/>
        <v>7</v>
      </c>
      <c r="L106" s="136">
        <f t="shared" si="24"/>
        <v>7</v>
      </c>
      <c r="M106" s="136">
        <f t="shared" si="24"/>
        <v>7</v>
      </c>
      <c r="N106" s="136">
        <f t="shared" si="24"/>
        <v>7</v>
      </c>
      <c r="O106" s="136">
        <f t="shared" si="24"/>
        <v>7</v>
      </c>
      <c r="P106" s="136">
        <f t="shared" si="24"/>
        <v>7</v>
      </c>
      <c r="Q106" s="136">
        <f t="shared" si="24"/>
        <v>7</v>
      </c>
      <c r="R106" s="136">
        <f t="shared" si="24"/>
        <v>7</v>
      </c>
      <c r="S106" s="136">
        <f t="shared" si="24"/>
        <v>7</v>
      </c>
      <c r="T106" s="136">
        <f t="shared" si="25"/>
        <v>7</v>
      </c>
      <c r="U106" s="136">
        <f t="shared" si="25"/>
        <v>7</v>
      </c>
      <c r="V106" s="136">
        <f t="shared" si="25"/>
        <v>7</v>
      </c>
      <c r="W106" s="136">
        <f t="shared" si="25"/>
        <v>7</v>
      </c>
      <c r="X106" s="136">
        <f t="shared" si="25"/>
        <v>7</v>
      </c>
      <c r="Y106" s="136">
        <f t="shared" si="25"/>
        <v>7</v>
      </c>
      <c r="Z106" s="136">
        <f t="shared" si="25"/>
        <v>7</v>
      </c>
      <c r="AA106" s="136">
        <f t="shared" si="25"/>
        <v>7</v>
      </c>
      <c r="AB106" s="136">
        <f t="shared" si="25"/>
        <v>7</v>
      </c>
      <c r="AC106" s="136">
        <f t="shared" si="25"/>
        <v>7</v>
      </c>
      <c r="AD106" s="136">
        <f t="shared" si="25"/>
        <v>7</v>
      </c>
      <c r="AE106" s="136">
        <f t="shared" si="25"/>
        <v>7</v>
      </c>
      <c r="AF106" s="136">
        <f t="shared" si="25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6">C108</f>
        <v>2.25</v>
      </c>
      <c r="E108" s="136">
        <f t="shared" si="26"/>
        <v>2.25</v>
      </c>
      <c r="F108" s="136">
        <f t="shared" si="26"/>
        <v>2.25</v>
      </c>
      <c r="G108" s="136">
        <f t="shared" si="26"/>
        <v>2.25</v>
      </c>
      <c r="H108" s="136">
        <f t="shared" si="26"/>
        <v>2.25</v>
      </c>
      <c r="I108" s="136">
        <f t="shared" si="26"/>
        <v>2.25</v>
      </c>
      <c r="J108" s="136">
        <f t="shared" si="26"/>
        <v>2.25</v>
      </c>
      <c r="K108" s="136">
        <f t="shared" si="26"/>
        <v>2.25</v>
      </c>
      <c r="L108" s="136">
        <f t="shared" si="26"/>
        <v>2.25</v>
      </c>
      <c r="M108" s="136">
        <f t="shared" si="26"/>
        <v>2.25</v>
      </c>
      <c r="N108" s="136">
        <f t="shared" si="26"/>
        <v>2.25</v>
      </c>
      <c r="O108" s="136">
        <f t="shared" si="26"/>
        <v>2.25</v>
      </c>
      <c r="P108" s="136">
        <f t="shared" si="26"/>
        <v>2.25</v>
      </c>
      <c r="Q108" s="136">
        <f t="shared" si="26"/>
        <v>2.25</v>
      </c>
      <c r="R108" s="136">
        <f t="shared" si="26"/>
        <v>2.25</v>
      </c>
      <c r="S108" s="136">
        <f t="shared" si="26"/>
        <v>2.25</v>
      </c>
      <c r="T108" s="136">
        <f t="shared" ref="T108:AF109" si="27">S108</f>
        <v>2.25</v>
      </c>
      <c r="U108" s="136">
        <f t="shared" si="27"/>
        <v>2.25</v>
      </c>
      <c r="V108" s="136">
        <f t="shared" si="27"/>
        <v>2.25</v>
      </c>
      <c r="W108" s="136">
        <f t="shared" si="27"/>
        <v>2.25</v>
      </c>
      <c r="X108" s="136">
        <f t="shared" si="27"/>
        <v>2.25</v>
      </c>
      <c r="Y108" s="136">
        <f t="shared" si="27"/>
        <v>2.25</v>
      </c>
      <c r="Z108" s="136">
        <f t="shared" si="27"/>
        <v>2.25</v>
      </c>
      <c r="AA108" s="136">
        <f t="shared" si="27"/>
        <v>2.25</v>
      </c>
      <c r="AB108" s="136">
        <f t="shared" si="27"/>
        <v>2.25</v>
      </c>
      <c r="AC108" s="136">
        <f t="shared" si="27"/>
        <v>2.25</v>
      </c>
      <c r="AD108" s="136">
        <f t="shared" si="27"/>
        <v>2.25</v>
      </c>
      <c r="AE108" s="136">
        <f t="shared" si="27"/>
        <v>2.25</v>
      </c>
      <c r="AF108" s="136">
        <f t="shared" si="27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6"/>
        <v>1.64</v>
      </c>
      <c r="E109" s="136">
        <f t="shared" si="26"/>
        <v>1.64</v>
      </c>
      <c r="F109" s="136">
        <f t="shared" si="26"/>
        <v>1.64</v>
      </c>
      <c r="G109" s="136">
        <f t="shared" si="26"/>
        <v>1.64</v>
      </c>
      <c r="H109" s="136">
        <f t="shared" si="26"/>
        <v>1.64</v>
      </c>
      <c r="I109" s="136">
        <f t="shared" si="26"/>
        <v>1.64</v>
      </c>
      <c r="J109" s="136">
        <f t="shared" si="26"/>
        <v>1.64</v>
      </c>
      <c r="K109" s="136">
        <f t="shared" si="26"/>
        <v>1.64</v>
      </c>
      <c r="L109" s="136">
        <f t="shared" si="26"/>
        <v>1.64</v>
      </c>
      <c r="M109" s="136">
        <f t="shared" si="26"/>
        <v>1.64</v>
      </c>
      <c r="N109" s="136">
        <f t="shared" si="26"/>
        <v>1.64</v>
      </c>
      <c r="O109" s="136">
        <f t="shared" si="26"/>
        <v>1.64</v>
      </c>
      <c r="P109" s="136">
        <f t="shared" si="26"/>
        <v>1.64</v>
      </c>
      <c r="Q109" s="136">
        <f t="shared" si="26"/>
        <v>1.64</v>
      </c>
      <c r="R109" s="136">
        <f t="shared" si="26"/>
        <v>1.64</v>
      </c>
      <c r="S109" s="136">
        <f t="shared" si="26"/>
        <v>1.64</v>
      </c>
      <c r="T109" s="136">
        <f t="shared" si="27"/>
        <v>1.64</v>
      </c>
      <c r="U109" s="136">
        <f t="shared" si="27"/>
        <v>1.64</v>
      </c>
      <c r="V109" s="136">
        <f t="shared" si="27"/>
        <v>1.64</v>
      </c>
      <c r="W109" s="136">
        <f t="shared" si="27"/>
        <v>1.64</v>
      </c>
      <c r="X109" s="136">
        <f t="shared" si="27"/>
        <v>1.64</v>
      </c>
      <c r="Y109" s="136">
        <f t="shared" si="27"/>
        <v>1.64</v>
      </c>
      <c r="Z109" s="136">
        <f t="shared" si="27"/>
        <v>1.64</v>
      </c>
      <c r="AA109" s="136">
        <f t="shared" si="27"/>
        <v>1.64</v>
      </c>
      <c r="AB109" s="136">
        <f t="shared" si="27"/>
        <v>1.64</v>
      </c>
      <c r="AC109" s="136">
        <f t="shared" si="27"/>
        <v>1.64</v>
      </c>
      <c r="AD109" s="136">
        <f t="shared" si="27"/>
        <v>1.64</v>
      </c>
      <c r="AE109" s="136">
        <f t="shared" si="27"/>
        <v>1.64</v>
      </c>
      <c r="AF109" s="136">
        <f t="shared" si="27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8">AF111</f>
        <v>1.62</v>
      </c>
      <c r="C111" s="137">
        <v>1.62</v>
      </c>
      <c r="D111" s="136">
        <f t="shared" ref="D111:S118" si="29">C111</f>
        <v>1.62</v>
      </c>
      <c r="E111" s="136">
        <f t="shared" si="29"/>
        <v>1.62</v>
      </c>
      <c r="F111" s="136">
        <f t="shared" si="29"/>
        <v>1.62</v>
      </c>
      <c r="G111" s="136">
        <f t="shared" si="29"/>
        <v>1.62</v>
      </c>
      <c r="H111" s="136">
        <f t="shared" si="29"/>
        <v>1.62</v>
      </c>
      <c r="I111" s="136">
        <f t="shared" si="29"/>
        <v>1.62</v>
      </c>
      <c r="J111" s="136">
        <f t="shared" si="29"/>
        <v>1.62</v>
      </c>
      <c r="K111" s="136">
        <f t="shared" si="29"/>
        <v>1.62</v>
      </c>
      <c r="L111" s="136">
        <f t="shared" si="29"/>
        <v>1.62</v>
      </c>
      <c r="M111" s="136">
        <f t="shared" si="29"/>
        <v>1.62</v>
      </c>
      <c r="N111" s="136">
        <f t="shared" si="29"/>
        <v>1.62</v>
      </c>
      <c r="O111" s="136">
        <f t="shared" si="29"/>
        <v>1.62</v>
      </c>
      <c r="P111" s="136">
        <f t="shared" si="29"/>
        <v>1.62</v>
      </c>
      <c r="Q111" s="136">
        <f t="shared" si="29"/>
        <v>1.62</v>
      </c>
      <c r="R111" s="136">
        <f t="shared" si="29"/>
        <v>1.62</v>
      </c>
      <c r="S111" s="136">
        <f t="shared" si="29"/>
        <v>1.62</v>
      </c>
      <c r="T111" s="136">
        <f t="shared" ref="T111:AF126" si="30">S111</f>
        <v>1.62</v>
      </c>
      <c r="U111" s="136">
        <f t="shared" si="30"/>
        <v>1.62</v>
      </c>
      <c r="V111" s="136">
        <f t="shared" si="30"/>
        <v>1.62</v>
      </c>
      <c r="W111" s="136">
        <f t="shared" si="30"/>
        <v>1.62</v>
      </c>
      <c r="X111" s="136">
        <f t="shared" si="30"/>
        <v>1.62</v>
      </c>
      <c r="Y111" s="136">
        <f t="shared" si="30"/>
        <v>1.62</v>
      </c>
      <c r="Z111" s="136">
        <f t="shared" si="30"/>
        <v>1.62</v>
      </c>
      <c r="AA111" s="136">
        <f t="shared" si="30"/>
        <v>1.62</v>
      </c>
      <c r="AB111" s="136">
        <f t="shared" si="30"/>
        <v>1.62</v>
      </c>
      <c r="AC111" s="136">
        <f t="shared" si="30"/>
        <v>1.62</v>
      </c>
      <c r="AD111" s="136">
        <f t="shared" si="30"/>
        <v>1.62</v>
      </c>
      <c r="AE111" s="136">
        <f t="shared" si="30"/>
        <v>1.62</v>
      </c>
      <c r="AF111" s="136">
        <f t="shared" si="30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8"/>
        <v>8.36</v>
      </c>
      <c r="C112" s="137">
        <v>8.36</v>
      </c>
      <c r="D112" s="136">
        <f t="shared" si="29"/>
        <v>8.36</v>
      </c>
      <c r="E112" s="136">
        <f t="shared" si="29"/>
        <v>8.36</v>
      </c>
      <c r="F112" s="136">
        <f t="shared" si="29"/>
        <v>8.36</v>
      </c>
      <c r="G112" s="136">
        <f t="shared" si="29"/>
        <v>8.36</v>
      </c>
      <c r="H112" s="136">
        <f t="shared" si="29"/>
        <v>8.36</v>
      </c>
      <c r="I112" s="136">
        <f t="shared" si="29"/>
        <v>8.36</v>
      </c>
      <c r="J112" s="136">
        <f t="shared" si="29"/>
        <v>8.36</v>
      </c>
      <c r="K112" s="136">
        <f t="shared" si="29"/>
        <v>8.36</v>
      </c>
      <c r="L112" s="136">
        <f t="shared" si="29"/>
        <v>8.36</v>
      </c>
      <c r="M112" s="136">
        <f t="shared" si="29"/>
        <v>8.36</v>
      </c>
      <c r="N112" s="136">
        <f t="shared" si="29"/>
        <v>8.36</v>
      </c>
      <c r="O112" s="136">
        <f t="shared" si="29"/>
        <v>8.36</v>
      </c>
      <c r="P112" s="136">
        <f t="shared" si="29"/>
        <v>8.36</v>
      </c>
      <c r="Q112" s="136">
        <f t="shared" si="29"/>
        <v>8.36</v>
      </c>
      <c r="R112" s="136">
        <f t="shared" si="29"/>
        <v>8.36</v>
      </c>
      <c r="S112" s="136">
        <f t="shared" si="29"/>
        <v>8.36</v>
      </c>
      <c r="T112" s="136">
        <f t="shared" si="30"/>
        <v>8.36</v>
      </c>
      <c r="U112" s="136">
        <f t="shared" si="30"/>
        <v>8.36</v>
      </c>
      <c r="V112" s="136">
        <f t="shared" si="30"/>
        <v>8.36</v>
      </c>
      <c r="W112" s="136">
        <f t="shared" si="30"/>
        <v>8.36</v>
      </c>
      <c r="X112" s="136">
        <f t="shared" si="30"/>
        <v>8.36</v>
      </c>
      <c r="Y112" s="136">
        <f t="shared" si="30"/>
        <v>8.36</v>
      </c>
      <c r="Z112" s="136">
        <f t="shared" si="30"/>
        <v>8.36</v>
      </c>
      <c r="AA112" s="136">
        <f t="shared" si="30"/>
        <v>8.36</v>
      </c>
      <c r="AB112" s="136">
        <f t="shared" si="30"/>
        <v>8.36</v>
      </c>
      <c r="AC112" s="136">
        <f t="shared" si="30"/>
        <v>8.36</v>
      </c>
      <c r="AD112" s="136">
        <f t="shared" si="30"/>
        <v>8.36</v>
      </c>
      <c r="AE112" s="136">
        <f t="shared" si="30"/>
        <v>8.36</v>
      </c>
      <c r="AF112" s="136">
        <f t="shared" si="30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8"/>
        <v>5.4</v>
      </c>
      <c r="C113" s="137">
        <v>8</v>
      </c>
      <c r="D113" s="136">
        <f t="shared" si="29"/>
        <v>8</v>
      </c>
      <c r="E113" s="136">
        <f t="shared" si="29"/>
        <v>8</v>
      </c>
      <c r="F113" s="136">
        <f t="shared" si="29"/>
        <v>8</v>
      </c>
      <c r="G113" s="136">
        <f t="shared" si="29"/>
        <v>8</v>
      </c>
      <c r="H113" s="136">
        <f t="shared" si="29"/>
        <v>8</v>
      </c>
      <c r="I113" s="136">
        <f t="shared" si="29"/>
        <v>8</v>
      </c>
      <c r="J113" s="136">
        <v>5.4</v>
      </c>
      <c r="K113" s="136">
        <f t="shared" si="29"/>
        <v>5.4</v>
      </c>
      <c r="L113" s="136">
        <f t="shared" si="29"/>
        <v>5.4</v>
      </c>
      <c r="M113" s="136">
        <f t="shared" si="29"/>
        <v>5.4</v>
      </c>
      <c r="N113" s="136">
        <f t="shared" si="29"/>
        <v>5.4</v>
      </c>
      <c r="O113" s="136">
        <f t="shared" si="29"/>
        <v>5.4</v>
      </c>
      <c r="P113" s="136">
        <f t="shared" si="29"/>
        <v>5.4</v>
      </c>
      <c r="Q113" s="136">
        <f t="shared" si="29"/>
        <v>5.4</v>
      </c>
      <c r="R113" s="136">
        <f t="shared" si="29"/>
        <v>5.4</v>
      </c>
      <c r="S113" s="136">
        <f t="shared" si="29"/>
        <v>5.4</v>
      </c>
      <c r="T113" s="136">
        <f t="shared" si="30"/>
        <v>5.4</v>
      </c>
      <c r="U113" s="136">
        <f t="shared" si="30"/>
        <v>5.4</v>
      </c>
      <c r="V113" s="136">
        <f t="shared" si="30"/>
        <v>5.4</v>
      </c>
      <c r="W113" s="136">
        <f t="shared" si="30"/>
        <v>5.4</v>
      </c>
      <c r="X113" s="136">
        <f t="shared" si="30"/>
        <v>5.4</v>
      </c>
      <c r="Y113" s="136">
        <f t="shared" si="30"/>
        <v>5.4</v>
      </c>
      <c r="Z113" s="136">
        <f t="shared" si="30"/>
        <v>5.4</v>
      </c>
      <c r="AA113" s="136">
        <f t="shared" si="30"/>
        <v>5.4</v>
      </c>
      <c r="AB113" s="136">
        <f t="shared" si="30"/>
        <v>5.4</v>
      </c>
      <c r="AC113" s="136">
        <f t="shared" si="30"/>
        <v>5.4</v>
      </c>
      <c r="AD113" s="136">
        <f t="shared" si="30"/>
        <v>5.4</v>
      </c>
      <c r="AE113" s="136">
        <f t="shared" si="30"/>
        <v>5.4</v>
      </c>
      <c r="AF113" s="136">
        <f t="shared" si="30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8"/>
        <v>6.57</v>
      </c>
      <c r="C114" s="137">
        <v>6.57</v>
      </c>
      <c r="D114" s="136">
        <f t="shared" si="29"/>
        <v>6.57</v>
      </c>
      <c r="E114" s="136">
        <f t="shared" si="29"/>
        <v>6.57</v>
      </c>
      <c r="F114" s="136">
        <f t="shared" si="29"/>
        <v>6.57</v>
      </c>
      <c r="G114" s="136">
        <f t="shared" si="29"/>
        <v>6.57</v>
      </c>
      <c r="H114" s="136">
        <f t="shared" si="29"/>
        <v>6.57</v>
      </c>
      <c r="I114" s="136">
        <f t="shared" si="29"/>
        <v>6.57</v>
      </c>
      <c r="J114" s="136">
        <f t="shared" si="29"/>
        <v>6.57</v>
      </c>
      <c r="K114" s="136">
        <f t="shared" si="29"/>
        <v>6.57</v>
      </c>
      <c r="L114" s="136">
        <f t="shared" si="29"/>
        <v>6.57</v>
      </c>
      <c r="M114" s="136">
        <f t="shared" si="29"/>
        <v>6.57</v>
      </c>
      <c r="N114" s="136">
        <f t="shared" si="29"/>
        <v>6.57</v>
      </c>
      <c r="O114" s="136">
        <f t="shared" si="29"/>
        <v>6.57</v>
      </c>
      <c r="P114" s="136">
        <f t="shared" si="29"/>
        <v>6.57</v>
      </c>
      <c r="Q114" s="136">
        <f t="shared" si="29"/>
        <v>6.57</v>
      </c>
      <c r="R114" s="136">
        <f t="shared" si="29"/>
        <v>6.57</v>
      </c>
      <c r="S114" s="136">
        <f t="shared" si="29"/>
        <v>6.57</v>
      </c>
      <c r="T114" s="136">
        <f t="shared" si="30"/>
        <v>6.57</v>
      </c>
      <c r="U114" s="136">
        <f t="shared" si="30"/>
        <v>6.57</v>
      </c>
      <c r="V114" s="136">
        <f t="shared" si="30"/>
        <v>6.57</v>
      </c>
      <c r="W114" s="136">
        <f t="shared" si="30"/>
        <v>6.57</v>
      </c>
      <c r="X114" s="136">
        <f t="shared" si="30"/>
        <v>6.57</v>
      </c>
      <c r="Y114" s="136">
        <f t="shared" si="30"/>
        <v>6.57</v>
      </c>
      <c r="Z114" s="136">
        <f t="shared" si="30"/>
        <v>6.57</v>
      </c>
      <c r="AA114" s="136">
        <f t="shared" si="30"/>
        <v>6.57</v>
      </c>
      <c r="AB114" s="136">
        <f t="shared" si="30"/>
        <v>6.57</v>
      </c>
      <c r="AC114" s="136">
        <f t="shared" si="30"/>
        <v>6.57</v>
      </c>
      <c r="AD114" s="136">
        <f t="shared" si="30"/>
        <v>6.57</v>
      </c>
      <c r="AE114" s="136">
        <f t="shared" si="30"/>
        <v>6.57</v>
      </c>
      <c r="AF114" s="136">
        <f t="shared" si="30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8"/>
        <v>3.43</v>
      </c>
      <c r="C115" s="137">
        <v>3.43</v>
      </c>
      <c r="D115" s="136">
        <f t="shared" si="29"/>
        <v>3.43</v>
      </c>
      <c r="E115" s="136">
        <f t="shared" si="29"/>
        <v>3.43</v>
      </c>
      <c r="F115" s="136">
        <f t="shared" si="29"/>
        <v>3.43</v>
      </c>
      <c r="G115" s="136">
        <f t="shared" si="29"/>
        <v>3.43</v>
      </c>
      <c r="H115" s="136">
        <f t="shared" si="29"/>
        <v>3.43</v>
      </c>
      <c r="I115" s="136">
        <f t="shared" si="29"/>
        <v>3.43</v>
      </c>
      <c r="J115" s="136">
        <f t="shared" si="29"/>
        <v>3.43</v>
      </c>
      <c r="K115" s="136">
        <f t="shared" si="29"/>
        <v>3.43</v>
      </c>
      <c r="L115" s="136">
        <f t="shared" si="29"/>
        <v>3.43</v>
      </c>
      <c r="M115" s="136">
        <f t="shared" si="29"/>
        <v>3.43</v>
      </c>
      <c r="N115" s="136">
        <f t="shared" si="29"/>
        <v>3.43</v>
      </c>
      <c r="O115" s="136">
        <f t="shared" si="29"/>
        <v>3.43</v>
      </c>
      <c r="P115" s="136">
        <f t="shared" si="29"/>
        <v>3.43</v>
      </c>
      <c r="Q115" s="136">
        <f t="shared" si="29"/>
        <v>3.43</v>
      </c>
      <c r="R115" s="136">
        <f t="shared" si="29"/>
        <v>3.43</v>
      </c>
      <c r="S115" s="136">
        <f t="shared" si="29"/>
        <v>3.43</v>
      </c>
      <c r="T115" s="136">
        <f t="shared" si="30"/>
        <v>3.43</v>
      </c>
      <c r="U115" s="136">
        <f t="shared" si="30"/>
        <v>3.43</v>
      </c>
      <c r="V115" s="136">
        <f t="shared" si="30"/>
        <v>3.43</v>
      </c>
      <c r="W115" s="136">
        <f t="shared" si="30"/>
        <v>3.43</v>
      </c>
      <c r="X115" s="136">
        <f t="shared" si="30"/>
        <v>3.43</v>
      </c>
      <c r="Y115" s="136">
        <f t="shared" si="30"/>
        <v>3.43</v>
      </c>
      <c r="Z115" s="136">
        <f t="shared" si="30"/>
        <v>3.43</v>
      </c>
      <c r="AA115" s="136">
        <f t="shared" si="30"/>
        <v>3.43</v>
      </c>
      <c r="AB115" s="136">
        <f t="shared" si="30"/>
        <v>3.43</v>
      </c>
      <c r="AC115" s="136">
        <f t="shared" si="30"/>
        <v>3.43</v>
      </c>
      <c r="AD115" s="136">
        <f t="shared" si="30"/>
        <v>3.43</v>
      </c>
      <c r="AE115" s="136">
        <f t="shared" si="30"/>
        <v>3.43</v>
      </c>
      <c r="AF115" s="136">
        <f t="shared" si="30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8"/>
        <v>2.96</v>
      </c>
      <c r="C116" s="137">
        <v>2.96</v>
      </c>
      <c r="D116" s="136">
        <f t="shared" si="29"/>
        <v>2.96</v>
      </c>
      <c r="E116" s="136">
        <f t="shared" si="29"/>
        <v>2.96</v>
      </c>
      <c r="F116" s="136">
        <f t="shared" si="29"/>
        <v>2.96</v>
      </c>
      <c r="G116" s="136">
        <f t="shared" si="29"/>
        <v>2.96</v>
      </c>
      <c r="H116" s="136">
        <f t="shared" si="29"/>
        <v>2.96</v>
      </c>
      <c r="I116" s="136">
        <f t="shared" si="29"/>
        <v>2.96</v>
      </c>
      <c r="J116" s="136">
        <f t="shared" si="29"/>
        <v>2.96</v>
      </c>
      <c r="K116" s="136">
        <f t="shared" si="29"/>
        <v>2.96</v>
      </c>
      <c r="L116" s="136">
        <f t="shared" si="29"/>
        <v>2.96</v>
      </c>
      <c r="M116" s="136">
        <f t="shared" si="29"/>
        <v>2.96</v>
      </c>
      <c r="N116" s="136">
        <f t="shared" si="29"/>
        <v>2.96</v>
      </c>
      <c r="O116" s="136">
        <f t="shared" si="29"/>
        <v>2.96</v>
      </c>
      <c r="P116" s="136">
        <f t="shared" si="29"/>
        <v>2.96</v>
      </c>
      <c r="Q116" s="136">
        <f t="shared" si="29"/>
        <v>2.96</v>
      </c>
      <c r="R116" s="136">
        <f t="shared" si="29"/>
        <v>2.96</v>
      </c>
      <c r="S116" s="136">
        <f t="shared" si="29"/>
        <v>2.96</v>
      </c>
      <c r="T116" s="136">
        <f t="shared" si="30"/>
        <v>2.96</v>
      </c>
      <c r="U116" s="136">
        <f t="shared" si="30"/>
        <v>2.96</v>
      </c>
      <c r="V116" s="136">
        <f t="shared" si="30"/>
        <v>2.96</v>
      </c>
      <c r="W116" s="136">
        <f t="shared" si="30"/>
        <v>2.96</v>
      </c>
      <c r="X116" s="136">
        <f t="shared" si="30"/>
        <v>2.96</v>
      </c>
      <c r="Y116" s="136">
        <f t="shared" si="30"/>
        <v>2.96</v>
      </c>
      <c r="Z116" s="136">
        <f t="shared" si="30"/>
        <v>2.96</v>
      </c>
      <c r="AA116" s="136">
        <f t="shared" si="30"/>
        <v>2.96</v>
      </c>
      <c r="AB116" s="136">
        <f t="shared" si="30"/>
        <v>2.96</v>
      </c>
      <c r="AC116" s="136">
        <f t="shared" si="30"/>
        <v>2.96</v>
      </c>
      <c r="AD116" s="136">
        <f t="shared" si="30"/>
        <v>2.96</v>
      </c>
      <c r="AE116" s="136">
        <f t="shared" si="30"/>
        <v>2.96</v>
      </c>
      <c r="AF116" s="136">
        <f t="shared" si="30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8"/>
        <v>8</v>
      </c>
      <c r="C117" s="137">
        <v>8</v>
      </c>
      <c r="D117" s="136">
        <f t="shared" si="29"/>
        <v>8</v>
      </c>
      <c r="E117" s="136">
        <f t="shared" si="29"/>
        <v>8</v>
      </c>
      <c r="F117" s="136">
        <f t="shared" si="29"/>
        <v>8</v>
      </c>
      <c r="G117" s="136">
        <f t="shared" si="29"/>
        <v>8</v>
      </c>
      <c r="H117" s="136">
        <f t="shared" si="29"/>
        <v>8</v>
      </c>
      <c r="I117" s="136">
        <f t="shared" si="29"/>
        <v>8</v>
      </c>
      <c r="J117" s="136">
        <f t="shared" si="29"/>
        <v>8</v>
      </c>
      <c r="K117" s="136">
        <f t="shared" si="29"/>
        <v>8</v>
      </c>
      <c r="L117" s="136">
        <f t="shared" si="29"/>
        <v>8</v>
      </c>
      <c r="M117" s="136">
        <f t="shared" si="29"/>
        <v>8</v>
      </c>
      <c r="N117" s="136">
        <f t="shared" si="29"/>
        <v>8</v>
      </c>
      <c r="O117" s="136">
        <f t="shared" si="29"/>
        <v>8</v>
      </c>
      <c r="P117" s="136">
        <f t="shared" si="29"/>
        <v>8</v>
      </c>
      <c r="Q117" s="136">
        <f t="shared" si="29"/>
        <v>8</v>
      </c>
      <c r="R117" s="136">
        <f t="shared" si="29"/>
        <v>8</v>
      </c>
      <c r="S117" s="136">
        <f t="shared" si="29"/>
        <v>8</v>
      </c>
      <c r="T117" s="136">
        <f t="shared" si="30"/>
        <v>8</v>
      </c>
      <c r="U117" s="136">
        <f t="shared" si="30"/>
        <v>8</v>
      </c>
      <c r="V117" s="136">
        <f t="shared" si="30"/>
        <v>8</v>
      </c>
      <c r="W117" s="136">
        <f t="shared" si="30"/>
        <v>8</v>
      </c>
      <c r="X117" s="136">
        <f t="shared" si="30"/>
        <v>8</v>
      </c>
      <c r="Y117" s="136">
        <f t="shared" si="30"/>
        <v>8</v>
      </c>
      <c r="Z117" s="136">
        <f t="shared" si="30"/>
        <v>8</v>
      </c>
      <c r="AA117" s="136">
        <f t="shared" si="30"/>
        <v>8</v>
      </c>
      <c r="AB117" s="136">
        <f t="shared" si="30"/>
        <v>8</v>
      </c>
      <c r="AC117" s="136">
        <f t="shared" si="30"/>
        <v>8</v>
      </c>
      <c r="AD117" s="136">
        <f t="shared" si="30"/>
        <v>8</v>
      </c>
      <c r="AE117" s="136">
        <f t="shared" si="30"/>
        <v>8</v>
      </c>
      <c r="AF117" s="136">
        <f t="shared" si="30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8"/>
        <v>7</v>
      </c>
      <c r="C118" s="137">
        <v>7</v>
      </c>
      <c r="D118" s="136">
        <f>C118</f>
        <v>7</v>
      </c>
      <c r="E118" s="136">
        <f t="shared" si="29"/>
        <v>7</v>
      </c>
      <c r="F118" s="136">
        <f t="shared" si="29"/>
        <v>7</v>
      </c>
      <c r="G118" s="136">
        <f t="shared" si="29"/>
        <v>7</v>
      </c>
      <c r="H118" s="136">
        <f t="shared" si="29"/>
        <v>7</v>
      </c>
      <c r="I118" s="136">
        <f t="shared" si="29"/>
        <v>7</v>
      </c>
      <c r="J118" s="136">
        <f t="shared" si="29"/>
        <v>7</v>
      </c>
      <c r="K118" s="136">
        <f t="shared" si="29"/>
        <v>7</v>
      </c>
      <c r="L118" s="136">
        <f t="shared" si="29"/>
        <v>7</v>
      </c>
      <c r="M118" s="136">
        <f t="shared" si="29"/>
        <v>7</v>
      </c>
      <c r="N118" s="136">
        <f t="shared" si="29"/>
        <v>7</v>
      </c>
      <c r="O118" s="136">
        <f t="shared" si="29"/>
        <v>7</v>
      </c>
      <c r="P118" s="136">
        <f t="shared" si="29"/>
        <v>7</v>
      </c>
      <c r="Q118" s="136">
        <f t="shared" si="29"/>
        <v>7</v>
      </c>
      <c r="R118" s="136">
        <f t="shared" si="29"/>
        <v>7</v>
      </c>
      <c r="S118" s="136">
        <f t="shared" si="29"/>
        <v>7</v>
      </c>
      <c r="T118" s="136">
        <f t="shared" si="30"/>
        <v>7</v>
      </c>
      <c r="U118" s="136">
        <f t="shared" si="30"/>
        <v>7</v>
      </c>
      <c r="V118" s="136">
        <f t="shared" si="30"/>
        <v>7</v>
      </c>
      <c r="W118" s="136">
        <f t="shared" si="30"/>
        <v>7</v>
      </c>
      <c r="X118" s="136">
        <f t="shared" si="30"/>
        <v>7</v>
      </c>
      <c r="Y118" s="136">
        <f t="shared" si="30"/>
        <v>7</v>
      </c>
      <c r="Z118" s="136">
        <f t="shared" si="30"/>
        <v>7</v>
      </c>
      <c r="AA118" s="136">
        <f t="shared" si="30"/>
        <v>7</v>
      </c>
      <c r="AB118" s="136">
        <f t="shared" si="30"/>
        <v>7</v>
      </c>
      <c r="AC118" s="136">
        <f t="shared" si="30"/>
        <v>7</v>
      </c>
      <c r="AD118" s="136">
        <f t="shared" si="30"/>
        <v>7</v>
      </c>
      <c r="AE118" s="136">
        <f t="shared" si="30"/>
        <v>7</v>
      </c>
      <c r="AF118" s="136">
        <f t="shared" si="30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8"/>
        <v>3.47</v>
      </c>
      <c r="C119" s="137">
        <v>3.47</v>
      </c>
      <c r="D119" s="136">
        <f t="shared" ref="D119:S128" si="31">C119</f>
        <v>3.47</v>
      </c>
      <c r="E119" s="136">
        <f t="shared" si="31"/>
        <v>3.47</v>
      </c>
      <c r="F119" s="136">
        <f t="shared" si="31"/>
        <v>3.47</v>
      </c>
      <c r="G119" s="136">
        <f t="shared" si="31"/>
        <v>3.47</v>
      </c>
      <c r="H119" s="136">
        <f t="shared" si="31"/>
        <v>3.47</v>
      </c>
      <c r="I119" s="136">
        <f t="shared" si="31"/>
        <v>3.47</v>
      </c>
      <c r="J119" s="136">
        <f t="shared" si="31"/>
        <v>3.47</v>
      </c>
      <c r="K119" s="136">
        <f t="shared" si="31"/>
        <v>3.47</v>
      </c>
      <c r="L119" s="136">
        <f t="shared" si="31"/>
        <v>3.47</v>
      </c>
      <c r="M119" s="136">
        <f t="shared" si="31"/>
        <v>3.47</v>
      </c>
      <c r="N119" s="136">
        <f t="shared" si="31"/>
        <v>3.47</v>
      </c>
      <c r="O119" s="136">
        <f t="shared" si="31"/>
        <v>3.47</v>
      </c>
      <c r="P119" s="136">
        <f t="shared" si="31"/>
        <v>3.47</v>
      </c>
      <c r="Q119" s="136">
        <f t="shared" si="31"/>
        <v>3.47</v>
      </c>
      <c r="R119" s="136">
        <f t="shared" si="31"/>
        <v>3.47</v>
      </c>
      <c r="S119" s="136">
        <f t="shared" si="31"/>
        <v>3.47</v>
      </c>
      <c r="T119" s="136">
        <f t="shared" si="30"/>
        <v>3.47</v>
      </c>
      <c r="U119" s="136">
        <f t="shared" si="30"/>
        <v>3.47</v>
      </c>
      <c r="V119" s="136">
        <f t="shared" si="30"/>
        <v>3.47</v>
      </c>
      <c r="W119" s="136">
        <f t="shared" si="30"/>
        <v>3.47</v>
      </c>
      <c r="X119" s="136">
        <f t="shared" si="30"/>
        <v>3.47</v>
      </c>
      <c r="Y119" s="136">
        <f t="shared" si="30"/>
        <v>3.47</v>
      </c>
      <c r="Z119" s="136">
        <f t="shared" si="30"/>
        <v>3.47</v>
      </c>
      <c r="AA119" s="136">
        <f t="shared" si="30"/>
        <v>3.47</v>
      </c>
      <c r="AB119" s="136">
        <f t="shared" si="30"/>
        <v>3.47</v>
      </c>
      <c r="AC119" s="136">
        <f t="shared" si="30"/>
        <v>3.47</v>
      </c>
      <c r="AD119" s="136">
        <f t="shared" si="30"/>
        <v>3.47</v>
      </c>
      <c r="AE119" s="136">
        <f t="shared" si="30"/>
        <v>3.47</v>
      </c>
      <c r="AF119" s="136">
        <f t="shared" si="30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8"/>
        <v>2.1</v>
      </c>
      <c r="C120" s="137">
        <v>2.1</v>
      </c>
      <c r="D120" s="136">
        <f t="shared" si="31"/>
        <v>2.1</v>
      </c>
      <c r="E120" s="136">
        <f t="shared" si="31"/>
        <v>2.1</v>
      </c>
      <c r="F120" s="136">
        <f t="shared" si="31"/>
        <v>2.1</v>
      </c>
      <c r="G120" s="136">
        <f t="shared" si="31"/>
        <v>2.1</v>
      </c>
      <c r="H120" s="136">
        <f t="shared" si="31"/>
        <v>2.1</v>
      </c>
      <c r="I120" s="136">
        <f t="shared" si="31"/>
        <v>2.1</v>
      </c>
      <c r="J120" s="136">
        <f t="shared" si="31"/>
        <v>2.1</v>
      </c>
      <c r="K120" s="136">
        <f t="shared" si="31"/>
        <v>2.1</v>
      </c>
      <c r="L120" s="136">
        <f t="shared" si="31"/>
        <v>2.1</v>
      </c>
      <c r="M120" s="136">
        <f t="shared" si="31"/>
        <v>2.1</v>
      </c>
      <c r="N120" s="136">
        <f t="shared" si="31"/>
        <v>2.1</v>
      </c>
      <c r="O120" s="136">
        <f t="shared" si="31"/>
        <v>2.1</v>
      </c>
      <c r="P120" s="136">
        <f t="shared" si="31"/>
        <v>2.1</v>
      </c>
      <c r="Q120" s="136">
        <f t="shared" si="31"/>
        <v>2.1</v>
      </c>
      <c r="R120" s="136">
        <f t="shared" si="31"/>
        <v>2.1</v>
      </c>
      <c r="S120" s="136">
        <f t="shared" si="31"/>
        <v>2.1</v>
      </c>
      <c r="T120" s="136">
        <f t="shared" si="30"/>
        <v>2.1</v>
      </c>
      <c r="U120" s="136">
        <f t="shared" si="30"/>
        <v>2.1</v>
      </c>
      <c r="V120" s="136">
        <f t="shared" si="30"/>
        <v>2.1</v>
      </c>
      <c r="W120" s="136">
        <f t="shared" si="30"/>
        <v>2.1</v>
      </c>
      <c r="X120" s="136">
        <f t="shared" si="30"/>
        <v>2.1</v>
      </c>
      <c r="Y120" s="136">
        <f t="shared" si="30"/>
        <v>2.1</v>
      </c>
      <c r="Z120" s="136">
        <f t="shared" si="30"/>
        <v>2.1</v>
      </c>
      <c r="AA120" s="136">
        <f t="shared" si="30"/>
        <v>2.1</v>
      </c>
      <c r="AB120" s="136">
        <f t="shared" si="30"/>
        <v>2.1</v>
      </c>
      <c r="AC120" s="136">
        <f t="shared" si="30"/>
        <v>2.1</v>
      </c>
      <c r="AD120" s="136">
        <f t="shared" si="30"/>
        <v>2.1</v>
      </c>
      <c r="AE120" s="136">
        <f t="shared" si="30"/>
        <v>2.1</v>
      </c>
      <c r="AF120" s="136">
        <f t="shared" si="30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8"/>
        <v>9.3000000000000007</v>
      </c>
      <c r="C121" s="137">
        <v>9.3000000000000007</v>
      </c>
      <c r="D121" s="136">
        <f t="shared" si="31"/>
        <v>9.3000000000000007</v>
      </c>
      <c r="E121" s="136">
        <f t="shared" si="31"/>
        <v>9.3000000000000007</v>
      </c>
      <c r="F121" s="136">
        <f t="shared" si="31"/>
        <v>9.3000000000000007</v>
      </c>
      <c r="G121" s="136">
        <f t="shared" si="31"/>
        <v>9.3000000000000007</v>
      </c>
      <c r="H121" s="136">
        <f t="shared" si="31"/>
        <v>9.3000000000000007</v>
      </c>
      <c r="I121" s="136">
        <f t="shared" si="31"/>
        <v>9.3000000000000007</v>
      </c>
      <c r="J121" s="136">
        <f t="shared" si="31"/>
        <v>9.3000000000000007</v>
      </c>
      <c r="K121" s="136">
        <f t="shared" si="31"/>
        <v>9.3000000000000007</v>
      </c>
      <c r="L121" s="136">
        <f t="shared" si="31"/>
        <v>9.3000000000000007</v>
      </c>
      <c r="M121" s="136">
        <f t="shared" si="31"/>
        <v>9.3000000000000007</v>
      </c>
      <c r="N121" s="136">
        <f t="shared" si="31"/>
        <v>9.3000000000000007</v>
      </c>
      <c r="O121" s="136">
        <f t="shared" si="31"/>
        <v>9.3000000000000007</v>
      </c>
      <c r="P121" s="136">
        <f t="shared" si="31"/>
        <v>9.3000000000000007</v>
      </c>
      <c r="Q121" s="136">
        <f t="shared" si="31"/>
        <v>9.3000000000000007</v>
      </c>
      <c r="R121" s="136">
        <f t="shared" si="31"/>
        <v>9.3000000000000007</v>
      </c>
      <c r="S121" s="136">
        <f t="shared" si="31"/>
        <v>9.3000000000000007</v>
      </c>
      <c r="T121" s="136">
        <f t="shared" si="30"/>
        <v>9.3000000000000007</v>
      </c>
      <c r="U121" s="136">
        <f t="shared" si="30"/>
        <v>9.3000000000000007</v>
      </c>
      <c r="V121" s="136">
        <f t="shared" si="30"/>
        <v>9.3000000000000007</v>
      </c>
      <c r="W121" s="136">
        <f t="shared" si="30"/>
        <v>9.3000000000000007</v>
      </c>
      <c r="X121" s="136">
        <f t="shared" si="30"/>
        <v>9.3000000000000007</v>
      </c>
      <c r="Y121" s="136">
        <f t="shared" si="30"/>
        <v>9.3000000000000007</v>
      </c>
      <c r="Z121" s="136">
        <f t="shared" si="30"/>
        <v>9.3000000000000007</v>
      </c>
      <c r="AA121" s="136">
        <f t="shared" si="30"/>
        <v>9.3000000000000007</v>
      </c>
      <c r="AB121" s="136">
        <f t="shared" si="30"/>
        <v>9.3000000000000007</v>
      </c>
      <c r="AC121" s="136">
        <f t="shared" si="30"/>
        <v>9.3000000000000007</v>
      </c>
      <c r="AD121" s="136">
        <f t="shared" si="30"/>
        <v>9.3000000000000007</v>
      </c>
      <c r="AE121" s="136">
        <f t="shared" si="30"/>
        <v>9.3000000000000007</v>
      </c>
      <c r="AF121" s="136">
        <f t="shared" si="30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8"/>
        <v>0</v>
      </c>
      <c r="C122" s="137">
        <v>0</v>
      </c>
      <c r="D122" s="136">
        <f t="shared" si="31"/>
        <v>0</v>
      </c>
      <c r="E122" s="136">
        <f t="shared" si="31"/>
        <v>0</v>
      </c>
      <c r="F122" s="136">
        <f t="shared" si="31"/>
        <v>0</v>
      </c>
      <c r="G122" s="136">
        <f t="shared" si="31"/>
        <v>0</v>
      </c>
      <c r="H122" s="136">
        <f t="shared" si="31"/>
        <v>0</v>
      </c>
      <c r="I122" s="136">
        <f t="shared" si="31"/>
        <v>0</v>
      </c>
      <c r="J122" s="136">
        <f t="shared" si="31"/>
        <v>0</v>
      </c>
      <c r="K122" s="136">
        <f t="shared" si="31"/>
        <v>0</v>
      </c>
      <c r="L122" s="136">
        <f t="shared" si="31"/>
        <v>0</v>
      </c>
      <c r="M122" s="136">
        <f t="shared" si="31"/>
        <v>0</v>
      </c>
      <c r="N122" s="136">
        <f t="shared" si="31"/>
        <v>0</v>
      </c>
      <c r="O122" s="136">
        <f t="shared" si="31"/>
        <v>0</v>
      </c>
      <c r="P122" s="136">
        <f t="shared" si="31"/>
        <v>0</v>
      </c>
      <c r="Q122" s="136">
        <f t="shared" si="31"/>
        <v>0</v>
      </c>
      <c r="R122" s="136">
        <f t="shared" si="31"/>
        <v>0</v>
      </c>
      <c r="S122" s="136">
        <f t="shared" si="31"/>
        <v>0</v>
      </c>
      <c r="T122" s="136">
        <f t="shared" si="30"/>
        <v>0</v>
      </c>
      <c r="U122" s="136">
        <f t="shared" si="30"/>
        <v>0</v>
      </c>
      <c r="V122" s="136">
        <f t="shared" si="30"/>
        <v>0</v>
      </c>
      <c r="W122" s="136">
        <f t="shared" si="30"/>
        <v>0</v>
      </c>
      <c r="X122" s="136">
        <f t="shared" si="30"/>
        <v>0</v>
      </c>
      <c r="Y122" s="136">
        <f t="shared" si="30"/>
        <v>0</v>
      </c>
      <c r="Z122" s="136">
        <f t="shared" si="30"/>
        <v>0</v>
      </c>
      <c r="AA122" s="136">
        <f t="shared" si="30"/>
        <v>0</v>
      </c>
      <c r="AB122" s="136">
        <f t="shared" si="30"/>
        <v>0</v>
      </c>
      <c r="AC122" s="136">
        <f t="shared" si="30"/>
        <v>0</v>
      </c>
      <c r="AD122" s="136">
        <f t="shared" si="30"/>
        <v>0</v>
      </c>
      <c r="AE122" s="136">
        <f t="shared" si="30"/>
        <v>0</v>
      </c>
      <c r="AF122" s="136">
        <f t="shared" si="30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8"/>
        <v>0</v>
      </c>
      <c r="C123" s="137">
        <v>0</v>
      </c>
      <c r="D123" s="136">
        <f t="shared" si="31"/>
        <v>0</v>
      </c>
      <c r="E123" s="136">
        <f t="shared" si="31"/>
        <v>0</v>
      </c>
      <c r="F123" s="136">
        <f t="shared" si="31"/>
        <v>0</v>
      </c>
      <c r="G123" s="136">
        <f t="shared" si="31"/>
        <v>0</v>
      </c>
      <c r="H123" s="136">
        <f t="shared" si="31"/>
        <v>0</v>
      </c>
      <c r="I123" s="136">
        <f t="shared" si="31"/>
        <v>0</v>
      </c>
      <c r="J123" s="136">
        <f t="shared" si="31"/>
        <v>0</v>
      </c>
      <c r="K123" s="136">
        <f t="shared" si="31"/>
        <v>0</v>
      </c>
      <c r="L123" s="136">
        <f t="shared" si="31"/>
        <v>0</v>
      </c>
      <c r="M123" s="136">
        <f t="shared" si="31"/>
        <v>0</v>
      </c>
      <c r="N123" s="136">
        <f t="shared" si="31"/>
        <v>0</v>
      </c>
      <c r="O123" s="136">
        <f t="shared" si="31"/>
        <v>0</v>
      </c>
      <c r="P123" s="136">
        <f t="shared" si="31"/>
        <v>0</v>
      </c>
      <c r="Q123" s="136">
        <f t="shared" si="31"/>
        <v>0</v>
      </c>
      <c r="R123" s="136">
        <f t="shared" si="31"/>
        <v>0</v>
      </c>
      <c r="S123" s="136">
        <f t="shared" si="31"/>
        <v>0</v>
      </c>
      <c r="T123" s="136">
        <f t="shared" si="30"/>
        <v>0</v>
      </c>
      <c r="U123" s="136">
        <f t="shared" si="30"/>
        <v>0</v>
      </c>
      <c r="V123" s="136">
        <f t="shared" si="30"/>
        <v>0</v>
      </c>
      <c r="W123" s="136">
        <f t="shared" si="30"/>
        <v>0</v>
      </c>
      <c r="X123" s="136">
        <f t="shared" si="30"/>
        <v>0</v>
      </c>
      <c r="Y123" s="136">
        <f t="shared" si="30"/>
        <v>0</v>
      </c>
      <c r="Z123" s="136">
        <f t="shared" si="30"/>
        <v>0</v>
      </c>
      <c r="AA123" s="136">
        <f t="shared" si="30"/>
        <v>0</v>
      </c>
      <c r="AB123" s="136">
        <f t="shared" si="30"/>
        <v>0</v>
      </c>
      <c r="AC123" s="136">
        <f t="shared" si="30"/>
        <v>0</v>
      </c>
      <c r="AD123" s="136">
        <f t="shared" si="30"/>
        <v>0</v>
      </c>
      <c r="AE123" s="136">
        <f t="shared" si="30"/>
        <v>0</v>
      </c>
      <c r="AF123" s="136">
        <f t="shared" si="30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8"/>
        <v>5</v>
      </c>
      <c r="C124" s="137">
        <v>5</v>
      </c>
      <c r="D124" s="136">
        <f t="shared" si="31"/>
        <v>5</v>
      </c>
      <c r="E124" s="136">
        <f t="shared" si="31"/>
        <v>5</v>
      </c>
      <c r="F124" s="136">
        <f t="shared" si="31"/>
        <v>5</v>
      </c>
      <c r="G124" s="136">
        <f t="shared" si="31"/>
        <v>5</v>
      </c>
      <c r="H124" s="136">
        <f t="shared" si="31"/>
        <v>5</v>
      </c>
      <c r="I124" s="136">
        <f t="shared" si="31"/>
        <v>5</v>
      </c>
      <c r="J124" s="136">
        <f t="shared" si="31"/>
        <v>5</v>
      </c>
      <c r="K124" s="136">
        <f t="shared" si="31"/>
        <v>5</v>
      </c>
      <c r="L124" s="136">
        <f t="shared" si="31"/>
        <v>5</v>
      </c>
      <c r="M124" s="136">
        <f t="shared" si="31"/>
        <v>5</v>
      </c>
      <c r="N124" s="136">
        <f t="shared" si="31"/>
        <v>5</v>
      </c>
      <c r="O124" s="136">
        <f t="shared" si="31"/>
        <v>5</v>
      </c>
      <c r="P124" s="136">
        <f t="shared" si="31"/>
        <v>5</v>
      </c>
      <c r="Q124" s="136">
        <f t="shared" si="31"/>
        <v>5</v>
      </c>
      <c r="R124" s="136">
        <f t="shared" si="31"/>
        <v>5</v>
      </c>
      <c r="S124" s="136">
        <f t="shared" si="31"/>
        <v>5</v>
      </c>
      <c r="T124" s="136">
        <f t="shared" si="30"/>
        <v>5</v>
      </c>
      <c r="U124" s="136">
        <f t="shared" si="30"/>
        <v>5</v>
      </c>
      <c r="V124" s="136">
        <f t="shared" si="30"/>
        <v>5</v>
      </c>
      <c r="W124" s="136">
        <f t="shared" si="30"/>
        <v>5</v>
      </c>
      <c r="X124" s="136">
        <f t="shared" si="30"/>
        <v>5</v>
      </c>
      <c r="Y124" s="136">
        <f t="shared" si="30"/>
        <v>5</v>
      </c>
      <c r="Z124" s="136">
        <f t="shared" si="30"/>
        <v>5</v>
      </c>
      <c r="AA124" s="136">
        <f t="shared" si="30"/>
        <v>5</v>
      </c>
      <c r="AB124" s="136">
        <f t="shared" si="30"/>
        <v>5</v>
      </c>
      <c r="AC124" s="136">
        <f t="shared" si="30"/>
        <v>5</v>
      </c>
      <c r="AD124" s="136">
        <f t="shared" si="30"/>
        <v>5</v>
      </c>
      <c r="AE124" s="136">
        <f t="shared" si="30"/>
        <v>5</v>
      </c>
      <c r="AF124" s="136">
        <f t="shared" si="30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8"/>
        <v>1</v>
      </c>
      <c r="C125" s="137">
        <v>1</v>
      </c>
      <c r="D125" s="136">
        <f t="shared" si="31"/>
        <v>1</v>
      </c>
      <c r="E125" s="136">
        <f t="shared" si="31"/>
        <v>1</v>
      </c>
      <c r="F125" s="136">
        <f t="shared" si="31"/>
        <v>1</v>
      </c>
      <c r="G125" s="136">
        <f t="shared" si="31"/>
        <v>1</v>
      </c>
      <c r="H125" s="136">
        <f t="shared" si="31"/>
        <v>1</v>
      </c>
      <c r="I125" s="136">
        <f t="shared" si="31"/>
        <v>1</v>
      </c>
      <c r="J125" s="136">
        <f t="shared" si="31"/>
        <v>1</v>
      </c>
      <c r="K125" s="136">
        <f t="shared" si="31"/>
        <v>1</v>
      </c>
      <c r="L125" s="136">
        <f t="shared" si="31"/>
        <v>1</v>
      </c>
      <c r="M125" s="136">
        <f t="shared" si="31"/>
        <v>1</v>
      </c>
      <c r="N125" s="136">
        <f t="shared" si="31"/>
        <v>1</v>
      </c>
      <c r="O125" s="136">
        <f t="shared" si="31"/>
        <v>1</v>
      </c>
      <c r="P125" s="136">
        <f t="shared" si="31"/>
        <v>1</v>
      </c>
      <c r="Q125" s="136">
        <f t="shared" si="31"/>
        <v>1</v>
      </c>
      <c r="R125" s="136">
        <f t="shared" si="31"/>
        <v>1</v>
      </c>
      <c r="S125" s="136">
        <f t="shared" si="31"/>
        <v>1</v>
      </c>
      <c r="T125" s="136">
        <f t="shared" si="30"/>
        <v>1</v>
      </c>
      <c r="U125" s="136">
        <f t="shared" si="30"/>
        <v>1</v>
      </c>
      <c r="V125" s="136">
        <f t="shared" si="30"/>
        <v>1</v>
      </c>
      <c r="W125" s="136">
        <f t="shared" si="30"/>
        <v>1</v>
      </c>
      <c r="X125" s="136">
        <f t="shared" si="30"/>
        <v>1</v>
      </c>
      <c r="Y125" s="136">
        <f t="shared" si="30"/>
        <v>1</v>
      </c>
      <c r="Z125" s="136">
        <f t="shared" si="30"/>
        <v>1</v>
      </c>
      <c r="AA125" s="136">
        <f t="shared" si="30"/>
        <v>1</v>
      </c>
      <c r="AB125" s="136">
        <f t="shared" si="30"/>
        <v>1</v>
      </c>
      <c r="AC125" s="136">
        <f t="shared" si="30"/>
        <v>1</v>
      </c>
      <c r="AD125" s="136">
        <f t="shared" si="30"/>
        <v>1</v>
      </c>
      <c r="AE125" s="136">
        <f t="shared" si="30"/>
        <v>1</v>
      </c>
      <c r="AF125" s="136">
        <f t="shared" si="30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8"/>
        <v>1.58</v>
      </c>
      <c r="C126" s="137">
        <v>1.58</v>
      </c>
      <c r="D126" s="136">
        <f t="shared" si="31"/>
        <v>1.58</v>
      </c>
      <c r="E126" s="136">
        <f t="shared" si="31"/>
        <v>1.58</v>
      </c>
      <c r="F126" s="136">
        <f t="shared" si="31"/>
        <v>1.58</v>
      </c>
      <c r="G126" s="136">
        <f t="shared" si="31"/>
        <v>1.58</v>
      </c>
      <c r="H126" s="136">
        <f t="shared" si="31"/>
        <v>1.58</v>
      </c>
      <c r="I126" s="136">
        <f t="shared" si="31"/>
        <v>1.58</v>
      </c>
      <c r="J126" s="136">
        <f t="shared" si="31"/>
        <v>1.58</v>
      </c>
      <c r="K126" s="136">
        <f t="shared" si="31"/>
        <v>1.58</v>
      </c>
      <c r="L126" s="136">
        <f t="shared" si="31"/>
        <v>1.58</v>
      </c>
      <c r="M126" s="136">
        <f t="shared" si="31"/>
        <v>1.58</v>
      </c>
      <c r="N126" s="136">
        <f t="shared" si="31"/>
        <v>1.58</v>
      </c>
      <c r="O126" s="136">
        <f t="shared" si="31"/>
        <v>1.58</v>
      </c>
      <c r="P126" s="136">
        <f t="shared" si="31"/>
        <v>1.58</v>
      </c>
      <c r="Q126" s="136">
        <f t="shared" si="31"/>
        <v>1.58</v>
      </c>
      <c r="R126" s="136">
        <f t="shared" si="31"/>
        <v>1.58</v>
      </c>
      <c r="S126" s="136">
        <f t="shared" si="31"/>
        <v>1.58</v>
      </c>
      <c r="T126" s="136">
        <f t="shared" si="30"/>
        <v>1.58</v>
      </c>
      <c r="U126" s="136">
        <f t="shared" si="30"/>
        <v>1.58</v>
      </c>
      <c r="V126" s="136">
        <f t="shared" si="30"/>
        <v>1.58</v>
      </c>
      <c r="W126" s="136">
        <f t="shared" si="30"/>
        <v>1.58</v>
      </c>
      <c r="X126" s="136">
        <f t="shared" si="30"/>
        <v>1.58</v>
      </c>
      <c r="Y126" s="136">
        <f t="shared" si="30"/>
        <v>1.58</v>
      </c>
      <c r="Z126" s="136">
        <f t="shared" si="30"/>
        <v>1.58</v>
      </c>
      <c r="AA126" s="136">
        <f t="shared" si="30"/>
        <v>1.58</v>
      </c>
      <c r="AB126" s="136">
        <f t="shared" si="30"/>
        <v>1.58</v>
      </c>
      <c r="AC126" s="136">
        <f t="shared" si="30"/>
        <v>1.58</v>
      </c>
      <c r="AD126" s="136">
        <f t="shared" si="30"/>
        <v>1.58</v>
      </c>
      <c r="AE126" s="136">
        <f t="shared" si="30"/>
        <v>1.58</v>
      </c>
      <c r="AF126" s="136">
        <f t="shared" si="30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8"/>
        <v>1.46</v>
      </c>
      <c r="C127" s="137">
        <v>1.46</v>
      </c>
      <c r="D127" s="136">
        <f t="shared" si="31"/>
        <v>1.46</v>
      </c>
      <c r="E127" s="136">
        <f t="shared" si="31"/>
        <v>1.46</v>
      </c>
      <c r="F127" s="136">
        <f t="shared" si="31"/>
        <v>1.46</v>
      </c>
      <c r="G127" s="136">
        <f t="shared" si="31"/>
        <v>1.46</v>
      </c>
      <c r="H127" s="136">
        <f t="shared" si="31"/>
        <v>1.46</v>
      </c>
      <c r="I127" s="136">
        <f t="shared" si="31"/>
        <v>1.46</v>
      </c>
      <c r="J127" s="136">
        <f t="shared" si="31"/>
        <v>1.46</v>
      </c>
      <c r="K127" s="136">
        <f t="shared" si="31"/>
        <v>1.46</v>
      </c>
      <c r="L127" s="136">
        <f t="shared" si="31"/>
        <v>1.46</v>
      </c>
      <c r="M127" s="136">
        <f t="shared" si="31"/>
        <v>1.46</v>
      </c>
      <c r="N127" s="136">
        <f t="shared" si="31"/>
        <v>1.46</v>
      </c>
      <c r="O127" s="136">
        <f t="shared" si="31"/>
        <v>1.46</v>
      </c>
      <c r="P127" s="136">
        <f t="shared" si="31"/>
        <v>1.46</v>
      </c>
      <c r="Q127" s="136">
        <f t="shared" si="31"/>
        <v>1.46</v>
      </c>
      <c r="R127" s="136">
        <f t="shared" si="31"/>
        <v>1.46</v>
      </c>
      <c r="S127" s="136">
        <f t="shared" si="31"/>
        <v>1.46</v>
      </c>
      <c r="T127" s="136">
        <f t="shared" ref="T127:AF128" si="32">S127</f>
        <v>1.46</v>
      </c>
      <c r="U127" s="136">
        <f t="shared" si="32"/>
        <v>1.46</v>
      </c>
      <c r="V127" s="136">
        <f t="shared" si="32"/>
        <v>1.46</v>
      </c>
      <c r="W127" s="136">
        <f t="shared" si="32"/>
        <v>1.46</v>
      </c>
      <c r="X127" s="136">
        <f t="shared" si="32"/>
        <v>1.46</v>
      </c>
      <c r="Y127" s="136">
        <f t="shared" si="32"/>
        <v>1.46</v>
      </c>
      <c r="Z127" s="136">
        <f t="shared" si="32"/>
        <v>1.46</v>
      </c>
      <c r="AA127" s="136">
        <f t="shared" si="32"/>
        <v>1.46</v>
      </c>
      <c r="AB127" s="136">
        <f t="shared" si="32"/>
        <v>1.46</v>
      </c>
      <c r="AC127" s="136">
        <f t="shared" si="32"/>
        <v>1.46</v>
      </c>
      <c r="AD127" s="136">
        <f t="shared" si="32"/>
        <v>1.46</v>
      </c>
      <c r="AE127" s="136">
        <f t="shared" si="32"/>
        <v>1.46</v>
      </c>
      <c r="AF127" s="136">
        <f t="shared" si="32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8"/>
        <v>1.48</v>
      </c>
      <c r="C128" s="137">
        <v>1.48</v>
      </c>
      <c r="D128" s="136">
        <f t="shared" si="31"/>
        <v>1.48</v>
      </c>
      <c r="E128" s="136">
        <f t="shared" si="31"/>
        <v>1.48</v>
      </c>
      <c r="F128" s="136">
        <f t="shared" si="31"/>
        <v>1.48</v>
      </c>
      <c r="G128" s="136">
        <f t="shared" si="31"/>
        <v>1.48</v>
      </c>
      <c r="H128" s="136">
        <f t="shared" si="31"/>
        <v>1.48</v>
      </c>
      <c r="I128" s="136">
        <f t="shared" si="31"/>
        <v>1.48</v>
      </c>
      <c r="J128" s="136">
        <f t="shared" si="31"/>
        <v>1.48</v>
      </c>
      <c r="K128" s="136">
        <f t="shared" si="31"/>
        <v>1.48</v>
      </c>
      <c r="L128" s="136">
        <f t="shared" si="31"/>
        <v>1.48</v>
      </c>
      <c r="M128" s="136">
        <f t="shared" si="31"/>
        <v>1.48</v>
      </c>
      <c r="N128" s="136">
        <f t="shared" si="31"/>
        <v>1.48</v>
      </c>
      <c r="O128" s="136">
        <f t="shared" si="31"/>
        <v>1.48</v>
      </c>
      <c r="P128" s="136">
        <f t="shared" si="31"/>
        <v>1.48</v>
      </c>
      <c r="Q128" s="136">
        <f t="shared" si="31"/>
        <v>1.48</v>
      </c>
      <c r="R128" s="136">
        <f t="shared" si="31"/>
        <v>1.48</v>
      </c>
      <c r="S128" s="136">
        <f t="shared" si="31"/>
        <v>1.48</v>
      </c>
      <c r="T128" s="136">
        <f t="shared" si="32"/>
        <v>1.48</v>
      </c>
      <c r="U128" s="136">
        <f t="shared" si="32"/>
        <v>1.48</v>
      </c>
      <c r="V128" s="136">
        <f t="shared" si="32"/>
        <v>1.48</v>
      </c>
      <c r="W128" s="136">
        <f t="shared" si="32"/>
        <v>1.48</v>
      </c>
      <c r="X128" s="136">
        <f t="shared" si="32"/>
        <v>1.48</v>
      </c>
      <c r="Y128" s="136">
        <f t="shared" si="32"/>
        <v>1.48</v>
      </c>
      <c r="Z128" s="136">
        <f t="shared" si="32"/>
        <v>1.48</v>
      </c>
      <c r="AA128" s="136">
        <f t="shared" si="32"/>
        <v>1.48</v>
      </c>
      <c r="AB128" s="136">
        <f t="shared" si="32"/>
        <v>1.48</v>
      </c>
      <c r="AC128" s="136">
        <f t="shared" si="32"/>
        <v>1.48</v>
      </c>
      <c r="AD128" s="136">
        <f t="shared" si="32"/>
        <v>1.48</v>
      </c>
      <c r="AE128" s="136">
        <f t="shared" si="32"/>
        <v>1.48</v>
      </c>
      <c r="AF128" s="136">
        <f t="shared" si="32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3">AF130</f>
        <v>2.2000000000000002</v>
      </c>
      <c r="C130" s="137">
        <v>2.2000000000000002</v>
      </c>
      <c r="D130" s="136">
        <f t="shared" ref="D130:S137" si="34">C130</f>
        <v>2.2000000000000002</v>
      </c>
      <c r="E130" s="136">
        <f t="shared" si="34"/>
        <v>2.2000000000000002</v>
      </c>
      <c r="F130" s="136">
        <f t="shared" si="34"/>
        <v>2.2000000000000002</v>
      </c>
      <c r="G130" s="136">
        <f t="shared" si="34"/>
        <v>2.2000000000000002</v>
      </c>
      <c r="H130" s="136">
        <f t="shared" si="34"/>
        <v>2.2000000000000002</v>
      </c>
      <c r="I130" s="136">
        <f t="shared" si="34"/>
        <v>2.2000000000000002</v>
      </c>
      <c r="J130" s="136">
        <f t="shared" si="34"/>
        <v>2.2000000000000002</v>
      </c>
      <c r="K130" s="136">
        <f t="shared" si="34"/>
        <v>2.2000000000000002</v>
      </c>
      <c r="L130" s="136">
        <f t="shared" si="34"/>
        <v>2.2000000000000002</v>
      </c>
      <c r="M130" s="136">
        <f t="shared" si="34"/>
        <v>2.2000000000000002</v>
      </c>
      <c r="N130" s="136">
        <f t="shared" si="34"/>
        <v>2.2000000000000002</v>
      </c>
      <c r="O130" s="136">
        <f t="shared" si="34"/>
        <v>2.2000000000000002</v>
      </c>
      <c r="P130" s="136">
        <f t="shared" si="34"/>
        <v>2.2000000000000002</v>
      </c>
      <c r="Q130" s="136">
        <f t="shared" si="34"/>
        <v>2.2000000000000002</v>
      </c>
      <c r="R130" s="136">
        <f t="shared" si="34"/>
        <v>2.2000000000000002</v>
      </c>
      <c r="S130" s="136">
        <f t="shared" si="34"/>
        <v>2.2000000000000002</v>
      </c>
      <c r="T130" s="136">
        <f t="shared" ref="T130:AF137" si="35">S130</f>
        <v>2.2000000000000002</v>
      </c>
      <c r="U130" s="136">
        <f t="shared" si="35"/>
        <v>2.2000000000000002</v>
      </c>
      <c r="V130" s="136">
        <f t="shared" si="35"/>
        <v>2.2000000000000002</v>
      </c>
      <c r="W130" s="136">
        <f t="shared" si="35"/>
        <v>2.2000000000000002</v>
      </c>
      <c r="X130" s="136">
        <f t="shared" si="35"/>
        <v>2.2000000000000002</v>
      </c>
      <c r="Y130" s="136">
        <f t="shared" si="35"/>
        <v>2.2000000000000002</v>
      </c>
      <c r="Z130" s="136">
        <f t="shared" si="35"/>
        <v>2.2000000000000002</v>
      </c>
      <c r="AA130" s="136">
        <f t="shared" si="35"/>
        <v>2.2000000000000002</v>
      </c>
      <c r="AB130" s="136">
        <f t="shared" si="35"/>
        <v>2.2000000000000002</v>
      </c>
      <c r="AC130" s="136">
        <f t="shared" si="35"/>
        <v>2.2000000000000002</v>
      </c>
      <c r="AD130" s="136">
        <f t="shared" si="35"/>
        <v>2.2000000000000002</v>
      </c>
      <c r="AE130" s="136">
        <f t="shared" si="35"/>
        <v>2.2000000000000002</v>
      </c>
      <c r="AF130" s="136">
        <f t="shared" si="35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3"/>
        <v>2</v>
      </c>
      <c r="C131" s="137">
        <v>2</v>
      </c>
      <c r="D131" s="136">
        <f t="shared" si="34"/>
        <v>2</v>
      </c>
      <c r="E131" s="136">
        <f t="shared" si="34"/>
        <v>2</v>
      </c>
      <c r="F131" s="136">
        <f t="shared" si="34"/>
        <v>2</v>
      </c>
      <c r="G131" s="136">
        <f t="shared" si="34"/>
        <v>2</v>
      </c>
      <c r="H131" s="136">
        <f t="shared" si="34"/>
        <v>2</v>
      </c>
      <c r="I131" s="136">
        <f t="shared" si="34"/>
        <v>2</v>
      </c>
      <c r="J131" s="136">
        <f t="shared" si="34"/>
        <v>2</v>
      </c>
      <c r="K131" s="136">
        <f t="shared" si="34"/>
        <v>2</v>
      </c>
      <c r="L131" s="136">
        <f t="shared" si="34"/>
        <v>2</v>
      </c>
      <c r="M131" s="136">
        <f t="shared" si="34"/>
        <v>2</v>
      </c>
      <c r="N131" s="136">
        <f t="shared" si="34"/>
        <v>2</v>
      </c>
      <c r="O131" s="136">
        <f t="shared" si="34"/>
        <v>2</v>
      </c>
      <c r="P131" s="136">
        <f t="shared" si="34"/>
        <v>2</v>
      </c>
      <c r="Q131" s="136">
        <f t="shared" si="34"/>
        <v>2</v>
      </c>
      <c r="R131" s="136">
        <f t="shared" si="34"/>
        <v>2</v>
      </c>
      <c r="S131" s="136">
        <f t="shared" si="34"/>
        <v>2</v>
      </c>
      <c r="T131" s="136">
        <f t="shared" si="35"/>
        <v>2</v>
      </c>
      <c r="U131" s="136">
        <f t="shared" si="35"/>
        <v>2</v>
      </c>
      <c r="V131" s="136">
        <f t="shared" si="35"/>
        <v>2</v>
      </c>
      <c r="W131" s="136">
        <f t="shared" si="35"/>
        <v>2</v>
      </c>
      <c r="X131" s="136">
        <f t="shared" si="35"/>
        <v>2</v>
      </c>
      <c r="Y131" s="136">
        <f t="shared" si="35"/>
        <v>2</v>
      </c>
      <c r="Z131" s="136">
        <f t="shared" si="35"/>
        <v>2</v>
      </c>
      <c r="AA131" s="136">
        <f t="shared" si="35"/>
        <v>2</v>
      </c>
      <c r="AB131" s="136">
        <f t="shared" si="35"/>
        <v>2</v>
      </c>
      <c r="AC131" s="136">
        <f t="shared" si="35"/>
        <v>2</v>
      </c>
      <c r="AD131" s="136">
        <f t="shared" si="35"/>
        <v>2</v>
      </c>
      <c r="AE131" s="136">
        <f t="shared" si="35"/>
        <v>2</v>
      </c>
      <c r="AF131" s="136">
        <f t="shared" si="35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3"/>
        <v>1.25</v>
      </c>
      <c r="C132" s="137">
        <v>1.25</v>
      </c>
      <c r="D132" s="136">
        <f t="shared" si="34"/>
        <v>1.25</v>
      </c>
      <c r="E132" s="136">
        <f t="shared" si="34"/>
        <v>1.25</v>
      </c>
      <c r="F132" s="136">
        <f t="shared" si="34"/>
        <v>1.25</v>
      </c>
      <c r="G132" s="136">
        <f t="shared" si="34"/>
        <v>1.25</v>
      </c>
      <c r="H132" s="136">
        <f t="shared" si="34"/>
        <v>1.25</v>
      </c>
      <c r="I132" s="136">
        <f t="shared" si="34"/>
        <v>1.25</v>
      </c>
      <c r="J132" s="136">
        <f t="shared" si="34"/>
        <v>1.25</v>
      </c>
      <c r="K132" s="136">
        <f t="shared" si="34"/>
        <v>1.25</v>
      </c>
      <c r="L132" s="136">
        <f t="shared" si="34"/>
        <v>1.25</v>
      </c>
      <c r="M132" s="136">
        <f t="shared" si="34"/>
        <v>1.25</v>
      </c>
      <c r="N132" s="136">
        <f t="shared" si="34"/>
        <v>1.25</v>
      </c>
      <c r="O132" s="136">
        <f t="shared" si="34"/>
        <v>1.25</v>
      </c>
      <c r="P132" s="136">
        <f t="shared" si="34"/>
        <v>1.25</v>
      </c>
      <c r="Q132" s="136">
        <f t="shared" si="34"/>
        <v>1.25</v>
      </c>
      <c r="R132" s="136">
        <f t="shared" si="34"/>
        <v>1.25</v>
      </c>
      <c r="S132" s="136">
        <f t="shared" si="34"/>
        <v>1.25</v>
      </c>
      <c r="T132" s="136">
        <f t="shared" si="35"/>
        <v>1.25</v>
      </c>
      <c r="U132" s="136">
        <f t="shared" si="35"/>
        <v>1.25</v>
      </c>
      <c r="V132" s="136">
        <f t="shared" si="35"/>
        <v>1.25</v>
      </c>
      <c r="W132" s="136">
        <f t="shared" si="35"/>
        <v>1.25</v>
      </c>
      <c r="X132" s="136">
        <f t="shared" si="35"/>
        <v>1.25</v>
      </c>
      <c r="Y132" s="136">
        <f t="shared" si="35"/>
        <v>1.25</v>
      </c>
      <c r="Z132" s="136">
        <f t="shared" si="35"/>
        <v>1.25</v>
      </c>
      <c r="AA132" s="136">
        <f t="shared" si="35"/>
        <v>1.25</v>
      </c>
      <c r="AB132" s="136">
        <f t="shared" si="35"/>
        <v>1.25</v>
      </c>
      <c r="AC132" s="136">
        <f t="shared" si="35"/>
        <v>1.25</v>
      </c>
      <c r="AD132" s="136">
        <f t="shared" si="35"/>
        <v>1.25</v>
      </c>
      <c r="AE132" s="136">
        <f t="shared" si="35"/>
        <v>1.25</v>
      </c>
      <c r="AF132" s="136">
        <f t="shared" si="35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3"/>
        <v>1.1499999999999999</v>
      </c>
      <c r="C133" s="137">
        <v>1.1499999999999999</v>
      </c>
      <c r="D133" s="136">
        <f t="shared" si="34"/>
        <v>1.1499999999999999</v>
      </c>
      <c r="E133" s="136">
        <f t="shared" si="34"/>
        <v>1.1499999999999999</v>
      </c>
      <c r="F133" s="136">
        <f t="shared" si="34"/>
        <v>1.1499999999999999</v>
      </c>
      <c r="G133" s="136">
        <f t="shared" si="34"/>
        <v>1.1499999999999999</v>
      </c>
      <c r="H133" s="136">
        <f t="shared" si="34"/>
        <v>1.1499999999999999</v>
      </c>
      <c r="I133" s="136">
        <f t="shared" si="34"/>
        <v>1.1499999999999999</v>
      </c>
      <c r="J133" s="136">
        <f t="shared" si="34"/>
        <v>1.1499999999999999</v>
      </c>
      <c r="K133" s="136">
        <f t="shared" si="34"/>
        <v>1.1499999999999999</v>
      </c>
      <c r="L133" s="136">
        <f t="shared" si="34"/>
        <v>1.1499999999999999</v>
      </c>
      <c r="M133" s="136">
        <f t="shared" si="34"/>
        <v>1.1499999999999999</v>
      </c>
      <c r="N133" s="136">
        <f t="shared" si="34"/>
        <v>1.1499999999999999</v>
      </c>
      <c r="O133" s="136">
        <f t="shared" si="34"/>
        <v>1.1499999999999999</v>
      </c>
      <c r="P133" s="136">
        <f t="shared" si="34"/>
        <v>1.1499999999999999</v>
      </c>
      <c r="Q133" s="136">
        <f t="shared" si="34"/>
        <v>1.1499999999999999</v>
      </c>
      <c r="R133" s="136">
        <f t="shared" si="34"/>
        <v>1.1499999999999999</v>
      </c>
      <c r="S133" s="136">
        <f t="shared" si="34"/>
        <v>1.1499999999999999</v>
      </c>
      <c r="T133" s="136">
        <f t="shared" si="35"/>
        <v>1.1499999999999999</v>
      </c>
      <c r="U133" s="136">
        <f t="shared" si="35"/>
        <v>1.1499999999999999</v>
      </c>
      <c r="V133" s="136">
        <f t="shared" si="35"/>
        <v>1.1499999999999999</v>
      </c>
      <c r="W133" s="136">
        <f t="shared" si="35"/>
        <v>1.1499999999999999</v>
      </c>
      <c r="X133" s="136">
        <f t="shared" si="35"/>
        <v>1.1499999999999999</v>
      </c>
      <c r="Y133" s="136">
        <f t="shared" si="35"/>
        <v>1.1499999999999999</v>
      </c>
      <c r="Z133" s="136">
        <f t="shared" si="35"/>
        <v>1.1499999999999999</v>
      </c>
      <c r="AA133" s="136">
        <f t="shared" si="35"/>
        <v>1.1499999999999999</v>
      </c>
      <c r="AB133" s="136">
        <f t="shared" si="35"/>
        <v>1.1499999999999999</v>
      </c>
      <c r="AC133" s="136">
        <f t="shared" si="35"/>
        <v>1.1499999999999999</v>
      </c>
      <c r="AD133" s="136">
        <f t="shared" si="35"/>
        <v>1.1499999999999999</v>
      </c>
      <c r="AE133" s="136">
        <f t="shared" si="35"/>
        <v>1.1499999999999999</v>
      </c>
      <c r="AF133" s="136">
        <f t="shared" si="35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3"/>
        <v>2.133</v>
      </c>
      <c r="C134" s="137">
        <v>2.133</v>
      </c>
      <c r="D134" s="136">
        <f t="shared" si="34"/>
        <v>2.133</v>
      </c>
      <c r="E134" s="136">
        <f t="shared" si="34"/>
        <v>2.133</v>
      </c>
      <c r="F134" s="136">
        <f t="shared" si="34"/>
        <v>2.133</v>
      </c>
      <c r="G134" s="136">
        <f t="shared" si="34"/>
        <v>2.133</v>
      </c>
      <c r="H134" s="136">
        <f t="shared" si="34"/>
        <v>2.133</v>
      </c>
      <c r="I134" s="136">
        <f t="shared" si="34"/>
        <v>2.133</v>
      </c>
      <c r="J134" s="136">
        <f t="shared" si="34"/>
        <v>2.133</v>
      </c>
      <c r="K134" s="136">
        <f t="shared" si="34"/>
        <v>2.133</v>
      </c>
      <c r="L134" s="136">
        <f t="shared" si="34"/>
        <v>2.133</v>
      </c>
      <c r="M134" s="136">
        <f t="shared" si="34"/>
        <v>2.133</v>
      </c>
      <c r="N134" s="136">
        <f t="shared" si="34"/>
        <v>2.133</v>
      </c>
      <c r="O134" s="136">
        <f t="shared" si="34"/>
        <v>2.133</v>
      </c>
      <c r="P134" s="136">
        <f t="shared" si="34"/>
        <v>2.133</v>
      </c>
      <c r="Q134" s="136">
        <f t="shared" si="34"/>
        <v>2.133</v>
      </c>
      <c r="R134" s="136">
        <f t="shared" si="34"/>
        <v>2.133</v>
      </c>
      <c r="S134" s="136">
        <f t="shared" si="34"/>
        <v>2.133</v>
      </c>
      <c r="T134" s="136">
        <f t="shared" si="35"/>
        <v>2.133</v>
      </c>
      <c r="U134" s="136">
        <f t="shared" si="35"/>
        <v>2.133</v>
      </c>
      <c r="V134" s="136">
        <f t="shared" si="35"/>
        <v>2.133</v>
      </c>
      <c r="W134" s="136">
        <f t="shared" si="35"/>
        <v>2.133</v>
      </c>
      <c r="X134" s="136">
        <f t="shared" si="35"/>
        <v>2.133</v>
      </c>
      <c r="Y134" s="136">
        <f t="shared" si="35"/>
        <v>2.133</v>
      </c>
      <c r="Z134" s="136">
        <f t="shared" si="35"/>
        <v>2.133</v>
      </c>
      <c r="AA134" s="136">
        <f t="shared" si="35"/>
        <v>2.133</v>
      </c>
      <c r="AB134" s="136">
        <f t="shared" si="35"/>
        <v>2.133</v>
      </c>
      <c r="AC134" s="136">
        <f t="shared" si="35"/>
        <v>2.133</v>
      </c>
      <c r="AD134" s="136">
        <f t="shared" si="35"/>
        <v>2.133</v>
      </c>
      <c r="AE134" s="136">
        <f t="shared" si="35"/>
        <v>2.133</v>
      </c>
      <c r="AF134" s="136">
        <f t="shared" si="35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3"/>
        <v>2.09</v>
      </c>
      <c r="C135" s="137">
        <v>2.09</v>
      </c>
      <c r="D135" s="136">
        <f t="shared" si="34"/>
        <v>2.09</v>
      </c>
      <c r="E135" s="136">
        <f t="shared" si="34"/>
        <v>2.09</v>
      </c>
      <c r="F135" s="136">
        <f t="shared" si="34"/>
        <v>2.09</v>
      </c>
      <c r="G135" s="136">
        <f t="shared" si="34"/>
        <v>2.09</v>
      </c>
      <c r="H135" s="136">
        <f t="shared" si="34"/>
        <v>2.09</v>
      </c>
      <c r="I135" s="136">
        <f t="shared" si="34"/>
        <v>2.09</v>
      </c>
      <c r="J135" s="136">
        <f t="shared" si="34"/>
        <v>2.09</v>
      </c>
      <c r="K135" s="136">
        <f t="shared" si="34"/>
        <v>2.09</v>
      </c>
      <c r="L135" s="136">
        <f t="shared" si="34"/>
        <v>2.09</v>
      </c>
      <c r="M135" s="136">
        <f t="shared" si="34"/>
        <v>2.09</v>
      </c>
      <c r="N135" s="136">
        <f t="shared" si="34"/>
        <v>2.09</v>
      </c>
      <c r="O135" s="136">
        <f t="shared" si="34"/>
        <v>2.09</v>
      </c>
      <c r="P135" s="136">
        <f t="shared" si="34"/>
        <v>2.09</v>
      </c>
      <c r="Q135" s="136">
        <f t="shared" si="34"/>
        <v>2.09</v>
      </c>
      <c r="R135" s="136">
        <f t="shared" si="34"/>
        <v>2.09</v>
      </c>
      <c r="S135" s="136">
        <f t="shared" si="34"/>
        <v>2.09</v>
      </c>
      <c r="T135" s="136">
        <f t="shared" si="35"/>
        <v>2.09</v>
      </c>
      <c r="U135" s="136">
        <f t="shared" si="35"/>
        <v>2.09</v>
      </c>
      <c r="V135" s="136">
        <f t="shared" si="35"/>
        <v>2.09</v>
      </c>
      <c r="W135" s="136">
        <f t="shared" si="35"/>
        <v>2.09</v>
      </c>
      <c r="X135" s="136">
        <f t="shared" si="35"/>
        <v>2.09</v>
      </c>
      <c r="Y135" s="136">
        <f t="shared" si="35"/>
        <v>2.09</v>
      </c>
      <c r="Z135" s="136">
        <f t="shared" si="35"/>
        <v>2.09</v>
      </c>
      <c r="AA135" s="136">
        <f t="shared" si="35"/>
        <v>2.09</v>
      </c>
      <c r="AB135" s="136">
        <f t="shared" si="35"/>
        <v>2.09</v>
      </c>
      <c r="AC135" s="136">
        <f t="shared" si="35"/>
        <v>2.09</v>
      </c>
      <c r="AD135" s="136">
        <f t="shared" si="35"/>
        <v>2.09</v>
      </c>
      <c r="AE135" s="136">
        <f t="shared" si="35"/>
        <v>2.09</v>
      </c>
      <c r="AF135" s="136">
        <f t="shared" si="35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3"/>
        <v>1.1399999999999999</v>
      </c>
      <c r="C136" s="137">
        <v>1.1399999999999999</v>
      </c>
      <c r="D136" s="136">
        <f t="shared" si="34"/>
        <v>1.1399999999999999</v>
      </c>
      <c r="E136" s="136">
        <f t="shared" si="34"/>
        <v>1.1399999999999999</v>
      </c>
      <c r="F136" s="136">
        <f t="shared" si="34"/>
        <v>1.1399999999999999</v>
      </c>
      <c r="G136" s="136">
        <f t="shared" si="34"/>
        <v>1.1399999999999999</v>
      </c>
      <c r="H136" s="136">
        <f t="shared" si="34"/>
        <v>1.1399999999999999</v>
      </c>
      <c r="I136" s="136">
        <f t="shared" si="34"/>
        <v>1.1399999999999999</v>
      </c>
      <c r="J136" s="136">
        <f t="shared" si="34"/>
        <v>1.1399999999999999</v>
      </c>
      <c r="K136" s="136">
        <f t="shared" si="34"/>
        <v>1.1399999999999999</v>
      </c>
      <c r="L136" s="136">
        <f t="shared" si="34"/>
        <v>1.1399999999999999</v>
      </c>
      <c r="M136" s="136">
        <f t="shared" si="34"/>
        <v>1.1399999999999999</v>
      </c>
      <c r="N136" s="136">
        <f t="shared" si="34"/>
        <v>1.1399999999999999</v>
      </c>
      <c r="O136" s="136">
        <f t="shared" si="34"/>
        <v>1.1399999999999999</v>
      </c>
      <c r="P136" s="136">
        <f t="shared" si="34"/>
        <v>1.1399999999999999</v>
      </c>
      <c r="Q136" s="136">
        <f t="shared" si="34"/>
        <v>1.1399999999999999</v>
      </c>
      <c r="R136" s="136">
        <f t="shared" si="34"/>
        <v>1.1399999999999999</v>
      </c>
      <c r="S136" s="136">
        <f t="shared" si="34"/>
        <v>1.1399999999999999</v>
      </c>
      <c r="T136" s="136">
        <f t="shared" si="35"/>
        <v>1.1399999999999999</v>
      </c>
      <c r="U136" s="136">
        <f t="shared" si="35"/>
        <v>1.1399999999999999</v>
      </c>
      <c r="V136" s="136">
        <f t="shared" si="35"/>
        <v>1.1399999999999999</v>
      </c>
      <c r="W136" s="136">
        <f t="shared" si="35"/>
        <v>1.1399999999999999</v>
      </c>
      <c r="X136" s="136">
        <f t="shared" si="35"/>
        <v>1.1399999999999999</v>
      </c>
      <c r="Y136" s="136">
        <f t="shared" si="35"/>
        <v>1.1399999999999999</v>
      </c>
      <c r="Z136" s="136">
        <f t="shared" si="35"/>
        <v>1.1399999999999999</v>
      </c>
      <c r="AA136" s="136">
        <f t="shared" si="35"/>
        <v>1.1399999999999999</v>
      </c>
      <c r="AB136" s="136">
        <f t="shared" si="35"/>
        <v>1.1399999999999999</v>
      </c>
      <c r="AC136" s="136">
        <f t="shared" si="35"/>
        <v>1.1399999999999999</v>
      </c>
      <c r="AD136" s="136">
        <f t="shared" si="35"/>
        <v>1.1399999999999999</v>
      </c>
      <c r="AE136" s="136">
        <f t="shared" si="35"/>
        <v>1.1399999999999999</v>
      </c>
      <c r="AF136" s="136">
        <f t="shared" si="35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3"/>
        <v>0.82</v>
      </c>
      <c r="C137" s="137">
        <v>0.82</v>
      </c>
      <c r="D137" s="136">
        <f t="shared" si="34"/>
        <v>0.82</v>
      </c>
      <c r="E137" s="136">
        <f t="shared" si="34"/>
        <v>0.82</v>
      </c>
      <c r="F137" s="136">
        <f t="shared" si="34"/>
        <v>0.82</v>
      </c>
      <c r="G137" s="136">
        <f t="shared" si="34"/>
        <v>0.82</v>
      </c>
      <c r="H137" s="136">
        <f t="shared" si="34"/>
        <v>0.82</v>
      </c>
      <c r="I137" s="136">
        <f t="shared" si="34"/>
        <v>0.82</v>
      </c>
      <c r="J137" s="136">
        <f t="shared" si="34"/>
        <v>0.82</v>
      </c>
      <c r="K137" s="136">
        <f t="shared" si="34"/>
        <v>0.82</v>
      </c>
      <c r="L137" s="136">
        <f t="shared" si="34"/>
        <v>0.82</v>
      </c>
      <c r="M137" s="136">
        <f t="shared" si="34"/>
        <v>0.82</v>
      </c>
      <c r="N137" s="136">
        <f t="shared" si="34"/>
        <v>0.82</v>
      </c>
      <c r="O137" s="136">
        <f t="shared" si="34"/>
        <v>0.82</v>
      </c>
      <c r="P137" s="136">
        <f t="shared" si="34"/>
        <v>0.82</v>
      </c>
      <c r="Q137" s="136">
        <f t="shared" si="34"/>
        <v>0.82</v>
      </c>
      <c r="R137" s="136">
        <f t="shared" si="34"/>
        <v>0.82</v>
      </c>
      <c r="S137" s="136">
        <f t="shared" si="34"/>
        <v>0.82</v>
      </c>
      <c r="T137" s="136">
        <f t="shared" si="35"/>
        <v>0.82</v>
      </c>
      <c r="U137" s="136">
        <f t="shared" si="35"/>
        <v>0.82</v>
      </c>
      <c r="V137" s="136">
        <f t="shared" si="35"/>
        <v>0.82</v>
      </c>
      <c r="W137" s="136">
        <f t="shared" si="35"/>
        <v>0.82</v>
      </c>
      <c r="X137" s="136">
        <f t="shared" si="35"/>
        <v>0.82</v>
      </c>
      <c r="Y137" s="136">
        <f t="shared" si="35"/>
        <v>0.82</v>
      </c>
      <c r="Z137" s="136">
        <f t="shared" si="35"/>
        <v>0.82</v>
      </c>
      <c r="AA137" s="136">
        <f t="shared" si="35"/>
        <v>0.82</v>
      </c>
      <c r="AB137" s="136">
        <f t="shared" si="35"/>
        <v>0.82</v>
      </c>
      <c r="AC137" s="136">
        <f t="shared" si="35"/>
        <v>0.82</v>
      </c>
      <c r="AD137" s="136">
        <f t="shared" si="35"/>
        <v>0.82</v>
      </c>
      <c r="AE137" s="136">
        <f t="shared" si="35"/>
        <v>0.82</v>
      </c>
      <c r="AF137" s="136">
        <f t="shared" si="35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6">AF139</f>
        <v>2</v>
      </c>
      <c r="C139" s="137">
        <v>2</v>
      </c>
      <c r="D139" s="136">
        <f t="shared" ref="D139:S145" si="37">C139</f>
        <v>2</v>
      </c>
      <c r="E139" s="136">
        <f t="shared" si="37"/>
        <v>2</v>
      </c>
      <c r="F139" s="136">
        <f t="shared" si="37"/>
        <v>2</v>
      </c>
      <c r="G139" s="136">
        <f t="shared" si="37"/>
        <v>2</v>
      </c>
      <c r="H139" s="136">
        <f t="shared" si="37"/>
        <v>2</v>
      </c>
      <c r="I139" s="136">
        <f t="shared" si="37"/>
        <v>2</v>
      </c>
      <c r="J139" s="136">
        <f t="shared" si="37"/>
        <v>2</v>
      </c>
      <c r="K139" s="136">
        <f t="shared" si="37"/>
        <v>2</v>
      </c>
      <c r="L139" s="136">
        <f t="shared" si="37"/>
        <v>2</v>
      </c>
      <c r="M139" s="136">
        <f t="shared" si="37"/>
        <v>2</v>
      </c>
      <c r="N139" s="136">
        <f t="shared" si="37"/>
        <v>2</v>
      </c>
      <c r="O139" s="136">
        <f t="shared" si="37"/>
        <v>2</v>
      </c>
      <c r="P139" s="136">
        <f t="shared" si="37"/>
        <v>2</v>
      </c>
      <c r="Q139" s="136">
        <f t="shared" si="37"/>
        <v>2</v>
      </c>
      <c r="R139" s="136">
        <f t="shared" si="37"/>
        <v>2</v>
      </c>
      <c r="S139" s="136">
        <f t="shared" si="37"/>
        <v>2</v>
      </c>
      <c r="T139" s="136">
        <f t="shared" ref="T139:AF145" si="38">S139</f>
        <v>2</v>
      </c>
      <c r="U139" s="136">
        <f t="shared" si="38"/>
        <v>2</v>
      </c>
      <c r="V139" s="136">
        <f t="shared" si="38"/>
        <v>2</v>
      </c>
      <c r="W139" s="136">
        <f t="shared" si="38"/>
        <v>2</v>
      </c>
      <c r="X139" s="136">
        <f t="shared" si="38"/>
        <v>2</v>
      </c>
      <c r="Y139" s="136">
        <f t="shared" si="38"/>
        <v>2</v>
      </c>
      <c r="Z139" s="136">
        <f t="shared" si="38"/>
        <v>2</v>
      </c>
      <c r="AA139" s="136">
        <f t="shared" si="38"/>
        <v>2</v>
      </c>
      <c r="AB139" s="136">
        <f t="shared" si="38"/>
        <v>2</v>
      </c>
      <c r="AC139" s="136">
        <f t="shared" si="38"/>
        <v>2</v>
      </c>
      <c r="AD139" s="136">
        <f t="shared" si="38"/>
        <v>2</v>
      </c>
      <c r="AE139" s="136">
        <f t="shared" si="38"/>
        <v>2</v>
      </c>
      <c r="AF139" s="136">
        <f t="shared" si="38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6"/>
        <v>5.61</v>
      </c>
      <c r="C140" s="137">
        <v>5.61</v>
      </c>
      <c r="D140" s="136">
        <f t="shared" si="37"/>
        <v>5.61</v>
      </c>
      <c r="E140" s="136">
        <f t="shared" si="37"/>
        <v>5.61</v>
      </c>
      <c r="F140" s="136">
        <f t="shared" si="37"/>
        <v>5.61</v>
      </c>
      <c r="G140" s="136">
        <f t="shared" si="37"/>
        <v>5.61</v>
      </c>
      <c r="H140" s="136">
        <f t="shared" si="37"/>
        <v>5.61</v>
      </c>
      <c r="I140" s="136">
        <f t="shared" si="37"/>
        <v>5.61</v>
      </c>
      <c r="J140" s="136">
        <f t="shared" si="37"/>
        <v>5.61</v>
      </c>
      <c r="K140" s="136">
        <f t="shared" si="37"/>
        <v>5.61</v>
      </c>
      <c r="L140" s="136">
        <f t="shared" si="37"/>
        <v>5.61</v>
      </c>
      <c r="M140" s="136">
        <f t="shared" si="37"/>
        <v>5.61</v>
      </c>
      <c r="N140" s="136">
        <f t="shared" si="37"/>
        <v>5.61</v>
      </c>
      <c r="O140" s="136">
        <f t="shared" si="37"/>
        <v>5.61</v>
      </c>
      <c r="P140" s="136">
        <f t="shared" si="37"/>
        <v>5.61</v>
      </c>
      <c r="Q140" s="136">
        <f t="shared" si="37"/>
        <v>5.61</v>
      </c>
      <c r="R140" s="136">
        <f t="shared" si="37"/>
        <v>5.61</v>
      </c>
      <c r="S140" s="136">
        <f t="shared" si="37"/>
        <v>5.61</v>
      </c>
      <c r="T140" s="136">
        <f t="shared" si="38"/>
        <v>5.61</v>
      </c>
      <c r="U140" s="136">
        <f t="shared" si="38"/>
        <v>5.61</v>
      </c>
      <c r="V140" s="136">
        <f t="shared" si="38"/>
        <v>5.61</v>
      </c>
      <c r="W140" s="136">
        <f t="shared" si="38"/>
        <v>5.61</v>
      </c>
      <c r="X140" s="136">
        <f t="shared" si="38"/>
        <v>5.61</v>
      </c>
      <c r="Y140" s="136">
        <f t="shared" si="38"/>
        <v>5.61</v>
      </c>
      <c r="Z140" s="136">
        <f t="shared" si="38"/>
        <v>5.61</v>
      </c>
      <c r="AA140" s="136">
        <f t="shared" si="38"/>
        <v>5.61</v>
      </c>
      <c r="AB140" s="136">
        <f t="shared" si="38"/>
        <v>5.61</v>
      </c>
      <c r="AC140" s="136">
        <f t="shared" si="38"/>
        <v>5.61</v>
      </c>
      <c r="AD140" s="136">
        <f t="shared" si="38"/>
        <v>5.61</v>
      </c>
      <c r="AE140" s="136">
        <f t="shared" si="38"/>
        <v>5.61</v>
      </c>
      <c r="AF140" s="136">
        <f t="shared" si="38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6"/>
        <v>1.25</v>
      </c>
      <c r="C141" s="137">
        <v>1.25</v>
      </c>
      <c r="D141" s="136">
        <f t="shared" si="37"/>
        <v>1.25</v>
      </c>
      <c r="E141" s="136">
        <f t="shared" si="37"/>
        <v>1.25</v>
      </c>
      <c r="F141" s="136">
        <f t="shared" si="37"/>
        <v>1.25</v>
      </c>
      <c r="G141" s="136">
        <f t="shared" si="37"/>
        <v>1.25</v>
      </c>
      <c r="H141" s="136">
        <f t="shared" si="37"/>
        <v>1.25</v>
      </c>
      <c r="I141" s="136">
        <f t="shared" si="37"/>
        <v>1.25</v>
      </c>
      <c r="J141" s="136">
        <f t="shared" si="37"/>
        <v>1.25</v>
      </c>
      <c r="K141" s="136">
        <f t="shared" si="37"/>
        <v>1.25</v>
      </c>
      <c r="L141" s="136">
        <f t="shared" si="37"/>
        <v>1.25</v>
      </c>
      <c r="M141" s="136">
        <f t="shared" si="37"/>
        <v>1.25</v>
      </c>
      <c r="N141" s="136">
        <f t="shared" si="37"/>
        <v>1.25</v>
      </c>
      <c r="O141" s="136">
        <f t="shared" si="37"/>
        <v>1.25</v>
      </c>
      <c r="P141" s="136">
        <f t="shared" si="37"/>
        <v>1.25</v>
      </c>
      <c r="Q141" s="136">
        <f t="shared" si="37"/>
        <v>1.25</v>
      </c>
      <c r="R141" s="136">
        <f t="shared" si="37"/>
        <v>1.25</v>
      </c>
      <c r="S141" s="136">
        <f t="shared" si="37"/>
        <v>1.25</v>
      </c>
      <c r="T141" s="136">
        <f t="shared" si="38"/>
        <v>1.25</v>
      </c>
      <c r="U141" s="136">
        <f t="shared" si="38"/>
        <v>1.25</v>
      </c>
      <c r="V141" s="136">
        <f t="shared" si="38"/>
        <v>1.25</v>
      </c>
      <c r="W141" s="136">
        <f t="shared" si="38"/>
        <v>1.25</v>
      </c>
      <c r="X141" s="136">
        <f t="shared" si="38"/>
        <v>1.25</v>
      </c>
      <c r="Y141" s="136">
        <f t="shared" si="38"/>
        <v>1.25</v>
      </c>
      <c r="Z141" s="136">
        <f t="shared" si="38"/>
        <v>1.25</v>
      </c>
      <c r="AA141" s="136">
        <f t="shared" si="38"/>
        <v>1.25</v>
      </c>
      <c r="AB141" s="136">
        <f t="shared" si="38"/>
        <v>1.25</v>
      </c>
      <c r="AC141" s="136">
        <f t="shared" si="38"/>
        <v>1.25</v>
      </c>
      <c r="AD141" s="136">
        <f t="shared" si="38"/>
        <v>1.25</v>
      </c>
      <c r="AE141" s="136">
        <f t="shared" si="38"/>
        <v>1.25</v>
      </c>
      <c r="AF141" s="136">
        <f t="shared" si="38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6"/>
        <v>1.25</v>
      </c>
      <c r="C142" s="137">
        <v>1.25</v>
      </c>
      <c r="D142" s="136">
        <f t="shared" si="37"/>
        <v>1.25</v>
      </c>
      <c r="E142" s="136">
        <f t="shared" si="37"/>
        <v>1.25</v>
      </c>
      <c r="F142" s="136">
        <f t="shared" si="37"/>
        <v>1.25</v>
      </c>
      <c r="G142" s="136">
        <f t="shared" si="37"/>
        <v>1.25</v>
      </c>
      <c r="H142" s="136">
        <f t="shared" si="37"/>
        <v>1.25</v>
      </c>
      <c r="I142" s="136">
        <f t="shared" si="37"/>
        <v>1.25</v>
      </c>
      <c r="J142" s="136">
        <f t="shared" si="37"/>
        <v>1.25</v>
      </c>
      <c r="K142" s="136">
        <f t="shared" si="37"/>
        <v>1.25</v>
      </c>
      <c r="L142" s="136">
        <f t="shared" si="37"/>
        <v>1.25</v>
      </c>
      <c r="M142" s="136">
        <f t="shared" si="37"/>
        <v>1.25</v>
      </c>
      <c r="N142" s="136">
        <f t="shared" si="37"/>
        <v>1.25</v>
      </c>
      <c r="O142" s="136">
        <f t="shared" si="37"/>
        <v>1.25</v>
      </c>
      <c r="P142" s="136">
        <f t="shared" si="37"/>
        <v>1.25</v>
      </c>
      <c r="Q142" s="136">
        <f t="shared" si="37"/>
        <v>1.25</v>
      </c>
      <c r="R142" s="136">
        <f t="shared" si="37"/>
        <v>1.25</v>
      </c>
      <c r="S142" s="136">
        <f t="shared" si="37"/>
        <v>1.25</v>
      </c>
      <c r="T142" s="136">
        <f t="shared" si="38"/>
        <v>1.25</v>
      </c>
      <c r="U142" s="136">
        <f t="shared" si="38"/>
        <v>1.25</v>
      </c>
      <c r="V142" s="136">
        <f t="shared" si="38"/>
        <v>1.25</v>
      </c>
      <c r="W142" s="136">
        <f t="shared" si="38"/>
        <v>1.25</v>
      </c>
      <c r="X142" s="136">
        <f t="shared" si="38"/>
        <v>1.25</v>
      </c>
      <c r="Y142" s="136">
        <f t="shared" si="38"/>
        <v>1.25</v>
      </c>
      <c r="Z142" s="136">
        <f t="shared" si="38"/>
        <v>1.25</v>
      </c>
      <c r="AA142" s="136">
        <f t="shared" si="38"/>
        <v>1.25</v>
      </c>
      <c r="AB142" s="136">
        <f t="shared" si="38"/>
        <v>1.25</v>
      </c>
      <c r="AC142" s="136">
        <f t="shared" si="38"/>
        <v>1.25</v>
      </c>
      <c r="AD142" s="136">
        <f t="shared" si="38"/>
        <v>1.25</v>
      </c>
      <c r="AE142" s="136">
        <f t="shared" si="38"/>
        <v>1.25</v>
      </c>
      <c r="AF142" s="136">
        <f t="shared" si="38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6"/>
        <v>1.46</v>
      </c>
      <c r="C143" s="137">
        <v>1.46</v>
      </c>
      <c r="D143" s="136">
        <f t="shared" si="37"/>
        <v>1.46</v>
      </c>
      <c r="E143" s="136">
        <f t="shared" si="37"/>
        <v>1.46</v>
      </c>
      <c r="F143" s="136">
        <f t="shared" si="37"/>
        <v>1.46</v>
      </c>
      <c r="G143" s="136">
        <f t="shared" si="37"/>
        <v>1.46</v>
      </c>
      <c r="H143" s="136">
        <f t="shared" si="37"/>
        <v>1.46</v>
      </c>
      <c r="I143" s="136">
        <f t="shared" si="37"/>
        <v>1.46</v>
      </c>
      <c r="J143" s="136">
        <f t="shared" si="37"/>
        <v>1.46</v>
      </c>
      <c r="K143" s="136">
        <f t="shared" si="37"/>
        <v>1.46</v>
      </c>
      <c r="L143" s="136">
        <f t="shared" si="37"/>
        <v>1.46</v>
      </c>
      <c r="M143" s="136">
        <f t="shared" si="37"/>
        <v>1.46</v>
      </c>
      <c r="N143" s="136">
        <f t="shared" si="37"/>
        <v>1.46</v>
      </c>
      <c r="O143" s="136">
        <f t="shared" si="37"/>
        <v>1.46</v>
      </c>
      <c r="P143" s="136">
        <f t="shared" si="37"/>
        <v>1.46</v>
      </c>
      <c r="Q143" s="136">
        <f t="shared" si="37"/>
        <v>1.46</v>
      </c>
      <c r="R143" s="136">
        <f t="shared" si="37"/>
        <v>1.46</v>
      </c>
      <c r="S143" s="136">
        <f t="shared" si="37"/>
        <v>1.46</v>
      </c>
      <c r="T143" s="136">
        <f t="shared" si="38"/>
        <v>1.46</v>
      </c>
      <c r="U143" s="136">
        <f t="shared" si="38"/>
        <v>1.46</v>
      </c>
      <c r="V143" s="136">
        <f t="shared" si="38"/>
        <v>1.46</v>
      </c>
      <c r="W143" s="136">
        <f t="shared" si="38"/>
        <v>1.46</v>
      </c>
      <c r="X143" s="136">
        <f t="shared" si="38"/>
        <v>1.46</v>
      </c>
      <c r="Y143" s="136">
        <f t="shared" si="38"/>
        <v>1.46</v>
      </c>
      <c r="Z143" s="136">
        <f t="shared" si="38"/>
        <v>1.46</v>
      </c>
      <c r="AA143" s="136">
        <f t="shared" si="38"/>
        <v>1.46</v>
      </c>
      <c r="AB143" s="136">
        <f t="shared" si="38"/>
        <v>1.46</v>
      </c>
      <c r="AC143" s="136">
        <f t="shared" si="38"/>
        <v>1.46</v>
      </c>
      <c r="AD143" s="136">
        <f t="shared" si="38"/>
        <v>1.46</v>
      </c>
      <c r="AE143" s="136">
        <f t="shared" si="38"/>
        <v>1.46</v>
      </c>
      <c r="AF143" s="136">
        <f t="shared" si="38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6"/>
        <v>3</v>
      </c>
      <c r="C144" s="137">
        <v>3</v>
      </c>
      <c r="D144" s="136">
        <f t="shared" si="37"/>
        <v>3</v>
      </c>
      <c r="E144" s="136">
        <f t="shared" si="37"/>
        <v>3</v>
      </c>
      <c r="F144" s="136">
        <f t="shared" si="37"/>
        <v>3</v>
      </c>
      <c r="G144" s="136">
        <f t="shared" si="37"/>
        <v>3</v>
      </c>
      <c r="H144" s="136">
        <f t="shared" si="37"/>
        <v>3</v>
      </c>
      <c r="I144" s="136">
        <f t="shared" si="37"/>
        <v>3</v>
      </c>
      <c r="J144" s="136">
        <f t="shared" si="37"/>
        <v>3</v>
      </c>
      <c r="K144" s="136">
        <f t="shared" si="37"/>
        <v>3</v>
      </c>
      <c r="L144" s="136">
        <f t="shared" si="37"/>
        <v>3</v>
      </c>
      <c r="M144" s="136">
        <f t="shared" si="37"/>
        <v>3</v>
      </c>
      <c r="N144" s="136">
        <f t="shared" si="37"/>
        <v>3</v>
      </c>
      <c r="O144" s="136">
        <f t="shared" si="37"/>
        <v>3</v>
      </c>
      <c r="P144" s="136">
        <f t="shared" si="37"/>
        <v>3</v>
      </c>
      <c r="Q144" s="136">
        <f t="shared" si="37"/>
        <v>3</v>
      </c>
      <c r="R144" s="136">
        <f t="shared" si="37"/>
        <v>3</v>
      </c>
      <c r="S144" s="136">
        <f t="shared" si="37"/>
        <v>3</v>
      </c>
      <c r="T144" s="136">
        <f t="shared" si="38"/>
        <v>3</v>
      </c>
      <c r="U144" s="136">
        <f t="shared" si="38"/>
        <v>3</v>
      </c>
      <c r="V144" s="136">
        <f t="shared" si="38"/>
        <v>3</v>
      </c>
      <c r="W144" s="136">
        <f t="shared" si="38"/>
        <v>3</v>
      </c>
      <c r="X144" s="136">
        <f t="shared" si="38"/>
        <v>3</v>
      </c>
      <c r="Y144" s="136">
        <f t="shared" si="38"/>
        <v>3</v>
      </c>
      <c r="Z144" s="136">
        <f t="shared" si="38"/>
        <v>3</v>
      </c>
      <c r="AA144" s="136">
        <f t="shared" si="38"/>
        <v>3</v>
      </c>
      <c r="AB144" s="136">
        <f t="shared" si="38"/>
        <v>3</v>
      </c>
      <c r="AC144" s="136">
        <f t="shared" si="38"/>
        <v>3</v>
      </c>
      <c r="AD144" s="136">
        <f t="shared" si="38"/>
        <v>3</v>
      </c>
      <c r="AE144" s="136">
        <f t="shared" si="38"/>
        <v>3</v>
      </c>
      <c r="AF144" s="136">
        <f t="shared" si="38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6"/>
        <v>3.3</v>
      </c>
      <c r="C145" s="137">
        <v>3.3</v>
      </c>
      <c r="D145" s="136">
        <f t="shared" si="37"/>
        <v>3.3</v>
      </c>
      <c r="E145" s="136">
        <f t="shared" si="37"/>
        <v>3.3</v>
      </c>
      <c r="F145" s="136">
        <f t="shared" si="37"/>
        <v>3.3</v>
      </c>
      <c r="G145" s="136">
        <f t="shared" si="37"/>
        <v>3.3</v>
      </c>
      <c r="H145" s="136">
        <f t="shared" si="37"/>
        <v>3.3</v>
      </c>
      <c r="I145" s="136">
        <f t="shared" si="37"/>
        <v>3.3</v>
      </c>
      <c r="J145" s="136">
        <f t="shared" si="37"/>
        <v>3.3</v>
      </c>
      <c r="K145" s="136">
        <f t="shared" si="37"/>
        <v>3.3</v>
      </c>
      <c r="L145" s="136">
        <f t="shared" si="37"/>
        <v>3.3</v>
      </c>
      <c r="M145" s="136">
        <f t="shared" si="37"/>
        <v>3.3</v>
      </c>
      <c r="N145" s="136">
        <f t="shared" si="37"/>
        <v>3.3</v>
      </c>
      <c r="O145" s="136">
        <f t="shared" si="37"/>
        <v>3.3</v>
      </c>
      <c r="P145" s="136">
        <f t="shared" si="37"/>
        <v>3.3</v>
      </c>
      <c r="Q145" s="136">
        <f t="shared" si="37"/>
        <v>3.3</v>
      </c>
      <c r="R145" s="136">
        <f t="shared" si="37"/>
        <v>3.3</v>
      </c>
      <c r="S145" s="136">
        <f t="shared" si="37"/>
        <v>3.3</v>
      </c>
      <c r="T145" s="136">
        <f t="shared" si="38"/>
        <v>3.3</v>
      </c>
      <c r="U145" s="136">
        <f t="shared" si="38"/>
        <v>3.3</v>
      </c>
      <c r="V145" s="136">
        <f t="shared" si="38"/>
        <v>3.3</v>
      </c>
      <c r="W145" s="136">
        <f t="shared" si="38"/>
        <v>3.3</v>
      </c>
      <c r="X145" s="136">
        <f t="shared" si="38"/>
        <v>3.3</v>
      </c>
      <c r="Y145" s="136">
        <f t="shared" si="38"/>
        <v>3.3</v>
      </c>
      <c r="Z145" s="136">
        <f t="shared" si="38"/>
        <v>3.3</v>
      </c>
      <c r="AA145" s="136">
        <f t="shared" si="38"/>
        <v>3.3</v>
      </c>
      <c r="AB145" s="136">
        <f t="shared" si="38"/>
        <v>3.3</v>
      </c>
      <c r="AC145" s="136">
        <f t="shared" si="38"/>
        <v>3.3</v>
      </c>
      <c r="AD145" s="136">
        <f t="shared" si="38"/>
        <v>3.3</v>
      </c>
      <c r="AE145" s="136">
        <f t="shared" si="38"/>
        <v>3.3</v>
      </c>
      <c r="AF145" s="136">
        <f t="shared" si="38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39">C147</f>
        <v>1.76</v>
      </c>
      <c r="E147" s="136">
        <f t="shared" si="39"/>
        <v>1.76</v>
      </c>
      <c r="F147" s="136">
        <f t="shared" si="39"/>
        <v>1.76</v>
      </c>
      <c r="G147" s="136">
        <f t="shared" si="39"/>
        <v>1.76</v>
      </c>
      <c r="H147" s="136">
        <f t="shared" si="39"/>
        <v>1.76</v>
      </c>
      <c r="I147" s="136">
        <f t="shared" si="39"/>
        <v>1.76</v>
      </c>
      <c r="J147" s="136">
        <f t="shared" si="39"/>
        <v>1.76</v>
      </c>
      <c r="K147" s="136">
        <f t="shared" si="39"/>
        <v>1.76</v>
      </c>
      <c r="L147" s="136">
        <f t="shared" si="39"/>
        <v>1.76</v>
      </c>
      <c r="M147" s="136">
        <f t="shared" si="39"/>
        <v>1.76</v>
      </c>
      <c r="N147" s="136">
        <f t="shared" si="39"/>
        <v>1.76</v>
      </c>
      <c r="O147" s="136">
        <f t="shared" si="39"/>
        <v>1.76</v>
      </c>
      <c r="P147" s="136">
        <f t="shared" si="39"/>
        <v>1.76</v>
      </c>
      <c r="Q147" s="136">
        <f t="shared" si="39"/>
        <v>1.76</v>
      </c>
      <c r="R147" s="136">
        <f t="shared" si="39"/>
        <v>1.76</v>
      </c>
      <c r="S147" s="136">
        <f t="shared" si="39"/>
        <v>1.76</v>
      </c>
      <c r="T147" s="136">
        <f t="shared" ref="T147:AF148" si="40">S147</f>
        <v>1.76</v>
      </c>
      <c r="U147" s="136">
        <f t="shared" si="40"/>
        <v>1.76</v>
      </c>
      <c r="V147" s="136">
        <f t="shared" si="40"/>
        <v>1.76</v>
      </c>
      <c r="W147" s="136">
        <f t="shared" si="40"/>
        <v>1.76</v>
      </c>
      <c r="X147" s="136">
        <f t="shared" si="40"/>
        <v>1.76</v>
      </c>
      <c r="Y147" s="136">
        <f t="shared" si="40"/>
        <v>1.76</v>
      </c>
      <c r="Z147" s="136">
        <f t="shared" si="40"/>
        <v>1.76</v>
      </c>
      <c r="AA147" s="136">
        <f t="shared" si="40"/>
        <v>1.76</v>
      </c>
      <c r="AB147" s="136">
        <f t="shared" si="40"/>
        <v>1.76</v>
      </c>
      <c r="AC147" s="136">
        <f t="shared" si="40"/>
        <v>1.76</v>
      </c>
      <c r="AD147" s="136">
        <f t="shared" si="40"/>
        <v>1.76</v>
      </c>
      <c r="AE147" s="136">
        <f t="shared" si="40"/>
        <v>1.76</v>
      </c>
      <c r="AF147" s="136">
        <f t="shared" si="40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39"/>
        <v>0</v>
      </c>
      <c r="E148" s="136">
        <f t="shared" si="39"/>
        <v>0</v>
      </c>
      <c r="F148" s="136">
        <f t="shared" si="39"/>
        <v>0</v>
      </c>
      <c r="G148" s="136">
        <f t="shared" si="39"/>
        <v>0</v>
      </c>
      <c r="H148" s="136">
        <f t="shared" si="39"/>
        <v>0</v>
      </c>
      <c r="I148" s="136">
        <f t="shared" si="39"/>
        <v>0</v>
      </c>
      <c r="J148" s="136">
        <f t="shared" si="39"/>
        <v>0</v>
      </c>
      <c r="K148" s="136">
        <f t="shared" si="39"/>
        <v>0</v>
      </c>
      <c r="L148" s="136">
        <f t="shared" si="39"/>
        <v>0</v>
      </c>
      <c r="M148" s="136">
        <f t="shared" si="39"/>
        <v>0</v>
      </c>
      <c r="N148" s="136">
        <f t="shared" si="39"/>
        <v>0</v>
      </c>
      <c r="O148" s="136">
        <f t="shared" si="39"/>
        <v>0</v>
      </c>
      <c r="P148" s="136">
        <f t="shared" si="39"/>
        <v>0</v>
      </c>
      <c r="Q148" s="136">
        <f t="shared" si="39"/>
        <v>0</v>
      </c>
      <c r="R148" s="136">
        <f t="shared" si="39"/>
        <v>0</v>
      </c>
      <c r="S148" s="136">
        <f t="shared" si="39"/>
        <v>0</v>
      </c>
      <c r="T148" s="136">
        <f t="shared" si="40"/>
        <v>0</v>
      </c>
      <c r="U148" s="136">
        <f t="shared" si="40"/>
        <v>0</v>
      </c>
      <c r="V148" s="136">
        <f t="shared" si="40"/>
        <v>0</v>
      </c>
      <c r="W148" s="136">
        <f t="shared" si="40"/>
        <v>0</v>
      </c>
      <c r="X148" s="136">
        <f t="shared" si="40"/>
        <v>0</v>
      </c>
      <c r="Y148" s="136">
        <f t="shared" si="40"/>
        <v>0</v>
      </c>
      <c r="Z148" s="136">
        <f t="shared" si="40"/>
        <v>0</v>
      </c>
      <c r="AA148" s="136">
        <f t="shared" si="40"/>
        <v>0</v>
      </c>
      <c r="AB148" s="136">
        <f t="shared" si="40"/>
        <v>0</v>
      </c>
      <c r="AC148" s="136">
        <f t="shared" si="40"/>
        <v>0</v>
      </c>
      <c r="AD148" s="136">
        <f t="shared" si="40"/>
        <v>0</v>
      </c>
      <c r="AE148" s="136">
        <f t="shared" si="40"/>
        <v>0</v>
      </c>
      <c r="AF148" s="136">
        <f t="shared" si="40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1">C150</f>
        <v>0.1</v>
      </c>
      <c r="E150" s="136">
        <f t="shared" si="41"/>
        <v>0.1</v>
      </c>
      <c r="F150" s="136">
        <f t="shared" si="41"/>
        <v>0.1</v>
      </c>
      <c r="G150" s="136">
        <f t="shared" si="41"/>
        <v>0.1</v>
      </c>
      <c r="H150" s="136">
        <f t="shared" si="41"/>
        <v>0.1</v>
      </c>
      <c r="I150" s="136">
        <f t="shared" si="41"/>
        <v>0.1</v>
      </c>
      <c r="J150" s="136">
        <f t="shared" si="41"/>
        <v>0.1</v>
      </c>
      <c r="K150" s="136">
        <f t="shared" si="41"/>
        <v>0.1</v>
      </c>
      <c r="L150" s="136">
        <f t="shared" si="41"/>
        <v>0.1</v>
      </c>
      <c r="M150" s="136">
        <f t="shared" si="41"/>
        <v>0.1</v>
      </c>
      <c r="N150" s="136">
        <f t="shared" si="41"/>
        <v>0.1</v>
      </c>
      <c r="O150" s="136">
        <f t="shared" si="41"/>
        <v>0.1</v>
      </c>
      <c r="P150" s="136">
        <f t="shared" si="41"/>
        <v>0.1</v>
      </c>
      <c r="Q150" s="136">
        <f t="shared" si="41"/>
        <v>0.1</v>
      </c>
      <c r="R150" s="136">
        <f t="shared" si="41"/>
        <v>0.1</v>
      </c>
      <c r="S150" s="136">
        <f t="shared" si="41"/>
        <v>0.1</v>
      </c>
      <c r="T150" s="136">
        <f t="shared" ref="T150:AF153" si="42">S150</f>
        <v>0.1</v>
      </c>
      <c r="U150" s="136">
        <f t="shared" si="42"/>
        <v>0.1</v>
      </c>
      <c r="V150" s="136">
        <f t="shared" si="42"/>
        <v>0.1</v>
      </c>
      <c r="W150" s="136">
        <f t="shared" si="42"/>
        <v>0.1</v>
      </c>
      <c r="X150" s="136">
        <f t="shared" si="42"/>
        <v>0.1</v>
      </c>
      <c r="Y150" s="136">
        <f t="shared" si="42"/>
        <v>0.1</v>
      </c>
      <c r="Z150" s="136">
        <f t="shared" si="42"/>
        <v>0.1</v>
      </c>
      <c r="AA150" s="136">
        <f t="shared" si="42"/>
        <v>0.1</v>
      </c>
      <c r="AB150" s="136">
        <f t="shared" si="42"/>
        <v>0.1</v>
      </c>
      <c r="AC150" s="136">
        <f t="shared" si="42"/>
        <v>0.1</v>
      </c>
      <c r="AD150" s="136">
        <f t="shared" si="42"/>
        <v>0.1</v>
      </c>
      <c r="AE150" s="136">
        <f t="shared" si="42"/>
        <v>0.1</v>
      </c>
      <c r="AF150" s="136">
        <f t="shared" si="42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1"/>
        <v>2.0499999999999998</v>
      </c>
      <c r="E151" s="136">
        <f t="shared" si="41"/>
        <v>2.0499999999999998</v>
      </c>
      <c r="F151" s="136">
        <f t="shared" si="41"/>
        <v>2.0499999999999998</v>
      </c>
      <c r="G151" s="136">
        <f t="shared" si="41"/>
        <v>2.0499999999999998</v>
      </c>
      <c r="H151" s="136">
        <f t="shared" si="41"/>
        <v>2.0499999999999998</v>
      </c>
      <c r="I151" s="136">
        <f t="shared" si="41"/>
        <v>2.0499999999999998</v>
      </c>
      <c r="J151" s="136">
        <f t="shared" si="41"/>
        <v>2.0499999999999998</v>
      </c>
      <c r="K151" s="136">
        <f t="shared" si="41"/>
        <v>2.0499999999999998</v>
      </c>
      <c r="L151" s="136">
        <f t="shared" si="41"/>
        <v>2.0499999999999998</v>
      </c>
      <c r="M151" s="136">
        <f t="shared" si="41"/>
        <v>2.0499999999999998</v>
      </c>
      <c r="N151" s="136">
        <f t="shared" si="41"/>
        <v>2.0499999999999998</v>
      </c>
      <c r="O151" s="136">
        <f t="shared" si="41"/>
        <v>2.0499999999999998</v>
      </c>
      <c r="P151" s="136">
        <f t="shared" si="41"/>
        <v>2.0499999999999998</v>
      </c>
      <c r="Q151" s="136">
        <f t="shared" si="41"/>
        <v>2.0499999999999998</v>
      </c>
      <c r="R151" s="136">
        <f t="shared" si="41"/>
        <v>2.0499999999999998</v>
      </c>
      <c r="S151" s="136">
        <f t="shared" si="41"/>
        <v>2.0499999999999998</v>
      </c>
      <c r="T151" s="136">
        <f t="shared" si="42"/>
        <v>2.0499999999999998</v>
      </c>
      <c r="U151" s="136">
        <f t="shared" si="42"/>
        <v>2.0499999999999998</v>
      </c>
      <c r="V151" s="136">
        <f t="shared" si="42"/>
        <v>2.0499999999999998</v>
      </c>
      <c r="W151" s="136">
        <f t="shared" si="42"/>
        <v>2.0499999999999998</v>
      </c>
      <c r="X151" s="136">
        <f t="shared" si="42"/>
        <v>2.0499999999999998</v>
      </c>
      <c r="Y151" s="136">
        <f t="shared" si="42"/>
        <v>2.0499999999999998</v>
      </c>
      <c r="Z151" s="136">
        <f t="shared" si="42"/>
        <v>2.0499999999999998</v>
      </c>
      <c r="AA151" s="136">
        <f t="shared" si="42"/>
        <v>2.0499999999999998</v>
      </c>
      <c r="AB151" s="136">
        <f t="shared" si="42"/>
        <v>2.0499999999999998</v>
      </c>
      <c r="AC151" s="136">
        <f t="shared" si="42"/>
        <v>2.0499999999999998</v>
      </c>
      <c r="AD151" s="136">
        <f t="shared" si="42"/>
        <v>2.0499999999999998</v>
      </c>
      <c r="AE151" s="136">
        <f t="shared" si="42"/>
        <v>2.0499999999999998</v>
      </c>
      <c r="AF151" s="136">
        <f t="shared" si="42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1"/>
        <v>2.7</v>
      </c>
      <c r="E152" s="136">
        <f t="shared" si="41"/>
        <v>2.7</v>
      </c>
      <c r="F152" s="136">
        <f t="shared" si="41"/>
        <v>2.7</v>
      </c>
      <c r="G152" s="136">
        <f t="shared" si="41"/>
        <v>2.7</v>
      </c>
      <c r="H152" s="136">
        <f t="shared" si="41"/>
        <v>2.7</v>
      </c>
      <c r="I152" s="136">
        <f t="shared" si="41"/>
        <v>2.7</v>
      </c>
      <c r="J152" s="136">
        <f t="shared" si="41"/>
        <v>2.7</v>
      </c>
      <c r="K152" s="136">
        <f t="shared" si="41"/>
        <v>2.7</v>
      </c>
      <c r="L152" s="136">
        <f t="shared" si="41"/>
        <v>2.7</v>
      </c>
      <c r="M152" s="136">
        <f t="shared" si="41"/>
        <v>2.7</v>
      </c>
      <c r="N152" s="136">
        <f t="shared" si="41"/>
        <v>2.7</v>
      </c>
      <c r="O152" s="136">
        <f t="shared" si="41"/>
        <v>2.7</v>
      </c>
      <c r="P152" s="136">
        <f t="shared" si="41"/>
        <v>2.7</v>
      </c>
      <c r="Q152" s="136">
        <f t="shared" si="41"/>
        <v>2.7</v>
      </c>
      <c r="R152" s="136">
        <f t="shared" si="41"/>
        <v>2.7</v>
      </c>
      <c r="S152" s="136">
        <f t="shared" si="41"/>
        <v>2.7</v>
      </c>
      <c r="T152" s="136">
        <f t="shared" si="42"/>
        <v>2.7</v>
      </c>
      <c r="U152" s="136">
        <f t="shared" si="42"/>
        <v>2.7</v>
      </c>
      <c r="V152" s="136">
        <f t="shared" si="42"/>
        <v>2.7</v>
      </c>
      <c r="W152" s="136">
        <f t="shared" si="42"/>
        <v>2.7</v>
      </c>
      <c r="X152" s="136">
        <f t="shared" si="42"/>
        <v>2.7</v>
      </c>
      <c r="Y152" s="136">
        <f t="shared" si="42"/>
        <v>2.7</v>
      </c>
      <c r="Z152" s="136">
        <f t="shared" si="42"/>
        <v>2.7</v>
      </c>
      <c r="AA152" s="136">
        <f t="shared" si="42"/>
        <v>2.7</v>
      </c>
      <c r="AB152" s="136">
        <f t="shared" si="42"/>
        <v>2.7</v>
      </c>
      <c r="AC152" s="136">
        <f t="shared" si="42"/>
        <v>2.7</v>
      </c>
      <c r="AD152" s="136">
        <f t="shared" si="42"/>
        <v>2.7</v>
      </c>
      <c r="AE152" s="136">
        <f t="shared" si="42"/>
        <v>2.7</v>
      </c>
      <c r="AF152" s="136">
        <f t="shared" si="42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1"/>
        <v>2.15</v>
      </c>
      <c r="E153" s="136">
        <f t="shared" si="41"/>
        <v>2.15</v>
      </c>
      <c r="F153" s="136">
        <f t="shared" si="41"/>
        <v>2.15</v>
      </c>
      <c r="G153" s="136">
        <f t="shared" si="41"/>
        <v>2.15</v>
      </c>
      <c r="H153" s="136">
        <f t="shared" si="41"/>
        <v>2.15</v>
      </c>
      <c r="I153" s="136">
        <f t="shared" si="41"/>
        <v>2.15</v>
      </c>
      <c r="J153" s="136">
        <f t="shared" si="41"/>
        <v>2.15</v>
      </c>
      <c r="K153" s="136">
        <f t="shared" si="41"/>
        <v>2.15</v>
      </c>
      <c r="L153" s="136">
        <f t="shared" si="41"/>
        <v>2.15</v>
      </c>
      <c r="M153" s="136">
        <f t="shared" si="41"/>
        <v>2.15</v>
      </c>
      <c r="N153" s="136">
        <f t="shared" si="41"/>
        <v>2.15</v>
      </c>
      <c r="O153" s="136">
        <f t="shared" si="41"/>
        <v>2.15</v>
      </c>
      <c r="P153" s="136">
        <f t="shared" si="41"/>
        <v>2.15</v>
      </c>
      <c r="Q153" s="136">
        <f t="shared" si="41"/>
        <v>2.15</v>
      </c>
      <c r="R153" s="136">
        <f t="shared" si="41"/>
        <v>2.15</v>
      </c>
      <c r="S153" s="136">
        <f t="shared" si="41"/>
        <v>2.15</v>
      </c>
      <c r="T153" s="136">
        <f t="shared" si="42"/>
        <v>2.15</v>
      </c>
      <c r="U153" s="136">
        <f t="shared" si="42"/>
        <v>2.15</v>
      </c>
      <c r="V153" s="136">
        <f t="shared" si="42"/>
        <v>2.15</v>
      </c>
      <c r="W153" s="136">
        <f t="shared" si="42"/>
        <v>2.15</v>
      </c>
      <c r="X153" s="136">
        <f t="shared" si="42"/>
        <v>2.15</v>
      </c>
      <c r="Y153" s="136">
        <f t="shared" si="42"/>
        <v>2.15</v>
      </c>
      <c r="Z153" s="136">
        <f t="shared" si="42"/>
        <v>2.15</v>
      </c>
      <c r="AA153" s="136">
        <f t="shared" si="42"/>
        <v>2.15</v>
      </c>
      <c r="AB153" s="136">
        <f t="shared" si="42"/>
        <v>2.15</v>
      </c>
      <c r="AC153" s="136">
        <f t="shared" si="42"/>
        <v>2.15</v>
      </c>
      <c r="AD153" s="136">
        <f t="shared" si="42"/>
        <v>2.15</v>
      </c>
      <c r="AE153" s="136">
        <f t="shared" si="42"/>
        <v>2.15</v>
      </c>
      <c r="AF153" s="136">
        <f t="shared" si="42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3">AF155</f>
        <v>0.9</v>
      </c>
      <c r="C155" s="137">
        <v>0.9</v>
      </c>
      <c r="D155" s="136">
        <f t="shared" ref="D155:S167" si="44">C155</f>
        <v>0.9</v>
      </c>
      <c r="E155" s="136">
        <f t="shared" si="44"/>
        <v>0.9</v>
      </c>
      <c r="F155" s="136">
        <f t="shared" si="44"/>
        <v>0.9</v>
      </c>
      <c r="G155" s="136">
        <f t="shared" si="44"/>
        <v>0.9</v>
      </c>
      <c r="H155" s="136">
        <f t="shared" si="44"/>
        <v>0.9</v>
      </c>
      <c r="I155" s="136">
        <f t="shared" si="44"/>
        <v>0.9</v>
      </c>
      <c r="J155" s="136">
        <f t="shared" si="44"/>
        <v>0.9</v>
      </c>
      <c r="K155" s="136">
        <f t="shared" si="44"/>
        <v>0.9</v>
      </c>
      <c r="L155" s="136">
        <f t="shared" si="44"/>
        <v>0.9</v>
      </c>
      <c r="M155" s="136">
        <f t="shared" si="44"/>
        <v>0.9</v>
      </c>
      <c r="N155" s="136">
        <f t="shared" si="44"/>
        <v>0.9</v>
      </c>
      <c r="O155" s="136">
        <f t="shared" si="44"/>
        <v>0.9</v>
      </c>
      <c r="P155" s="136">
        <f t="shared" si="44"/>
        <v>0.9</v>
      </c>
      <c r="Q155" s="136">
        <f t="shared" si="44"/>
        <v>0.9</v>
      </c>
      <c r="R155" s="136">
        <f t="shared" si="44"/>
        <v>0.9</v>
      </c>
      <c r="S155" s="136">
        <f t="shared" si="44"/>
        <v>0.9</v>
      </c>
      <c r="T155" s="136">
        <f t="shared" ref="S155:AF167" si="45">S155</f>
        <v>0.9</v>
      </c>
      <c r="U155" s="136">
        <f t="shared" si="45"/>
        <v>0.9</v>
      </c>
      <c r="V155" s="136">
        <f t="shared" si="45"/>
        <v>0.9</v>
      </c>
      <c r="W155" s="136">
        <f t="shared" si="45"/>
        <v>0.9</v>
      </c>
      <c r="X155" s="136">
        <f t="shared" si="45"/>
        <v>0.9</v>
      </c>
      <c r="Y155" s="136">
        <f t="shared" si="45"/>
        <v>0.9</v>
      </c>
      <c r="Z155" s="136">
        <f t="shared" si="45"/>
        <v>0.9</v>
      </c>
      <c r="AA155" s="136">
        <f t="shared" si="45"/>
        <v>0.9</v>
      </c>
      <c r="AB155" s="136">
        <f t="shared" si="45"/>
        <v>0.9</v>
      </c>
      <c r="AC155" s="136">
        <f t="shared" si="45"/>
        <v>0.9</v>
      </c>
      <c r="AD155" s="136">
        <f t="shared" si="45"/>
        <v>0.9</v>
      </c>
      <c r="AE155" s="136">
        <f t="shared" si="45"/>
        <v>0.9</v>
      </c>
      <c r="AF155" s="136">
        <f t="shared" si="45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3"/>
        <v>1.08</v>
      </c>
      <c r="C156" s="137">
        <v>1.08</v>
      </c>
      <c r="D156" s="136">
        <f t="shared" si="44"/>
        <v>1.08</v>
      </c>
      <c r="E156" s="136">
        <f t="shared" si="44"/>
        <v>1.08</v>
      </c>
      <c r="F156" s="136">
        <f t="shared" si="44"/>
        <v>1.08</v>
      </c>
      <c r="G156" s="136">
        <f t="shared" si="44"/>
        <v>1.08</v>
      </c>
      <c r="H156" s="136">
        <f t="shared" si="44"/>
        <v>1.08</v>
      </c>
      <c r="I156" s="136">
        <f t="shared" si="44"/>
        <v>1.08</v>
      </c>
      <c r="J156" s="136">
        <f t="shared" si="44"/>
        <v>1.08</v>
      </c>
      <c r="K156" s="136">
        <f t="shared" si="44"/>
        <v>1.08</v>
      </c>
      <c r="L156" s="136">
        <f t="shared" si="44"/>
        <v>1.08</v>
      </c>
      <c r="M156" s="136">
        <f t="shared" si="44"/>
        <v>1.08</v>
      </c>
      <c r="N156" s="136">
        <f t="shared" si="44"/>
        <v>1.08</v>
      </c>
      <c r="O156" s="136">
        <f t="shared" si="44"/>
        <v>1.08</v>
      </c>
      <c r="P156" s="136">
        <f t="shared" si="44"/>
        <v>1.08</v>
      </c>
      <c r="Q156" s="136">
        <f t="shared" si="44"/>
        <v>1.08</v>
      </c>
      <c r="R156" s="136">
        <f t="shared" si="44"/>
        <v>1.08</v>
      </c>
      <c r="S156" s="136">
        <f t="shared" si="44"/>
        <v>1.08</v>
      </c>
      <c r="T156" s="136">
        <f t="shared" si="45"/>
        <v>1.08</v>
      </c>
      <c r="U156" s="136">
        <f t="shared" si="45"/>
        <v>1.08</v>
      </c>
      <c r="V156" s="136">
        <f t="shared" si="45"/>
        <v>1.08</v>
      </c>
      <c r="W156" s="136">
        <f t="shared" si="45"/>
        <v>1.08</v>
      </c>
      <c r="X156" s="136">
        <f t="shared" si="45"/>
        <v>1.08</v>
      </c>
      <c r="Y156" s="136">
        <f t="shared" si="45"/>
        <v>1.08</v>
      </c>
      <c r="Z156" s="136">
        <f t="shared" si="45"/>
        <v>1.08</v>
      </c>
      <c r="AA156" s="136">
        <f t="shared" si="45"/>
        <v>1.08</v>
      </c>
      <c r="AB156" s="136">
        <f t="shared" si="45"/>
        <v>1.08</v>
      </c>
      <c r="AC156" s="136">
        <f t="shared" si="45"/>
        <v>1.08</v>
      </c>
      <c r="AD156" s="136">
        <f t="shared" si="45"/>
        <v>1.08</v>
      </c>
      <c r="AE156" s="136">
        <f t="shared" si="45"/>
        <v>1.08</v>
      </c>
      <c r="AF156" s="136">
        <f t="shared" si="45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3"/>
        <v>2.37</v>
      </c>
      <c r="C157" s="137">
        <v>2.37</v>
      </c>
      <c r="D157" s="136">
        <f t="shared" si="44"/>
        <v>2.37</v>
      </c>
      <c r="E157" s="136">
        <f t="shared" si="44"/>
        <v>2.37</v>
      </c>
      <c r="F157" s="136">
        <f t="shared" si="44"/>
        <v>2.37</v>
      </c>
      <c r="G157" s="136">
        <f t="shared" si="44"/>
        <v>2.37</v>
      </c>
      <c r="H157" s="136">
        <f t="shared" si="44"/>
        <v>2.37</v>
      </c>
      <c r="I157" s="136">
        <f t="shared" si="44"/>
        <v>2.37</v>
      </c>
      <c r="J157" s="136">
        <f t="shared" si="44"/>
        <v>2.37</v>
      </c>
      <c r="K157" s="136">
        <f t="shared" si="44"/>
        <v>2.37</v>
      </c>
      <c r="L157" s="136">
        <f t="shared" si="44"/>
        <v>2.37</v>
      </c>
      <c r="M157" s="136">
        <f t="shared" si="44"/>
        <v>2.37</v>
      </c>
      <c r="N157" s="136">
        <f t="shared" si="44"/>
        <v>2.37</v>
      </c>
      <c r="O157" s="136">
        <f t="shared" si="44"/>
        <v>2.37</v>
      </c>
      <c r="P157" s="136">
        <f t="shared" si="44"/>
        <v>2.37</v>
      </c>
      <c r="Q157" s="136">
        <f t="shared" si="44"/>
        <v>2.37</v>
      </c>
      <c r="R157" s="136">
        <f t="shared" si="44"/>
        <v>2.37</v>
      </c>
      <c r="S157" s="136">
        <f t="shared" si="44"/>
        <v>2.37</v>
      </c>
      <c r="T157" s="136">
        <f t="shared" si="45"/>
        <v>2.37</v>
      </c>
      <c r="U157" s="136">
        <f t="shared" si="45"/>
        <v>2.37</v>
      </c>
      <c r="V157" s="136">
        <f t="shared" si="45"/>
        <v>2.37</v>
      </c>
      <c r="W157" s="136">
        <f t="shared" si="45"/>
        <v>2.37</v>
      </c>
      <c r="X157" s="136">
        <f t="shared" si="45"/>
        <v>2.37</v>
      </c>
      <c r="Y157" s="136">
        <f t="shared" si="45"/>
        <v>2.37</v>
      </c>
      <c r="Z157" s="136">
        <f t="shared" si="45"/>
        <v>2.37</v>
      </c>
      <c r="AA157" s="136">
        <f t="shared" si="45"/>
        <v>2.37</v>
      </c>
      <c r="AB157" s="136">
        <f t="shared" si="45"/>
        <v>2.37</v>
      </c>
      <c r="AC157" s="136">
        <f t="shared" si="45"/>
        <v>2.37</v>
      </c>
      <c r="AD157" s="136">
        <f t="shared" si="45"/>
        <v>2.37</v>
      </c>
      <c r="AE157" s="136">
        <f t="shared" si="45"/>
        <v>2.37</v>
      </c>
      <c r="AF157" s="136">
        <f t="shared" si="45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3"/>
        <v>1.81</v>
      </c>
      <c r="C158" s="137">
        <v>1.81</v>
      </c>
      <c r="D158" s="136">
        <f t="shared" si="44"/>
        <v>1.81</v>
      </c>
      <c r="E158" s="136">
        <f t="shared" si="44"/>
        <v>1.81</v>
      </c>
      <c r="F158" s="136">
        <f t="shared" si="44"/>
        <v>1.81</v>
      </c>
      <c r="G158" s="136">
        <f t="shared" si="44"/>
        <v>1.81</v>
      </c>
      <c r="H158" s="136">
        <f t="shared" si="44"/>
        <v>1.81</v>
      </c>
      <c r="I158" s="136">
        <f t="shared" si="44"/>
        <v>1.81</v>
      </c>
      <c r="J158" s="136">
        <f t="shared" si="44"/>
        <v>1.81</v>
      </c>
      <c r="K158" s="136">
        <f t="shared" si="44"/>
        <v>1.81</v>
      </c>
      <c r="L158" s="136">
        <f t="shared" si="44"/>
        <v>1.81</v>
      </c>
      <c r="M158" s="136">
        <f t="shared" si="44"/>
        <v>1.81</v>
      </c>
      <c r="N158" s="136">
        <f t="shared" si="44"/>
        <v>1.81</v>
      </c>
      <c r="O158" s="136">
        <f t="shared" si="44"/>
        <v>1.81</v>
      </c>
      <c r="P158" s="136">
        <f t="shared" si="44"/>
        <v>1.81</v>
      </c>
      <c r="Q158" s="136">
        <f t="shared" si="44"/>
        <v>1.81</v>
      </c>
      <c r="R158" s="136">
        <f t="shared" si="44"/>
        <v>1.81</v>
      </c>
      <c r="S158" s="136">
        <f t="shared" si="44"/>
        <v>1.81</v>
      </c>
      <c r="T158" s="136">
        <f t="shared" si="45"/>
        <v>1.81</v>
      </c>
      <c r="U158" s="136">
        <f t="shared" si="45"/>
        <v>1.81</v>
      </c>
      <c r="V158" s="136">
        <f t="shared" si="45"/>
        <v>1.81</v>
      </c>
      <c r="W158" s="136">
        <f t="shared" si="45"/>
        <v>1.81</v>
      </c>
      <c r="X158" s="136">
        <f t="shared" si="45"/>
        <v>1.81</v>
      </c>
      <c r="Y158" s="136">
        <f t="shared" si="45"/>
        <v>1.81</v>
      </c>
      <c r="Z158" s="136">
        <f t="shared" si="45"/>
        <v>1.81</v>
      </c>
      <c r="AA158" s="136">
        <f t="shared" si="45"/>
        <v>1.81</v>
      </c>
      <c r="AB158" s="136">
        <f t="shared" si="45"/>
        <v>1.81</v>
      </c>
      <c r="AC158" s="136">
        <f t="shared" si="45"/>
        <v>1.81</v>
      </c>
      <c r="AD158" s="136">
        <f t="shared" si="45"/>
        <v>1.81</v>
      </c>
      <c r="AE158" s="136">
        <f t="shared" si="45"/>
        <v>1.81</v>
      </c>
      <c r="AF158" s="136">
        <f t="shared" si="45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3"/>
        <v>1.0900000000000001</v>
      </c>
      <c r="C159" s="137">
        <v>1.0900000000000001</v>
      </c>
      <c r="D159" s="136">
        <f t="shared" si="44"/>
        <v>1.0900000000000001</v>
      </c>
      <c r="E159" s="136">
        <f t="shared" si="44"/>
        <v>1.0900000000000001</v>
      </c>
      <c r="F159" s="136">
        <f t="shared" si="44"/>
        <v>1.0900000000000001</v>
      </c>
      <c r="G159" s="136">
        <f t="shared" si="44"/>
        <v>1.0900000000000001</v>
      </c>
      <c r="H159" s="136">
        <f t="shared" si="44"/>
        <v>1.0900000000000001</v>
      </c>
      <c r="I159" s="136">
        <f t="shared" si="44"/>
        <v>1.0900000000000001</v>
      </c>
      <c r="J159" s="136">
        <f t="shared" si="44"/>
        <v>1.0900000000000001</v>
      </c>
      <c r="K159" s="136">
        <f t="shared" si="44"/>
        <v>1.0900000000000001</v>
      </c>
      <c r="L159" s="136">
        <f t="shared" si="44"/>
        <v>1.0900000000000001</v>
      </c>
      <c r="M159" s="136">
        <f t="shared" si="44"/>
        <v>1.0900000000000001</v>
      </c>
      <c r="N159" s="136">
        <f t="shared" si="44"/>
        <v>1.0900000000000001</v>
      </c>
      <c r="O159" s="136">
        <f t="shared" si="44"/>
        <v>1.0900000000000001</v>
      </c>
      <c r="P159" s="136">
        <f t="shared" si="44"/>
        <v>1.0900000000000001</v>
      </c>
      <c r="Q159" s="136">
        <f t="shared" si="44"/>
        <v>1.0900000000000001</v>
      </c>
      <c r="R159" s="136">
        <f t="shared" si="44"/>
        <v>1.0900000000000001</v>
      </c>
      <c r="S159" s="136">
        <f t="shared" si="44"/>
        <v>1.0900000000000001</v>
      </c>
      <c r="T159" s="136">
        <f t="shared" si="45"/>
        <v>1.0900000000000001</v>
      </c>
      <c r="U159" s="136">
        <f t="shared" si="45"/>
        <v>1.0900000000000001</v>
      </c>
      <c r="V159" s="136">
        <f t="shared" si="45"/>
        <v>1.0900000000000001</v>
      </c>
      <c r="W159" s="136">
        <f t="shared" si="45"/>
        <v>1.0900000000000001</v>
      </c>
      <c r="X159" s="136">
        <f t="shared" si="45"/>
        <v>1.0900000000000001</v>
      </c>
      <c r="Y159" s="136">
        <f t="shared" si="45"/>
        <v>1.0900000000000001</v>
      </c>
      <c r="Z159" s="136">
        <f t="shared" si="45"/>
        <v>1.0900000000000001</v>
      </c>
      <c r="AA159" s="136">
        <f t="shared" si="45"/>
        <v>1.0900000000000001</v>
      </c>
      <c r="AB159" s="136">
        <f t="shared" si="45"/>
        <v>1.0900000000000001</v>
      </c>
      <c r="AC159" s="136">
        <f t="shared" si="45"/>
        <v>1.0900000000000001</v>
      </c>
      <c r="AD159" s="136">
        <f t="shared" si="45"/>
        <v>1.0900000000000001</v>
      </c>
      <c r="AE159" s="136">
        <f t="shared" si="45"/>
        <v>1.0900000000000001</v>
      </c>
      <c r="AF159" s="136">
        <f t="shared" si="45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3"/>
        <v>1.58</v>
      </c>
      <c r="C160" s="137">
        <v>1.58</v>
      </c>
      <c r="D160" s="136">
        <f t="shared" si="44"/>
        <v>1.58</v>
      </c>
      <c r="E160" s="136">
        <f t="shared" si="44"/>
        <v>1.58</v>
      </c>
      <c r="F160" s="136">
        <f t="shared" si="44"/>
        <v>1.58</v>
      </c>
      <c r="G160" s="136">
        <f t="shared" si="44"/>
        <v>1.58</v>
      </c>
      <c r="H160" s="136">
        <f t="shared" si="44"/>
        <v>1.58</v>
      </c>
      <c r="I160" s="136">
        <f t="shared" si="44"/>
        <v>1.58</v>
      </c>
      <c r="J160" s="136">
        <f t="shared" si="44"/>
        <v>1.58</v>
      </c>
      <c r="K160" s="136">
        <f t="shared" si="44"/>
        <v>1.58</v>
      </c>
      <c r="L160" s="136">
        <f t="shared" si="44"/>
        <v>1.58</v>
      </c>
      <c r="M160" s="136">
        <f t="shared" si="44"/>
        <v>1.58</v>
      </c>
      <c r="N160" s="136">
        <f t="shared" si="44"/>
        <v>1.58</v>
      </c>
      <c r="O160" s="136">
        <f t="shared" si="44"/>
        <v>1.58</v>
      </c>
      <c r="P160" s="136">
        <f t="shared" si="44"/>
        <v>1.58</v>
      </c>
      <c r="Q160" s="136">
        <f t="shared" si="44"/>
        <v>1.58</v>
      </c>
      <c r="R160" s="136">
        <f t="shared" si="44"/>
        <v>1.58</v>
      </c>
      <c r="S160" s="136">
        <f t="shared" si="44"/>
        <v>1.58</v>
      </c>
      <c r="T160" s="136">
        <f t="shared" si="45"/>
        <v>1.58</v>
      </c>
      <c r="U160" s="136">
        <f t="shared" si="45"/>
        <v>1.58</v>
      </c>
      <c r="V160" s="136">
        <f t="shared" si="45"/>
        <v>1.58</v>
      </c>
      <c r="W160" s="136">
        <f t="shared" si="45"/>
        <v>1.58</v>
      </c>
      <c r="X160" s="136">
        <f t="shared" si="45"/>
        <v>1.58</v>
      </c>
      <c r="Y160" s="136">
        <f t="shared" si="45"/>
        <v>1.58</v>
      </c>
      <c r="Z160" s="136">
        <f t="shared" si="45"/>
        <v>1.58</v>
      </c>
      <c r="AA160" s="136">
        <f t="shared" si="45"/>
        <v>1.58</v>
      </c>
      <c r="AB160" s="136">
        <f t="shared" si="45"/>
        <v>1.58</v>
      </c>
      <c r="AC160" s="136">
        <f t="shared" si="45"/>
        <v>1.58</v>
      </c>
      <c r="AD160" s="136">
        <f t="shared" si="45"/>
        <v>1.58</v>
      </c>
      <c r="AE160" s="136">
        <f t="shared" si="45"/>
        <v>1.58</v>
      </c>
      <c r="AF160" s="136">
        <f t="shared" si="45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3"/>
        <v>2</v>
      </c>
      <c r="C161" s="137">
        <v>2</v>
      </c>
      <c r="D161" s="136">
        <f t="shared" si="44"/>
        <v>2</v>
      </c>
      <c r="E161" s="136">
        <f t="shared" si="44"/>
        <v>2</v>
      </c>
      <c r="F161" s="136">
        <f t="shared" si="44"/>
        <v>2</v>
      </c>
      <c r="G161" s="136">
        <f t="shared" si="44"/>
        <v>2</v>
      </c>
      <c r="H161" s="136">
        <f t="shared" si="44"/>
        <v>2</v>
      </c>
      <c r="I161" s="136">
        <f t="shared" si="44"/>
        <v>2</v>
      </c>
      <c r="J161" s="136">
        <f t="shared" si="44"/>
        <v>2</v>
      </c>
      <c r="K161" s="136">
        <f t="shared" si="44"/>
        <v>2</v>
      </c>
      <c r="L161" s="136">
        <f t="shared" si="44"/>
        <v>2</v>
      </c>
      <c r="M161" s="136">
        <f t="shared" si="44"/>
        <v>2</v>
      </c>
      <c r="N161" s="136">
        <f t="shared" si="44"/>
        <v>2</v>
      </c>
      <c r="O161" s="136">
        <f t="shared" si="44"/>
        <v>2</v>
      </c>
      <c r="P161" s="136">
        <f t="shared" si="44"/>
        <v>2</v>
      </c>
      <c r="Q161" s="136">
        <f t="shared" si="44"/>
        <v>2</v>
      </c>
      <c r="R161" s="136">
        <f t="shared" si="44"/>
        <v>2</v>
      </c>
      <c r="S161" s="136">
        <f t="shared" si="44"/>
        <v>2</v>
      </c>
      <c r="T161" s="136">
        <f t="shared" si="45"/>
        <v>2</v>
      </c>
      <c r="U161" s="136">
        <f t="shared" si="45"/>
        <v>2</v>
      </c>
      <c r="V161" s="136">
        <f t="shared" si="45"/>
        <v>2</v>
      </c>
      <c r="W161" s="136">
        <f t="shared" si="45"/>
        <v>2</v>
      </c>
      <c r="X161" s="136">
        <f t="shared" si="45"/>
        <v>2</v>
      </c>
      <c r="Y161" s="136">
        <f t="shared" si="45"/>
        <v>2</v>
      </c>
      <c r="Z161" s="136">
        <f t="shared" si="45"/>
        <v>2</v>
      </c>
      <c r="AA161" s="136">
        <f t="shared" si="45"/>
        <v>2</v>
      </c>
      <c r="AB161" s="136">
        <f t="shared" si="45"/>
        <v>2</v>
      </c>
      <c r="AC161" s="136">
        <f t="shared" si="45"/>
        <v>2</v>
      </c>
      <c r="AD161" s="136">
        <f t="shared" si="45"/>
        <v>2</v>
      </c>
      <c r="AE161" s="136">
        <f t="shared" si="45"/>
        <v>2</v>
      </c>
      <c r="AF161" s="136">
        <f t="shared" si="45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3"/>
        <v>0.47</v>
      </c>
      <c r="C162" s="137">
        <v>0.47</v>
      </c>
      <c r="D162" s="136">
        <f t="shared" si="44"/>
        <v>0.47</v>
      </c>
      <c r="E162" s="136">
        <f t="shared" si="44"/>
        <v>0.47</v>
      </c>
      <c r="F162" s="136">
        <f t="shared" si="44"/>
        <v>0.47</v>
      </c>
      <c r="G162" s="136">
        <f t="shared" si="44"/>
        <v>0.47</v>
      </c>
      <c r="H162" s="136">
        <f t="shared" si="44"/>
        <v>0.47</v>
      </c>
      <c r="I162" s="136">
        <f t="shared" si="44"/>
        <v>0.47</v>
      </c>
      <c r="J162" s="136">
        <f t="shared" si="44"/>
        <v>0.47</v>
      </c>
      <c r="K162" s="136">
        <f t="shared" si="44"/>
        <v>0.47</v>
      </c>
      <c r="L162" s="136">
        <f t="shared" si="44"/>
        <v>0.47</v>
      </c>
      <c r="M162" s="136">
        <f t="shared" si="44"/>
        <v>0.47</v>
      </c>
      <c r="N162" s="136">
        <f t="shared" si="44"/>
        <v>0.47</v>
      </c>
      <c r="O162" s="136">
        <f t="shared" si="44"/>
        <v>0.47</v>
      </c>
      <c r="P162" s="136">
        <f t="shared" si="44"/>
        <v>0.47</v>
      </c>
      <c r="Q162" s="136">
        <f t="shared" si="44"/>
        <v>0.47</v>
      </c>
      <c r="R162" s="136">
        <f t="shared" si="44"/>
        <v>0.47</v>
      </c>
      <c r="S162" s="136">
        <f t="shared" si="44"/>
        <v>0.47</v>
      </c>
      <c r="T162" s="136">
        <f t="shared" si="45"/>
        <v>0.47</v>
      </c>
      <c r="U162" s="136">
        <f t="shared" si="45"/>
        <v>0.47</v>
      </c>
      <c r="V162" s="136">
        <f t="shared" si="45"/>
        <v>0.47</v>
      </c>
      <c r="W162" s="136">
        <f t="shared" si="45"/>
        <v>0.47</v>
      </c>
      <c r="X162" s="136">
        <f t="shared" si="45"/>
        <v>0.47</v>
      </c>
      <c r="Y162" s="136">
        <f t="shared" si="45"/>
        <v>0.47</v>
      </c>
      <c r="Z162" s="136">
        <f t="shared" si="45"/>
        <v>0.47</v>
      </c>
      <c r="AA162" s="136">
        <f t="shared" si="45"/>
        <v>0.47</v>
      </c>
      <c r="AB162" s="136">
        <f t="shared" si="45"/>
        <v>0.47</v>
      </c>
      <c r="AC162" s="136">
        <f t="shared" si="45"/>
        <v>0.47</v>
      </c>
      <c r="AD162" s="136">
        <f t="shared" si="45"/>
        <v>0.47</v>
      </c>
      <c r="AE162" s="136">
        <f t="shared" si="45"/>
        <v>0.47</v>
      </c>
      <c r="AF162" s="136">
        <f t="shared" si="45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3"/>
        <v>0</v>
      </c>
      <c r="C163" s="137">
        <v>0</v>
      </c>
      <c r="D163" s="136">
        <f t="shared" si="44"/>
        <v>0</v>
      </c>
      <c r="E163" s="136">
        <f t="shared" si="44"/>
        <v>0</v>
      </c>
      <c r="F163" s="136">
        <f t="shared" si="44"/>
        <v>0</v>
      </c>
      <c r="G163" s="136">
        <f t="shared" si="44"/>
        <v>0</v>
      </c>
      <c r="H163" s="136">
        <f t="shared" si="44"/>
        <v>0</v>
      </c>
      <c r="I163" s="136">
        <f t="shared" si="44"/>
        <v>0</v>
      </c>
      <c r="J163" s="136">
        <f t="shared" si="44"/>
        <v>0</v>
      </c>
      <c r="K163" s="136">
        <f t="shared" si="44"/>
        <v>0</v>
      </c>
      <c r="L163" s="136">
        <f t="shared" si="44"/>
        <v>0</v>
      </c>
      <c r="M163" s="136">
        <f t="shared" si="44"/>
        <v>0</v>
      </c>
      <c r="N163" s="136">
        <f t="shared" si="44"/>
        <v>0</v>
      </c>
      <c r="O163" s="136">
        <f t="shared" si="44"/>
        <v>0</v>
      </c>
      <c r="P163" s="136">
        <f t="shared" si="44"/>
        <v>0</v>
      </c>
      <c r="Q163" s="136">
        <f t="shared" si="44"/>
        <v>0</v>
      </c>
      <c r="R163" s="136">
        <f t="shared" si="44"/>
        <v>0</v>
      </c>
      <c r="S163" s="136">
        <f t="shared" si="44"/>
        <v>0</v>
      </c>
      <c r="T163" s="136">
        <f t="shared" si="45"/>
        <v>0</v>
      </c>
      <c r="U163" s="136">
        <f t="shared" si="45"/>
        <v>0</v>
      </c>
      <c r="V163" s="136">
        <f t="shared" si="45"/>
        <v>0</v>
      </c>
      <c r="W163" s="136">
        <f t="shared" si="45"/>
        <v>0</v>
      </c>
      <c r="X163" s="136">
        <f t="shared" si="45"/>
        <v>0</v>
      </c>
      <c r="Y163" s="136">
        <f t="shared" si="45"/>
        <v>0</v>
      </c>
      <c r="Z163" s="136">
        <f t="shared" si="45"/>
        <v>0</v>
      </c>
      <c r="AA163" s="136">
        <f t="shared" si="45"/>
        <v>0</v>
      </c>
      <c r="AB163" s="136">
        <f t="shared" si="45"/>
        <v>0</v>
      </c>
      <c r="AC163" s="136">
        <f t="shared" si="45"/>
        <v>0</v>
      </c>
      <c r="AD163" s="136">
        <f t="shared" si="45"/>
        <v>0</v>
      </c>
      <c r="AE163" s="136">
        <f t="shared" si="45"/>
        <v>0</v>
      </c>
      <c r="AF163" s="136">
        <f t="shared" si="45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3"/>
        <v>0</v>
      </c>
      <c r="C164" s="137">
        <v>0</v>
      </c>
      <c r="D164" s="136">
        <f t="shared" si="44"/>
        <v>0</v>
      </c>
      <c r="E164" s="136">
        <f t="shared" si="44"/>
        <v>0</v>
      </c>
      <c r="F164" s="136">
        <f t="shared" si="44"/>
        <v>0</v>
      </c>
      <c r="G164" s="136">
        <f t="shared" si="44"/>
        <v>0</v>
      </c>
      <c r="H164" s="136">
        <f t="shared" si="44"/>
        <v>0</v>
      </c>
      <c r="I164" s="136">
        <f t="shared" si="44"/>
        <v>0</v>
      </c>
      <c r="J164" s="136">
        <f t="shared" si="44"/>
        <v>0</v>
      </c>
      <c r="K164" s="136">
        <f t="shared" si="44"/>
        <v>0</v>
      </c>
      <c r="L164" s="136">
        <f t="shared" si="44"/>
        <v>0</v>
      </c>
      <c r="M164" s="136">
        <f t="shared" si="44"/>
        <v>0</v>
      </c>
      <c r="N164" s="136">
        <f t="shared" si="44"/>
        <v>0</v>
      </c>
      <c r="O164" s="136">
        <f t="shared" si="44"/>
        <v>0</v>
      </c>
      <c r="P164" s="136">
        <f t="shared" si="44"/>
        <v>0</v>
      </c>
      <c r="Q164" s="136">
        <f t="shared" si="44"/>
        <v>0</v>
      </c>
      <c r="R164" s="136">
        <f t="shared" si="44"/>
        <v>0</v>
      </c>
      <c r="S164" s="136">
        <f t="shared" si="45"/>
        <v>0</v>
      </c>
      <c r="T164" s="136">
        <f t="shared" si="45"/>
        <v>0</v>
      </c>
      <c r="U164" s="136">
        <f t="shared" si="45"/>
        <v>0</v>
      </c>
      <c r="V164" s="136">
        <f t="shared" si="45"/>
        <v>0</v>
      </c>
      <c r="W164" s="136">
        <f t="shared" si="45"/>
        <v>0</v>
      </c>
      <c r="X164" s="136">
        <f t="shared" si="45"/>
        <v>0</v>
      </c>
      <c r="Y164" s="136">
        <f t="shared" si="45"/>
        <v>0</v>
      </c>
      <c r="Z164" s="136">
        <f t="shared" si="45"/>
        <v>0</v>
      </c>
      <c r="AA164" s="136">
        <f t="shared" si="45"/>
        <v>0</v>
      </c>
      <c r="AB164" s="136">
        <f t="shared" si="45"/>
        <v>0</v>
      </c>
      <c r="AC164" s="136">
        <f t="shared" si="45"/>
        <v>0</v>
      </c>
      <c r="AD164" s="136">
        <f t="shared" si="45"/>
        <v>0</v>
      </c>
      <c r="AE164" s="136">
        <f t="shared" si="45"/>
        <v>0</v>
      </c>
      <c r="AF164" s="136">
        <f t="shared" si="45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3"/>
        <v>0.8</v>
      </c>
      <c r="C165" s="137">
        <v>0.8</v>
      </c>
      <c r="D165" s="136">
        <f t="shared" si="44"/>
        <v>0.8</v>
      </c>
      <c r="E165" s="136">
        <f t="shared" si="44"/>
        <v>0.8</v>
      </c>
      <c r="F165" s="136">
        <f t="shared" si="44"/>
        <v>0.8</v>
      </c>
      <c r="G165" s="136">
        <f t="shared" si="44"/>
        <v>0.8</v>
      </c>
      <c r="H165" s="136">
        <f t="shared" si="44"/>
        <v>0.8</v>
      </c>
      <c r="I165" s="136">
        <f t="shared" si="44"/>
        <v>0.8</v>
      </c>
      <c r="J165" s="136">
        <f t="shared" si="44"/>
        <v>0.8</v>
      </c>
      <c r="K165" s="136">
        <f t="shared" si="44"/>
        <v>0.8</v>
      </c>
      <c r="L165" s="136">
        <f t="shared" si="44"/>
        <v>0.8</v>
      </c>
      <c r="M165" s="136">
        <f t="shared" si="44"/>
        <v>0.8</v>
      </c>
      <c r="N165" s="136">
        <f t="shared" si="44"/>
        <v>0.8</v>
      </c>
      <c r="O165" s="136">
        <f t="shared" si="44"/>
        <v>0.8</v>
      </c>
      <c r="P165" s="136">
        <f t="shared" si="44"/>
        <v>0.8</v>
      </c>
      <c r="Q165" s="136">
        <f t="shared" si="44"/>
        <v>0.8</v>
      </c>
      <c r="R165" s="136">
        <f t="shared" si="44"/>
        <v>0.8</v>
      </c>
      <c r="S165" s="136">
        <f t="shared" si="45"/>
        <v>0.8</v>
      </c>
      <c r="T165" s="136">
        <f t="shared" si="45"/>
        <v>0.8</v>
      </c>
      <c r="U165" s="136">
        <f t="shared" si="45"/>
        <v>0.8</v>
      </c>
      <c r="V165" s="136">
        <f t="shared" si="45"/>
        <v>0.8</v>
      </c>
      <c r="W165" s="136">
        <f t="shared" si="45"/>
        <v>0.8</v>
      </c>
      <c r="X165" s="136">
        <f t="shared" si="45"/>
        <v>0.8</v>
      </c>
      <c r="Y165" s="136">
        <f t="shared" si="45"/>
        <v>0.8</v>
      </c>
      <c r="Z165" s="136">
        <f t="shared" si="45"/>
        <v>0.8</v>
      </c>
      <c r="AA165" s="136">
        <f t="shared" si="45"/>
        <v>0.8</v>
      </c>
      <c r="AB165" s="136">
        <f t="shared" si="45"/>
        <v>0.8</v>
      </c>
      <c r="AC165" s="136">
        <f t="shared" si="45"/>
        <v>0.8</v>
      </c>
      <c r="AD165" s="136">
        <f t="shared" si="45"/>
        <v>0.8</v>
      </c>
      <c r="AE165" s="136">
        <f t="shared" si="45"/>
        <v>0.8</v>
      </c>
      <c r="AF165" s="136">
        <f t="shared" si="45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3"/>
        <v>1.5</v>
      </c>
      <c r="C166" s="137">
        <v>1.5</v>
      </c>
      <c r="D166" s="136">
        <f t="shared" si="44"/>
        <v>1.5</v>
      </c>
      <c r="E166" s="136">
        <f t="shared" si="44"/>
        <v>1.5</v>
      </c>
      <c r="F166" s="136">
        <f t="shared" si="44"/>
        <v>1.5</v>
      </c>
      <c r="G166" s="136">
        <f t="shared" si="44"/>
        <v>1.5</v>
      </c>
      <c r="H166" s="136">
        <f t="shared" si="44"/>
        <v>1.5</v>
      </c>
      <c r="I166" s="136">
        <f t="shared" si="44"/>
        <v>1.5</v>
      </c>
      <c r="J166" s="136">
        <f t="shared" si="44"/>
        <v>1.5</v>
      </c>
      <c r="K166" s="136">
        <f t="shared" si="44"/>
        <v>1.5</v>
      </c>
      <c r="L166" s="136">
        <f t="shared" si="44"/>
        <v>1.5</v>
      </c>
      <c r="M166" s="136">
        <f t="shared" si="44"/>
        <v>1.5</v>
      </c>
      <c r="N166" s="136">
        <f t="shared" si="44"/>
        <v>1.5</v>
      </c>
      <c r="O166" s="136">
        <f t="shared" si="44"/>
        <v>1.5</v>
      </c>
      <c r="P166" s="136">
        <f t="shared" si="44"/>
        <v>1.5</v>
      </c>
      <c r="Q166" s="136">
        <f t="shared" si="44"/>
        <v>1.5</v>
      </c>
      <c r="R166" s="136">
        <f t="shared" si="44"/>
        <v>1.5</v>
      </c>
      <c r="S166" s="136">
        <f t="shared" si="45"/>
        <v>1.5</v>
      </c>
      <c r="T166" s="136">
        <f t="shared" si="45"/>
        <v>1.5</v>
      </c>
      <c r="U166" s="136">
        <f t="shared" si="45"/>
        <v>1.5</v>
      </c>
      <c r="V166" s="136">
        <f t="shared" si="45"/>
        <v>1.5</v>
      </c>
      <c r="W166" s="136">
        <f t="shared" si="45"/>
        <v>1.5</v>
      </c>
      <c r="X166" s="136">
        <f t="shared" si="45"/>
        <v>1.5</v>
      </c>
      <c r="Y166" s="136">
        <f t="shared" si="45"/>
        <v>1.5</v>
      </c>
      <c r="Z166" s="136">
        <f t="shared" si="45"/>
        <v>1.5</v>
      </c>
      <c r="AA166" s="136">
        <f t="shared" si="45"/>
        <v>1.5</v>
      </c>
      <c r="AB166" s="136">
        <f t="shared" si="45"/>
        <v>1.5</v>
      </c>
      <c r="AC166" s="136">
        <f t="shared" si="45"/>
        <v>1.5</v>
      </c>
      <c r="AD166" s="136">
        <f t="shared" si="45"/>
        <v>1.5</v>
      </c>
      <c r="AE166" s="136">
        <f t="shared" si="45"/>
        <v>1.5</v>
      </c>
      <c r="AF166" s="136">
        <f t="shared" si="45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3"/>
        <v>1</v>
      </c>
      <c r="C167" s="137">
        <v>1</v>
      </c>
      <c r="D167" s="136">
        <f t="shared" si="44"/>
        <v>1</v>
      </c>
      <c r="E167" s="136">
        <f t="shared" si="44"/>
        <v>1</v>
      </c>
      <c r="F167" s="136">
        <f t="shared" si="44"/>
        <v>1</v>
      </c>
      <c r="G167" s="136">
        <f t="shared" si="44"/>
        <v>1</v>
      </c>
      <c r="H167" s="136">
        <f t="shared" si="44"/>
        <v>1</v>
      </c>
      <c r="I167" s="136">
        <f t="shared" si="44"/>
        <v>1</v>
      </c>
      <c r="J167" s="136">
        <f t="shared" si="44"/>
        <v>1</v>
      </c>
      <c r="K167" s="136">
        <f t="shared" si="44"/>
        <v>1</v>
      </c>
      <c r="L167" s="136">
        <f t="shared" si="44"/>
        <v>1</v>
      </c>
      <c r="M167" s="136">
        <f t="shared" si="44"/>
        <v>1</v>
      </c>
      <c r="N167" s="136">
        <f t="shared" si="44"/>
        <v>1</v>
      </c>
      <c r="O167" s="136">
        <f t="shared" si="44"/>
        <v>1</v>
      </c>
      <c r="P167" s="136">
        <f t="shared" si="44"/>
        <v>1</v>
      </c>
      <c r="Q167" s="136">
        <f t="shared" si="44"/>
        <v>1</v>
      </c>
      <c r="R167" s="136">
        <f t="shared" si="44"/>
        <v>1</v>
      </c>
      <c r="S167" s="136">
        <f t="shared" si="45"/>
        <v>1</v>
      </c>
      <c r="T167" s="136">
        <f t="shared" si="45"/>
        <v>1</v>
      </c>
      <c r="U167" s="136">
        <f t="shared" si="45"/>
        <v>1</v>
      </c>
      <c r="V167" s="136">
        <f t="shared" si="45"/>
        <v>1</v>
      </c>
      <c r="W167" s="136">
        <f t="shared" si="45"/>
        <v>1</v>
      </c>
      <c r="X167" s="136">
        <f t="shared" si="45"/>
        <v>1</v>
      </c>
      <c r="Y167" s="136">
        <f t="shared" si="45"/>
        <v>1</v>
      </c>
      <c r="Z167" s="136">
        <f t="shared" si="45"/>
        <v>1</v>
      </c>
      <c r="AA167" s="136">
        <f t="shared" si="45"/>
        <v>1</v>
      </c>
      <c r="AB167" s="136">
        <f t="shared" si="45"/>
        <v>1</v>
      </c>
      <c r="AC167" s="136">
        <f t="shared" si="45"/>
        <v>1</v>
      </c>
      <c r="AD167" s="136">
        <f t="shared" si="45"/>
        <v>1</v>
      </c>
      <c r="AE167" s="136">
        <f t="shared" si="45"/>
        <v>1</v>
      </c>
      <c r="AF167" s="136">
        <f t="shared" si="45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6">AF169</f>
        <v>1</v>
      </c>
      <c r="C169" s="137">
        <v>1</v>
      </c>
      <c r="D169" s="136">
        <f t="shared" ref="D169:S176" si="47">C169</f>
        <v>1</v>
      </c>
      <c r="E169" s="136">
        <f t="shared" si="47"/>
        <v>1</v>
      </c>
      <c r="F169" s="136">
        <f t="shared" si="47"/>
        <v>1</v>
      </c>
      <c r="G169" s="136">
        <f t="shared" si="47"/>
        <v>1</v>
      </c>
      <c r="H169" s="136">
        <f t="shared" si="47"/>
        <v>1</v>
      </c>
      <c r="I169" s="136">
        <f t="shared" si="47"/>
        <v>1</v>
      </c>
      <c r="J169" s="136">
        <f t="shared" si="47"/>
        <v>1</v>
      </c>
      <c r="K169" s="136">
        <f t="shared" si="47"/>
        <v>1</v>
      </c>
      <c r="L169" s="136">
        <f t="shared" si="47"/>
        <v>1</v>
      </c>
      <c r="M169" s="136">
        <f t="shared" si="47"/>
        <v>1</v>
      </c>
      <c r="N169" s="136">
        <f t="shared" si="47"/>
        <v>1</v>
      </c>
      <c r="O169" s="136">
        <f t="shared" si="47"/>
        <v>1</v>
      </c>
      <c r="P169" s="136">
        <f t="shared" si="47"/>
        <v>1</v>
      </c>
      <c r="Q169" s="136">
        <f t="shared" si="47"/>
        <v>1</v>
      </c>
      <c r="R169" s="136">
        <f t="shared" si="47"/>
        <v>1</v>
      </c>
      <c r="S169" s="136">
        <f t="shared" si="47"/>
        <v>1</v>
      </c>
      <c r="T169" s="136">
        <f t="shared" ref="S169:AF176" si="48">S169</f>
        <v>1</v>
      </c>
      <c r="U169" s="136">
        <f t="shared" si="48"/>
        <v>1</v>
      </c>
      <c r="V169" s="136">
        <f t="shared" si="48"/>
        <v>1</v>
      </c>
      <c r="W169" s="136">
        <f t="shared" si="48"/>
        <v>1</v>
      </c>
      <c r="X169" s="136">
        <f t="shared" si="48"/>
        <v>1</v>
      </c>
      <c r="Y169" s="136">
        <f t="shared" si="48"/>
        <v>1</v>
      </c>
      <c r="Z169" s="136">
        <f t="shared" si="48"/>
        <v>1</v>
      </c>
      <c r="AA169" s="136">
        <f t="shared" si="48"/>
        <v>1</v>
      </c>
      <c r="AB169" s="136">
        <f t="shared" si="48"/>
        <v>1</v>
      </c>
      <c r="AC169" s="136">
        <f t="shared" si="48"/>
        <v>1</v>
      </c>
      <c r="AD169" s="136">
        <f t="shared" si="48"/>
        <v>1</v>
      </c>
      <c r="AE169" s="136">
        <f t="shared" si="48"/>
        <v>1</v>
      </c>
      <c r="AF169" s="136">
        <f t="shared" si="48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6"/>
        <v>0.42</v>
      </c>
      <c r="C170" s="137">
        <v>0.42</v>
      </c>
      <c r="D170" s="136">
        <f t="shared" si="47"/>
        <v>0.42</v>
      </c>
      <c r="E170" s="136">
        <f t="shared" si="47"/>
        <v>0.42</v>
      </c>
      <c r="F170" s="136">
        <f t="shared" si="47"/>
        <v>0.42</v>
      </c>
      <c r="G170" s="136">
        <f t="shared" si="47"/>
        <v>0.42</v>
      </c>
      <c r="H170" s="136">
        <f t="shared" si="47"/>
        <v>0.42</v>
      </c>
      <c r="I170" s="136">
        <f t="shared" si="47"/>
        <v>0.42</v>
      </c>
      <c r="J170" s="136">
        <f t="shared" si="47"/>
        <v>0.42</v>
      </c>
      <c r="K170" s="136">
        <f t="shared" si="47"/>
        <v>0.42</v>
      </c>
      <c r="L170" s="136">
        <f t="shared" si="47"/>
        <v>0.42</v>
      </c>
      <c r="M170" s="136">
        <f t="shared" si="47"/>
        <v>0.42</v>
      </c>
      <c r="N170" s="136">
        <f t="shared" si="47"/>
        <v>0.42</v>
      </c>
      <c r="O170" s="136">
        <f t="shared" si="47"/>
        <v>0.42</v>
      </c>
      <c r="P170" s="136">
        <f t="shared" si="47"/>
        <v>0.42</v>
      </c>
      <c r="Q170" s="136">
        <f t="shared" si="47"/>
        <v>0.42</v>
      </c>
      <c r="R170" s="136">
        <f t="shared" si="47"/>
        <v>0.42</v>
      </c>
      <c r="S170" s="136">
        <f t="shared" si="48"/>
        <v>0.42</v>
      </c>
      <c r="T170" s="136">
        <f t="shared" si="48"/>
        <v>0.42</v>
      </c>
      <c r="U170" s="136">
        <f t="shared" si="48"/>
        <v>0.42</v>
      </c>
      <c r="V170" s="136">
        <f t="shared" si="48"/>
        <v>0.42</v>
      </c>
      <c r="W170" s="136">
        <f t="shared" si="48"/>
        <v>0.42</v>
      </c>
      <c r="X170" s="136">
        <f t="shared" si="48"/>
        <v>0.42</v>
      </c>
      <c r="Y170" s="136">
        <f t="shared" si="48"/>
        <v>0.42</v>
      </c>
      <c r="Z170" s="136">
        <f t="shared" si="48"/>
        <v>0.42</v>
      </c>
      <c r="AA170" s="136">
        <f t="shared" si="48"/>
        <v>0.42</v>
      </c>
      <c r="AB170" s="136">
        <f t="shared" si="48"/>
        <v>0.42</v>
      </c>
      <c r="AC170" s="136">
        <f t="shared" si="48"/>
        <v>0.42</v>
      </c>
      <c r="AD170" s="136">
        <f t="shared" si="48"/>
        <v>0.42</v>
      </c>
      <c r="AE170" s="136">
        <f t="shared" si="48"/>
        <v>0.42</v>
      </c>
      <c r="AF170" s="136">
        <f t="shared" si="48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6"/>
        <v>0.46</v>
      </c>
      <c r="C171" s="137">
        <v>0.46</v>
      </c>
      <c r="D171" s="136">
        <f t="shared" si="47"/>
        <v>0.46</v>
      </c>
      <c r="E171" s="136">
        <f t="shared" si="47"/>
        <v>0.46</v>
      </c>
      <c r="F171" s="136">
        <f t="shared" si="47"/>
        <v>0.46</v>
      </c>
      <c r="G171" s="136">
        <f t="shared" si="47"/>
        <v>0.46</v>
      </c>
      <c r="H171" s="136">
        <f t="shared" si="47"/>
        <v>0.46</v>
      </c>
      <c r="I171" s="136">
        <f t="shared" si="47"/>
        <v>0.46</v>
      </c>
      <c r="J171" s="136">
        <f t="shared" si="47"/>
        <v>0.46</v>
      </c>
      <c r="K171" s="136">
        <f t="shared" si="47"/>
        <v>0.46</v>
      </c>
      <c r="L171" s="136">
        <f t="shared" si="47"/>
        <v>0.46</v>
      </c>
      <c r="M171" s="136">
        <f t="shared" si="47"/>
        <v>0.46</v>
      </c>
      <c r="N171" s="136">
        <f t="shared" si="47"/>
        <v>0.46</v>
      </c>
      <c r="O171" s="136">
        <f t="shared" si="47"/>
        <v>0.46</v>
      </c>
      <c r="P171" s="136">
        <f t="shared" si="47"/>
        <v>0.46</v>
      </c>
      <c r="Q171" s="136">
        <f t="shared" si="47"/>
        <v>0.46</v>
      </c>
      <c r="R171" s="136">
        <f t="shared" si="47"/>
        <v>0.46</v>
      </c>
      <c r="S171" s="136">
        <f t="shared" si="48"/>
        <v>0.46</v>
      </c>
      <c r="T171" s="136">
        <f t="shared" si="48"/>
        <v>0.46</v>
      </c>
      <c r="U171" s="136">
        <f t="shared" si="48"/>
        <v>0.46</v>
      </c>
      <c r="V171" s="136">
        <f t="shared" si="48"/>
        <v>0.46</v>
      </c>
      <c r="W171" s="136">
        <f t="shared" si="48"/>
        <v>0.46</v>
      </c>
      <c r="X171" s="136">
        <f t="shared" si="48"/>
        <v>0.46</v>
      </c>
      <c r="Y171" s="136">
        <f t="shared" si="48"/>
        <v>0.46</v>
      </c>
      <c r="Z171" s="136">
        <f t="shared" si="48"/>
        <v>0.46</v>
      </c>
      <c r="AA171" s="136">
        <f t="shared" si="48"/>
        <v>0.46</v>
      </c>
      <c r="AB171" s="136">
        <f t="shared" si="48"/>
        <v>0.46</v>
      </c>
      <c r="AC171" s="136">
        <f t="shared" si="48"/>
        <v>0.46</v>
      </c>
      <c r="AD171" s="136">
        <f t="shared" si="48"/>
        <v>0.46</v>
      </c>
      <c r="AE171" s="136">
        <f t="shared" si="48"/>
        <v>0.46</v>
      </c>
      <c r="AF171" s="136">
        <f t="shared" si="48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6"/>
        <v>0.85</v>
      </c>
      <c r="C172" s="137">
        <v>0.85</v>
      </c>
      <c r="D172" s="136">
        <f t="shared" si="47"/>
        <v>0.85</v>
      </c>
      <c r="E172" s="136">
        <f t="shared" si="47"/>
        <v>0.85</v>
      </c>
      <c r="F172" s="136">
        <f t="shared" si="47"/>
        <v>0.85</v>
      </c>
      <c r="G172" s="136">
        <f t="shared" si="47"/>
        <v>0.85</v>
      </c>
      <c r="H172" s="136">
        <f t="shared" si="47"/>
        <v>0.85</v>
      </c>
      <c r="I172" s="136">
        <f t="shared" si="47"/>
        <v>0.85</v>
      </c>
      <c r="J172" s="136">
        <f t="shared" si="47"/>
        <v>0.85</v>
      </c>
      <c r="K172" s="136">
        <f t="shared" si="47"/>
        <v>0.85</v>
      </c>
      <c r="L172" s="136">
        <f t="shared" si="47"/>
        <v>0.85</v>
      </c>
      <c r="M172" s="136">
        <f t="shared" si="47"/>
        <v>0.85</v>
      </c>
      <c r="N172" s="136">
        <f t="shared" si="47"/>
        <v>0.85</v>
      </c>
      <c r="O172" s="136">
        <f t="shared" si="47"/>
        <v>0.85</v>
      </c>
      <c r="P172" s="136">
        <f t="shared" si="47"/>
        <v>0.85</v>
      </c>
      <c r="Q172" s="136">
        <f t="shared" si="47"/>
        <v>0.85</v>
      </c>
      <c r="R172" s="136">
        <f t="shared" si="47"/>
        <v>0.85</v>
      </c>
      <c r="S172" s="136">
        <f t="shared" si="48"/>
        <v>0.85</v>
      </c>
      <c r="T172" s="136">
        <f t="shared" si="48"/>
        <v>0.85</v>
      </c>
      <c r="U172" s="136">
        <f t="shared" si="48"/>
        <v>0.85</v>
      </c>
      <c r="V172" s="136">
        <f t="shared" si="48"/>
        <v>0.85</v>
      </c>
      <c r="W172" s="136">
        <f t="shared" si="48"/>
        <v>0.85</v>
      </c>
      <c r="X172" s="136">
        <f t="shared" si="48"/>
        <v>0.85</v>
      </c>
      <c r="Y172" s="136">
        <f t="shared" si="48"/>
        <v>0.85</v>
      </c>
      <c r="Z172" s="136">
        <f t="shared" si="48"/>
        <v>0.85</v>
      </c>
      <c r="AA172" s="136">
        <f t="shared" si="48"/>
        <v>0.85</v>
      </c>
      <c r="AB172" s="136">
        <f t="shared" si="48"/>
        <v>0.85</v>
      </c>
      <c r="AC172" s="136">
        <f t="shared" si="48"/>
        <v>0.85</v>
      </c>
      <c r="AD172" s="136">
        <f t="shared" si="48"/>
        <v>0.85</v>
      </c>
      <c r="AE172" s="136">
        <f t="shared" si="48"/>
        <v>0.85</v>
      </c>
      <c r="AF172" s="136">
        <f t="shared" si="48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6"/>
        <v>0.9</v>
      </c>
      <c r="C173" s="137">
        <v>0.9</v>
      </c>
      <c r="D173" s="136">
        <f t="shared" si="47"/>
        <v>0.9</v>
      </c>
      <c r="E173" s="136">
        <f t="shared" si="47"/>
        <v>0.9</v>
      </c>
      <c r="F173" s="136">
        <f t="shared" si="47"/>
        <v>0.9</v>
      </c>
      <c r="G173" s="136">
        <f t="shared" si="47"/>
        <v>0.9</v>
      </c>
      <c r="H173" s="136">
        <f t="shared" si="47"/>
        <v>0.9</v>
      </c>
      <c r="I173" s="136">
        <f t="shared" si="47"/>
        <v>0.9</v>
      </c>
      <c r="J173" s="136">
        <f t="shared" si="47"/>
        <v>0.9</v>
      </c>
      <c r="K173" s="136">
        <f t="shared" si="47"/>
        <v>0.9</v>
      </c>
      <c r="L173" s="136">
        <f t="shared" si="47"/>
        <v>0.9</v>
      </c>
      <c r="M173" s="136">
        <f t="shared" si="47"/>
        <v>0.9</v>
      </c>
      <c r="N173" s="136">
        <f t="shared" si="47"/>
        <v>0.9</v>
      </c>
      <c r="O173" s="136">
        <f t="shared" si="47"/>
        <v>0.9</v>
      </c>
      <c r="P173" s="136">
        <f t="shared" si="47"/>
        <v>0.9</v>
      </c>
      <c r="Q173" s="136">
        <f t="shared" si="47"/>
        <v>0.9</v>
      </c>
      <c r="R173" s="136">
        <f t="shared" si="47"/>
        <v>0.9</v>
      </c>
      <c r="S173" s="136">
        <f t="shared" si="48"/>
        <v>0.9</v>
      </c>
      <c r="T173" s="136">
        <f t="shared" si="48"/>
        <v>0.9</v>
      </c>
      <c r="U173" s="136">
        <f t="shared" si="48"/>
        <v>0.9</v>
      </c>
      <c r="V173" s="136">
        <f t="shared" si="48"/>
        <v>0.9</v>
      </c>
      <c r="W173" s="136">
        <f t="shared" si="48"/>
        <v>0.9</v>
      </c>
      <c r="X173" s="136">
        <f t="shared" si="48"/>
        <v>0.9</v>
      </c>
      <c r="Y173" s="136">
        <f t="shared" si="48"/>
        <v>0.9</v>
      </c>
      <c r="Z173" s="136">
        <f t="shared" si="48"/>
        <v>0.9</v>
      </c>
      <c r="AA173" s="136">
        <f t="shared" si="48"/>
        <v>0.9</v>
      </c>
      <c r="AB173" s="136">
        <f t="shared" si="48"/>
        <v>0.9</v>
      </c>
      <c r="AC173" s="136">
        <f t="shared" si="48"/>
        <v>0.9</v>
      </c>
      <c r="AD173" s="136">
        <f t="shared" si="48"/>
        <v>0.9</v>
      </c>
      <c r="AE173" s="136">
        <f t="shared" si="48"/>
        <v>0.9</v>
      </c>
      <c r="AF173" s="136">
        <f t="shared" si="48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6"/>
        <v>0.44</v>
      </c>
      <c r="C174" s="137">
        <v>0.44</v>
      </c>
      <c r="D174" s="136">
        <f t="shared" si="47"/>
        <v>0.44</v>
      </c>
      <c r="E174" s="136">
        <f t="shared" si="47"/>
        <v>0.44</v>
      </c>
      <c r="F174" s="136">
        <f t="shared" si="47"/>
        <v>0.44</v>
      </c>
      <c r="G174" s="136">
        <f t="shared" si="47"/>
        <v>0.44</v>
      </c>
      <c r="H174" s="136">
        <f t="shared" si="47"/>
        <v>0.44</v>
      </c>
      <c r="I174" s="136">
        <f t="shared" si="47"/>
        <v>0.44</v>
      </c>
      <c r="J174" s="136">
        <f t="shared" si="47"/>
        <v>0.44</v>
      </c>
      <c r="K174" s="136">
        <f t="shared" si="47"/>
        <v>0.44</v>
      </c>
      <c r="L174" s="136">
        <f t="shared" si="47"/>
        <v>0.44</v>
      </c>
      <c r="M174" s="136">
        <f t="shared" si="47"/>
        <v>0.44</v>
      </c>
      <c r="N174" s="136">
        <f t="shared" si="47"/>
        <v>0.44</v>
      </c>
      <c r="O174" s="136">
        <f t="shared" si="47"/>
        <v>0.44</v>
      </c>
      <c r="P174" s="136">
        <f t="shared" si="47"/>
        <v>0.44</v>
      </c>
      <c r="Q174" s="136">
        <f t="shared" si="47"/>
        <v>0.44</v>
      </c>
      <c r="R174" s="136">
        <f t="shared" si="47"/>
        <v>0.44</v>
      </c>
      <c r="S174" s="136">
        <f t="shared" si="48"/>
        <v>0.44</v>
      </c>
      <c r="T174" s="136">
        <f t="shared" si="48"/>
        <v>0.44</v>
      </c>
      <c r="U174" s="136">
        <f t="shared" si="48"/>
        <v>0.44</v>
      </c>
      <c r="V174" s="136">
        <f t="shared" si="48"/>
        <v>0.44</v>
      </c>
      <c r="W174" s="136">
        <f t="shared" si="48"/>
        <v>0.44</v>
      </c>
      <c r="X174" s="136">
        <f t="shared" si="48"/>
        <v>0.44</v>
      </c>
      <c r="Y174" s="136">
        <f t="shared" si="48"/>
        <v>0.44</v>
      </c>
      <c r="Z174" s="136">
        <f t="shared" si="48"/>
        <v>0.44</v>
      </c>
      <c r="AA174" s="136">
        <f t="shared" si="48"/>
        <v>0.44</v>
      </c>
      <c r="AB174" s="136">
        <f t="shared" si="48"/>
        <v>0.44</v>
      </c>
      <c r="AC174" s="136">
        <f t="shared" si="48"/>
        <v>0.44</v>
      </c>
      <c r="AD174" s="136">
        <f t="shared" si="48"/>
        <v>0.44</v>
      </c>
      <c r="AE174" s="136">
        <f t="shared" si="48"/>
        <v>0.44</v>
      </c>
      <c r="AF174" s="136">
        <f t="shared" si="48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6"/>
        <v>2.1</v>
      </c>
      <c r="C175" s="137">
        <v>2.1</v>
      </c>
      <c r="D175" s="136">
        <f t="shared" si="47"/>
        <v>2.1</v>
      </c>
      <c r="E175" s="136">
        <f t="shared" si="47"/>
        <v>2.1</v>
      </c>
      <c r="F175" s="136">
        <f t="shared" si="47"/>
        <v>2.1</v>
      </c>
      <c r="G175" s="136">
        <f t="shared" si="47"/>
        <v>2.1</v>
      </c>
      <c r="H175" s="136">
        <f t="shared" si="47"/>
        <v>2.1</v>
      </c>
      <c r="I175" s="136">
        <f t="shared" si="47"/>
        <v>2.1</v>
      </c>
      <c r="J175" s="136">
        <f t="shared" si="47"/>
        <v>2.1</v>
      </c>
      <c r="K175" s="136">
        <f t="shared" si="47"/>
        <v>2.1</v>
      </c>
      <c r="L175" s="136">
        <f t="shared" si="47"/>
        <v>2.1</v>
      </c>
      <c r="M175" s="136">
        <f t="shared" si="47"/>
        <v>2.1</v>
      </c>
      <c r="N175" s="136">
        <f t="shared" si="47"/>
        <v>2.1</v>
      </c>
      <c r="O175" s="136">
        <f t="shared" si="47"/>
        <v>2.1</v>
      </c>
      <c r="P175" s="136">
        <f t="shared" si="47"/>
        <v>2.1</v>
      </c>
      <c r="Q175" s="136">
        <f t="shared" si="47"/>
        <v>2.1</v>
      </c>
      <c r="R175" s="136">
        <f t="shared" si="47"/>
        <v>2.1</v>
      </c>
      <c r="S175" s="136">
        <f t="shared" si="48"/>
        <v>2.1</v>
      </c>
      <c r="T175" s="136">
        <f t="shared" si="48"/>
        <v>2.1</v>
      </c>
      <c r="U175" s="136">
        <f t="shared" si="48"/>
        <v>2.1</v>
      </c>
      <c r="V175" s="136">
        <f t="shared" si="48"/>
        <v>2.1</v>
      </c>
      <c r="W175" s="136">
        <f t="shared" si="48"/>
        <v>2.1</v>
      </c>
      <c r="X175" s="136">
        <f t="shared" si="48"/>
        <v>2.1</v>
      </c>
      <c r="Y175" s="136">
        <f t="shared" si="48"/>
        <v>2.1</v>
      </c>
      <c r="Z175" s="136">
        <f t="shared" si="48"/>
        <v>2.1</v>
      </c>
      <c r="AA175" s="136">
        <f t="shared" si="48"/>
        <v>2.1</v>
      </c>
      <c r="AB175" s="136">
        <f t="shared" si="48"/>
        <v>2.1</v>
      </c>
      <c r="AC175" s="136">
        <f t="shared" si="48"/>
        <v>2.1</v>
      </c>
      <c r="AD175" s="136">
        <f t="shared" si="48"/>
        <v>2.1</v>
      </c>
      <c r="AE175" s="136">
        <f t="shared" si="48"/>
        <v>2.1</v>
      </c>
      <c r="AF175" s="136">
        <f t="shared" si="48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6"/>
        <v>0.9</v>
      </c>
      <c r="C176" s="137">
        <v>0.9</v>
      </c>
      <c r="D176" s="136">
        <f t="shared" si="47"/>
        <v>0.9</v>
      </c>
      <c r="E176" s="136">
        <f t="shared" si="47"/>
        <v>0.9</v>
      </c>
      <c r="F176" s="136">
        <f t="shared" si="47"/>
        <v>0.9</v>
      </c>
      <c r="G176" s="136">
        <f t="shared" si="47"/>
        <v>0.9</v>
      </c>
      <c r="H176" s="136">
        <f t="shared" si="47"/>
        <v>0.9</v>
      </c>
      <c r="I176" s="136">
        <f t="shared" si="47"/>
        <v>0.9</v>
      </c>
      <c r="J176" s="136">
        <f t="shared" si="47"/>
        <v>0.9</v>
      </c>
      <c r="K176" s="136">
        <f t="shared" si="47"/>
        <v>0.9</v>
      </c>
      <c r="L176" s="136">
        <f t="shared" si="47"/>
        <v>0.9</v>
      </c>
      <c r="M176" s="136">
        <f t="shared" si="47"/>
        <v>0.9</v>
      </c>
      <c r="N176" s="136">
        <f t="shared" si="47"/>
        <v>0.9</v>
      </c>
      <c r="O176" s="136">
        <f t="shared" si="47"/>
        <v>0.9</v>
      </c>
      <c r="P176" s="136">
        <f t="shared" si="47"/>
        <v>0.9</v>
      </c>
      <c r="Q176" s="136">
        <f t="shared" si="47"/>
        <v>0.9</v>
      </c>
      <c r="R176" s="136">
        <f t="shared" si="47"/>
        <v>0.9</v>
      </c>
      <c r="S176" s="136">
        <f t="shared" si="48"/>
        <v>0.9</v>
      </c>
      <c r="T176" s="136">
        <f t="shared" si="48"/>
        <v>0.9</v>
      </c>
      <c r="U176" s="136">
        <f t="shared" si="48"/>
        <v>0.9</v>
      </c>
      <c r="V176" s="136">
        <f t="shared" si="48"/>
        <v>0.9</v>
      </c>
      <c r="W176" s="136">
        <f t="shared" si="48"/>
        <v>0.9</v>
      </c>
      <c r="X176" s="136">
        <f t="shared" si="48"/>
        <v>0.9</v>
      </c>
      <c r="Y176" s="136">
        <f t="shared" si="48"/>
        <v>0.9</v>
      </c>
      <c r="Z176" s="136">
        <f t="shared" si="48"/>
        <v>0.9</v>
      </c>
      <c r="AA176" s="136">
        <f t="shared" si="48"/>
        <v>0.9</v>
      </c>
      <c r="AB176" s="136">
        <f t="shared" si="48"/>
        <v>0.9</v>
      </c>
      <c r="AC176" s="136">
        <f t="shared" si="48"/>
        <v>0.9</v>
      </c>
      <c r="AD176" s="136">
        <f t="shared" si="48"/>
        <v>0.9</v>
      </c>
      <c r="AE176" s="136">
        <f t="shared" si="48"/>
        <v>0.9</v>
      </c>
      <c r="AF176" s="136">
        <f t="shared" si="48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49">AF178</f>
        <v>0.57999999999999996</v>
      </c>
      <c r="C178" s="137">
        <v>0.57999999999999996</v>
      </c>
      <c r="D178" s="136">
        <f t="shared" ref="D178:S190" si="50">C178</f>
        <v>0.57999999999999996</v>
      </c>
      <c r="E178" s="136">
        <f t="shared" si="50"/>
        <v>0.57999999999999996</v>
      </c>
      <c r="F178" s="136">
        <f t="shared" si="50"/>
        <v>0.57999999999999996</v>
      </c>
      <c r="G178" s="136">
        <f t="shared" si="50"/>
        <v>0.57999999999999996</v>
      </c>
      <c r="H178" s="136">
        <f t="shared" si="50"/>
        <v>0.57999999999999996</v>
      </c>
      <c r="I178" s="136">
        <f t="shared" si="50"/>
        <v>0.57999999999999996</v>
      </c>
      <c r="J178" s="136">
        <f t="shared" si="50"/>
        <v>0.57999999999999996</v>
      </c>
      <c r="K178" s="136">
        <f t="shared" si="50"/>
        <v>0.57999999999999996</v>
      </c>
      <c r="L178" s="136">
        <f t="shared" si="50"/>
        <v>0.57999999999999996</v>
      </c>
      <c r="M178" s="136">
        <f t="shared" si="50"/>
        <v>0.57999999999999996</v>
      </c>
      <c r="N178" s="136">
        <f t="shared" si="50"/>
        <v>0.57999999999999996</v>
      </c>
      <c r="O178" s="136">
        <f t="shared" si="50"/>
        <v>0.57999999999999996</v>
      </c>
      <c r="P178" s="136">
        <f t="shared" si="50"/>
        <v>0.57999999999999996</v>
      </c>
      <c r="Q178" s="136">
        <f t="shared" si="50"/>
        <v>0.57999999999999996</v>
      </c>
      <c r="R178" s="136">
        <f t="shared" si="50"/>
        <v>0.57999999999999996</v>
      </c>
      <c r="S178" s="136">
        <f t="shared" si="50"/>
        <v>0.57999999999999996</v>
      </c>
      <c r="T178" s="136">
        <f t="shared" ref="S178:AF190" si="51">S178</f>
        <v>0.57999999999999996</v>
      </c>
      <c r="U178" s="136">
        <f t="shared" si="51"/>
        <v>0.57999999999999996</v>
      </c>
      <c r="V178" s="136">
        <f t="shared" si="51"/>
        <v>0.57999999999999996</v>
      </c>
      <c r="W178" s="136">
        <f t="shared" si="51"/>
        <v>0.57999999999999996</v>
      </c>
      <c r="X178" s="136">
        <f t="shared" si="51"/>
        <v>0.57999999999999996</v>
      </c>
      <c r="Y178" s="136">
        <f t="shared" si="51"/>
        <v>0.57999999999999996</v>
      </c>
      <c r="Z178" s="136">
        <f t="shared" si="51"/>
        <v>0.57999999999999996</v>
      </c>
      <c r="AA178" s="136">
        <f t="shared" si="51"/>
        <v>0.57999999999999996</v>
      </c>
      <c r="AB178" s="136">
        <f t="shared" si="51"/>
        <v>0.57999999999999996</v>
      </c>
      <c r="AC178" s="136">
        <f t="shared" si="51"/>
        <v>0.57999999999999996</v>
      </c>
      <c r="AD178" s="136">
        <f t="shared" si="51"/>
        <v>0.57999999999999996</v>
      </c>
      <c r="AE178" s="136">
        <f t="shared" si="51"/>
        <v>0.57999999999999996</v>
      </c>
      <c r="AF178" s="136">
        <f t="shared" si="51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49"/>
        <v>0.8</v>
      </c>
      <c r="C179" s="137">
        <v>0.8</v>
      </c>
      <c r="D179" s="136">
        <f t="shared" si="50"/>
        <v>0.8</v>
      </c>
      <c r="E179" s="136">
        <f t="shared" si="50"/>
        <v>0.8</v>
      </c>
      <c r="F179" s="136">
        <f t="shared" si="50"/>
        <v>0.8</v>
      </c>
      <c r="G179" s="136">
        <f t="shared" si="50"/>
        <v>0.8</v>
      </c>
      <c r="H179" s="136">
        <f t="shared" si="50"/>
        <v>0.8</v>
      </c>
      <c r="I179" s="136">
        <f t="shared" si="50"/>
        <v>0.8</v>
      </c>
      <c r="J179" s="136">
        <f t="shared" si="50"/>
        <v>0.8</v>
      </c>
      <c r="K179" s="136">
        <f t="shared" si="50"/>
        <v>0.8</v>
      </c>
      <c r="L179" s="136">
        <f t="shared" si="50"/>
        <v>0.8</v>
      </c>
      <c r="M179" s="136">
        <f t="shared" si="50"/>
        <v>0.8</v>
      </c>
      <c r="N179" s="136">
        <f t="shared" si="50"/>
        <v>0.8</v>
      </c>
      <c r="O179" s="136">
        <f t="shared" si="50"/>
        <v>0.8</v>
      </c>
      <c r="P179" s="136">
        <f t="shared" si="50"/>
        <v>0.8</v>
      </c>
      <c r="Q179" s="136">
        <f t="shared" si="50"/>
        <v>0.8</v>
      </c>
      <c r="R179" s="136">
        <f t="shared" si="50"/>
        <v>0.8</v>
      </c>
      <c r="S179" s="136">
        <f t="shared" si="50"/>
        <v>0.8</v>
      </c>
      <c r="T179" s="136">
        <f t="shared" si="51"/>
        <v>0.8</v>
      </c>
      <c r="U179" s="136">
        <f t="shared" si="51"/>
        <v>0.8</v>
      </c>
      <c r="V179" s="136">
        <f t="shared" si="51"/>
        <v>0.8</v>
      </c>
      <c r="W179" s="136">
        <f t="shared" si="51"/>
        <v>0.8</v>
      </c>
      <c r="X179" s="136">
        <f t="shared" si="51"/>
        <v>0.8</v>
      </c>
      <c r="Y179" s="136">
        <f t="shared" si="51"/>
        <v>0.8</v>
      </c>
      <c r="Z179" s="136">
        <f t="shared" si="51"/>
        <v>0.8</v>
      </c>
      <c r="AA179" s="136">
        <f t="shared" si="51"/>
        <v>0.8</v>
      </c>
      <c r="AB179" s="136">
        <f t="shared" si="51"/>
        <v>0.8</v>
      </c>
      <c r="AC179" s="136">
        <f t="shared" si="51"/>
        <v>0.8</v>
      </c>
      <c r="AD179" s="136">
        <f t="shared" si="51"/>
        <v>0.8</v>
      </c>
      <c r="AE179" s="136">
        <f t="shared" si="51"/>
        <v>0.8</v>
      </c>
      <c r="AF179" s="136">
        <f t="shared" si="51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49"/>
        <v>0</v>
      </c>
      <c r="C180" s="137">
        <v>0</v>
      </c>
      <c r="D180" s="136">
        <f t="shared" si="50"/>
        <v>0</v>
      </c>
      <c r="E180" s="136">
        <f t="shared" si="50"/>
        <v>0</v>
      </c>
      <c r="F180" s="136">
        <f t="shared" si="50"/>
        <v>0</v>
      </c>
      <c r="G180" s="136">
        <f t="shared" si="50"/>
        <v>0</v>
      </c>
      <c r="H180" s="136">
        <f t="shared" si="50"/>
        <v>0</v>
      </c>
      <c r="I180" s="136">
        <f t="shared" si="50"/>
        <v>0</v>
      </c>
      <c r="J180" s="136">
        <f t="shared" si="50"/>
        <v>0</v>
      </c>
      <c r="K180" s="136">
        <f t="shared" si="50"/>
        <v>0</v>
      </c>
      <c r="L180" s="136">
        <f t="shared" si="50"/>
        <v>0</v>
      </c>
      <c r="M180" s="136">
        <f t="shared" si="50"/>
        <v>0</v>
      </c>
      <c r="N180" s="136">
        <f t="shared" si="50"/>
        <v>0</v>
      </c>
      <c r="O180" s="136">
        <f t="shared" si="50"/>
        <v>0</v>
      </c>
      <c r="P180" s="136">
        <f t="shared" si="50"/>
        <v>0</v>
      </c>
      <c r="Q180" s="136">
        <f t="shared" si="50"/>
        <v>0</v>
      </c>
      <c r="R180" s="136">
        <f t="shared" si="50"/>
        <v>0</v>
      </c>
      <c r="S180" s="136">
        <f t="shared" si="50"/>
        <v>0</v>
      </c>
      <c r="T180" s="136">
        <f t="shared" si="51"/>
        <v>0</v>
      </c>
      <c r="U180" s="136">
        <f t="shared" si="51"/>
        <v>0</v>
      </c>
      <c r="V180" s="136">
        <f t="shared" si="51"/>
        <v>0</v>
      </c>
      <c r="W180" s="136">
        <f t="shared" si="51"/>
        <v>0</v>
      </c>
      <c r="X180" s="136">
        <f t="shared" si="51"/>
        <v>0</v>
      </c>
      <c r="Y180" s="136">
        <f t="shared" si="51"/>
        <v>0</v>
      </c>
      <c r="Z180" s="136">
        <f t="shared" si="51"/>
        <v>0</v>
      </c>
      <c r="AA180" s="136">
        <f t="shared" si="51"/>
        <v>0</v>
      </c>
      <c r="AB180" s="136">
        <f t="shared" si="51"/>
        <v>0</v>
      </c>
      <c r="AC180" s="136">
        <f t="shared" si="51"/>
        <v>0</v>
      </c>
      <c r="AD180" s="136">
        <f t="shared" si="51"/>
        <v>0</v>
      </c>
      <c r="AE180" s="136">
        <f t="shared" si="51"/>
        <v>0</v>
      </c>
      <c r="AF180" s="136">
        <f t="shared" si="51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49"/>
        <v>0.6</v>
      </c>
      <c r="C181" s="137">
        <v>0.6</v>
      </c>
      <c r="D181" s="136">
        <f t="shared" si="50"/>
        <v>0.6</v>
      </c>
      <c r="E181" s="136">
        <f t="shared" si="50"/>
        <v>0.6</v>
      </c>
      <c r="F181" s="136">
        <f t="shared" si="50"/>
        <v>0.6</v>
      </c>
      <c r="G181" s="136">
        <f t="shared" si="50"/>
        <v>0.6</v>
      </c>
      <c r="H181" s="136">
        <f t="shared" si="50"/>
        <v>0.6</v>
      </c>
      <c r="I181" s="136">
        <f t="shared" si="50"/>
        <v>0.6</v>
      </c>
      <c r="J181" s="136">
        <f t="shared" si="50"/>
        <v>0.6</v>
      </c>
      <c r="K181" s="136">
        <f t="shared" si="50"/>
        <v>0.6</v>
      </c>
      <c r="L181" s="136">
        <f t="shared" si="50"/>
        <v>0.6</v>
      </c>
      <c r="M181" s="136">
        <f t="shared" si="50"/>
        <v>0.6</v>
      </c>
      <c r="N181" s="136">
        <f t="shared" si="50"/>
        <v>0.6</v>
      </c>
      <c r="O181" s="136">
        <f t="shared" si="50"/>
        <v>0.6</v>
      </c>
      <c r="P181" s="136">
        <f t="shared" si="50"/>
        <v>0.6</v>
      </c>
      <c r="Q181" s="136">
        <f t="shared" si="50"/>
        <v>0.6</v>
      </c>
      <c r="R181" s="136">
        <f t="shared" si="50"/>
        <v>0.6</v>
      </c>
      <c r="S181" s="136">
        <f t="shared" si="50"/>
        <v>0.6</v>
      </c>
      <c r="T181" s="136">
        <f t="shared" si="51"/>
        <v>0.6</v>
      </c>
      <c r="U181" s="136">
        <f t="shared" si="51"/>
        <v>0.6</v>
      </c>
      <c r="V181" s="136">
        <f t="shared" si="51"/>
        <v>0.6</v>
      </c>
      <c r="W181" s="136">
        <f t="shared" si="51"/>
        <v>0.6</v>
      </c>
      <c r="X181" s="136">
        <f t="shared" si="51"/>
        <v>0.6</v>
      </c>
      <c r="Y181" s="136">
        <f t="shared" si="51"/>
        <v>0.6</v>
      </c>
      <c r="Z181" s="136">
        <f t="shared" si="51"/>
        <v>0.6</v>
      </c>
      <c r="AA181" s="136">
        <f t="shared" si="51"/>
        <v>0.6</v>
      </c>
      <c r="AB181" s="136">
        <f t="shared" si="51"/>
        <v>0.6</v>
      </c>
      <c r="AC181" s="136">
        <f t="shared" si="51"/>
        <v>0.6</v>
      </c>
      <c r="AD181" s="136">
        <f t="shared" si="51"/>
        <v>0.6</v>
      </c>
      <c r="AE181" s="136">
        <f t="shared" si="51"/>
        <v>0.6</v>
      </c>
      <c r="AF181" s="136">
        <f t="shared" si="51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49"/>
        <v>0.6</v>
      </c>
      <c r="C182" s="137">
        <v>0.6</v>
      </c>
      <c r="D182" s="136">
        <f t="shared" si="50"/>
        <v>0.6</v>
      </c>
      <c r="E182" s="136">
        <f t="shared" si="50"/>
        <v>0.6</v>
      </c>
      <c r="F182" s="136">
        <f t="shared" si="50"/>
        <v>0.6</v>
      </c>
      <c r="G182" s="136">
        <f t="shared" si="50"/>
        <v>0.6</v>
      </c>
      <c r="H182" s="136">
        <f t="shared" si="50"/>
        <v>0.6</v>
      </c>
      <c r="I182" s="136">
        <f t="shared" si="50"/>
        <v>0.6</v>
      </c>
      <c r="J182" s="136">
        <f t="shared" si="50"/>
        <v>0.6</v>
      </c>
      <c r="K182" s="136">
        <f t="shared" si="50"/>
        <v>0.6</v>
      </c>
      <c r="L182" s="136">
        <f t="shared" si="50"/>
        <v>0.6</v>
      </c>
      <c r="M182" s="136">
        <f t="shared" si="50"/>
        <v>0.6</v>
      </c>
      <c r="N182" s="136">
        <f t="shared" si="50"/>
        <v>0.6</v>
      </c>
      <c r="O182" s="136">
        <f t="shared" si="50"/>
        <v>0.6</v>
      </c>
      <c r="P182" s="136">
        <f t="shared" si="50"/>
        <v>0.6</v>
      </c>
      <c r="Q182" s="136">
        <f t="shared" si="50"/>
        <v>0.6</v>
      </c>
      <c r="R182" s="136">
        <f t="shared" si="50"/>
        <v>0.6</v>
      </c>
      <c r="S182" s="136">
        <f t="shared" si="50"/>
        <v>0.6</v>
      </c>
      <c r="T182" s="136">
        <f t="shared" si="51"/>
        <v>0.6</v>
      </c>
      <c r="U182" s="136">
        <f t="shared" si="51"/>
        <v>0.6</v>
      </c>
      <c r="V182" s="136">
        <f t="shared" si="51"/>
        <v>0.6</v>
      </c>
      <c r="W182" s="136">
        <f t="shared" si="51"/>
        <v>0.6</v>
      </c>
      <c r="X182" s="136">
        <f t="shared" si="51"/>
        <v>0.6</v>
      </c>
      <c r="Y182" s="136">
        <f t="shared" si="51"/>
        <v>0.6</v>
      </c>
      <c r="Z182" s="136">
        <f t="shared" si="51"/>
        <v>0.6</v>
      </c>
      <c r="AA182" s="136">
        <f t="shared" si="51"/>
        <v>0.6</v>
      </c>
      <c r="AB182" s="136">
        <f t="shared" si="51"/>
        <v>0.6</v>
      </c>
      <c r="AC182" s="136">
        <f t="shared" si="51"/>
        <v>0.6</v>
      </c>
      <c r="AD182" s="136">
        <f t="shared" si="51"/>
        <v>0.6</v>
      </c>
      <c r="AE182" s="136">
        <f t="shared" si="51"/>
        <v>0.6</v>
      </c>
      <c r="AF182" s="136">
        <f t="shared" si="51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49"/>
        <v>0.35</v>
      </c>
      <c r="C183" s="137">
        <v>0.35</v>
      </c>
      <c r="D183" s="136">
        <f t="shared" si="50"/>
        <v>0.35</v>
      </c>
      <c r="E183" s="136">
        <f t="shared" si="50"/>
        <v>0.35</v>
      </c>
      <c r="F183" s="136">
        <f t="shared" si="50"/>
        <v>0.35</v>
      </c>
      <c r="G183" s="136">
        <f t="shared" si="50"/>
        <v>0.35</v>
      </c>
      <c r="H183" s="136">
        <f t="shared" si="50"/>
        <v>0.35</v>
      </c>
      <c r="I183" s="136">
        <f t="shared" si="50"/>
        <v>0.35</v>
      </c>
      <c r="J183" s="136">
        <f t="shared" si="50"/>
        <v>0.35</v>
      </c>
      <c r="K183" s="136">
        <f t="shared" si="50"/>
        <v>0.35</v>
      </c>
      <c r="L183" s="136">
        <f t="shared" si="50"/>
        <v>0.35</v>
      </c>
      <c r="M183" s="136">
        <f t="shared" si="50"/>
        <v>0.35</v>
      </c>
      <c r="N183" s="136">
        <f t="shared" si="50"/>
        <v>0.35</v>
      </c>
      <c r="O183" s="136">
        <f t="shared" si="50"/>
        <v>0.35</v>
      </c>
      <c r="P183" s="136">
        <f t="shared" si="50"/>
        <v>0.35</v>
      </c>
      <c r="Q183" s="136">
        <f t="shared" si="50"/>
        <v>0.35</v>
      </c>
      <c r="R183" s="136">
        <f t="shared" si="50"/>
        <v>0.35</v>
      </c>
      <c r="S183" s="136">
        <f t="shared" si="50"/>
        <v>0.35</v>
      </c>
      <c r="T183" s="136">
        <f t="shared" si="51"/>
        <v>0.35</v>
      </c>
      <c r="U183" s="136">
        <f t="shared" si="51"/>
        <v>0.35</v>
      </c>
      <c r="V183" s="136">
        <f t="shared" si="51"/>
        <v>0.35</v>
      </c>
      <c r="W183" s="136">
        <f t="shared" si="51"/>
        <v>0.35</v>
      </c>
      <c r="X183" s="136">
        <f t="shared" si="51"/>
        <v>0.35</v>
      </c>
      <c r="Y183" s="136">
        <f t="shared" si="51"/>
        <v>0.35</v>
      </c>
      <c r="Z183" s="136">
        <f t="shared" si="51"/>
        <v>0.35</v>
      </c>
      <c r="AA183" s="136">
        <f t="shared" si="51"/>
        <v>0.35</v>
      </c>
      <c r="AB183" s="136">
        <f t="shared" si="51"/>
        <v>0.35</v>
      </c>
      <c r="AC183" s="136">
        <f t="shared" si="51"/>
        <v>0.35</v>
      </c>
      <c r="AD183" s="136">
        <f t="shared" si="51"/>
        <v>0.35</v>
      </c>
      <c r="AE183" s="136">
        <f t="shared" si="51"/>
        <v>0.35</v>
      </c>
      <c r="AF183" s="136">
        <f t="shared" si="51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49"/>
        <v>0.28999999999999998</v>
      </c>
      <c r="C184" s="137">
        <v>0.28999999999999998</v>
      </c>
      <c r="D184" s="136">
        <f t="shared" si="50"/>
        <v>0.28999999999999998</v>
      </c>
      <c r="E184" s="136">
        <f t="shared" si="50"/>
        <v>0.28999999999999998</v>
      </c>
      <c r="F184" s="136">
        <f t="shared" si="50"/>
        <v>0.28999999999999998</v>
      </c>
      <c r="G184" s="136">
        <f t="shared" si="50"/>
        <v>0.28999999999999998</v>
      </c>
      <c r="H184" s="136">
        <f t="shared" si="50"/>
        <v>0.28999999999999998</v>
      </c>
      <c r="I184" s="136">
        <f t="shared" si="50"/>
        <v>0.28999999999999998</v>
      </c>
      <c r="J184" s="136">
        <f t="shared" si="50"/>
        <v>0.28999999999999998</v>
      </c>
      <c r="K184" s="136">
        <f t="shared" si="50"/>
        <v>0.28999999999999998</v>
      </c>
      <c r="L184" s="136">
        <f t="shared" si="50"/>
        <v>0.28999999999999998</v>
      </c>
      <c r="M184" s="136">
        <f t="shared" si="50"/>
        <v>0.28999999999999998</v>
      </c>
      <c r="N184" s="136">
        <f t="shared" si="50"/>
        <v>0.28999999999999998</v>
      </c>
      <c r="O184" s="136">
        <f t="shared" si="50"/>
        <v>0.28999999999999998</v>
      </c>
      <c r="P184" s="136">
        <f t="shared" si="50"/>
        <v>0.28999999999999998</v>
      </c>
      <c r="Q184" s="136">
        <f t="shared" si="50"/>
        <v>0.28999999999999998</v>
      </c>
      <c r="R184" s="136">
        <f t="shared" si="50"/>
        <v>0.28999999999999998</v>
      </c>
      <c r="S184" s="136">
        <f t="shared" si="50"/>
        <v>0.28999999999999998</v>
      </c>
      <c r="T184" s="136">
        <f t="shared" si="51"/>
        <v>0.28999999999999998</v>
      </c>
      <c r="U184" s="136">
        <f t="shared" si="51"/>
        <v>0.28999999999999998</v>
      </c>
      <c r="V184" s="136">
        <f t="shared" si="51"/>
        <v>0.28999999999999998</v>
      </c>
      <c r="W184" s="136">
        <f t="shared" si="51"/>
        <v>0.28999999999999998</v>
      </c>
      <c r="X184" s="136">
        <f t="shared" si="51"/>
        <v>0.28999999999999998</v>
      </c>
      <c r="Y184" s="136">
        <f t="shared" si="51"/>
        <v>0.28999999999999998</v>
      </c>
      <c r="Z184" s="136">
        <f t="shared" si="51"/>
        <v>0.28999999999999998</v>
      </c>
      <c r="AA184" s="136">
        <f t="shared" si="51"/>
        <v>0.28999999999999998</v>
      </c>
      <c r="AB184" s="136">
        <f t="shared" si="51"/>
        <v>0.28999999999999998</v>
      </c>
      <c r="AC184" s="136">
        <f t="shared" si="51"/>
        <v>0.28999999999999998</v>
      </c>
      <c r="AD184" s="136">
        <f t="shared" si="51"/>
        <v>0.28999999999999998</v>
      </c>
      <c r="AE184" s="136">
        <f t="shared" si="51"/>
        <v>0.28999999999999998</v>
      </c>
      <c r="AF184" s="136">
        <f t="shared" si="51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49"/>
        <v>0.06</v>
      </c>
      <c r="C185" s="137">
        <v>0.06</v>
      </c>
      <c r="D185" s="136">
        <f t="shared" si="50"/>
        <v>0.06</v>
      </c>
      <c r="E185" s="136">
        <f t="shared" si="50"/>
        <v>0.06</v>
      </c>
      <c r="F185" s="136">
        <f t="shared" si="50"/>
        <v>0.06</v>
      </c>
      <c r="G185" s="136">
        <f t="shared" si="50"/>
        <v>0.06</v>
      </c>
      <c r="H185" s="136">
        <f t="shared" si="50"/>
        <v>0.06</v>
      </c>
      <c r="I185" s="136">
        <f t="shared" si="50"/>
        <v>0.06</v>
      </c>
      <c r="J185" s="136">
        <f t="shared" si="50"/>
        <v>0.06</v>
      </c>
      <c r="K185" s="136">
        <f t="shared" si="50"/>
        <v>0.06</v>
      </c>
      <c r="L185" s="136">
        <f t="shared" si="50"/>
        <v>0.06</v>
      </c>
      <c r="M185" s="136">
        <f t="shared" si="50"/>
        <v>0.06</v>
      </c>
      <c r="N185" s="136">
        <f t="shared" si="50"/>
        <v>0.06</v>
      </c>
      <c r="O185" s="136">
        <f t="shared" si="50"/>
        <v>0.06</v>
      </c>
      <c r="P185" s="136">
        <f t="shared" si="50"/>
        <v>0.06</v>
      </c>
      <c r="Q185" s="136">
        <f t="shared" si="50"/>
        <v>0.06</v>
      </c>
      <c r="R185" s="136">
        <f t="shared" si="50"/>
        <v>0.06</v>
      </c>
      <c r="S185" s="136">
        <f t="shared" si="50"/>
        <v>0.06</v>
      </c>
      <c r="T185" s="136">
        <f t="shared" si="51"/>
        <v>0.06</v>
      </c>
      <c r="U185" s="136">
        <f t="shared" si="51"/>
        <v>0.06</v>
      </c>
      <c r="V185" s="136">
        <f t="shared" si="51"/>
        <v>0.06</v>
      </c>
      <c r="W185" s="136">
        <f t="shared" si="51"/>
        <v>0.06</v>
      </c>
      <c r="X185" s="136">
        <f t="shared" si="51"/>
        <v>0.06</v>
      </c>
      <c r="Y185" s="136">
        <f t="shared" si="51"/>
        <v>0.06</v>
      </c>
      <c r="Z185" s="136">
        <f t="shared" si="51"/>
        <v>0.06</v>
      </c>
      <c r="AA185" s="136">
        <f t="shared" si="51"/>
        <v>0.06</v>
      </c>
      <c r="AB185" s="136">
        <f t="shared" si="51"/>
        <v>0.06</v>
      </c>
      <c r="AC185" s="136">
        <f t="shared" si="51"/>
        <v>0.06</v>
      </c>
      <c r="AD185" s="136">
        <f t="shared" si="51"/>
        <v>0.06</v>
      </c>
      <c r="AE185" s="136">
        <f t="shared" si="51"/>
        <v>0.06</v>
      </c>
      <c r="AF185" s="136">
        <f t="shared" si="51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49"/>
        <v>0.11</v>
      </c>
      <c r="C186" s="137">
        <v>0.11</v>
      </c>
      <c r="D186" s="136">
        <f t="shared" si="50"/>
        <v>0.11</v>
      </c>
      <c r="E186" s="136">
        <f t="shared" si="50"/>
        <v>0.11</v>
      </c>
      <c r="F186" s="136">
        <f t="shared" si="50"/>
        <v>0.11</v>
      </c>
      <c r="G186" s="136">
        <f t="shared" si="50"/>
        <v>0.11</v>
      </c>
      <c r="H186" s="136">
        <f t="shared" si="50"/>
        <v>0.11</v>
      </c>
      <c r="I186" s="136">
        <f t="shared" si="50"/>
        <v>0.11</v>
      </c>
      <c r="J186" s="136">
        <f t="shared" si="50"/>
        <v>0.11</v>
      </c>
      <c r="K186" s="136">
        <f t="shared" si="50"/>
        <v>0.11</v>
      </c>
      <c r="L186" s="136">
        <f t="shared" si="50"/>
        <v>0.11</v>
      </c>
      <c r="M186" s="136">
        <f t="shared" si="50"/>
        <v>0.11</v>
      </c>
      <c r="N186" s="136">
        <f t="shared" si="50"/>
        <v>0.11</v>
      </c>
      <c r="O186" s="136">
        <f t="shared" si="50"/>
        <v>0.11</v>
      </c>
      <c r="P186" s="136">
        <f t="shared" si="50"/>
        <v>0.11</v>
      </c>
      <c r="Q186" s="136">
        <f t="shared" si="50"/>
        <v>0.11</v>
      </c>
      <c r="R186" s="136">
        <f t="shared" si="50"/>
        <v>0.11</v>
      </c>
      <c r="S186" s="136">
        <f t="shared" si="50"/>
        <v>0.11</v>
      </c>
      <c r="T186" s="136">
        <f t="shared" si="51"/>
        <v>0.11</v>
      </c>
      <c r="U186" s="136">
        <f t="shared" si="51"/>
        <v>0.11</v>
      </c>
      <c r="V186" s="136">
        <f t="shared" si="51"/>
        <v>0.11</v>
      </c>
      <c r="W186" s="136">
        <f t="shared" si="51"/>
        <v>0.11</v>
      </c>
      <c r="X186" s="136">
        <f t="shared" si="51"/>
        <v>0.11</v>
      </c>
      <c r="Y186" s="136">
        <f t="shared" si="51"/>
        <v>0.11</v>
      </c>
      <c r="Z186" s="136">
        <f t="shared" si="51"/>
        <v>0.11</v>
      </c>
      <c r="AA186" s="136">
        <f t="shared" si="51"/>
        <v>0.11</v>
      </c>
      <c r="AB186" s="136">
        <f t="shared" si="51"/>
        <v>0.11</v>
      </c>
      <c r="AC186" s="136">
        <f t="shared" si="51"/>
        <v>0.11</v>
      </c>
      <c r="AD186" s="136">
        <f t="shared" si="51"/>
        <v>0.11</v>
      </c>
      <c r="AE186" s="136">
        <f t="shared" si="51"/>
        <v>0.11</v>
      </c>
      <c r="AF186" s="136">
        <f t="shared" si="51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49"/>
        <v>0.1</v>
      </c>
      <c r="C187" s="137">
        <v>0.1</v>
      </c>
      <c r="D187" s="136">
        <f t="shared" si="50"/>
        <v>0.1</v>
      </c>
      <c r="E187" s="136">
        <f t="shared" si="50"/>
        <v>0.1</v>
      </c>
      <c r="F187" s="136">
        <f t="shared" si="50"/>
        <v>0.1</v>
      </c>
      <c r="G187" s="136">
        <f t="shared" si="50"/>
        <v>0.1</v>
      </c>
      <c r="H187" s="136">
        <f t="shared" si="50"/>
        <v>0.1</v>
      </c>
      <c r="I187" s="136">
        <f t="shared" si="50"/>
        <v>0.1</v>
      </c>
      <c r="J187" s="136">
        <f t="shared" si="50"/>
        <v>0.1</v>
      </c>
      <c r="K187" s="136">
        <f t="shared" si="50"/>
        <v>0.1</v>
      </c>
      <c r="L187" s="136">
        <f t="shared" si="50"/>
        <v>0.1</v>
      </c>
      <c r="M187" s="136">
        <f t="shared" si="50"/>
        <v>0.1</v>
      </c>
      <c r="N187" s="136">
        <f t="shared" si="50"/>
        <v>0.1</v>
      </c>
      <c r="O187" s="136">
        <f t="shared" si="50"/>
        <v>0.1</v>
      </c>
      <c r="P187" s="136">
        <f t="shared" si="50"/>
        <v>0.1</v>
      </c>
      <c r="Q187" s="136">
        <f t="shared" si="50"/>
        <v>0.1</v>
      </c>
      <c r="R187" s="136">
        <f t="shared" si="50"/>
        <v>0.1</v>
      </c>
      <c r="S187" s="136">
        <f t="shared" si="51"/>
        <v>0.1</v>
      </c>
      <c r="T187" s="136">
        <f t="shared" si="51"/>
        <v>0.1</v>
      </c>
      <c r="U187" s="136">
        <f t="shared" si="51"/>
        <v>0.1</v>
      </c>
      <c r="V187" s="136">
        <f t="shared" si="51"/>
        <v>0.1</v>
      </c>
      <c r="W187" s="136">
        <f t="shared" si="51"/>
        <v>0.1</v>
      </c>
      <c r="X187" s="136">
        <f t="shared" si="51"/>
        <v>0.1</v>
      </c>
      <c r="Y187" s="136">
        <f t="shared" si="51"/>
        <v>0.1</v>
      </c>
      <c r="Z187" s="136">
        <f t="shared" si="51"/>
        <v>0.1</v>
      </c>
      <c r="AA187" s="136">
        <f t="shared" si="51"/>
        <v>0.1</v>
      </c>
      <c r="AB187" s="136">
        <f t="shared" si="51"/>
        <v>0.1</v>
      </c>
      <c r="AC187" s="136">
        <f t="shared" si="51"/>
        <v>0.1</v>
      </c>
      <c r="AD187" s="136">
        <f t="shared" si="51"/>
        <v>0.1</v>
      </c>
      <c r="AE187" s="136">
        <f t="shared" si="51"/>
        <v>0.1</v>
      </c>
      <c r="AF187" s="136">
        <f t="shared" si="51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49"/>
        <v>0.09</v>
      </c>
      <c r="C188" s="137">
        <v>0.09</v>
      </c>
      <c r="D188" s="136">
        <f t="shared" si="50"/>
        <v>0.09</v>
      </c>
      <c r="E188" s="136">
        <f t="shared" si="50"/>
        <v>0.09</v>
      </c>
      <c r="F188" s="136">
        <f t="shared" si="50"/>
        <v>0.09</v>
      </c>
      <c r="G188" s="136">
        <f t="shared" si="50"/>
        <v>0.09</v>
      </c>
      <c r="H188" s="136">
        <f t="shared" si="50"/>
        <v>0.09</v>
      </c>
      <c r="I188" s="136">
        <f t="shared" si="50"/>
        <v>0.09</v>
      </c>
      <c r="J188" s="136">
        <f t="shared" si="50"/>
        <v>0.09</v>
      </c>
      <c r="K188" s="136">
        <f t="shared" si="50"/>
        <v>0.09</v>
      </c>
      <c r="L188" s="136">
        <f t="shared" si="50"/>
        <v>0.09</v>
      </c>
      <c r="M188" s="136">
        <f t="shared" si="50"/>
        <v>0.09</v>
      </c>
      <c r="N188" s="136">
        <f t="shared" si="50"/>
        <v>0.09</v>
      </c>
      <c r="O188" s="136">
        <f t="shared" si="50"/>
        <v>0.09</v>
      </c>
      <c r="P188" s="136">
        <f t="shared" si="50"/>
        <v>0.09</v>
      </c>
      <c r="Q188" s="136">
        <f t="shared" si="50"/>
        <v>0.09</v>
      </c>
      <c r="R188" s="136">
        <f t="shared" si="50"/>
        <v>0.09</v>
      </c>
      <c r="S188" s="136">
        <f t="shared" si="51"/>
        <v>0.09</v>
      </c>
      <c r="T188" s="136">
        <f t="shared" si="51"/>
        <v>0.09</v>
      </c>
      <c r="U188" s="136">
        <f t="shared" si="51"/>
        <v>0.09</v>
      </c>
      <c r="V188" s="136">
        <f t="shared" si="51"/>
        <v>0.09</v>
      </c>
      <c r="W188" s="136">
        <f t="shared" si="51"/>
        <v>0.09</v>
      </c>
      <c r="X188" s="136">
        <f t="shared" si="51"/>
        <v>0.09</v>
      </c>
      <c r="Y188" s="136">
        <f t="shared" si="51"/>
        <v>0.09</v>
      </c>
      <c r="Z188" s="136">
        <f t="shared" si="51"/>
        <v>0.09</v>
      </c>
      <c r="AA188" s="136">
        <f t="shared" si="51"/>
        <v>0.09</v>
      </c>
      <c r="AB188" s="136">
        <f t="shared" si="51"/>
        <v>0.09</v>
      </c>
      <c r="AC188" s="136">
        <f t="shared" si="51"/>
        <v>0.09</v>
      </c>
      <c r="AD188" s="136">
        <f t="shared" si="51"/>
        <v>0.09</v>
      </c>
      <c r="AE188" s="136">
        <f t="shared" si="51"/>
        <v>0.09</v>
      </c>
      <c r="AF188" s="136">
        <f t="shared" si="51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49"/>
        <v>0.04</v>
      </c>
      <c r="C189" s="53">
        <v>0.04</v>
      </c>
      <c r="D189" s="136">
        <f t="shared" si="50"/>
        <v>0.04</v>
      </c>
      <c r="E189" s="136">
        <f t="shared" si="50"/>
        <v>0.04</v>
      </c>
      <c r="F189" s="136">
        <f t="shared" si="50"/>
        <v>0.04</v>
      </c>
      <c r="G189" s="136">
        <f t="shared" si="50"/>
        <v>0.04</v>
      </c>
      <c r="H189" s="136">
        <f t="shared" si="50"/>
        <v>0.04</v>
      </c>
      <c r="I189" s="136">
        <f t="shared" si="50"/>
        <v>0.04</v>
      </c>
      <c r="J189" s="136">
        <f t="shared" si="50"/>
        <v>0.04</v>
      </c>
      <c r="K189" s="136">
        <f t="shared" si="50"/>
        <v>0.04</v>
      </c>
      <c r="L189" s="136">
        <f t="shared" si="50"/>
        <v>0.04</v>
      </c>
      <c r="M189" s="136">
        <f t="shared" si="50"/>
        <v>0.04</v>
      </c>
      <c r="N189" s="136">
        <f t="shared" si="50"/>
        <v>0.04</v>
      </c>
      <c r="O189" s="136">
        <f t="shared" si="50"/>
        <v>0.04</v>
      </c>
      <c r="P189" s="136">
        <f t="shared" si="50"/>
        <v>0.04</v>
      </c>
      <c r="Q189" s="136">
        <f t="shared" si="50"/>
        <v>0.04</v>
      </c>
      <c r="R189" s="136">
        <f t="shared" si="50"/>
        <v>0.04</v>
      </c>
      <c r="S189" s="136">
        <f t="shared" si="51"/>
        <v>0.04</v>
      </c>
      <c r="T189" s="136">
        <f t="shared" si="51"/>
        <v>0.04</v>
      </c>
      <c r="U189" s="136">
        <f t="shared" si="51"/>
        <v>0.04</v>
      </c>
      <c r="V189" s="136">
        <f t="shared" si="51"/>
        <v>0.04</v>
      </c>
      <c r="W189" s="136">
        <f t="shared" si="51"/>
        <v>0.04</v>
      </c>
      <c r="X189" s="136">
        <f t="shared" si="51"/>
        <v>0.04</v>
      </c>
      <c r="Y189" s="136">
        <f t="shared" si="51"/>
        <v>0.04</v>
      </c>
      <c r="Z189" s="136">
        <f t="shared" si="51"/>
        <v>0.04</v>
      </c>
      <c r="AA189" s="136">
        <f t="shared" si="51"/>
        <v>0.04</v>
      </c>
      <c r="AB189" s="136">
        <f t="shared" si="51"/>
        <v>0.04</v>
      </c>
      <c r="AC189" s="136">
        <f t="shared" si="51"/>
        <v>0.04</v>
      </c>
      <c r="AD189" s="136">
        <f t="shared" si="51"/>
        <v>0.04</v>
      </c>
      <c r="AE189" s="136">
        <f t="shared" si="51"/>
        <v>0.04</v>
      </c>
      <c r="AF189" s="136">
        <f t="shared" si="51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49"/>
        <v>2.3E-2</v>
      </c>
      <c r="C190" s="53">
        <v>2.3E-2</v>
      </c>
      <c r="D190" s="136">
        <f>C190</f>
        <v>2.3E-2</v>
      </c>
      <c r="E190" s="136">
        <f t="shared" si="50"/>
        <v>2.3E-2</v>
      </c>
      <c r="F190" s="136">
        <f t="shared" si="50"/>
        <v>2.3E-2</v>
      </c>
      <c r="G190" s="136">
        <f t="shared" si="50"/>
        <v>2.3E-2</v>
      </c>
      <c r="H190" s="136">
        <f t="shared" si="50"/>
        <v>2.3E-2</v>
      </c>
      <c r="I190" s="136">
        <f t="shared" si="50"/>
        <v>2.3E-2</v>
      </c>
      <c r="J190" s="136">
        <f t="shared" si="50"/>
        <v>2.3E-2</v>
      </c>
      <c r="K190" s="136">
        <f t="shared" si="50"/>
        <v>2.3E-2</v>
      </c>
      <c r="L190" s="136">
        <f t="shared" si="50"/>
        <v>2.3E-2</v>
      </c>
      <c r="M190" s="136">
        <f t="shared" si="50"/>
        <v>2.3E-2</v>
      </c>
      <c r="N190" s="136">
        <f t="shared" si="50"/>
        <v>2.3E-2</v>
      </c>
      <c r="O190" s="136">
        <f t="shared" si="50"/>
        <v>2.3E-2</v>
      </c>
      <c r="P190" s="136">
        <f t="shared" si="50"/>
        <v>2.3E-2</v>
      </c>
      <c r="Q190" s="136">
        <f t="shared" si="50"/>
        <v>2.3E-2</v>
      </c>
      <c r="R190" s="136">
        <f t="shared" si="50"/>
        <v>2.3E-2</v>
      </c>
      <c r="S190" s="136">
        <f t="shared" si="51"/>
        <v>2.3E-2</v>
      </c>
      <c r="T190" s="136">
        <f t="shared" si="51"/>
        <v>2.3E-2</v>
      </c>
      <c r="U190" s="136">
        <f t="shared" si="51"/>
        <v>2.3E-2</v>
      </c>
      <c r="V190" s="136">
        <f t="shared" si="51"/>
        <v>2.3E-2</v>
      </c>
      <c r="W190" s="136">
        <f t="shared" si="51"/>
        <v>2.3E-2</v>
      </c>
      <c r="X190" s="136">
        <f t="shared" si="51"/>
        <v>2.3E-2</v>
      </c>
      <c r="Y190" s="136">
        <f t="shared" si="51"/>
        <v>2.3E-2</v>
      </c>
      <c r="Z190" s="136">
        <f t="shared" si="51"/>
        <v>2.3E-2</v>
      </c>
      <c r="AA190" s="136">
        <f t="shared" si="51"/>
        <v>2.3E-2</v>
      </c>
      <c r="AB190" s="136">
        <f t="shared" si="51"/>
        <v>2.3E-2</v>
      </c>
      <c r="AC190" s="136">
        <f t="shared" si="51"/>
        <v>2.3E-2</v>
      </c>
      <c r="AD190" s="136">
        <f t="shared" si="51"/>
        <v>2.3E-2</v>
      </c>
      <c r="AE190" s="136">
        <f t="shared" si="51"/>
        <v>2.3E-2</v>
      </c>
      <c r="AF190" s="136">
        <f t="shared" si="51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2">SUM(C101:C190)</f>
        <v>194.70600000000002</v>
      </c>
      <c r="D191" s="141">
        <f t="shared" si="52"/>
        <v>194.70600000000002</v>
      </c>
      <c r="E191" s="141">
        <f t="shared" si="52"/>
        <v>194.70600000000002</v>
      </c>
      <c r="F191" s="141">
        <f t="shared" si="52"/>
        <v>194.70600000000002</v>
      </c>
      <c r="G191" s="141">
        <f t="shared" si="52"/>
        <v>194.70600000000002</v>
      </c>
      <c r="H191" s="141">
        <f t="shared" si="52"/>
        <v>194.70600000000002</v>
      </c>
      <c r="I191" s="141">
        <f t="shared" si="52"/>
        <v>194.70600000000002</v>
      </c>
      <c r="J191" s="141">
        <f t="shared" si="52"/>
        <v>192.10600000000005</v>
      </c>
      <c r="K191" s="141">
        <f t="shared" si="52"/>
        <v>192.10600000000005</v>
      </c>
      <c r="L191" s="141">
        <f t="shared" si="52"/>
        <v>192.10600000000005</v>
      </c>
      <c r="M191" s="141">
        <f t="shared" si="52"/>
        <v>192.10600000000005</v>
      </c>
      <c r="N191" s="141">
        <f t="shared" si="52"/>
        <v>192.10600000000005</v>
      </c>
      <c r="O191" s="141">
        <f t="shared" si="52"/>
        <v>192.10600000000005</v>
      </c>
      <c r="P191" s="141">
        <f t="shared" si="52"/>
        <v>192.10600000000005</v>
      </c>
      <c r="Q191" s="141">
        <f t="shared" si="52"/>
        <v>192.10600000000005</v>
      </c>
      <c r="R191" s="141">
        <f t="shared" si="52"/>
        <v>192.10600000000005</v>
      </c>
      <c r="S191" s="141">
        <f t="shared" si="52"/>
        <v>192.10600000000005</v>
      </c>
      <c r="T191" s="141">
        <f t="shared" si="52"/>
        <v>192.10600000000005</v>
      </c>
      <c r="U191" s="141">
        <f t="shared" si="52"/>
        <v>192.10600000000005</v>
      </c>
      <c r="V191" s="141">
        <f t="shared" si="52"/>
        <v>192.10600000000005</v>
      </c>
      <c r="W191" s="141">
        <f t="shared" si="52"/>
        <v>192.10600000000005</v>
      </c>
      <c r="X191" s="141">
        <f t="shared" si="52"/>
        <v>192.10600000000005</v>
      </c>
      <c r="Y191" s="141">
        <f t="shared" si="52"/>
        <v>192.10600000000005</v>
      </c>
      <c r="Z191" s="141">
        <f t="shared" si="52"/>
        <v>192.10600000000005</v>
      </c>
      <c r="AA191" s="141">
        <f t="shared" si="52"/>
        <v>192.10600000000005</v>
      </c>
      <c r="AB191" s="141">
        <f t="shared" si="52"/>
        <v>192.10600000000005</v>
      </c>
      <c r="AC191" s="141">
        <f t="shared" si="52"/>
        <v>192.10600000000005</v>
      </c>
      <c r="AD191" s="141">
        <f t="shared" si="52"/>
        <v>192.10600000000005</v>
      </c>
      <c r="AE191" s="141">
        <f t="shared" si="52"/>
        <v>192.10600000000005</v>
      </c>
      <c r="AF191" s="141">
        <f t="shared" si="52"/>
        <v>192.10600000000005</v>
      </c>
      <c r="AG191" s="142">
        <f t="shared" si="52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3">AF193</f>
        <v>0.3</v>
      </c>
      <c r="C193" s="143">
        <v>0.3</v>
      </c>
      <c r="D193" s="143">
        <f t="shared" ref="D193:S198" si="54">C193</f>
        <v>0.3</v>
      </c>
      <c r="E193" s="143">
        <f t="shared" si="54"/>
        <v>0.3</v>
      </c>
      <c r="F193" s="143">
        <f t="shared" si="54"/>
        <v>0.3</v>
      </c>
      <c r="G193" s="143">
        <f t="shared" si="54"/>
        <v>0.3</v>
      </c>
      <c r="H193" s="143">
        <f t="shared" si="54"/>
        <v>0.3</v>
      </c>
      <c r="I193" s="143">
        <f t="shared" si="54"/>
        <v>0.3</v>
      </c>
      <c r="J193" s="143">
        <f t="shared" si="54"/>
        <v>0.3</v>
      </c>
      <c r="K193" s="143">
        <f t="shared" si="54"/>
        <v>0.3</v>
      </c>
      <c r="L193" s="143">
        <f t="shared" si="54"/>
        <v>0.3</v>
      </c>
      <c r="M193" s="143">
        <f t="shared" si="54"/>
        <v>0.3</v>
      </c>
      <c r="N193" s="143">
        <f t="shared" si="54"/>
        <v>0.3</v>
      </c>
      <c r="O193" s="143">
        <f t="shared" si="54"/>
        <v>0.3</v>
      </c>
      <c r="P193" s="143">
        <f t="shared" si="54"/>
        <v>0.3</v>
      </c>
      <c r="Q193" s="143">
        <f t="shared" si="54"/>
        <v>0.3</v>
      </c>
      <c r="R193" s="143">
        <f t="shared" si="54"/>
        <v>0.3</v>
      </c>
      <c r="S193" s="143">
        <f t="shared" si="54"/>
        <v>0.3</v>
      </c>
      <c r="T193" s="143">
        <f t="shared" ref="T193:AF198" si="55">S193</f>
        <v>0.3</v>
      </c>
      <c r="U193" s="143">
        <f t="shared" si="55"/>
        <v>0.3</v>
      </c>
      <c r="V193" s="143">
        <f t="shared" si="55"/>
        <v>0.3</v>
      </c>
      <c r="W193" s="143">
        <f t="shared" si="55"/>
        <v>0.3</v>
      </c>
      <c r="X193" s="143">
        <f t="shared" si="55"/>
        <v>0.3</v>
      </c>
      <c r="Y193" s="143">
        <f t="shared" si="55"/>
        <v>0.3</v>
      </c>
      <c r="Z193" s="143">
        <f t="shared" si="55"/>
        <v>0.3</v>
      </c>
      <c r="AA193" s="143">
        <f t="shared" si="55"/>
        <v>0.3</v>
      </c>
      <c r="AB193" s="143">
        <f t="shared" si="55"/>
        <v>0.3</v>
      </c>
      <c r="AC193" s="143">
        <f t="shared" si="55"/>
        <v>0.3</v>
      </c>
      <c r="AD193" s="143">
        <f t="shared" si="55"/>
        <v>0.3</v>
      </c>
      <c r="AE193" s="143">
        <f t="shared" si="55"/>
        <v>0.3</v>
      </c>
      <c r="AF193" s="143">
        <f t="shared" si="55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3"/>
        <v>0.4</v>
      </c>
      <c r="C194" s="136">
        <v>0.4</v>
      </c>
      <c r="D194" s="136">
        <f t="shared" si="54"/>
        <v>0.4</v>
      </c>
      <c r="E194" s="136">
        <f t="shared" si="54"/>
        <v>0.4</v>
      </c>
      <c r="F194" s="136">
        <f t="shared" si="54"/>
        <v>0.4</v>
      </c>
      <c r="G194" s="136">
        <f t="shared" si="54"/>
        <v>0.4</v>
      </c>
      <c r="H194" s="136">
        <f t="shared" si="54"/>
        <v>0.4</v>
      </c>
      <c r="I194" s="136">
        <f t="shared" si="54"/>
        <v>0.4</v>
      </c>
      <c r="J194" s="136">
        <f t="shared" si="54"/>
        <v>0.4</v>
      </c>
      <c r="K194" s="136">
        <f t="shared" si="54"/>
        <v>0.4</v>
      </c>
      <c r="L194" s="136">
        <f t="shared" si="54"/>
        <v>0.4</v>
      </c>
      <c r="M194" s="136">
        <f t="shared" si="54"/>
        <v>0.4</v>
      </c>
      <c r="N194" s="136">
        <f t="shared" si="54"/>
        <v>0.4</v>
      </c>
      <c r="O194" s="136">
        <f t="shared" si="54"/>
        <v>0.4</v>
      </c>
      <c r="P194" s="136">
        <f t="shared" si="54"/>
        <v>0.4</v>
      </c>
      <c r="Q194" s="136">
        <f t="shared" si="54"/>
        <v>0.4</v>
      </c>
      <c r="R194" s="136">
        <f t="shared" si="54"/>
        <v>0.4</v>
      </c>
      <c r="S194" s="136">
        <f t="shared" si="54"/>
        <v>0.4</v>
      </c>
      <c r="T194" s="136">
        <f t="shared" si="55"/>
        <v>0.4</v>
      </c>
      <c r="U194" s="136">
        <f t="shared" si="55"/>
        <v>0.4</v>
      </c>
      <c r="V194" s="136">
        <f t="shared" si="55"/>
        <v>0.4</v>
      </c>
      <c r="W194" s="136">
        <f>V194</f>
        <v>0.4</v>
      </c>
      <c r="X194" s="136">
        <f>W194</f>
        <v>0.4</v>
      </c>
      <c r="Y194" s="136">
        <f t="shared" si="55"/>
        <v>0.4</v>
      </c>
      <c r="Z194" s="136">
        <f t="shared" si="55"/>
        <v>0.4</v>
      </c>
      <c r="AA194" s="136">
        <f t="shared" si="55"/>
        <v>0.4</v>
      </c>
      <c r="AB194" s="136">
        <f t="shared" si="55"/>
        <v>0.4</v>
      </c>
      <c r="AC194" s="136">
        <f t="shared" si="55"/>
        <v>0.4</v>
      </c>
      <c r="AD194" s="136">
        <f t="shared" si="55"/>
        <v>0.4</v>
      </c>
      <c r="AE194" s="136">
        <f t="shared" si="55"/>
        <v>0.4</v>
      </c>
      <c r="AF194" s="136">
        <f t="shared" si="55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3"/>
        <v>1.5</v>
      </c>
      <c r="C195" s="136">
        <v>1.5</v>
      </c>
      <c r="D195" s="136">
        <f t="shared" si="54"/>
        <v>1.5</v>
      </c>
      <c r="E195" s="136">
        <f t="shared" si="54"/>
        <v>1.5</v>
      </c>
      <c r="F195" s="136">
        <f t="shared" si="54"/>
        <v>1.5</v>
      </c>
      <c r="G195" s="136">
        <f t="shared" si="54"/>
        <v>1.5</v>
      </c>
      <c r="H195" s="136">
        <f t="shared" si="54"/>
        <v>1.5</v>
      </c>
      <c r="I195" s="136">
        <f t="shared" si="54"/>
        <v>1.5</v>
      </c>
      <c r="J195" s="136">
        <f t="shared" si="54"/>
        <v>1.5</v>
      </c>
      <c r="K195" s="136">
        <f t="shared" si="54"/>
        <v>1.5</v>
      </c>
      <c r="L195" s="136">
        <f t="shared" si="54"/>
        <v>1.5</v>
      </c>
      <c r="M195" s="136">
        <f t="shared" si="54"/>
        <v>1.5</v>
      </c>
      <c r="N195" s="136">
        <f t="shared" si="54"/>
        <v>1.5</v>
      </c>
      <c r="O195" s="136">
        <f t="shared" si="54"/>
        <v>1.5</v>
      </c>
      <c r="P195" s="136">
        <f t="shared" si="54"/>
        <v>1.5</v>
      </c>
      <c r="Q195" s="136">
        <f t="shared" si="54"/>
        <v>1.5</v>
      </c>
      <c r="R195" s="136">
        <f t="shared" si="54"/>
        <v>1.5</v>
      </c>
      <c r="S195" s="136">
        <f t="shared" si="54"/>
        <v>1.5</v>
      </c>
      <c r="T195" s="136">
        <f t="shared" si="55"/>
        <v>1.5</v>
      </c>
      <c r="U195" s="136">
        <f t="shared" si="55"/>
        <v>1.5</v>
      </c>
      <c r="V195" s="136">
        <f t="shared" si="55"/>
        <v>1.5</v>
      </c>
      <c r="W195" s="136">
        <f t="shared" si="55"/>
        <v>1.5</v>
      </c>
      <c r="X195" s="136">
        <f t="shared" si="55"/>
        <v>1.5</v>
      </c>
      <c r="Y195" s="136">
        <f t="shared" si="55"/>
        <v>1.5</v>
      </c>
      <c r="Z195" s="136">
        <f t="shared" si="55"/>
        <v>1.5</v>
      </c>
      <c r="AA195" s="136">
        <f t="shared" si="55"/>
        <v>1.5</v>
      </c>
      <c r="AB195" s="136">
        <f t="shared" si="55"/>
        <v>1.5</v>
      </c>
      <c r="AC195" s="136">
        <f t="shared" si="55"/>
        <v>1.5</v>
      </c>
      <c r="AD195" s="136">
        <f t="shared" si="55"/>
        <v>1.5</v>
      </c>
      <c r="AE195" s="136">
        <f t="shared" si="55"/>
        <v>1.5</v>
      </c>
      <c r="AF195" s="136">
        <f t="shared" si="55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3"/>
        <v>0.3</v>
      </c>
      <c r="C196" s="136">
        <v>0.3</v>
      </c>
      <c r="D196" s="136">
        <f t="shared" si="54"/>
        <v>0.3</v>
      </c>
      <c r="E196" s="136">
        <f t="shared" si="54"/>
        <v>0.3</v>
      </c>
      <c r="F196" s="136">
        <f t="shared" si="54"/>
        <v>0.3</v>
      </c>
      <c r="G196" s="136">
        <f t="shared" si="54"/>
        <v>0.3</v>
      </c>
      <c r="H196" s="136">
        <f t="shared" si="54"/>
        <v>0.3</v>
      </c>
      <c r="I196" s="136">
        <f t="shared" si="54"/>
        <v>0.3</v>
      </c>
      <c r="J196" s="136">
        <f t="shared" si="54"/>
        <v>0.3</v>
      </c>
      <c r="K196" s="136">
        <f t="shared" si="54"/>
        <v>0.3</v>
      </c>
      <c r="L196" s="136">
        <f t="shared" si="54"/>
        <v>0.3</v>
      </c>
      <c r="M196" s="136">
        <f t="shared" si="54"/>
        <v>0.3</v>
      </c>
      <c r="N196" s="136">
        <f t="shared" si="54"/>
        <v>0.3</v>
      </c>
      <c r="O196" s="136">
        <f t="shared" si="54"/>
        <v>0.3</v>
      </c>
      <c r="P196" s="136">
        <f t="shared" si="54"/>
        <v>0.3</v>
      </c>
      <c r="Q196" s="136">
        <f t="shared" si="54"/>
        <v>0.3</v>
      </c>
      <c r="R196" s="136">
        <f t="shared" si="54"/>
        <v>0.3</v>
      </c>
      <c r="S196" s="136">
        <f t="shared" si="54"/>
        <v>0.3</v>
      </c>
      <c r="T196" s="136">
        <f t="shared" si="55"/>
        <v>0.3</v>
      </c>
      <c r="U196" s="136">
        <f t="shared" si="55"/>
        <v>0.3</v>
      </c>
      <c r="V196" s="136">
        <f t="shared" si="55"/>
        <v>0.3</v>
      </c>
      <c r="W196" s="136">
        <f t="shared" si="55"/>
        <v>0.3</v>
      </c>
      <c r="X196" s="136">
        <f t="shared" si="55"/>
        <v>0.3</v>
      </c>
      <c r="Y196" s="136">
        <f t="shared" si="55"/>
        <v>0.3</v>
      </c>
      <c r="Z196" s="136">
        <f t="shared" si="55"/>
        <v>0.3</v>
      </c>
      <c r="AA196" s="136">
        <f t="shared" si="55"/>
        <v>0.3</v>
      </c>
      <c r="AB196" s="136">
        <f t="shared" si="55"/>
        <v>0.3</v>
      </c>
      <c r="AC196" s="136">
        <f t="shared" si="55"/>
        <v>0.3</v>
      </c>
      <c r="AD196" s="136">
        <f t="shared" si="55"/>
        <v>0.3</v>
      </c>
      <c r="AE196" s="136">
        <f t="shared" si="55"/>
        <v>0.3</v>
      </c>
      <c r="AF196" s="136">
        <f t="shared" si="55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3"/>
        <v>0.4</v>
      </c>
      <c r="C197" s="136">
        <v>0.4</v>
      </c>
      <c r="D197" s="136">
        <f t="shared" si="54"/>
        <v>0.4</v>
      </c>
      <c r="E197" s="136">
        <f t="shared" si="54"/>
        <v>0.4</v>
      </c>
      <c r="F197" s="136">
        <f t="shared" si="54"/>
        <v>0.4</v>
      </c>
      <c r="G197" s="136">
        <f t="shared" si="54"/>
        <v>0.4</v>
      </c>
      <c r="H197" s="136">
        <f t="shared" si="54"/>
        <v>0.4</v>
      </c>
      <c r="I197" s="136">
        <f t="shared" si="54"/>
        <v>0.4</v>
      </c>
      <c r="J197" s="136">
        <f t="shared" si="54"/>
        <v>0.4</v>
      </c>
      <c r="K197" s="136">
        <f t="shared" si="54"/>
        <v>0.4</v>
      </c>
      <c r="L197" s="136">
        <f t="shared" si="54"/>
        <v>0.4</v>
      </c>
      <c r="M197" s="136">
        <f t="shared" si="54"/>
        <v>0.4</v>
      </c>
      <c r="N197" s="136">
        <f t="shared" si="54"/>
        <v>0.4</v>
      </c>
      <c r="O197" s="136">
        <f t="shared" si="54"/>
        <v>0.4</v>
      </c>
      <c r="P197" s="136">
        <f t="shared" si="54"/>
        <v>0.4</v>
      </c>
      <c r="Q197" s="136">
        <f t="shared" si="54"/>
        <v>0.4</v>
      </c>
      <c r="R197" s="136">
        <f t="shared" si="54"/>
        <v>0.4</v>
      </c>
      <c r="S197" s="136">
        <f t="shared" si="54"/>
        <v>0.4</v>
      </c>
      <c r="T197" s="136">
        <f t="shared" si="55"/>
        <v>0.4</v>
      </c>
      <c r="U197" s="136">
        <f t="shared" si="55"/>
        <v>0.4</v>
      </c>
      <c r="V197" s="136">
        <f t="shared" si="55"/>
        <v>0.4</v>
      </c>
      <c r="W197" s="136">
        <f t="shared" si="55"/>
        <v>0.4</v>
      </c>
      <c r="X197" s="136">
        <f t="shared" si="55"/>
        <v>0.4</v>
      </c>
      <c r="Y197" s="136">
        <f t="shared" si="55"/>
        <v>0.4</v>
      </c>
      <c r="Z197" s="136">
        <f t="shared" si="55"/>
        <v>0.4</v>
      </c>
      <c r="AA197" s="136">
        <f t="shared" si="55"/>
        <v>0.4</v>
      </c>
      <c r="AB197" s="136">
        <f t="shared" si="55"/>
        <v>0.4</v>
      </c>
      <c r="AC197" s="136">
        <f t="shared" si="55"/>
        <v>0.4</v>
      </c>
      <c r="AD197" s="136">
        <f t="shared" si="55"/>
        <v>0.4</v>
      </c>
      <c r="AE197" s="136">
        <f t="shared" si="55"/>
        <v>0.4</v>
      </c>
      <c r="AF197" s="136">
        <f t="shared" si="55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3"/>
        <v>0.64</v>
      </c>
      <c r="C198" s="146">
        <v>0.64</v>
      </c>
      <c r="D198" s="146">
        <f t="shared" si="54"/>
        <v>0.64</v>
      </c>
      <c r="E198" s="146">
        <f t="shared" si="54"/>
        <v>0.64</v>
      </c>
      <c r="F198" s="146">
        <f t="shared" si="54"/>
        <v>0.64</v>
      </c>
      <c r="G198" s="146">
        <f t="shared" si="54"/>
        <v>0.64</v>
      </c>
      <c r="H198" s="146">
        <f t="shared" si="54"/>
        <v>0.64</v>
      </c>
      <c r="I198" s="146">
        <f t="shared" si="54"/>
        <v>0.64</v>
      </c>
      <c r="J198" s="146">
        <f t="shared" si="54"/>
        <v>0.64</v>
      </c>
      <c r="K198" s="146">
        <f t="shared" si="54"/>
        <v>0.64</v>
      </c>
      <c r="L198" s="146">
        <f t="shared" si="54"/>
        <v>0.64</v>
      </c>
      <c r="M198" s="146">
        <f t="shared" si="54"/>
        <v>0.64</v>
      </c>
      <c r="N198" s="146">
        <f t="shared" si="54"/>
        <v>0.64</v>
      </c>
      <c r="O198" s="146">
        <f t="shared" si="54"/>
        <v>0.64</v>
      </c>
      <c r="P198" s="146">
        <f t="shared" si="54"/>
        <v>0.64</v>
      </c>
      <c r="Q198" s="146">
        <f t="shared" si="54"/>
        <v>0.64</v>
      </c>
      <c r="R198" s="146">
        <f t="shared" si="54"/>
        <v>0.64</v>
      </c>
      <c r="S198" s="146">
        <f t="shared" si="54"/>
        <v>0.64</v>
      </c>
      <c r="T198" s="146">
        <f t="shared" si="55"/>
        <v>0.64</v>
      </c>
      <c r="U198" s="146">
        <f t="shared" si="55"/>
        <v>0.64</v>
      </c>
      <c r="V198" s="146">
        <f t="shared" si="55"/>
        <v>0.64</v>
      </c>
      <c r="W198" s="146">
        <f t="shared" si="55"/>
        <v>0.64</v>
      </c>
      <c r="X198" s="146">
        <f t="shared" si="55"/>
        <v>0.64</v>
      </c>
      <c r="Y198" s="146">
        <f t="shared" si="55"/>
        <v>0.64</v>
      </c>
      <c r="Z198" s="146">
        <f t="shared" si="55"/>
        <v>0.64</v>
      </c>
      <c r="AA198" s="146">
        <f t="shared" si="55"/>
        <v>0.64</v>
      </c>
      <c r="AB198" s="146">
        <f t="shared" si="55"/>
        <v>0.64</v>
      </c>
      <c r="AC198" s="146">
        <f t="shared" si="55"/>
        <v>0.64</v>
      </c>
      <c r="AD198" s="146">
        <f t="shared" si="55"/>
        <v>0.64</v>
      </c>
      <c r="AE198" s="146">
        <f t="shared" si="55"/>
        <v>0.64</v>
      </c>
      <c r="AF198" s="146">
        <f t="shared" si="55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6">SUM(D193:D198)</f>
        <v>3.54</v>
      </c>
      <c r="E199" s="149">
        <f t="shared" si="56"/>
        <v>3.54</v>
      </c>
      <c r="F199" s="149">
        <f t="shared" si="56"/>
        <v>3.54</v>
      </c>
      <c r="G199" s="149">
        <f t="shared" si="56"/>
        <v>3.54</v>
      </c>
      <c r="H199" s="149">
        <f t="shared" si="56"/>
        <v>3.54</v>
      </c>
      <c r="I199" s="149">
        <f t="shared" si="56"/>
        <v>3.54</v>
      </c>
      <c r="J199" s="149">
        <f t="shared" si="56"/>
        <v>3.54</v>
      </c>
      <c r="K199" s="149">
        <f t="shared" si="56"/>
        <v>3.54</v>
      </c>
      <c r="L199" s="149">
        <f t="shared" si="56"/>
        <v>3.54</v>
      </c>
      <c r="M199" s="149">
        <f>SUM(M193:M198)</f>
        <v>3.54</v>
      </c>
      <c r="N199" s="149">
        <f t="shared" ref="N199:S199" si="57">SUM(N193:N198)</f>
        <v>3.54</v>
      </c>
      <c r="O199" s="149">
        <f t="shared" si="57"/>
        <v>3.54</v>
      </c>
      <c r="P199" s="149">
        <f t="shared" si="57"/>
        <v>3.54</v>
      </c>
      <c r="Q199" s="149">
        <f t="shared" si="57"/>
        <v>3.54</v>
      </c>
      <c r="R199" s="149">
        <f t="shared" si="57"/>
        <v>3.54</v>
      </c>
      <c r="S199" s="149">
        <f t="shared" si="57"/>
        <v>3.54</v>
      </c>
      <c r="T199" s="149">
        <f>SUM(T193:T198)</f>
        <v>3.54</v>
      </c>
      <c r="U199" s="149">
        <f t="shared" ref="U199:AG199" si="58">SUM(U193:U198)</f>
        <v>3.54</v>
      </c>
      <c r="V199" s="149">
        <f t="shared" si="58"/>
        <v>3.54</v>
      </c>
      <c r="W199" s="149">
        <f t="shared" si="58"/>
        <v>3.54</v>
      </c>
      <c r="X199" s="149">
        <f t="shared" si="58"/>
        <v>3.54</v>
      </c>
      <c r="Y199" s="149">
        <f t="shared" si="58"/>
        <v>3.54</v>
      </c>
      <c r="Z199" s="149">
        <f t="shared" si="58"/>
        <v>3.54</v>
      </c>
      <c r="AA199" s="149">
        <f t="shared" si="58"/>
        <v>3.54</v>
      </c>
      <c r="AB199" s="149">
        <f t="shared" si="58"/>
        <v>3.54</v>
      </c>
      <c r="AC199" s="149">
        <f t="shared" si="58"/>
        <v>3.54</v>
      </c>
      <c r="AD199" s="149">
        <f t="shared" si="58"/>
        <v>3.54</v>
      </c>
      <c r="AE199" s="149">
        <f t="shared" si="58"/>
        <v>3.54</v>
      </c>
      <c r="AF199" s="149">
        <f t="shared" si="58"/>
        <v>3.54</v>
      </c>
      <c r="AG199" s="150">
        <f t="shared" si="58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1491.59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2078/11/5)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59">B75</f>
        <v>995.54</v>
      </c>
      <c r="U213" s="174">
        <f t="shared" si="59"/>
        <v>911.1400000000001</v>
      </c>
      <c r="V213" s="174">
        <f t="shared" si="59"/>
        <v>907.33999999999992</v>
      </c>
      <c r="W213" s="174">
        <f t="shared" si="59"/>
        <v>903.44</v>
      </c>
      <c r="X213" s="174">
        <f t="shared" si="59"/>
        <v>894.04000000000008</v>
      </c>
      <c r="Y213" s="174">
        <f t="shared" si="59"/>
        <v>966.04</v>
      </c>
      <c r="Z213" s="174">
        <f t="shared" si="59"/>
        <v>1044.2399999999998</v>
      </c>
      <c r="AA213" s="174">
        <f t="shared" si="59"/>
        <v>1125.8399999999999</v>
      </c>
      <c r="AB213" s="174">
        <f t="shared" si="59"/>
        <v>1299.94</v>
      </c>
      <c r="AC213" s="174">
        <f t="shared" si="59"/>
        <v>1399.44</v>
      </c>
      <c r="AD213" s="174">
        <f t="shared" si="59"/>
        <v>1475.44</v>
      </c>
      <c r="AE213" s="174">
        <f t="shared" si="59"/>
        <v>1491.59</v>
      </c>
      <c r="AF213" s="174">
        <f t="shared" si="59"/>
        <v>1438.3400000000001</v>
      </c>
      <c r="AG213" s="174">
        <f t="shared" si="59"/>
        <v>1336.3399999999997</v>
      </c>
      <c r="AH213" s="174">
        <f t="shared" si="59"/>
        <v>1273.6399999999999</v>
      </c>
      <c r="AI213" s="174">
        <f t="shared" si="59"/>
        <v>1230.3399999999999</v>
      </c>
      <c r="AJ213" s="174">
        <f t="shared" si="59"/>
        <v>1193.74</v>
      </c>
      <c r="AK213" s="174">
        <f t="shared" si="59"/>
        <v>1168.81</v>
      </c>
      <c r="AL213" s="174">
        <f t="shared" si="59"/>
        <v>1154.04</v>
      </c>
      <c r="AM213" s="174">
        <f t="shared" si="59"/>
        <v>1180.94</v>
      </c>
      <c r="AN213" s="174">
        <f t="shared" si="59"/>
        <v>1244.44</v>
      </c>
      <c r="AO213" s="174">
        <f t="shared" si="59"/>
        <v>1251.3499999999999</v>
      </c>
      <c r="AP213" s="174">
        <f t="shared" si="59"/>
        <v>1349.2399999999998</v>
      </c>
      <c r="AQ213" s="174">
        <f t="shared" si="59"/>
        <v>1463.1399999999999</v>
      </c>
      <c r="AR213" s="174">
        <f t="shared" si="59"/>
        <v>1493.0400000000002</v>
      </c>
      <c r="AS213" s="174">
        <f t="shared" si="59"/>
        <v>1441.2400000000002</v>
      </c>
      <c r="AT213" s="174">
        <f t="shared" si="59"/>
        <v>1367.3400000000001</v>
      </c>
      <c r="AU213" s="174">
        <f t="shared" si="59"/>
        <v>1317.2399999999998</v>
      </c>
      <c r="AV213" s="174">
        <f t="shared" si="59"/>
        <v>1256.9399999999998</v>
      </c>
      <c r="AW213" s="174">
        <f t="shared" si="59"/>
        <v>1115.1899999999998</v>
      </c>
      <c r="AX213" s="174">
        <f t="shared" si="59"/>
        <v>1020.69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0">C198</f>
        <v>0.64</v>
      </c>
      <c r="C234" s="177">
        <f t="shared" si="60"/>
        <v>0.64</v>
      </c>
      <c r="D234" s="177">
        <f t="shared" si="60"/>
        <v>0.64</v>
      </c>
      <c r="E234" s="177">
        <f t="shared" si="60"/>
        <v>0.64</v>
      </c>
      <c r="F234" s="177">
        <f t="shared" si="60"/>
        <v>0.64</v>
      </c>
      <c r="G234" s="177">
        <f t="shared" si="60"/>
        <v>0.64</v>
      </c>
      <c r="H234" s="177">
        <f t="shared" si="60"/>
        <v>0.64</v>
      </c>
      <c r="I234" s="177">
        <f t="shared" si="60"/>
        <v>0.64</v>
      </c>
      <c r="J234" s="177">
        <f t="shared" si="60"/>
        <v>0.64</v>
      </c>
      <c r="K234" s="177">
        <f t="shared" si="60"/>
        <v>0.64</v>
      </c>
      <c r="L234" s="177">
        <f t="shared" si="60"/>
        <v>0.64</v>
      </c>
      <c r="M234" s="177">
        <f t="shared" si="60"/>
        <v>0.64</v>
      </c>
      <c r="N234" s="177">
        <f t="shared" si="60"/>
        <v>0.64</v>
      </c>
      <c r="O234" s="177">
        <f t="shared" si="60"/>
        <v>0.64</v>
      </c>
      <c r="P234" s="177">
        <f t="shared" si="60"/>
        <v>0.64</v>
      </c>
      <c r="Q234" s="177">
        <f t="shared" si="60"/>
        <v>0.64</v>
      </c>
      <c r="R234" s="177">
        <f t="shared" si="60"/>
        <v>0.64</v>
      </c>
      <c r="S234" s="177">
        <f t="shared" si="60"/>
        <v>0.64</v>
      </c>
      <c r="T234" s="177">
        <f t="shared" si="60"/>
        <v>0.64</v>
      </c>
      <c r="U234" s="177">
        <f t="shared" si="60"/>
        <v>0.64</v>
      </c>
      <c r="V234" s="177">
        <f t="shared" si="60"/>
        <v>0.64</v>
      </c>
      <c r="W234" s="177">
        <f t="shared" si="60"/>
        <v>0.64</v>
      </c>
      <c r="X234" s="177">
        <f t="shared" si="60"/>
        <v>0.64</v>
      </c>
      <c r="Y234" s="177">
        <f t="shared" si="60"/>
        <v>0.64</v>
      </c>
      <c r="Z234" s="177">
        <f t="shared" si="60"/>
        <v>0.64</v>
      </c>
      <c r="AA234" s="177">
        <f t="shared" si="60"/>
        <v>0.64</v>
      </c>
      <c r="AB234" s="177">
        <f t="shared" si="60"/>
        <v>0.64</v>
      </c>
      <c r="AC234" s="177">
        <f t="shared" si="60"/>
        <v>0.64</v>
      </c>
      <c r="AD234" s="177">
        <f t="shared" si="60"/>
        <v>0.64</v>
      </c>
      <c r="AE234" s="177">
        <f t="shared" si="60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1">IF(C202&lt;100,"",C202-520)</f>
        <v/>
      </c>
      <c r="D235" s="120" t="str">
        <f t="shared" si="61"/>
        <v/>
      </c>
      <c r="E235" s="120" t="str">
        <f t="shared" si="61"/>
        <v/>
      </c>
      <c r="F235" s="120" t="str">
        <f t="shared" si="61"/>
        <v/>
      </c>
      <c r="G235" s="120" t="str">
        <f t="shared" si="61"/>
        <v/>
      </c>
      <c r="H235" s="120" t="str">
        <f t="shared" si="61"/>
        <v/>
      </c>
      <c r="I235" s="120" t="str">
        <f t="shared" si="61"/>
        <v/>
      </c>
      <c r="J235" s="120" t="str">
        <f t="shared" si="61"/>
        <v/>
      </c>
      <c r="K235" s="120" t="str">
        <f t="shared" si="61"/>
        <v/>
      </c>
      <c r="L235" s="120" t="str">
        <f t="shared" si="61"/>
        <v/>
      </c>
      <c r="M235" s="120" t="str">
        <f t="shared" si="61"/>
        <v/>
      </c>
      <c r="N235" s="120" t="str">
        <f t="shared" si="61"/>
        <v/>
      </c>
      <c r="O235" s="120" t="str">
        <f t="shared" si="61"/>
        <v/>
      </c>
      <c r="P235" s="120" t="str">
        <f t="shared" si="61"/>
        <v/>
      </c>
      <c r="Q235" s="120" t="str">
        <f t="shared" si="61"/>
        <v/>
      </c>
      <c r="R235" s="120" t="str">
        <f t="shared" si="61"/>
        <v/>
      </c>
      <c r="S235" s="120" t="str">
        <f t="shared" si="61"/>
        <v/>
      </c>
      <c r="T235" s="120" t="str">
        <f t="shared" si="61"/>
        <v/>
      </c>
      <c r="U235" s="120" t="str">
        <f t="shared" si="61"/>
        <v/>
      </c>
      <c r="V235" s="120" t="str">
        <f t="shared" si="61"/>
        <v/>
      </c>
      <c r="W235" s="120" t="str">
        <f t="shared" si="61"/>
        <v/>
      </c>
      <c r="X235" s="120" t="str">
        <f t="shared" si="61"/>
        <v/>
      </c>
      <c r="Y235" s="120" t="str">
        <f t="shared" si="61"/>
        <v/>
      </c>
      <c r="Z235" s="120" t="str">
        <f t="shared" si="61"/>
        <v/>
      </c>
      <c r="AA235" s="120" t="str">
        <f t="shared" si="61"/>
        <v/>
      </c>
      <c r="AB235" s="120" t="str">
        <f t="shared" si="61"/>
        <v/>
      </c>
      <c r="AC235" s="120" t="str">
        <f t="shared" si="61"/>
        <v/>
      </c>
      <c r="AD235" s="120" t="str">
        <f t="shared" si="61"/>
        <v/>
      </c>
      <c r="AE235" s="120" t="str">
        <f t="shared" si="61"/>
        <v/>
      </c>
      <c r="AF235" s="120" t="str">
        <f t="shared" si="61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2">IF(B203&lt;100,"",B203-620)</f>
        <v/>
      </c>
      <c r="C236" s="120" t="str">
        <f t="shared" si="62"/>
        <v/>
      </c>
      <c r="D236" s="120" t="str">
        <f t="shared" si="62"/>
        <v/>
      </c>
      <c r="E236" s="120" t="str">
        <f t="shared" si="62"/>
        <v/>
      </c>
      <c r="F236" s="120" t="str">
        <f t="shared" si="62"/>
        <v/>
      </c>
      <c r="G236" s="120" t="str">
        <f t="shared" si="62"/>
        <v/>
      </c>
      <c r="H236" s="120" t="str">
        <f t="shared" si="62"/>
        <v/>
      </c>
      <c r="I236" s="120" t="str">
        <f t="shared" si="62"/>
        <v/>
      </c>
      <c r="J236" s="120" t="str">
        <f t="shared" si="62"/>
        <v/>
      </c>
      <c r="K236" s="120" t="str">
        <f t="shared" si="62"/>
        <v/>
      </c>
      <c r="L236" s="120" t="str">
        <f t="shared" si="62"/>
        <v/>
      </c>
      <c r="M236" s="120" t="str">
        <f t="shared" si="62"/>
        <v/>
      </c>
      <c r="N236" s="120" t="str">
        <f t="shared" si="62"/>
        <v/>
      </c>
      <c r="O236" s="120" t="str">
        <f t="shared" si="62"/>
        <v/>
      </c>
      <c r="P236" s="120" t="str">
        <f t="shared" si="62"/>
        <v/>
      </c>
      <c r="Q236" s="120" t="str">
        <f t="shared" si="62"/>
        <v/>
      </c>
      <c r="R236" s="120" t="str">
        <f t="shared" si="62"/>
        <v/>
      </c>
      <c r="S236" s="120" t="str">
        <f t="shared" si="62"/>
        <v/>
      </c>
      <c r="T236" s="120" t="str">
        <f t="shared" si="62"/>
        <v/>
      </c>
      <c r="U236" s="120" t="str">
        <f t="shared" si="62"/>
        <v/>
      </c>
      <c r="V236" s="120" t="str">
        <f t="shared" si="62"/>
        <v/>
      </c>
      <c r="W236" s="120" t="str">
        <f t="shared" si="62"/>
        <v/>
      </c>
      <c r="X236" s="120" t="str">
        <f t="shared" si="62"/>
        <v/>
      </c>
      <c r="Y236" s="120" t="str">
        <f t="shared" si="62"/>
        <v/>
      </c>
      <c r="Z236" s="120" t="str">
        <f t="shared" si="62"/>
        <v/>
      </c>
      <c r="AA236" s="120" t="str">
        <f t="shared" si="62"/>
        <v/>
      </c>
      <c r="AB236" s="120" t="str">
        <f t="shared" si="62"/>
        <v/>
      </c>
      <c r="AC236" s="120" t="str">
        <f t="shared" si="62"/>
        <v/>
      </c>
      <c r="AD236" s="120" t="str">
        <f t="shared" si="62"/>
        <v/>
      </c>
      <c r="AE236" s="120" t="str">
        <f t="shared" si="62"/>
        <v/>
      </c>
      <c r="AF236" s="120" t="str">
        <f t="shared" si="62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3">IF(B204&lt;100,"",B204-330)</f>
        <v/>
      </c>
      <c r="C237" s="120" t="str">
        <f t="shared" si="63"/>
        <v/>
      </c>
      <c r="D237" s="120" t="str">
        <f t="shared" si="63"/>
        <v/>
      </c>
      <c r="E237" s="120" t="str">
        <f t="shared" si="63"/>
        <v/>
      </c>
      <c r="F237" s="120" t="str">
        <f t="shared" si="63"/>
        <v/>
      </c>
      <c r="G237" s="120" t="str">
        <f t="shared" si="63"/>
        <v/>
      </c>
      <c r="H237" s="120" t="str">
        <f t="shared" si="63"/>
        <v/>
      </c>
      <c r="I237" s="120" t="str">
        <f t="shared" si="63"/>
        <v/>
      </c>
      <c r="J237" s="120" t="str">
        <f t="shared" si="63"/>
        <v/>
      </c>
      <c r="K237" s="120" t="str">
        <f t="shared" si="63"/>
        <v/>
      </c>
      <c r="L237" s="120" t="str">
        <f t="shared" si="63"/>
        <v/>
      </c>
      <c r="M237" s="120" t="str">
        <f t="shared" si="63"/>
        <v/>
      </c>
      <c r="N237" s="120" t="str">
        <f t="shared" si="63"/>
        <v/>
      </c>
      <c r="O237" s="120" t="str">
        <f t="shared" si="63"/>
        <v/>
      </c>
      <c r="P237" s="120" t="str">
        <f t="shared" si="63"/>
        <v/>
      </c>
      <c r="Q237" s="120" t="str">
        <f t="shared" si="63"/>
        <v/>
      </c>
      <c r="R237" s="120" t="str">
        <f t="shared" si="63"/>
        <v/>
      </c>
      <c r="S237" s="120" t="str">
        <f t="shared" si="63"/>
        <v/>
      </c>
      <c r="T237" s="120" t="str">
        <f t="shared" si="63"/>
        <v/>
      </c>
      <c r="U237" s="120" t="str">
        <f t="shared" si="63"/>
        <v/>
      </c>
      <c r="V237" s="120" t="str">
        <f t="shared" si="63"/>
        <v/>
      </c>
      <c r="W237" s="120" t="str">
        <f t="shared" si="63"/>
        <v/>
      </c>
      <c r="X237" s="120" t="str">
        <f t="shared" si="63"/>
        <v/>
      </c>
      <c r="Y237" s="120" t="str">
        <f t="shared" si="63"/>
        <v/>
      </c>
      <c r="Z237" s="120" t="str">
        <f t="shared" si="63"/>
        <v/>
      </c>
      <c r="AA237" s="120" t="str">
        <f t="shared" si="63"/>
        <v/>
      </c>
      <c r="AB237" s="120" t="str">
        <f t="shared" si="63"/>
        <v/>
      </c>
      <c r="AC237" s="120" t="str">
        <f t="shared" si="63"/>
        <v/>
      </c>
      <c r="AD237" s="120" t="str">
        <f t="shared" si="63"/>
        <v/>
      </c>
      <c r="AE237" s="120" t="str">
        <f t="shared" si="63"/>
        <v/>
      </c>
      <c r="AF237" s="120" t="str">
        <f t="shared" si="63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4">IF(C205&lt;100,"",C205-1500)</f>
        <v/>
      </c>
      <c r="D238" s="120" t="str">
        <f t="shared" si="64"/>
        <v/>
      </c>
      <c r="E238" s="120" t="str">
        <f t="shared" si="64"/>
        <v/>
      </c>
      <c r="F238" s="120" t="str">
        <f t="shared" si="64"/>
        <v/>
      </c>
      <c r="G238" s="120" t="str">
        <f t="shared" si="64"/>
        <v/>
      </c>
      <c r="H238" s="120" t="str">
        <f t="shared" si="64"/>
        <v/>
      </c>
      <c r="I238" s="120" t="str">
        <f t="shared" si="64"/>
        <v/>
      </c>
      <c r="J238" s="120" t="str">
        <f t="shared" si="64"/>
        <v/>
      </c>
      <c r="K238" s="120" t="str">
        <f t="shared" si="64"/>
        <v/>
      </c>
      <c r="L238" s="120" t="str">
        <f t="shared" si="64"/>
        <v/>
      </c>
      <c r="M238" s="120" t="str">
        <f t="shared" si="64"/>
        <v/>
      </c>
      <c r="N238" s="120" t="str">
        <f t="shared" si="64"/>
        <v/>
      </c>
      <c r="O238" s="120" t="str">
        <f t="shared" si="64"/>
        <v/>
      </c>
      <c r="P238" s="120" t="str">
        <f t="shared" si="64"/>
        <v/>
      </c>
      <c r="Q238" s="120" t="str">
        <f t="shared" si="64"/>
        <v/>
      </c>
      <c r="R238" s="120" t="str">
        <f t="shared" si="64"/>
        <v/>
      </c>
      <c r="S238" s="120" t="str">
        <f t="shared" si="64"/>
        <v/>
      </c>
      <c r="T238" s="120" t="str">
        <f t="shared" si="64"/>
        <v/>
      </c>
      <c r="U238" s="120" t="str">
        <f t="shared" si="64"/>
        <v/>
      </c>
      <c r="V238" s="120" t="str">
        <f t="shared" si="64"/>
        <v/>
      </c>
      <c r="W238" s="120" t="str">
        <f t="shared" si="64"/>
        <v/>
      </c>
      <c r="X238" s="120" t="str">
        <f t="shared" si="64"/>
        <v/>
      </c>
      <c r="Y238" s="120" t="str">
        <f t="shared" si="64"/>
        <v/>
      </c>
      <c r="Z238" s="120" t="str">
        <f t="shared" si="64"/>
        <v/>
      </c>
      <c r="AA238" s="120" t="str">
        <f t="shared" si="64"/>
        <v/>
      </c>
      <c r="AB238" s="120" t="str">
        <f t="shared" si="64"/>
        <v/>
      </c>
      <c r="AC238" s="120" t="str">
        <f t="shared" si="64"/>
        <v/>
      </c>
      <c r="AD238" s="120" t="str">
        <f t="shared" si="64"/>
        <v/>
      </c>
      <c r="AE238" s="120" t="str">
        <f t="shared" si="64"/>
        <v/>
      </c>
      <c r="AF238" s="120" t="str">
        <f t="shared" si="64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E57:L59 N62:N67 P39:R39 M39:O42 O61:O67 P40:Q42 R42 M58:W59 Z40:AE43 AB81:AF81 B81:R81 C56:AF56 B82:AF83 D193:AF199 B193:B199 C68:AF72 AB84:AF91 M53:AF55 B73:AF80 B9:AF10 B191:AF191 AF57:AF61 B53:B72 AG73 AB94:AF99 U212:AF212 B94:C99 C57:D67 B84:D91 G61:N61 G60:O60 E60:F61 B36:L36 M37:R37 M11:Q12 P60:R67 R12 N45:R48 R40:U41 R11:AD11 U40:Z42 X85:AA91 S18:AB30 AC12:AD14 AC16:AF26 AC28:AF31 AE11:AF14 S36:AF36 AF43">
    <cfRule type="expression" dxfId="7742" priority="274">
      <formula>B$9&gt;=20/24</formula>
    </cfRule>
    <cfRule type="expression" dxfId="7741" priority="275">
      <formula>AND(B$9&gt;=14/24,B$9&lt;20/24)</formula>
    </cfRule>
    <cfRule type="expression" dxfId="7740" priority="276">
      <formula>AND(B$9&gt;=8/24,B$9&lt;14/24)</formula>
    </cfRule>
    <cfRule type="expression" dxfId="7739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738" priority="269">
      <formula>M$9&gt;=20/24</formula>
    </cfRule>
    <cfRule type="expression" dxfId="7737" priority="270">
      <formula>AND(M$9&gt;=14/24,M$9&lt;20/24)</formula>
    </cfRule>
    <cfRule type="expression" dxfId="7736" priority="271">
      <formula>AND(M$9&gt;=8/24,M$9&lt;14/24)</formula>
    </cfRule>
    <cfRule type="expression" dxfId="7735" priority="272">
      <formula>M$9&lt;8/24</formula>
    </cfRule>
  </conditionalFormatting>
  <conditionalFormatting sqref="M43:R43">
    <cfRule type="expression" dxfId="7734" priority="265">
      <formula>M$9&gt;=20/24</formula>
    </cfRule>
    <cfRule type="expression" dxfId="7733" priority="266">
      <formula>AND(M$9&gt;=14/24,M$9&lt;20/24)</formula>
    </cfRule>
    <cfRule type="expression" dxfId="7732" priority="267">
      <formula>AND(M$9&gt;=8/24,M$9&lt;14/24)</formula>
    </cfRule>
    <cfRule type="expression" dxfId="7731" priority="268">
      <formula>M$9&lt;8/24</formula>
    </cfRule>
  </conditionalFormatting>
  <conditionalFormatting sqref="AC32:AF32">
    <cfRule type="expression" dxfId="7730" priority="261">
      <formula>AC$9&gt;=20/24</formula>
    </cfRule>
    <cfRule type="expression" dxfId="7729" priority="262">
      <formula>AND(AC$9&gt;=14/24,AC$9&lt;20/24)</formula>
    </cfRule>
    <cfRule type="expression" dxfId="7728" priority="263">
      <formula>AND(AC$9&gt;=8/24,AC$9&lt;14/24)</formula>
    </cfRule>
    <cfRule type="expression" dxfId="7727" priority="264">
      <formula>AC$9&lt;8/24</formula>
    </cfRule>
  </conditionalFormatting>
  <conditionalFormatting sqref="S39:AE39">
    <cfRule type="expression" dxfId="7726" priority="257">
      <formula>S$9&gt;=20/24</formula>
    </cfRule>
    <cfRule type="expression" dxfId="7725" priority="258">
      <formula>AND(S$9&gt;=14/24,S$9&lt;20/24)</formula>
    </cfRule>
    <cfRule type="expression" dxfId="7724" priority="259">
      <formula>AND(S$9&gt;=8/24,S$9&lt;14/24)</formula>
    </cfRule>
    <cfRule type="expression" dxfId="7723" priority="260">
      <formula>S$9&lt;8/24</formula>
    </cfRule>
  </conditionalFormatting>
  <conditionalFormatting sqref="S57:AE57">
    <cfRule type="expression" dxfId="7722" priority="253">
      <formula>S$9&gt;=20/24</formula>
    </cfRule>
    <cfRule type="expression" dxfId="7721" priority="254">
      <formula>AND(S$9&gt;=14/24,S$9&lt;20/24)</formula>
    </cfRule>
    <cfRule type="expression" dxfId="7720" priority="255">
      <formula>AND(S$9&gt;=8/24,S$9&lt;14/24)</formula>
    </cfRule>
    <cfRule type="expression" dxfId="7719" priority="256">
      <formula>S$9&lt;8/24</formula>
    </cfRule>
  </conditionalFormatting>
  <conditionalFormatting sqref="S81:AA81">
    <cfRule type="expression" dxfId="7718" priority="249">
      <formula>S$9&gt;=20/24</formula>
    </cfRule>
    <cfRule type="expression" dxfId="7717" priority="250">
      <formula>AND(S$9&gt;=14/24,S$9&lt;20/24)</formula>
    </cfRule>
    <cfRule type="expression" dxfId="7716" priority="251">
      <formula>AND(S$9&gt;=8/24,S$9&lt;14/24)</formula>
    </cfRule>
    <cfRule type="expression" dxfId="7715" priority="252">
      <formula>S$9&lt;8/24</formula>
    </cfRule>
  </conditionalFormatting>
  <conditionalFormatting sqref="U84:AA84">
    <cfRule type="expression" dxfId="7714" priority="245">
      <formula>U$9&gt;=20/24</formula>
    </cfRule>
    <cfRule type="expression" dxfId="7713" priority="246">
      <formula>AND(U$9&gt;=14/24,U$9&lt;20/24)</formula>
    </cfRule>
    <cfRule type="expression" dxfId="7712" priority="247">
      <formula>AND(U$9&gt;=8/24,U$9&lt;14/24)</formula>
    </cfRule>
    <cfRule type="expression" dxfId="7711" priority="248">
      <formula>U$9&lt;8/24</formula>
    </cfRule>
  </conditionalFormatting>
  <conditionalFormatting sqref="M49:AF49">
    <cfRule type="expression" dxfId="7710" priority="237">
      <formula>M$9&gt;=20/24</formula>
    </cfRule>
    <cfRule type="expression" dxfId="7709" priority="238">
      <formula>AND(M$9&gt;=14/24,M$9&lt;20/24)</formula>
    </cfRule>
    <cfRule type="expression" dxfId="7708" priority="239">
      <formula>AND(M$9&gt;=8/24,M$9&lt;14/24)</formula>
    </cfRule>
    <cfRule type="expression" dxfId="7707" priority="240">
      <formula>M$9&lt;8/24</formula>
    </cfRule>
  </conditionalFormatting>
  <conditionalFormatting sqref="M50:R50">
    <cfRule type="expression" dxfId="7706" priority="233">
      <formula>M$9&gt;=20/24</formula>
    </cfRule>
    <cfRule type="expression" dxfId="7705" priority="234">
      <formula>AND(M$9&gt;=14/24,M$9&lt;20/24)</formula>
    </cfRule>
    <cfRule type="expression" dxfId="7704" priority="235">
      <formula>AND(M$9&gt;=8/24,M$9&lt;14/24)</formula>
    </cfRule>
    <cfRule type="expression" dxfId="7703" priority="236">
      <formula>M$9&lt;8/24</formula>
    </cfRule>
  </conditionalFormatting>
  <conditionalFormatting sqref="M45:R48">
    <cfRule type="expression" dxfId="7702" priority="229">
      <formula>M$9&gt;=20/24</formula>
    </cfRule>
    <cfRule type="expression" dxfId="7701" priority="230">
      <formula>AND(M$9&gt;=14/24,M$9&lt;20/24)</formula>
    </cfRule>
    <cfRule type="expression" dxfId="7700" priority="231">
      <formula>AND(M$9&gt;=8/24,M$9&lt;14/24)</formula>
    </cfRule>
    <cfRule type="expression" dxfId="7699" priority="232">
      <formula>M$9&lt;8/24</formula>
    </cfRule>
  </conditionalFormatting>
  <conditionalFormatting sqref="S37:AF37">
    <cfRule type="expression" dxfId="7698" priority="225">
      <formula>S$9&gt;=20/24</formula>
    </cfRule>
    <cfRule type="expression" dxfId="7697" priority="226">
      <formula>AND(S$9&gt;=14/24,S$9&lt;20/24)</formula>
    </cfRule>
    <cfRule type="expression" dxfId="7696" priority="227">
      <formula>AND(S$9&gt;=8/24,S$9&lt;14/24)</formula>
    </cfRule>
    <cfRule type="expression" dxfId="7695" priority="228">
      <formula>S$9&lt;8/24</formula>
    </cfRule>
  </conditionalFormatting>
  <conditionalFormatting sqref="S31:AB32 S35:AF35">
    <cfRule type="expression" dxfId="7694" priority="221">
      <formula>S$9&gt;=20/24</formula>
    </cfRule>
    <cfRule type="expression" dxfId="7693" priority="222">
      <formula>AND(S$9&gt;=14/24,S$9&lt;20/24)</formula>
    </cfRule>
    <cfRule type="expression" dxfId="7692" priority="223">
      <formula>AND(S$9&gt;=8/24,S$9&lt;14/24)</formula>
    </cfRule>
    <cfRule type="expression" dxfId="7691" priority="224">
      <formula>S$9&lt;8/24</formula>
    </cfRule>
  </conditionalFormatting>
  <conditionalFormatting sqref="S42:V43 U43:Z43 S45:AF48">
    <cfRule type="expression" dxfId="7690" priority="217">
      <formula>S$9&gt;=20/24</formula>
    </cfRule>
    <cfRule type="expression" dxfId="7689" priority="218">
      <formula>AND(S$9&gt;=14/24,S$9&lt;20/24)</formula>
    </cfRule>
    <cfRule type="expression" dxfId="7688" priority="219">
      <formula>AND(S$9&gt;=8/24,S$9&lt;14/24)</formula>
    </cfRule>
    <cfRule type="expression" dxfId="7687" priority="220">
      <formula>S$9&lt;8/24</formula>
    </cfRule>
  </conditionalFormatting>
  <conditionalFormatting sqref="S49:AF49">
    <cfRule type="expression" dxfId="7686" priority="213">
      <formula>S$9&gt;=20/24</formula>
    </cfRule>
    <cfRule type="expression" dxfId="7685" priority="214">
      <formula>AND(S$9&gt;=14/24,S$9&lt;20/24)</formula>
    </cfRule>
    <cfRule type="expression" dxfId="7684" priority="215">
      <formula>AND(S$9&gt;=8/24,S$9&lt;14/24)</formula>
    </cfRule>
    <cfRule type="expression" dxfId="7683" priority="216">
      <formula>S$9&lt;8/24</formula>
    </cfRule>
  </conditionalFormatting>
  <conditionalFormatting sqref="S50:AF50">
    <cfRule type="expression" dxfId="7682" priority="209">
      <formula>S$9&gt;=20/24</formula>
    </cfRule>
    <cfRule type="expression" dxfId="7681" priority="210">
      <formula>AND(S$9&gt;=14/24,S$9&lt;20/24)</formula>
    </cfRule>
    <cfRule type="expression" dxfId="7680" priority="211">
      <formula>AND(S$9&gt;=8/24,S$9&lt;14/24)</formula>
    </cfRule>
    <cfRule type="expression" dxfId="7679" priority="212">
      <formula>S$9&lt;8/24</formula>
    </cfRule>
  </conditionalFormatting>
  <conditionalFormatting sqref="S60:T61 S62:U67 X60:AE61 V65:AB67 AC62:AF67">
    <cfRule type="expression" dxfId="7678" priority="205">
      <formula>S$9&gt;=20/24</formula>
    </cfRule>
    <cfRule type="expression" dxfId="7677" priority="206">
      <formula>AND(S$9&gt;=14/24,S$9&lt;20/24)</formula>
    </cfRule>
    <cfRule type="expression" dxfId="7676" priority="207">
      <formula>AND(S$9&gt;=8/24,S$9&lt;14/24)</formula>
    </cfRule>
    <cfRule type="expression" dxfId="7675" priority="208">
      <formula>S$9&lt;8/24</formula>
    </cfRule>
  </conditionalFormatting>
  <conditionalFormatting sqref="E62:M62">
    <cfRule type="expression" dxfId="7674" priority="201">
      <formula>E$9&gt;=20/24</formula>
    </cfRule>
    <cfRule type="expression" dxfId="7673" priority="202">
      <formula>AND(E$9&gt;=14/24,E$9&lt;20/24)</formula>
    </cfRule>
    <cfRule type="expression" dxfId="7672" priority="203">
      <formula>AND(E$9&gt;=8/24,E$9&lt;14/24)</formula>
    </cfRule>
    <cfRule type="expression" dxfId="7671" priority="204">
      <formula>E$9&lt;8/24</formula>
    </cfRule>
  </conditionalFormatting>
  <conditionalFormatting sqref="U94:AA97">
    <cfRule type="expression" dxfId="7670" priority="197">
      <formula>U$9&gt;=20/24</formula>
    </cfRule>
    <cfRule type="expression" dxfId="7669" priority="198">
      <formula>AND(U$9&gt;=14/24,U$9&lt;20/24)</formula>
    </cfRule>
    <cfRule type="expression" dxfId="7668" priority="199">
      <formula>AND(U$9&gt;=8/24,U$9&lt;14/24)</formula>
    </cfRule>
    <cfRule type="expression" dxfId="7667" priority="200">
      <formula>U$9&lt;8/24</formula>
    </cfRule>
  </conditionalFormatting>
  <conditionalFormatting sqref="AG51 K11:P11 B11:J32 K12:L32 B34:L36 M12:P12 Q11:Q12 R12 R11:AD11 S18:AB32 S34:AC36 B37:AC37 AC12:AD32 AE11:AF32 AD34:AF37 B38:AF56">
    <cfRule type="expression" dxfId="7666" priority="196">
      <formula>B11&gt;$AG11</formula>
    </cfRule>
  </conditionalFormatting>
  <conditionalFormatting sqref="A100:A156 A84:A97 A11:A14 A16:A32 A45:A72 A80:A82 A74:A78 A35:A43 A169:A199">
    <cfRule type="expression" dxfId="7665" priority="195">
      <formula>$AH11=0</formula>
    </cfRule>
  </conditionalFormatting>
  <conditionalFormatting sqref="U98:AA98">
    <cfRule type="expression" dxfId="7664" priority="191">
      <formula>U$9&gt;=20/24</formula>
    </cfRule>
    <cfRule type="expression" dxfId="7663" priority="192">
      <formula>AND(U$9&gt;=14/24,U$9&lt;20/24)</formula>
    </cfRule>
    <cfRule type="expression" dxfId="7662" priority="193">
      <formula>AND(U$9&gt;=8/24,U$9&lt;14/24)</formula>
    </cfRule>
    <cfRule type="expression" dxfId="7661" priority="194">
      <formula>U$9&lt;8/24</formula>
    </cfRule>
  </conditionalFormatting>
  <conditionalFormatting sqref="A98">
    <cfRule type="expression" dxfId="7660" priority="190">
      <formula>$AH98=0</formula>
    </cfRule>
  </conditionalFormatting>
  <conditionalFormatting sqref="E63:M67">
    <cfRule type="expression" dxfId="7659" priority="182">
      <formula>E$9&gt;=20/24</formula>
    </cfRule>
    <cfRule type="expression" dxfId="7658" priority="183">
      <formula>AND(E$9&gt;=14/24,E$9&lt;20/24)</formula>
    </cfRule>
    <cfRule type="expression" dxfId="7657" priority="184">
      <formula>AND(E$9&gt;=8/24,E$9&lt;14/24)</formula>
    </cfRule>
    <cfRule type="expression" dxfId="7656" priority="185">
      <formula>E$9&lt;8/24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C34:AF34">
    <cfRule type="expression" dxfId="7655" priority="173">
      <formula>AC$9&gt;=20/24</formula>
    </cfRule>
    <cfRule type="expression" dxfId="7654" priority="174">
      <formula>AND(AC$9&gt;=14/24,AC$9&lt;20/24)</formula>
    </cfRule>
    <cfRule type="expression" dxfId="7653" priority="175">
      <formula>AND(AC$9&gt;=8/24,AC$9&lt;14/24)</formula>
    </cfRule>
    <cfRule type="expression" dxfId="7652" priority="176">
      <formula>AC$9&lt;8/24</formula>
    </cfRule>
  </conditionalFormatting>
  <conditionalFormatting sqref="S34:AB34">
    <cfRule type="expression" dxfId="7651" priority="165">
      <formula>S$9&gt;=20/24</formula>
    </cfRule>
    <cfRule type="expression" dxfId="7650" priority="166">
      <formula>AND(S$9&gt;=14/24,S$9&lt;20/24)</formula>
    </cfRule>
    <cfRule type="expression" dxfId="7649" priority="167">
      <formula>AND(S$9&gt;=8/24,S$9&lt;14/24)</formula>
    </cfRule>
    <cfRule type="expression" dxfId="7648" priority="168">
      <formula>S$9&lt;8/24</formula>
    </cfRule>
  </conditionalFormatting>
  <conditionalFormatting sqref="A34">
    <cfRule type="expression" dxfId="7647" priority="164">
      <formula>$AH34=0</formula>
    </cfRule>
  </conditionalFormatting>
  <conditionalFormatting sqref="A83">
    <cfRule type="expression" dxfId="7646" priority="163">
      <formula>$AH83=0</formula>
    </cfRule>
  </conditionalFormatting>
  <conditionalFormatting sqref="AC15:AF15">
    <cfRule type="expression" dxfId="7645" priority="159">
      <formula>AC$9&gt;=20/24</formula>
    </cfRule>
    <cfRule type="expression" dxfId="7644" priority="160">
      <formula>AND(AC$9&gt;=14/24,AC$9&lt;20/24)</formula>
    </cfRule>
    <cfRule type="expression" dxfId="7643" priority="161">
      <formula>AND(AC$9&gt;=8/24,AC$9&lt;14/24)</formula>
    </cfRule>
    <cfRule type="expression" dxfId="7642" priority="162">
      <formula>AC$9&lt;8/24</formula>
    </cfRule>
  </conditionalFormatting>
  <conditionalFormatting sqref="A15">
    <cfRule type="expression" dxfId="7641" priority="153">
      <formula>$AH15=0</formula>
    </cfRule>
  </conditionalFormatting>
  <conditionalFormatting sqref="A163:A168">
    <cfRule type="expression" dxfId="7640" priority="152">
      <formula>$AH163=0</formula>
    </cfRule>
  </conditionalFormatting>
  <conditionalFormatting sqref="A157:A162">
    <cfRule type="expression" dxfId="7639" priority="151">
      <formula>$AH157=0</formula>
    </cfRule>
  </conditionalFormatting>
  <conditionalFormatting sqref="Z44:AF44">
    <cfRule type="expression" dxfId="7638" priority="147">
      <formula>Z$9&gt;=20/24</formula>
    </cfRule>
    <cfRule type="expression" dxfId="7637" priority="148">
      <formula>AND(Z$9&gt;=14/24,Z$9&lt;20/24)</formula>
    </cfRule>
    <cfRule type="expression" dxfId="7636" priority="149">
      <formula>AND(Z$9&gt;=8/24,Z$9&lt;14/24)</formula>
    </cfRule>
    <cfRule type="expression" dxfId="7635" priority="150">
      <formula>Z$9&lt;8/24</formula>
    </cfRule>
  </conditionalFormatting>
  <conditionalFormatting sqref="M44:R44">
    <cfRule type="expression" dxfId="7634" priority="143">
      <formula>M$9&gt;=20/24</formula>
    </cfRule>
    <cfRule type="expression" dxfId="7633" priority="144">
      <formula>AND(M$9&gt;=14/24,M$9&lt;20/24)</formula>
    </cfRule>
    <cfRule type="expression" dxfId="7632" priority="145">
      <formula>AND(M$9&gt;=8/24,M$9&lt;14/24)</formula>
    </cfRule>
    <cfRule type="expression" dxfId="7631" priority="146">
      <formula>M$9&lt;8/24</formula>
    </cfRule>
  </conditionalFormatting>
  <conditionalFormatting sqref="S44:AA44">
    <cfRule type="expression" dxfId="7630" priority="139">
      <formula>S$9&gt;=20/24</formula>
    </cfRule>
    <cfRule type="expression" dxfId="7629" priority="140">
      <formula>AND(S$9&gt;=14/24,S$9&lt;20/24)</formula>
    </cfRule>
    <cfRule type="expression" dxfId="7628" priority="141">
      <formula>AND(S$9&gt;=8/24,S$9&lt;14/24)</formula>
    </cfRule>
    <cfRule type="expression" dxfId="7627" priority="142">
      <formula>S$9&lt;8/24</formula>
    </cfRule>
  </conditionalFormatting>
  <conditionalFormatting sqref="A44">
    <cfRule type="expression" dxfId="7626" priority="138">
      <formula>$AH44=0</formula>
    </cfRule>
  </conditionalFormatting>
  <conditionalFormatting sqref="A79">
    <cfRule type="expression" dxfId="7625" priority="137">
      <formula>$AH79=0</formula>
    </cfRule>
  </conditionalFormatting>
  <conditionalFormatting sqref="A73">
    <cfRule type="expression" dxfId="7624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 V62:AB64">
    <cfRule type="expression" dxfId="7623" priority="132">
      <formula>U$9&gt;=20/24</formula>
    </cfRule>
    <cfRule type="expression" dxfId="7622" priority="133">
      <formula>AND(U$9&gt;=14/24,U$9&lt;20/24)</formula>
    </cfRule>
    <cfRule type="expression" dxfId="7621" priority="134">
      <formula>AND(U$9&gt;=8/24,U$9&lt;14/24)</formula>
    </cfRule>
    <cfRule type="expression" dxfId="7620" priority="135">
      <formula>U$9&lt;8/24</formula>
    </cfRule>
  </conditionalFormatting>
  <conditionalFormatting sqref="U85:W91">
    <cfRule type="expression" dxfId="7619" priority="128">
      <formula>U$9&gt;=20/24</formula>
    </cfRule>
    <cfRule type="expression" dxfId="7618" priority="129">
      <formula>AND(U$9&gt;=14/24,U$9&lt;20/24)</formula>
    </cfRule>
    <cfRule type="expression" dxfId="7617" priority="130">
      <formula>AND(U$9&gt;=8/24,U$9&lt;14/24)</formula>
    </cfRule>
    <cfRule type="expression" dxfId="7616" priority="131">
      <formula>U$9&lt;8/24</formula>
    </cfRule>
  </conditionalFormatting>
  <conditionalFormatting sqref="E84:R91 S85:T91">
    <cfRule type="expression" dxfId="7615" priority="124">
      <formula>E$9&gt;=20/24</formula>
    </cfRule>
    <cfRule type="expression" dxfId="7614" priority="125">
      <formula>AND(E$9&gt;=14/24,E$9&lt;20/24)</formula>
    </cfRule>
    <cfRule type="expression" dxfId="7613" priority="126">
      <formula>AND(E$9&gt;=8/24,E$9&lt;14/24)</formula>
    </cfRule>
    <cfRule type="expression" dxfId="7612" priority="127">
      <formula>E$9&lt;8/24</formula>
    </cfRule>
  </conditionalFormatting>
  <conditionalFormatting sqref="S84:T84">
    <cfRule type="expression" dxfId="7611" priority="120">
      <formula>S$9&gt;=20/24</formula>
    </cfRule>
    <cfRule type="expression" dxfId="7610" priority="121">
      <formula>AND(S$9&gt;=14/24,S$9&lt;20/24)</formula>
    </cfRule>
    <cfRule type="expression" dxfId="7609" priority="122">
      <formula>AND(S$9&gt;=8/24,S$9&lt;14/24)</formula>
    </cfRule>
    <cfRule type="expression" dxfId="7608" priority="123">
      <formula>S$9&lt;8/24</formula>
    </cfRule>
  </conditionalFormatting>
  <conditionalFormatting sqref="D95:M97 D94:F94">
    <cfRule type="expression" dxfId="7607" priority="116">
      <formula>D$9&gt;=20/24</formula>
    </cfRule>
    <cfRule type="expression" dxfId="7606" priority="117">
      <formula>AND(D$9&gt;=14/24,D$9&lt;20/24)</formula>
    </cfRule>
    <cfRule type="expression" dxfId="7605" priority="118">
      <formula>AND(D$9&gt;=8/24,D$9&lt;14/24)</formula>
    </cfRule>
    <cfRule type="expression" dxfId="7604" priority="119">
      <formula>D$9&lt;8/24</formula>
    </cfRule>
  </conditionalFormatting>
  <conditionalFormatting sqref="N95:R97 O94:R94">
    <cfRule type="expression" dxfId="7603" priority="112">
      <formula>N$9&gt;=20/24</formula>
    </cfRule>
    <cfRule type="expression" dxfId="7602" priority="113">
      <formula>AND(N$9&gt;=14/24,N$9&lt;20/24)</formula>
    </cfRule>
    <cfRule type="expression" dxfId="7601" priority="114">
      <formula>AND(N$9&gt;=8/24,N$9&lt;14/24)</formula>
    </cfRule>
    <cfRule type="expression" dxfId="7600" priority="115">
      <formula>N$9&lt;8/24</formula>
    </cfRule>
  </conditionalFormatting>
  <conditionalFormatting sqref="S94:T97">
    <cfRule type="expression" dxfId="7599" priority="108">
      <formula>S$9&gt;=20/24</formula>
    </cfRule>
    <cfRule type="expression" dxfId="7598" priority="109">
      <formula>AND(S$9&gt;=14/24,S$9&lt;20/24)</formula>
    </cfRule>
    <cfRule type="expression" dxfId="7597" priority="110">
      <formula>AND(S$9&gt;=8/24,S$9&lt;14/24)</formula>
    </cfRule>
    <cfRule type="expression" dxfId="7596" priority="111">
      <formula>S$9&lt;8/24</formula>
    </cfRule>
  </conditionalFormatting>
  <conditionalFormatting sqref="D98:M98">
    <cfRule type="expression" dxfId="7595" priority="104">
      <formula>D$9&gt;=20/24</formula>
    </cfRule>
    <cfRule type="expression" dxfId="7594" priority="105">
      <formula>AND(D$9&gt;=14/24,D$9&lt;20/24)</formula>
    </cfRule>
    <cfRule type="expression" dxfId="7593" priority="106">
      <formula>AND(D$9&gt;=8/24,D$9&lt;14/24)</formula>
    </cfRule>
    <cfRule type="expression" dxfId="7592" priority="107">
      <formula>D$9&lt;8/24</formula>
    </cfRule>
  </conditionalFormatting>
  <conditionalFormatting sqref="N98:R98">
    <cfRule type="expression" dxfId="7591" priority="100">
      <formula>N$9&gt;=20/24</formula>
    </cfRule>
    <cfRule type="expression" dxfId="7590" priority="101">
      <formula>AND(N$9&gt;=14/24,N$9&lt;20/24)</formula>
    </cfRule>
    <cfRule type="expression" dxfId="7589" priority="102">
      <formula>AND(N$9&gt;=8/24,N$9&lt;14/24)</formula>
    </cfRule>
    <cfRule type="expression" dxfId="7588" priority="103">
      <formula>N$9&lt;8/24</formula>
    </cfRule>
  </conditionalFormatting>
  <conditionalFormatting sqref="S98:T98">
    <cfRule type="expression" dxfId="7587" priority="96">
      <formula>S$9&gt;=20/24</formula>
    </cfRule>
    <cfRule type="expression" dxfId="7586" priority="97">
      <formula>AND(S$9&gt;=14/24,S$9&lt;20/24)</formula>
    </cfRule>
    <cfRule type="expression" dxfId="7585" priority="98">
      <formula>AND(S$9&gt;=8/24,S$9&lt;14/24)</formula>
    </cfRule>
    <cfRule type="expression" dxfId="7584" priority="99">
      <formula>S$9&lt;8/24</formula>
    </cfRule>
  </conditionalFormatting>
  <conditionalFormatting sqref="M94:N94">
    <cfRule type="expression" dxfId="7583" priority="92">
      <formula>M$9&gt;=20/24</formula>
    </cfRule>
    <cfRule type="expression" dxfId="7582" priority="93">
      <formula>AND(M$9&gt;=14/24,M$9&lt;20/24)</formula>
    </cfRule>
    <cfRule type="expression" dxfId="7581" priority="94">
      <formula>AND(M$9&gt;=8/24,M$9&lt;14/24)</formula>
    </cfRule>
    <cfRule type="expression" dxfId="7580" priority="95">
      <formula>M$9&lt;8/24</formula>
    </cfRule>
  </conditionalFormatting>
  <conditionalFormatting sqref="G94:L94">
    <cfRule type="expression" dxfId="7579" priority="88">
      <formula>G$9&gt;=20/24</formula>
    </cfRule>
    <cfRule type="expression" dxfId="7578" priority="89">
      <formula>AND(G$9&gt;=14/24,G$9&lt;20/24)</formula>
    </cfRule>
    <cfRule type="expression" dxfId="7577" priority="90">
      <formula>AND(G$9&gt;=8/24,G$9&lt;14/24)</formula>
    </cfRule>
    <cfRule type="expression" dxfId="7576" priority="91">
      <formula>G$9&lt;8/24</formula>
    </cfRule>
  </conditionalFormatting>
  <conditionalFormatting sqref="U94:W94">
    <cfRule type="expression" dxfId="7575" priority="84">
      <formula>U$9&gt;=20/24</formula>
    </cfRule>
    <cfRule type="expression" dxfId="7574" priority="85">
      <formula>AND(U$9&gt;=14/24,U$9&lt;20/24)</formula>
    </cfRule>
    <cfRule type="expression" dxfId="7573" priority="86">
      <formula>AND(U$9&gt;=8/24,U$9&lt;14/24)</formula>
    </cfRule>
    <cfRule type="expression" dxfId="7572" priority="87">
      <formula>U$9&lt;8/24</formula>
    </cfRule>
  </conditionalFormatting>
  <conditionalFormatting sqref="N94:T94">
    <cfRule type="expression" dxfId="7571" priority="80">
      <formula>N$9&gt;=20/24</formula>
    </cfRule>
    <cfRule type="expression" dxfId="7570" priority="81">
      <formula>AND(N$9&gt;=14/24,N$9&lt;20/24)</formula>
    </cfRule>
    <cfRule type="expression" dxfId="7569" priority="82">
      <formula>AND(N$9&gt;=8/24,N$9&lt;14/24)</formula>
    </cfRule>
    <cfRule type="expression" dxfId="7568" priority="83">
      <formula>N$9&lt;8/24</formula>
    </cfRule>
  </conditionalFormatting>
  <conditionalFormatting sqref="U99:AA99">
    <cfRule type="expression" dxfId="7567" priority="76">
      <formula>U$9&gt;=20/24</formula>
    </cfRule>
    <cfRule type="expression" dxfId="7566" priority="77">
      <formula>AND(U$9&gt;=14/24,U$9&lt;20/24)</formula>
    </cfRule>
    <cfRule type="expression" dxfId="7565" priority="78">
      <formula>AND(U$9&gt;=8/24,U$9&lt;14/24)</formula>
    </cfRule>
    <cfRule type="expression" dxfId="7564" priority="79">
      <formula>U$9&lt;8/24</formula>
    </cfRule>
  </conditionalFormatting>
  <conditionalFormatting sqref="D99:M99">
    <cfRule type="expression" dxfId="7563" priority="72">
      <formula>D$9&gt;=20/24</formula>
    </cfRule>
    <cfRule type="expression" dxfId="7562" priority="73">
      <formula>AND(D$9&gt;=14/24,D$9&lt;20/24)</formula>
    </cfRule>
    <cfRule type="expression" dxfId="7561" priority="74">
      <formula>AND(D$9&gt;=8/24,D$9&lt;14/24)</formula>
    </cfRule>
    <cfRule type="expression" dxfId="7560" priority="75">
      <formula>D$9&lt;8/24</formula>
    </cfRule>
  </conditionalFormatting>
  <conditionalFormatting sqref="N99:R99">
    <cfRule type="expression" dxfId="7559" priority="68">
      <formula>N$9&gt;=20/24</formula>
    </cfRule>
    <cfRule type="expression" dxfId="7558" priority="69">
      <formula>AND(N$9&gt;=14/24,N$9&lt;20/24)</formula>
    </cfRule>
    <cfRule type="expression" dxfId="7557" priority="70">
      <formula>AND(N$9&gt;=8/24,N$9&lt;14/24)</formula>
    </cfRule>
    <cfRule type="expression" dxfId="7556" priority="71">
      <formula>N$9&lt;8/24</formula>
    </cfRule>
  </conditionalFormatting>
  <conditionalFormatting sqref="S99:T99">
    <cfRule type="expression" dxfId="7555" priority="64">
      <formula>S$9&gt;=20/24</formula>
    </cfRule>
    <cfRule type="expression" dxfId="7554" priority="65">
      <formula>AND(S$9&gt;=14/24,S$9&lt;20/24)</formula>
    </cfRule>
    <cfRule type="expression" dxfId="7553" priority="66">
      <formula>AND(S$9&gt;=8/24,S$9&lt;14/24)</formula>
    </cfRule>
    <cfRule type="expression" dxfId="7552" priority="67">
      <formula>S$9&lt;8/24</formula>
    </cfRule>
  </conditionalFormatting>
  <conditionalFormatting sqref="S12:AB16">
    <cfRule type="expression" dxfId="7551" priority="60">
      <formula>S$9&gt;=20/24</formula>
    </cfRule>
    <cfRule type="expression" dxfId="7550" priority="61">
      <formula>AND(S$9&gt;=14/24,S$9&lt;20/24)</formula>
    </cfRule>
    <cfRule type="expression" dxfId="7549" priority="62">
      <formula>AND(S$9&gt;=8/24,S$9&lt;14/24)</formula>
    </cfRule>
    <cfRule type="expression" dxfId="7548" priority="63">
      <formula>S$9&lt;8/24</formula>
    </cfRule>
  </conditionalFormatting>
  <conditionalFormatting sqref="S17:AB17">
    <cfRule type="expression" dxfId="7547" priority="56">
      <formula>S$9&gt;=20/24</formula>
    </cfRule>
    <cfRule type="expression" dxfId="7546" priority="57">
      <formula>AND(S$9&gt;=14/24,S$9&lt;20/24)</formula>
    </cfRule>
    <cfRule type="expression" dxfId="7545" priority="58">
      <formula>AND(S$9&gt;=8/24,S$9&lt;14/24)</formula>
    </cfRule>
    <cfRule type="expression" dxfId="7544" priority="59">
      <formula>S$9&lt;8/24</formula>
    </cfRule>
  </conditionalFormatting>
  <conditionalFormatting sqref="S12:AB13">
    <cfRule type="expression" dxfId="7543" priority="52">
      <formula>S$9&gt;=20/24</formula>
    </cfRule>
    <cfRule type="expression" dxfId="7542" priority="53">
      <formula>AND(S$9&gt;=14/24,S$9&lt;20/24)</formula>
    </cfRule>
    <cfRule type="expression" dxfId="7541" priority="54">
      <formula>AND(S$9&gt;=8/24,S$9&lt;14/24)</formula>
    </cfRule>
    <cfRule type="expression" dxfId="7540" priority="55">
      <formula>S$9&lt;8/24</formula>
    </cfRule>
  </conditionalFormatting>
  <conditionalFormatting sqref="AB58:AE59">
    <cfRule type="expression" dxfId="7539" priority="48">
      <formula>AB$9&gt;=20/24</formula>
    </cfRule>
    <cfRule type="expression" dxfId="7538" priority="49">
      <formula>AND(AB$9&gt;=14/24,AB$9&lt;20/24)</formula>
    </cfRule>
    <cfRule type="expression" dxfId="7537" priority="50">
      <formula>AND(AB$9&gt;=8/24,AB$9&lt;14/24)</formula>
    </cfRule>
    <cfRule type="expression" dxfId="7536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535" priority="281">
      <formula>C$9&gt;=20/24</formula>
    </cfRule>
    <cfRule type="expression" dxfId="7534" priority="282">
      <formula>AND(C$9&gt;=14/24,C$9&lt;20/24)</formula>
    </cfRule>
    <cfRule type="expression" dxfId="7533" priority="283">
      <formula>AND(C$9&gt;=8/24,C$9&lt;14/24)</formula>
    </cfRule>
    <cfRule type="expression" dxfId="7532" priority="284">
      <formula>C$9&lt;8/24</formula>
    </cfRule>
  </conditionalFormatting>
  <conditionalFormatting sqref="A200">
    <cfRule type="expression" dxfId="7531" priority="285">
      <formula>$AH200=0</formula>
    </cfRule>
  </conditionalFormatting>
  <conditionalFormatting sqref="AG212">
    <cfRule type="expression" dxfId="7530" priority="286">
      <formula>B$9&gt;=20/24</formula>
    </cfRule>
    <cfRule type="expression" dxfId="7529" priority="287">
      <formula>AND(B$9&gt;=14/24,B$9&lt;20/24)</formula>
    </cfRule>
    <cfRule type="expression" dxfId="7528" priority="288">
      <formula>AND(B$9&gt;=8/24,B$9&lt;14/24)</formula>
    </cfRule>
    <cfRule type="expression" dxfId="7527" priority="289">
      <formula>B$9&lt;8/24</formula>
    </cfRule>
  </conditionalFormatting>
  <conditionalFormatting sqref="S8">
    <cfRule type="expression" dxfId="7526" priority="42">
      <formula>U$9&gt;=20/24</formula>
    </cfRule>
    <cfRule type="expression" dxfId="7525" priority="43">
      <formula>AND(U$9&gt;=14/24,U$9&lt;20/24)</formula>
    </cfRule>
    <cfRule type="expression" dxfId="7524" priority="44">
      <formula>AND(U$9&gt;=8/24,U$9&lt;14/24)</formula>
    </cfRule>
    <cfRule type="expression" dxfId="7523" priority="45">
      <formula>U$9&lt;8/24</formula>
    </cfRule>
  </conditionalFormatting>
  <conditionalFormatting sqref="AB8">
    <cfRule type="expression" dxfId="7522" priority="38">
      <formula>AD$9&gt;=20/24</formula>
    </cfRule>
    <cfRule type="expression" dxfId="7521" priority="39">
      <formula>AND(AD$9&gt;=14/24,AD$9&lt;20/24)</formula>
    </cfRule>
    <cfRule type="expression" dxfId="7520" priority="40">
      <formula>AND(AD$9&gt;=8/24,AD$9&lt;14/24)</formula>
    </cfRule>
    <cfRule type="expression" dxfId="7519" priority="41">
      <formula>AD$9&lt;8/24</formula>
    </cfRule>
  </conditionalFormatting>
  <conditionalFormatting sqref="AH212:AX212">
    <cfRule type="expression" dxfId="7518" priority="290">
      <formula>AG$9&gt;=20/24</formula>
    </cfRule>
    <cfRule type="expression" dxfId="7517" priority="291">
      <formula>AND(AG$9&gt;=14/24,AG$9&lt;20/24)</formula>
    </cfRule>
    <cfRule type="expression" dxfId="7516" priority="292">
      <formula>AND(AG$9&gt;=8/24,AG$9&lt;14/24)</formula>
    </cfRule>
    <cfRule type="expression" dxfId="7515" priority="293">
      <formula>AG$9&lt;8/24</formula>
    </cfRule>
  </conditionalFormatting>
  <conditionalFormatting sqref="T212">
    <cfRule type="expression" dxfId="7514" priority="294">
      <formula>AX$9&gt;=20/24</formula>
    </cfRule>
    <cfRule type="expression" dxfId="7513" priority="295">
      <formula>AND(AX$9&gt;=14/24,AX$9&lt;20/24)</formula>
    </cfRule>
    <cfRule type="expression" dxfId="7512" priority="296">
      <formula>AND(AX$9&gt;=8/24,AX$9&lt;14/24)</formula>
    </cfRule>
    <cfRule type="expression" dxfId="7511" priority="297">
      <formula>AX$9&lt;8/24</formula>
    </cfRule>
  </conditionalFormatting>
  <conditionalFormatting sqref="A99">
    <cfRule type="expression" dxfId="7510" priority="37">
      <formula>$AH99=0</formula>
    </cfRule>
  </conditionalFormatting>
  <conditionalFormatting sqref="AC33:AF33">
    <cfRule type="expression" dxfId="7509" priority="29">
      <formula>AC$9&gt;=20/24</formula>
    </cfRule>
    <cfRule type="expression" dxfId="7508" priority="30">
      <formula>AND(AC$9&gt;=14/24,AC$9&lt;20/24)</formula>
    </cfRule>
    <cfRule type="expression" dxfId="7507" priority="31">
      <formula>AND(AC$9&gt;=8/24,AC$9&lt;14/24)</formula>
    </cfRule>
    <cfRule type="expression" dxfId="7506" priority="32">
      <formula>AC$9&lt;8/24</formula>
    </cfRule>
  </conditionalFormatting>
  <conditionalFormatting sqref="S33:AB33">
    <cfRule type="expression" dxfId="7505" priority="25">
      <formula>S$9&gt;=20/24</formula>
    </cfRule>
    <cfRule type="expression" dxfId="7504" priority="26">
      <formula>AND(S$9&gt;=14/24,S$9&lt;20/24)</formula>
    </cfRule>
    <cfRule type="expression" dxfId="7503" priority="27">
      <formula>AND(S$9&gt;=8/24,S$9&lt;14/24)</formula>
    </cfRule>
    <cfRule type="expression" dxfId="7502" priority="28">
      <formula>S$9&lt;8/24</formula>
    </cfRule>
  </conditionalFormatting>
  <conditionalFormatting sqref="B33:L33 S33:AF33">
    <cfRule type="expression" dxfId="7501" priority="24">
      <formula>B33&gt;$AG33</formula>
    </cfRule>
  </conditionalFormatting>
  <conditionalFormatting sqref="M16:R32 M13:R14 M36:R36">
    <cfRule type="expression" dxfId="7500" priority="20">
      <formula>M$9&gt;=20/24</formula>
    </cfRule>
    <cfRule type="expression" dxfId="7499" priority="21">
      <formula>AND(M$9&gt;=14/24,M$9&lt;20/24)</formula>
    </cfRule>
    <cfRule type="expression" dxfId="7498" priority="22">
      <formula>AND(M$9&gt;=8/24,M$9&lt;14/24)</formula>
    </cfRule>
    <cfRule type="expression" dxfId="7497" priority="23">
      <formula>M$9&lt;8/24</formula>
    </cfRule>
  </conditionalFormatting>
  <conditionalFormatting sqref="M35:R35">
    <cfRule type="expression" dxfId="7496" priority="16">
      <formula>M$9&gt;=20/24</formula>
    </cfRule>
    <cfRule type="expression" dxfId="7495" priority="17">
      <formula>AND(M$9&gt;=14/24,M$9&lt;20/24)</formula>
    </cfRule>
    <cfRule type="expression" dxfId="7494" priority="18">
      <formula>AND(M$9&gt;=8/24,M$9&lt;14/24)</formula>
    </cfRule>
    <cfRule type="expression" dxfId="7493" priority="19">
      <formula>M$9&lt;8/24</formula>
    </cfRule>
  </conditionalFormatting>
  <conditionalFormatting sqref="M16:R32 M13:R14 M34:R36">
    <cfRule type="expression" dxfId="7492" priority="15">
      <formula>M13&gt;$AG13</formula>
    </cfRule>
  </conditionalFormatting>
  <conditionalFormatting sqref="M34:R34">
    <cfRule type="expression" dxfId="7491" priority="11">
      <formula>M$9&gt;=20/24</formula>
    </cfRule>
    <cfRule type="expression" dxfId="7490" priority="12">
      <formula>AND(M$9&gt;=14/24,M$9&lt;20/24)</formula>
    </cfRule>
    <cfRule type="expression" dxfId="7489" priority="13">
      <formula>AND(M$9&gt;=8/24,M$9&lt;14/24)</formula>
    </cfRule>
    <cfRule type="expression" dxfId="7488" priority="14">
      <formula>M$9&lt;8/24</formula>
    </cfRule>
  </conditionalFormatting>
  <conditionalFormatting sqref="M15:R15">
    <cfRule type="expression" dxfId="7487" priority="7">
      <formula>M$9&gt;=20/24</formula>
    </cfRule>
    <cfRule type="expression" dxfId="7486" priority="8">
      <formula>AND(M$9&gt;=14/24,M$9&lt;20/24)</formula>
    </cfRule>
    <cfRule type="expression" dxfId="7485" priority="9">
      <formula>AND(M$9&gt;=8/24,M$9&lt;14/24)</formula>
    </cfRule>
    <cfRule type="expression" dxfId="7484" priority="10">
      <formula>M$9&lt;8/24</formula>
    </cfRule>
  </conditionalFormatting>
  <conditionalFormatting sqref="M15:R15">
    <cfRule type="expression" dxfId="7483" priority="6">
      <formula>M15&gt;$AG15</formula>
    </cfRule>
  </conditionalFormatting>
  <conditionalFormatting sqref="M33:R33">
    <cfRule type="expression" dxfId="7482" priority="2">
      <formula>M$9&gt;=20/24</formula>
    </cfRule>
    <cfRule type="expression" dxfId="7481" priority="3">
      <formula>AND(M$9&gt;=14/24,M$9&lt;20/24)</formula>
    </cfRule>
    <cfRule type="expression" dxfId="7480" priority="4">
      <formula>AND(M$9&gt;=8/24,M$9&lt;14/24)</formula>
    </cfRule>
    <cfRule type="expression" dxfId="7479" priority="5">
      <formula>M$9&lt;8/24</formula>
    </cfRule>
  </conditionalFormatting>
  <conditionalFormatting sqref="M33:R33">
    <cfRule type="expression" dxfId="7478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FA23A713-15D9-45D8-8149-0098F920E67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K59" sqref="K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2078/11/6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450.22</v>
      </c>
      <c r="C5" s="32">
        <f t="shared" si="0"/>
        <v>445.78999999999996</v>
      </c>
      <c r="D5" s="32">
        <f t="shared" si="0"/>
        <v>412.6</v>
      </c>
      <c r="E5" s="32">
        <f t="shared" si="0"/>
        <v>407.2</v>
      </c>
      <c r="F5" s="32">
        <f t="shared" si="0"/>
        <v>489.8</v>
      </c>
      <c r="G5" s="32">
        <f t="shared" si="0"/>
        <v>496.3</v>
      </c>
      <c r="H5" s="32">
        <f t="shared" si="0"/>
        <v>434.3</v>
      </c>
      <c r="I5" s="32">
        <f t="shared" si="0"/>
        <v>425.71</v>
      </c>
      <c r="J5" s="32">
        <f t="shared" si="0"/>
        <v>306.60000000000002</v>
      </c>
      <c r="K5" s="32">
        <f t="shared" si="0"/>
        <v>349.48</v>
      </c>
      <c r="L5" s="32">
        <f t="shared" si="0"/>
        <v>306</v>
      </c>
      <c r="M5" s="32">
        <f t="shared" si="0"/>
        <v>426.29999999999995</v>
      </c>
      <c r="N5" s="32">
        <f t="shared" si="0"/>
        <v>542.59999999999991</v>
      </c>
      <c r="O5" s="32">
        <f t="shared" si="0"/>
        <v>517.09999999999991</v>
      </c>
      <c r="P5" s="32">
        <f t="shared" si="0"/>
        <v>516.35</v>
      </c>
      <c r="Q5" s="32">
        <f t="shared" si="0"/>
        <v>522.5</v>
      </c>
      <c r="R5" s="32">
        <f t="shared" si="0"/>
        <v>547.70000000000005</v>
      </c>
      <c r="S5" s="32">
        <f t="shared" si="0"/>
        <v>530.5</v>
      </c>
      <c r="T5" s="32">
        <f t="shared" si="0"/>
        <v>540.1</v>
      </c>
      <c r="U5" s="32">
        <f t="shared" si="0"/>
        <v>525.58000000000004</v>
      </c>
      <c r="V5" s="32">
        <f t="shared" si="0"/>
        <v>556.79999999999995</v>
      </c>
      <c r="W5" s="32">
        <f t="shared" si="0"/>
        <v>539.09</v>
      </c>
      <c r="X5" s="32">
        <f t="shared" si="0"/>
        <v>503.72</v>
      </c>
      <c r="Y5" s="32">
        <f t="shared" si="0"/>
        <v>497.87</v>
      </c>
      <c r="Z5" s="32">
        <f t="shared" si="0"/>
        <v>468.77</v>
      </c>
      <c r="AA5" s="32">
        <f t="shared" si="0"/>
        <v>442.23999999999995</v>
      </c>
      <c r="AB5" s="32">
        <f t="shared" si="0"/>
        <v>433.6</v>
      </c>
      <c r="AC5" s="32">
        <f t="shared" si="0"/>
        <v>510</v>
      </c>
      <c r="AD5" s="32">
        <f t="shared" si="0"/>
        <v>485</v>
      </c>
      <c r="AE5" s="32">
        <f t="shared" si="0"/>
        <v>426</v>
      </c>
      <c r="AF5" s="32">
        <f>B68</f>
        <v>463.05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1437MW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Load=926</v>
      </c>
      <c r="B7" s="37">
        <f>B75</f>
        <v>951.68999999999994</v>
      </c>
      <c r="C7" s="37">
        <f t="shared" ref="C7:AF7" si="1">C75</f>
        <v>953.36</v>
      </c>
      <c r="D7" s="37">
        <f t="shared" si="1"/>
        <v>955.2299999999999</v>
      </c>
      <c r="E7" s="37">
        <f t="shared" si="1"/>
        <v>932.04</v>
      </c>
      <c r="F7" s="37">
        <f t="shared" si="1"/>
        <v>926.24</v>
      </c>
      <c r="G7" s="37">
        <f t="shared" si="1"/>
        <v>1008.14</v>
      </c>
      <c r="H7" s="37">
        <f t="shared" si="1"/>
        <v>1049.1399999999999</v>
      </c>
      <c r="I7" s="37">
        <f t="shared" si="1"/>
        <v>1165.24</v>
      </c>
      <c r="J7" s="37">
        <f t="shared" si="1"/>
        <v>1271.9499999999998</v>
      </c>
      <c r="K7" s="37">
        <f t="shared" si="1"/>
        <v>1409.6400000000003</v>
      </c>
      <c r="L7" s="37">
        <f t="shared" si="1"/>
        <v>1437.32</v>
      </c>
      <c r="M7" s="37">
        <f t="shared" si="1"/>
        <v>1368.04</v>
      </c>
      <c r="N7" s="37">
        <f t="shared" si="1"/>
        <v>1350.94</v>
      </c>
      <c r="O7" s="37">
        <f t="shared" si="1"/>
        <v>1329.04</v>
      </c>
      <c r="P7" s="37">
        <f t="shared" si="1"/>
        <v>1284.3399999999999</v>
      </c>
      <c r="Q7" s="37">
        <f t="shared" si="1"/>
        <v>1211.8899999999999</v>
      </c>
      <c r="R7" s="37">
        <f t="shared" si="1"/>
        <v>1137.54</v>
      </c>
      <c r="S7" s="37">
        <f t="shared" si="1"/>
        <v>1172.24</v>
      </c>
      <c r="T7" s="37">
        <f t="shared" si="1"/>
        <v>1151.8399999999999</v>
      </c>
      <c r="U7" s="37">
        <f t="shared" si="1"/>
        <v>1177.1399999999999</v>
      </c>
      <c r="V7" s="37">
        <f t="shared" si="1"/>
        <v>1183.82</v>
      </c>
      <c r="W7" s="37">
        <f t="shared" si="1"/>
        <v>1192.94</v>
      </c>
      <c r="X7" s="37">
        <f t="shared" si="1"/>
        <v>1301.43</v>
      </c>
      <c r="Y7" s="37">
        <f t="shared" si="1"/>
        <v>1494.7599999999998</v>
      </c>
      <c r="Z7" s="37">
        <f t="shared" si="1"/>
        <v>1463.21</v>
      </c>
      <c r="AA7" s="37">
        <f t="shared" si="1"/>
        <v>1394.11</v>
      </c>
      <c r="AB7" s="37">
        <f t="shared" si="1"/>
        <v>1344.28</v>
      </c>
      <c r="AC7" s="37">
        <f t="shared" si="1"/>
        <v>1298.74</v>
      </c>
      <c r="AD7" s="37">
        <f t="shared" si="1"/>
        <v>1253.1399999999999</v>
      </c>
      <c r="AE7" s="37">
        <f t="shared" si="1"/>
        <v>1074.1399999999999</v>
      </c>
      <c r="AF7" s="37">
        <f t="shared" si="1"/>
        <v>1005.14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12</v>
      </c>
      <c r="C11" s="50">
        <v>12</v>
      </c>
      <c r="D11" s="50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150</v>
      </c>
      <c r="J11" s="49">
        <v>150</v>
      </c>
      <c r="K11" s="49">
        <v>330</v>
      </c>
      <c r="L11" s="49">
        <v>280</v>
      </c>
      <c r="M11" s="50">
        <v>250</v>
      </c>
      <c r="N11" s="50">
        <v>100</v>
      </c>
      <c r="O11" s="50">
        <v>12</v>
      </c>
      <c r="P11" s="50">
        <v>12</v>
      </c>
      <c r="Q11" s="50">
        <v>12</v>
      </c>
      <c r="R11" s="51">
        <v>12</v>
      </c>
      <c r="S11" s="50">
        <v>12</v>
      </c>
      <c r="T11" s="50">
        <v>40</v>
      </c>
      <c r="U11" s="50">
        <v>30</v>
      </c>
      <c r="V11" s="50">
        <v>30</v>
      </c>
      <c r="W11" s="50">
        <v>10</v>
      </c>
      <c r="X11" s="50">
        <v>24</v>
      </c>
      <c r="Y11" s="50">
        <v>170</v>
      </c>
      <c r="Z11" s="50">
        <v>140</v>
      </c>
      <c r="AA11" s="50">
        <v>110</v>
      </c>
      <c r="AB11" s="50">
        <v>130</v>
      </c>
      <c r="AC11" s="50">
        <v>120</v>
      </c>
      <c r="AD11" s="50">
        <v>30</v>
      </c>
      <c r="AE11" s="50">
        <v>12</v>
      </c>
      <c r="AF11" s="50">
        <v>40</v>
      </c>
      <c r="AG11" s="53">
        <v>456</v>
      </c>
      <c r="AH11" s="54">
        <f>MAX(B11:AF11)</f>
        <v>330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31</v>
      </c>
      <c r="C12" s="50">
        <v>31</v>
      </c>
      <c r="D12" s="50">
        <v>31</v>
      </c>
      <c r="E12" s="50">
        <v>31</v>
      </c>
      <c r="F12" s="50">
        <v>31</v>
      </c>
      <c r="G12" s="50">
        <v>31</v>
      </c>
      <c r="H12" s="50">
        <v>31</v>
      </c>
      <c r="I12" s="50">
        <v>31</v>
      </c>
      <c r="J12" s="50">
        <v>31</v>
      </c>
      <c r="K12" s="50">
        <v>31</v>
      </c>
      <c r="L12" s="50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8">
        <v>31</v>
      </c>
      <c r="AA12" s="58">
        <v>31</v>
      </c>
      <c r="AB12" s="58">
        <v>31</v>
      </c>
      <c r="AC12" s="58">
        <v>31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18.3</v>
      </c>
      <c r="C13" s="50">
        <v>18.3</v>
      </c>
      <c r="D13" s="50">
        <v>18.3</v>
      </c>
      <c r="E13" s="50">
        <v>18.3</v>
      </c>
      <c r="F13" s="50">
        <v>18.3</v>
      </c>
      <c r="G13" s="50">
        <v>18.3</v>
      </c>
      <c r="H13" s="50">
        <v>18.3</v>
      </c>
      <c r="I13" s="50">
        <v>18.3</v>
      </c>
      <c r="J13" s="50">
        <v>18.3</v>
      </c>
      <c r="K13" s="50">
        <v>18.3</v>
      </c>
      <c r="L13" s="50">
        <v>18.3</v>
      </c>
      <c r="M13" s="50">
        <v>18.3</v>
      </c>
      <c r="N13" s="50">
        <v>18.3</v>
      </c>
      <c r="O13" s="50">
        <v>18.3</v>
      </c>
      <c r="P13" s="50">
        <v>18.3</v>
      </c>
      <c r="Q13" s="50">
        <v>15.5</v>
      </c>
      <c r="R13" s="50">
        <v>15.5</v>
      </c>
      <c r="S13" s="50">
        <v>15.5</v>
      </c>
      <c r="T13" s="50">
        <v>15.5</v>
      </c>
      <c r="U13" s="50">
        <v>15.5</v>
      </c>
      <c r="V13" s="50">
        <v>15.5</v>
      </c>
      <c r="W13" s="50">
        <v>15.5</v>
      </c>
      <c r="X13" s="50">
        <v>15.5</v>
      </c>
      <c r="Y13" s="50">
        <v>15.5</v>
      </c>
      <c r="Z13" s="58">
        <v>15.5</v>
      </c>
      <c r="AA13" s="58">
        <v>15.5</v>
      </c>
      <c r="AB13" s="58">
        <v>17.7</v>
      </c>
      <c r="AC13" s="58">
        <v>17.7</v>
      </c>
      <c r="AD13" s="58">
        <v>17.7</v>
      </c>
      <c r="AE13" s="58">
        <v>17.7</v>
      </c>
      <c r="AF13" s="58">
        <v>17.7</v>
      </c>
      <c r="AG13" s="59">
        <v>52.4</v>
      </c>
      <c r="AH13" s="54">
        <f t="shared" si="2"/>
        <v>18.3</v>
      </c>
      <c r="AI13" s="55">
        <f t="shared" si="3"/>
        <v>15.5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35.1</v>
      </c>
      <c r="C14" s="50">
        <v>35.1</v>
      </c>
      <c r="D14" s="50">
        <v>35.1</v>
      </c>
      <c r="E14" s="50">
        <v>35.1</v>
      </c>
      <c r="F14" s="50">
        <v>35.1</v>
      </c>
      <c r="G14" s="50">
        <v>35.1</v>
      </c>
      <c r="H14" s="50">
        <v>35.1</v>
      </c>
      <c r="I14" s="50">
        <v>35.1</v>
      </c>
      <c r="J14" s="50">
        <v>35.1</v>
      </c>
      <c r="K14" s="50">
        <v>35.1</v>
      </c>
      <c r="L14" s="50">
        <v>35.1</v>
      </c>
      <c r="M14" s="50">
        <v>35.1</v>
      </c>
      <c r="N14" s="50">
        <v>35.1</v>
      </c>
      <c r="O14" s="50">
        <v>35.1</v>
      </c>
      <c r="P14" s="50">
        <v>35.1</v>
      </c>
      <c r="Q14" s="50">
        <v>34.9</v>
      </c>
      <c r="R14" s="50">
        <v>34.9</v>
      </c>
      <c r="S14" s="50">
        <v>34.9</v>
      </c>
      <c r="T14" s="50">
        <v>34.9</v>
      </c>
      <c r="U14" s="50">
        <v>34.9</v>
      </c>
      <c r="V14" s="50">
        <v>34.9</v>
      </c>
      <c r="W14" s="50">
        <v>34.9</v>
      </c>
      <c r="X14" s="50">
        <v>34.9</v>
      </c>
      <c r="Y14" s="50">
        <v>34.9</v>
      </c>
      <c r="Z14" s="60">
        <v>34.9</v>
      </c>
      <c r="AA14" s="60">
        <v>34.9</v>
      </c>
      <c r="AB14" s="60">
        <v>34.1</v>
      </c>
      <c r="AC14" s="60">
        <v>34.1</v>
      </c>
      <c r="AD14" s="60">
        <v>34.1</v>
      </c>
      <c r="AE14" s="60">
        <v>34.1</v>
      </c>
      <c r="AF14" s="60">
        <v>34.1</v>
      </c>
      <c r="AG14" s="59">
        <v>50</v>
      </c>
      <c r="AH14" s="54">
        <f t="shared" si="2"/>
        <v>35.1</v>
      </c>
      <c r="AI14" s="55">
        <f t="shared" si="3"/>
        <v>34.1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21</v>
      </c>
      <c r="C15" s="50">
        <v>21</v>
      </c>
      <c r="D15" s="50">
        <v>21</v>
      </c>
      <c r="E15" s="50">
        <v>21</v>
      </c>
      <c r="F15" s="50">
        <v>21</v>
      </c>
      <c r="G15" s="50">
        <v>21</v>
      </c>
      <c r="H15" s="50">
        <v>21</v>
      </c>
      <c r="I15" s="50">
        <v>21</v>
      </c>
      <c r="J15" s="50">
        <v>21</v>
      </c>
      <c r="K15" s="50">
        <v>21</v>
      </c>
      <c r="L15" s="50">
        <v>21</v>
      </c>
      <c r="M15" s="50">
        <v>21</v>
      </c>
      <c r="N15" s="50">
        <v>21</v>
      </c>
      <c r="O15" s="50">
        <v>21</v>
      </c>
      <c r="P15" s="50">
        <v>21</v>
      </c>
      <c r="Q15" s="50">
        <v>19.7</v>
      </c>
      <c r="R15" s="50">
        <v>19.7</v>
      </c>
      <c r="S15" s="50">
        <v>19.7</v>
      </c>
      <c r="T15" s="50">
        <v>19.7</v>
      </c>
      <c r="U15" s="50">
        <v>19.7</v>
      </c>
      <c r="V15" s="50">
        <v>19.7</v>
      </c>
      <c r="W15" s="50">
        <v>19.7</v>
      </c>
      <c r="X15" s="50">
        <v>19.7</v>
      </c>
      <c r="Y15" s="50">
        <v>19.7</v>
      </c>
      <c r="Z15" s="60">
        <v>19.7</v>
      </c>
      <c r="AA15" s="60">
        <v>19.7</v>
      </c>
      <c r="AB15" s="60">
        <v>19.7</v>
      </c>
      <c r="AC15" s="60">
        <v>19.7</v>
      </c>
      <c r="AD15" s="60">
        <v>19.7</v>
      </c>
      <c r="AE15" s="60">
        <v>19.7</v>
      </c>
      <c r="AF15" s="60">
        <v>19.7</v>
      </c>
      <c r="AG15" s="62">
        <v>45</v>
      </c>
      <c r="AH15" s="54">
        <f t="shared" si="2"/>
        <v>21</v>
      </c>
      <c r="AI15" s="55">
        <f t="shared" si="3"/>
        <v>19.7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63">
        <v>10</v>
      </c>
      <c r="AA16" s="63">
        <v>10</v>
      </c>
      <c r="AB16" s="63">
        <v>10</v>
      </c>
      <c r="AC16" s="63">
        <v>10</v>
      </c>
      <c r="AD16" s="63">
        <v>10</v>
      </c>
      <c r="AE16" s="63">
        <v>10</v>
      </c>
      <c r="AF16" s="63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7.5</v>
      </c>
      <c r="C17" s="50">
        <v>7.5</v>
      </c>
      <c r="D17" s="50">
        <v>7.5</v>
      </c>
      <c r="E17" s="50">
        <v>7.5</v>
      </c>
      <c r="F17" s="50">
        <v>7.5</v>
      </c>
      <c r="G17" s="50">
        <v>7.5</v>
      </c>
      <c r="H17" s="50">
        <v>7.5</v>
      </c>
      <c r="I17" s="50">
        <v>7.5</v>
      </c>
      <c r="J17" s="50">
        <v>7.5</v>
      </c>
      <c r="K17" s="50">
        <v>7.5</v>
      </c>
      <c r="L17" s="50">
        <v>7.5</v>
      </c>
      <c r="M17" s="50">
        <v>7.5</v>
      </c>
      <c r="N17" s="50">
        <v>7.5</v>
      </c>
      <c r="O17" s="50">
        <v>7.5</v>
      </c>
      <c r="P17" s="50">
        <v>7.5</v>
      </c>
      <c r="Q17" s="50">
        <v>7.5</v>
      </c>
      <c r="R17" s="50">
        <v>7.5</v>
      </c>
      <c r="S17" s="50">
        <v>7.5</v>
      </c>
      <c r="T17" s="50">
        <v>7.5</v>
      </c>
      <c r="U17" s="50">
        <v>7.5</v>
      </c>
      <c r="V17" s="50">
        <v>7.5</v>
      </c>
      <c r="W17" s="50">
        <v>7.5</v>
      </c>
      <c r="X17" s="50">
        <v>7.5</v>
      </c>
      <c r="Y17" s="50">
        <v>7.5</v>
      </c>
      <c r="Z17" s="60">
        <v>7.5</v>
      </c>
      <c r="AA17" s="60">
        <v>7.5</v>
      </c>
      <c r="AB17" s="60">
        <v>7.5</v>
      </c>
      <c r="AC17" s="60">
        <v>7.5</v>
      </c>
      <c r="AD17" s="60">
        <v>7.5</v>
      </c>
      <c r="AE17" s="60">
        <v>7.5</v>
      </c>
      <c r="AF17" s="60">
        <v>7.5</v>
      </c>
      <c r="AG17" s="59">
        <v>42</v>
      </c>
      <c r="AH17" s="54">
        <f t="shared" si="2"/>
        <v>7.5</v>
      </c>
      <c r="AI17" s="55">
        <f t="shared" si="3"/>
        <v>7.5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9.1</v>
      </c>
      <c r="C19" s="50">
        <v>9.1</v>
      </c>
      <c r="D19" s="50">
        <v>9.1</v>
      </c>
      <c r="E19" s="50">
        <v>9.1</v>
      </c>
      <c r="F19" s="50">
        <v>9.1</v>
      </c>
      <c r="G19" s="50">
        <v>9.1</v>
      </c>
      <c r="H19" s="50">
        <v>9.1</v>
      </c>
      <c r="I19" s="50">
        <v>9.1</v>
      </c>
      <c r="J19" s="50">
        <v>9.1</v>
      </c>
      <c r="K19" s="50">
        <v>9.1</v>
      </c>
      <c r="L19" s="50">
        <v>9.1</v>
      </c>
      <c r="M19" s="50">
        <v>9.1</v>
      </c>
      <c r="N19" s="50">
        <v>9.1</v>
      </c>
      <c r="O19" s="50">
        <v>9.1</v>
      </c>
      <c r="P19" s="50">
        <v>9.1</v>
      </c>
      <c r="Q19" s="50">
        <v>6.9</v>
      </c>
      <c r="R19" s="50">
        <v>6.9</v>
      </c>
      <c r="S19" s="50">
        <v>6.9</v>
      </c>
      <c r="T19" s="50">
        <v>6.9</v>
      </c>
      <c r="U19" s="50">
        <v>6.9</v>
      </c>
      <c r="V19" s="50">
        <v>6.9</v>
      </c>
      <c r="W19" s="50">
        <v>6.9</v>
      </c>
      <c r="X19" s="50">
        <v>6.9</v>
      </c>
      <c r="Y19" s="50">
        <v>6.9</v>
      </c>
      <c r="Z19" s="50">
        <v>6.9</v>
      </c>
      <c r="AA19" s="50">
        <v>6.9</v>
      </c>
      <c r="AB19" s="50">
        <v>6.9</v>
      </c>
      <c r="AC19" s="50">
        <v>6.9</v>
      </c>
      <c r="AD19" s="50">
        <v>6.9</v>
      </c>
      <c r="AE19" s="50">
        <v>6.9</v>
      </c>
      <c r="AF19" s="50">
        <v>6.9</v>
      </c>
      <c r="AG19" s="59">
        <v>30</v>
      </c>
      <c r="AH19" s="54">
        <f t="shared" si="2"/>
        <v>9.1</v>
      </c>
      <c r="AI19" s="55">
        <f t="shared" si="3"/>
        <v>6.9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10.199999999999999</v>
      </c>
      <c r="C22" s="50">
        <v>10.199999999999999</v>
      </c>
      <c r="D22" s="50">
        <v>10.199999999999999</v>
      </c>
      <c r="E22" s="50">
        <v>10.199999999999999</v>
      </c>
      <c r="F22" s="50">
        <v>10.199999999999999</v>
      </c>
      <c r="G22" s="50">
        <v>10.199999999999999</v>
      </c>
      <c r="H22" s="50">
        <v>10.199999999999999</v>
      </c>
      <c r="I22" s="50">
        <v>10.199999999999999</v>
      </c>
      <c r="J22" s="50">
        <v>10.199999999999999</v>
      </c>
      <c r="K22" s="50">
        <v>10.199999999999999</v>
      </c>
      <c r="L22" s="50">
        <v>10.199999999999999</v>
      </c>
      <c r="M22" s="50">
        <v>10.199999999999999</v>
      </c>
      <c r="N22" s="50">
        <v>10.199999999999999</v>
      </c>
      <c r="O22" s="50">
        <v>10.199999999999999</v>
      </c>
      <c r="P22" s="50">
        <v>10.199999999999999</v>
      </c>
      <c r="Q22" s="50">
        <v>11.7</v>
      </c>
      <c r="R22" s="50">
        <v>11.7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11.7</v>
      </c>
      <c r="Z22" s="50">
        <v>16.8</v>
      </c>
      <c r="AA22" s="50">
        <v>16.8</v>
      </c>
      <c r="AB22" s="50">
        <v>16.600000000000001</v>
      </c>
      <c r="AC22" s="50">
        <v>16.600000000000001</v>
      </c>
      <c r="AD22" s="50">
        <v>16.600000000000001</v>
      </c>
      <c r="AE22" s="50">
        <v>16.600000000000001</v>
      </c>
      <c r="AF22" s="50">
        <v>16.600000000000001</v>
      </c>
      <c r="AG22" s="59">
        <v>25</v>
      </c>
      <c r="AH22" s="54">
        <f t="shared" si="2"/>
        <v>16.8</v>
      </c>
      <c r="AI22" s="55">
        <f t="shared" si="3"/>
        <v>10.199999999999999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11.7</v>
      </c>
      <c r="C24" s="50">
        <v>11.7</v>
      </c>
      <c r="D24" s="50">
        <v>11.7</v>
      </c>
      <c r="E24" s="50">
        <v>11.7</v>
      </c>
      <c r="F24" s="50">
        <v>11.7</v>
      </c>
      <c r="G24" s="50">
        <v>11.7</v>
      </c>
      <c r="H24" s="50">
        <v>11.7</v>
      </c>
      <c r="I24" s="50">
        <v>11.7</v>
      </c>
      <c r="J24" s="50">
        <v>11.7</v>
      </c>
      <c r="K24" s="50">
        <v>11.7</v>
      </c>
      <c r="L24" s="50">
        <v>11.7</v>
      </c>
      <c r="M24" s="50">
        <v>11.7</v>
      </c>
      <c r="N24" s="50">
        <v>11.7</v>
      </c>
      <c r="O24" s="50">
        <v>11.7</v>
      </c>
      <c r="P24" s="50">
        <v>11.7</v>
      </c>
      <c r="Q24" s="50">
        <v>9</v>
      </c>
      <c r="R24" s="50">
        <v>9</v>
      </c>
      <c r="S24" s="50">
        <v>9</v>
      </c>
      <c r="T24" s="50">
        <v>9</v>
      </c>
      <c r="U24" s="50">
        <v>9</v>
      </c>
      <c r="V24" s="50">
        <v>9</v>
      </c>
      <c r="W24" s="50">
        <v>9</v>
      </c>
      <c r="X24" s="50">
        <v>9</v>
      </c>
      <c r="Y24" s="50">
        <v>9</v>
      </c>
      <c r="Z24" s="50">
        <v>9</v>
      </c>
      <c r="AA24" s="50">
        <v>9</v>
      </c>
      <c r="AB24" s="50">
        <v>9</v>
      </c>
      <c r="AC24" s="50">
        <v>9</v>
      </c>
      <c r="AD24" s="50">
        <v>9</v>
      </c>
      <c r="AE24" s="50">
        <v>9</v>
      </c>
      <c r="AF24" s="50">
        <v>9</v>
      </c>
      <c r="AG24" s="59">
        <v>25</v>
      </c>
      <c r="AH24" s="54">
        <f t="shared" si="2"/>
        <v>11.7</v>
      </c>
      <c r="AI24" s="55">
        <f t="shared" si="3"/>
        <v>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v>43</v>
      </c>
      <c r="C37" s="70">
        <v>42.5</v>
      </c>
      <c r="D37" s="70">
        <v>42.5</v>
      </c>
      <c r="E37" s="61">
        <v>40.299999999999997</v>
      </c>
      <c r="F37" s="61">
        <v>40.5</v>
      </c>
      <c r="G37" s="61">
        <v>41.4</v>
      </c>
      <c r="H37" s="61">
        <v>41.4</v>
      </c>
      <c r="I37" s="61">
        <v>38.799999999999997</v>
      </c>
      <c r="J37" s="61">
        <v>42.7</v>
      </c>
      <c r="K37" s="61">
        <v>42.7</v>
      </c>
      <c r="L37" s="61">
        <v>42.7</v>
      </c>
      <c r="M37" s="70">
        <v>42.7</v>
      </c>
      <c r="N37" s="70">
        <f>13.7+26.9</f>
        <v>40.599999999999994</v>
      </c>
      <c r="O37" s="70">
        <f>13.1+24.7</f>
        <v>37.799999999999997</v>
      </c>
      <c r="P37" s="70">
        <f>13.4+25.4</f>
        <v>38.799999999999997</v>
      </c>
      <c r="Q37" s="70">
        <f>13.4+26.1</f>
        <v>39.5</v>
      </c>
      <c r="R37" s="70">
        <f>12.9+24.3</f>
        <v>37.200000000000003</v>
      </c>
      <c r="S37" s="70">
        <f>13.5+25.8</f>
        <v>39.299999999999997</v>
      </c>
      <c r="T37" s="70">
        <v>36.9</v>
      </c>
      <c r="U37" s="70">
        <v>41.8</v>
      </c>
      <c r="V37" s="70">
        <v>41</v>
      </c>
      <c r="W37" s="70">
        <v>38.1</v>
      </c>
      <c r="X37" s="70">
        <v>37.5</v>
      </c>
      <c r="Y37" s="70">
        <v>34.799999999999997</v>
      </c>
      <c r="Z37" s="70">
        <v>36.700000000000003</v>
      </c>
      <c r="AA37" s="70">
        <v>37</v>
      </c>
      <c r="AB37" s="70">
        <f>12.4+25.7</f>
        <v>38.1</v>
      </c>
      <c r="AC37" s="70">
        <f>12.4+25.7</f>
        <v>38.1</v>
      </c>
      <c r="AD37" s="70">
        <f>12.4+25.7</f>
        <v>38.1</v>
      </c>
      <c r="AE37" s="70">
        <f>12.4+25.7</f>
        <v>38.1</v>
      </c>
      <c r="AF37" s="70">
        <f>12.4+25.7</f>
        <v>38.1</v>
      </c>
      <c r="AG37" s="67">
        <v>240</v>
      </c>
      <c r="AH37" s="54">
        <f t="shared" si="2"/>
        <v>43</v>
      </c>
      <c r="AI37" s="55">
        <f t="shared" si="3"/>
        <v>34.799999999999997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390.29999999999995</v>
      </c>
      <c r="C38" s="72">
        <f t="shared" ref="C38:AF38" si="5">SUM(C11:C36)</f>
        <v>390.29999999999995</v>
      </c>
      <c r="D38" s="72">
        <f t="shared" si="5"/>
        <v>390.29999999999995</v>
      </c>
      <c r="E38" s="72">
        <f t="shared" si="5"/>
        <v>390.29999999999995</v>
      </c>
      <c r="F38" s="72">
        <f t="shared" si="5"/>
        <v>390.29999999999995</v>
      </c>
      <c r="G38" s="72">
        <f t="shared" si="5"/>
        <v>390.29999999999995</v>
      </c>
      <c r="H38" s="72">
        <f t="shared" si="5"/>
        <v>390.29999999999995</v>
      </c>
      <c r="I38" s="72">
        <f t="shared" si="5"/>
        <v>528.29999999999995</v>
      </c>
      <c r="J38" s="72">
        <f t="shared" si="5"/>
        <v>528.29999999999995</v>
      </c>
      <c r="K38" s="72">
        <f t="shared" si="5"/>
        <v>708.30000000000018</v>
      </c>
      <c r="L38" s="72">
        <f t="shared" si="5"/>
        <v>658.3</v>
      </c>
      <c r="M38" s="72">
        <f t="shared" si="5"/>
        <v>628.29999999999995</v>
      </c>
      <c r="N38" s="72">
        <f t="shared" si="5"/>
        <v>478.29999999999995</v>
      </c>
      <c r="O38" s="72">
        <f t="shared" si="5"/>
        <v>390.29999999999995</v>
      </c>
      <c r="P38" s="72">
        <f t="shared" si="5"/>
        <v>390.29999999999995</v>
      </c>
      <c r="Q38" s="72">
        <f t="shared" si="5"/>
        <v>382.6</v>
      </c>
      <c r="R38" s="72">
        <f t="shared" si="5"/>
        <v>382.6</v>
      </c>
      <c r="S38" s="72">
        <f t="shared" si="5"/>
        <v>382.6</v>
      </c>
      <c r="T38" s="72">
        <f t="shared" si="5"/>
        <v>410.59999999999997</v>
      </c>
      <c r="U38" s="72">
        <f t="shared" si="5"/>
        <v>400.59999999999997</v>
      </c>
      <c r="V38" s="72">
        <f t="shared" si="5"/>
        <v>400.59999999999997</v>
      </c>
      <c r="W38" s="72">
        <f t="shared" si="5"/>
        <v>380.6</v>
      </c>
      <c r="X38" s="72">
        <f t="shared" si="5"/>
        <v>394.6</v>
      </c>
      <c r="Y38" s="72">
        <f t="shared" si="5"/>
        <v>540.59999999999991</v>
      </c>
      <c r="Z38" s="72">
        <f t="shared" si="5"/>
        <v>515.70000000000005</v>
      </c>
      <c r="AA38" s="72">
        <f t="shared" si="5"/>
        <v>485.7</v>
      </c>
      <c r="AB38" s="72">
        <f t="shared" si="5"/>
        <v>506.9</v>
      </c>
      <c r="AC38" s="72">
        <f t="shared" si="5"/>
        <v>496.9</v>
      </c>
      <c r="AD38" s="72">
        <f t="shared" si="5"/>
        <v>406.9</v>
      </c>
      <c r="AE38" s="72">
        <f t="shared" si="5"/>
        <v>388.9</v>
      </c>
      <c r="AF38" s="72">
        <f t="shared" si="5"/>
        <v>416.9</v>
      </c>
      <c r="AG38" s="67">
        <f>SUM(AG11:AG37)</f>
        <v>1492.8299999999997</v>
      </c>
      <c r="AH38" s="54">
        <f t="shared" si="2"/>
        <v>708.30000000000018</v>
      </c>
      <c r="AI38" s="55">
        <f t="shared" si="3"/>
        <v>380.6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61">
        <v>29.8</v>
      </c>
      <c r="J39" s="61">
        <v>98.4</v>
      </c>
      <c r="K39" s="61">
        <v>146.4</v>
      </c>
      <c r="L39" s="61">
        <v>145.6</v>
      </c>
      <c r="M39" s="50">
        <v>145.69999999999999</v>
      </c>
      <c r="N39" s="50">
        <v>131.9</v>
      </c>
      <c r="O39" s="50">
        <v>121.7</v>
      </c>
      <c r="P39" s="50">
        <v>100</v>
      </c>
      <c r="Q39" s="50">
        <v>80.5</v>
      </c>
      <c r="R39" s="50">
        <v>60.6</v>
      </c>
      <c r="S39" s="50">
        <v>61.8</v>
      </c>
      <c r="T39" s="50">
        <v>61.8</v>
      </c>
      <c r="U39" s="50">
        <v>71.099999999999994</v>
      </c>
      <c r="V39" s="50">
        <v>82</v>
      </c>
      <c r="W39" s="50">
        <v>96.5</v>
      </c>
      <c r="X39" s="50">
        <v>145</v>
      </c>
      <c r="Y39" s="50">
        <v>145</v>
      </c>
      <c r="Z39" s="50">
        <v>145</v>
      </c>
      <c r="AA39" s="50">
        <v>145</v>
      </c>
      <c r="AB39" s="50">
        <v>131.30000000000001</v>
      </c>
      <c r="AC39" s="50">
        <v>111</v>
      </c>
      <c r="AD39" s="50">
        <v>100</v>
      </c>
      <c r="AE39" s="50">
        <v>30</v>
      </c>
      <c r="AF39" s="49">
        <v>0</v>
      </c>
      <c r="AG39" s="62">
        <v>144</v>
      </c>
      <c r="AH39" s="54">
        <f t="shared" si="2"/>
        <v>146.4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34.5</v>
      </c>
      <c r="I40" s="61">
        <v>34.700000000000003</v>
      </c>
      <c r="J40" s="61">
        <v>51.5</v>
      </c>
      <c r="K40" s="61">
        <v>69.400000000000006</v>
      </c>
      <c r="L40" s="61">
        <v>71.099999999999994</v>
      </c>
      <c r="M40" s="73">
        <v>60</v>
      </c>
      <c r="N40" s="73">
        <v>54</v>
      </c>
      <c r="O40" s="73">
        <v>50.8</v>
      </c>
      <c r="P40" s="73">
        <v>49.5</v>
      </c>
      <c r="Q40" s="73">
        <v>50.2</v>
      </c>
      <c r="R40" s="73">
        <v>21.6</v>
      </c>
      <c r="S40" s="73">
        <v>35.9</v>
      </c>
      <c r="T40" s="73">
        <v>35.9</v>
      </c>
      <c r="U40" s="73">
        <v>35.700000000000003</v>
      </c>
      <c r="V40" s="73">
        <v>35.700000000000003</v>
      </c>
      <c r="W40" s="73">
        <v>29.5</v>
      </c>
      <c r="X40" s="73">
        <v>44.5</v>
      </c>
      <c r="Y40" s="73">
        <v>69.599999999999994</v>
      </c>
      <c r="Z40" s="73">
        <v>69.599999999999994</v>
      </c>
      <c r="AA40" s="73">
        <v>69.599999999999994</v>
      </c>
      <c r="AB40" s="73">
        <v>70.900000000000006</v>
      </c>
      <c r="AC40" s="73">
        <v>71</v>
      </c>
      <c r="AD40" s="73">
        <v>66</v>
      </c>
      <c r="AE40" s="73">
        <v>25</v>
      </c>
      <c r="AF40" s="61">
        <v>0</v>
      </c>
      <c r="AG40" s="67">
        <v>70</v>
      </c>
      <c r="AH40" s="54">
        <f t="shared" si="2"/>
        <v>71.099999999999994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0</v>
      </c>
      <c r="C41" s="61">
        <v>16.600000000000001</v>
      </c>
      <c r="D41" s="61">
        <v>24.1</v>
      </c>
      <c r="E41" s="61">
        <v>34.1</v>
      </c>
      <c r="F41" s="61">
        <v>33.5</v>
      </c>
      <c r="G41" s="61">
        <v>22.8</v>
      </c>
      <c r="H41" s="61">
        <v>22.8</v>
      </c>
      <c r="I41" s="61">
        <v>33.1</v>
      </c>
      <c r="J41" s="61">
        <v>62.8</v>
      </c>
      <c r="K41" s="61">
        <v>68.7</v>
      </c>
      <c r="L41" s="61">
        <v>68.2</v>
      </c>
      <c r="M41" s="73">
        <v>54.8</v>
      </c>
      <c r="N41" s="73">
        <v>55.6</v>
      </c>
      <c r="O41" s="73">
        <v>55.3</v>
      </c>
      <c r="P41" s="73">
        <v>60.6</v>
      </c>
      <c r="Q41" s="73">
        <v>41.5</v>
      </c>
      <c r="R41" s="73">
        <v>16.100000000000001</v>
      </c>
      <c r="S41" s="73">
        <v>0</v>
      </c>
      <c r="T41" s="73">
        <v>0</v>
      </c>
      <c r="U41" s="73">
        <v>33.700000000000003</v>
      </c>
      <c r="V41" s="73">
        <v>44</v>
      </c>
      <c r="W41" s="73">
        <v>34</v>
      </c>
      <c r="X41" s="73">
        <v>50.1</v>
      </c>
      <c r="Y41" s="73">
        <v>67.8</v>
      </c>
      <c r="Z41" s="73">
        <v>67.8</v>
      </c>
      <c r="AA41" s="73">
        <v>67.8</v>
      </c>
      <c r="AB41" s="73">
        <v>67.7</v>
      </c>
      <c r="AC41" s="73">
        <v>67</v>
      </c>
      <c r="AD41" s="73">
        <v>60</v>
      </c>
      <c r="AE41" s="73">
        <v>50</v>
      </c>
      <c r="AF41" s="61">
        <v>67</v>
      </c>
      <c r="AG41" s="67">
        <v>69</v>
      </c>
      <c r="AH41" s="54">
        <f t="shared" si="2"/>
        <v>68.7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50.2</v>
      </c>
      <c r="C42" s="61">
        <v>48.1</v>
      </c>
      <c r="D42" s="61">
        <v>46.9</v>
      </c>
      <c r="E42" s="61">
        <v>46.9</v>
      </c>
      <c r="F42" s="61">
        <v>47.1</v>
      </c>
      <c r="G42" s="61">
        <v>47.1</v>
      </c>
      <c r="H42" s="61">
        <v>47.1</v>
      </c>
      <c r="I42" s="61">
        <v>46.9</v>
      </c>
      <c r="J42" s="61">
        <v>47.1</v>
      </c>
      <c r="K42" s="61">
        <v>47.1</v>
      </c>
      <c r="L42" s="61">
        <v>47.1</v>
      </c>
      <c r="M42" s="73">
        <v>47.4</v>
      </c>
      <c r="N42" s="73">
        <v>47.1</v>
      </c>
      <c r="O42" s="73">
        <v>47.1</v>
      </c>
      <c r="P42" s="73">
        <v>47.1</v>
      </c>
      <c r="Q42" s="73">
        <v>47.1</v>
      </c>
      <c r="R42" s="73">
        <v>47.1</v>
      </c>
      <c r="S42" s="73">
        <v>47.8</v>
      </c>
      <c r="T42" s="73">
        <v>48.1</v>
      </c>
      <c r="U42" s="73">
        <v>47.8</v>
      </c>
      <c r="V42" s="73">
        <v>47.8</v>
      </c>
      <c r="W42" s="73">
        <v>47.4</v>
      </c>
      <c r="X42" s="73">
        <v>47.4</v>
      </c>
      <c r="Y42" s="73">
        <v>45.1</v>
      </c>
      <c r="Z42" s="73">
        <v>45.1</v>
      </c>
      <c r="AA42" s="73">
        <v>45.1</v>
      </c>
      <c r="AB42" s="73">
        <v>47.1</v>
      </c>
      <c r="AC42" s="73">
        <v>47.1</v>
      </c>
      <c r="AD42" s="73">
        <v>47.1</v>
      </c>
      <c r="AE42" s="73">
        <v>47.1</v>
      </c>
      <c r="AF42" s="73">
        <v>47.1</v>
      </c>
      <c r="AG42" s="67">
        <v>60</v>
      </c>
      <c r="AH42" s="54">
        <f t="shared" si="2"/>
        <v>50.2</v>
      </c>
      <c r="AI42" s="55">
        <f t="shared" si="3"/>
        <v>45.1</v>
      </c>
      <c r="AK42" s="56"/>
    </row>
    <row r="43" spans="1:88" x14ac:dyDescent="0.25">
      <c r="A43" s="66" t="s">
        <v>51</v>
      </c>
      <c r="B43" s="73">
        <v>0</v>
      </c>
      <c r="C43" s="73">
        <v>0</v>
      </c>
      <c r="D43" s="73">
        <v>0</v>
      </c>
      <c r="E43" s="73">
        <v>0</v>
      </c>
      <c r="F43" s="73">
        <v>0</v>
      </c>
      <c r="G43" s="73">
        <v>10</v>
      </c>
      <c r="H43" s="73">
        <v>10</v>
      </c>
      <c r="I43" s="73">
        <v>10</v>
      </c>
      <c r="J43" s="61">
        <v>10</v>
      </c>
      <c r="K43" s="61">
        <v>15</v>
      </c>
      <c r="L43" s="61">
        <v>23</v>
      </c>
      <c r="M43" s="50">
        <v>23</v>
      </c>
      <c r="N43" s="50">
        <v>23</v>
      </c>
      <c r="O43" s="50">
        <v>23</v>
      </c>
      <c r="P43" s="50">
        <v>15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10</v>
      </c>
      <c r="Y43" s="50">
        <v>30</v>
      </c>
      <c r="Z43" s="50">
        <v>30</v>
      </c>
      <c r="AA43" s="50">
        <v>30</v>
      </c>
      <c r="AB43" s="73">
        <v>30</v>
      </c>
      <c r="AC43" s="73">
        <v>24</v>
      </c>
      <c r="AD43" s="73">
        <v>15</v>
      </c>
      <c r="AE43" s="73">
        <v>0</v>
      </c>
      <c r="AF43" s="73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61">
        <v>0</v>
      </c>
      <c r="N44" s="61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4</v>
      </c>
      <c r="C46" s="50">
        <v>4</v>
      </c>
      <c r="D46" s="50">
        <v>4</v>
      </c>
      <c r="E46" s="50">
        <v>4</v>
      </c>
      <c r="F46" s="50">
        <v>4</v>
      </c>
      <c r="G46" s="50">
        <v>4</v>
      </c>
      <c r="H46" s="50">
        <v>4</v>
      </c>
      <c r="I46" s="50">
        <v>4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10</v>
      </c>
      <c r="H47" s="50">
        <v>10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6.4</v>
      </c>
      <c r="C49" s="50">
        <v>6.4</v>
      </c>
      <c r="D49" s="50">
        <v>6.4</v>
      </c>
      <c r="E49" s="50">
        <v>6.4</v>
      </c>
      <c r="F49" s="50">
        <v>6.4</v>
      </c>
      <c r="G49" s="50">
        <v>6.4</v>
      </c>
      <c r="H49" s="50">
        <v>6.4</v>
      </c>
      <c r="I49" s="50">
        <v>6.4</v>
      </c>
      <c r="J49" s="50">
        <v>6.4</v>
      </c>
      <c r="K49" s="50">
        <v>6.4</v>
      </c>
      <c r="L49" s="50">
        <v>6.4</v>
      </c>
      <c r="M49" s="50">
        <v>6.4</v>
      </c>
      <c r="N49" s="50">
        <v>6.4</v>
      </c>
      <c r="O49" s="50">
        <v>6.4</v>
      </c>
      <c r="P49" s="50">
        <v>6.4</v>
      </c>
      <c r="Q49" s="50">
        <v>6.4</v>
      </c>
      <c r="R49" s="50">
        <v>6.4</v>
      </c>
      <c r="S49" s="50">
        <v>6.4</v>
      </c>
      <c r="T49" s="50">
        <v>6.4</v>
      </c>
      <c r="U49" s="50">
        <v>6.4</v>
      </c>
      <c r="V49" s="50">
        <v>6.4</v>
      </c>
      <c r="W49" s="50">
        <v>6.4</v>
      </c>
      <c r="X49" s="50">
        <v>6.4</v>
      </c>
      <c r="Y49" s="50">
        <v>6.4</v>
      </c>
      <c r="Z49" s="50">
        <v>6.4</v>
      </c>
      <c r="AA49" s="50">
        <v>6.4</v>
      </c>
      <c r="AB49" s="50">
        <v>6.4</v>
      </c>
      <c r="AC49" s="50">
        <v>6.4</v>
      </c>
      <c r="AD49" s="50">
        <v>6.4</v>
      </c>
      <c r="AE49" s="50">
        <v>6.4</v>
      </c>
      <c r="AF49" s="50">
        <v>6.4</v>
      </c>
      <c r="AG49" s="67">
        <v>10.050000000000001</v>
      </c>
      <c r="AH49" s="54">
        <f t="shared" si="2"/>
        <v>6.4</v>
      </c>
      <c r="AI49" s="55">
        <f t="shared" si="3"/>
        <v>6.4</v>
      </c>
      <c r="AK49" s="56"/>
    </row>
    <row r="50" spans="1:37" x14ac:dyDescent="0.25">
      <c r="A50" s="66" t="s">
        <v>58</v>
      </c>
      <c r="B50" s="50">
        <v>3.2</v>
      </c>
      <c r="C50" s="50">
        <v>3.2</v>
      </c>
      <c r="D50" s="50">
        <v>3.2</v>
      </c>
      <c r="E50" s="50">
        <v>3.2</v>
      </c>
      <c r="F50" s="50">
        <v>3.2</v>
      </c>
      <c r="G50" s="50">
        <v>3.2</v>
      </c>
      <c r="H50" s="50">
        <v>3.2</v>
      </c>
      <c r="I50" s="50">
        <v>3.2</v>
      </c>
      <c r="J50" s="50">
        <v>3.2</v>
      </c>
      <c r="K50" s="50">
        <v>3.2</v>
      </c>
      <c r="L50" s="50">
        <v>3.2</v>
      </c>
      <c r="M50" s="50">
        <v>3.2</v>
      </c>
      <c r="N50" s="50">
        <v>3.2</v>
      </c>
      <c r="O50" s="50">
        <v>3.2</v>
      </c>
      <c r="P50" s="50">
        <v>3.2</v>
      </c>
      <c r="Q50" s="50">
        <v>3.2</v>
      </c>
      <c r="R50" s="50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98.340000000000018</v>
      </c>
      <c r="C52" s="72">
        <f t="shared" ref="C52:AF52" si="9">SUM(C39:C51)</f>
        <v>112.84000000000002</v>
      </c>
      <c r="D52" s="72">
        <f t="shared" si="9"/>
        <v>119.14000000000001</v>
      </c>
      <c r="E52" s="72">
        <f t="shared" si="9"/>
        <v>129.14000000000001</v>
      </c>
      <c r="F52" s="72">
        <f t="shared" si="9"/>
        <v>128.74</v>
      </c>
      <c r="G52" s="72">
        <f t="shared" si="9"/>
        <v>128.04000000000002</v>
      </c>
      <c r="H52" s="72">
        <f t="shared" si="9"/>
        <v>162.54</v>
      </c>
      <c r="I52" s="72">
        <f t="shared" si="9"/>
        <v>202.64</v>
      </c>
      <c r="J52" s="72">
        <f t="shared" si="9"/>
        <v>317.94</v>
      </c>
      <c r="K52" s="72">
        <f t="shared" si="9"/>
        <v>394.74</v>
      </c>
      <c r="L52" s="72">
        <f t="shared" si="9"/>
        <v>403.14</v>
      </c>
      <c r="M52" s="72">
        <f t="shared" si="9"/>
        <v>379.03999999999996</v>
      </c>
      <c r="N52" s="72">
        <f t="shared" si="9"/>
        <v>359.74</v>
      </c>
      <c r="O52" s="72">
        <f t="shared" si="9"/>
        <v>346.04</v>
      </c>
      <c r="P52" s="72">
        <f t="shared" si="9"/>
        <v>320.33999999999997</v>
      </c>
      <c r="Q52" s="72">
        <f t="shared" si="9"/>
        <v>277.43999999999994</v>
      </c>
      <c r="R52" s="72">
        <f t="shared" si="9"/>
        <v>193.54</v>
      </c>
      <c r="S52" s="72">
        <f t="shared" si="9"/>
        <v>193.64</v>
      </c>
      <c r="T52" s="72">
        <f t="shared" si="9"/>
        <v>193.93999999999997</v>
      </c>
      <c r="U52" s="72">
        <f t="shared" si="9"/>
        <v>236.44</v>
      </c>
      <c r="V52" s="72">
        <f t="shared" si="9"/>
        <v>257.64</v>
      </c>
      <c r="W52" s="72">
        <f t="shared" si="9"/>
        <v>255.54</v>
      </c>
      <c r="X52" s="72">
        <f t="shared" si="9"/>
        <v>345.14</v>
      </c>
      <c r="Y52" s="72">
        <f t="shared" si="9"/>
        <v>405.64</v>
      </c>
      <c r="Z52" s="72">
        <f t="shared" si="9"/>
        <v>405.64</v>
      </c>
      <c r="AA52" s="72">
        <f t="shared" si="9"/>
        <v>405.64</v>
      </c>
      <c r="AB52" s="72">
        <f t="shared" si="9"/>
        <v>395.14000000000004</v>
      </c>
      <c r="AC52" s="72">
        <f t="shared" si="9"/>
        <v>368.24</v>
      </c>
      <c r="AD52" s="72">
        <f t="shared" si="9"/>
        <v>336.24</v>
      </c>
      <c r="AE52" s="72">
        <f t="shared" si="9"/>
        <v>200.23999999999998</v>
      </c>
      <c r="AF52" s="72">
        <f t="shared" si="9"/>
        <v>162.23999999999998</v>
      </c>
      <c r="AG52" s="78">
        <f>SUM(AG39:AG51)</f>
        <v>489.91</v>
      </c>
      <c r="AH52" s="54">
        <f t="shared" si="2"/>
        <v>405.64</v>
      </c>
      <c r="AI52" s="55">
        <f t="shared" si="3"/>
        <v>98.340000000000018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19.899999999999999</v>
      </c>
      <c r="M53" s="79">
        <v>34.5</v>
      </c>
      <c r="N53" s="79">
        <v>30</v>
      </c>
      <c r="O53" s="79">
        <v>19.3</v>
      </c>
      <c r="P53" s="79">
        <v>20.7</v>
      </c>
      <c r="Q53" s="50">
        <v>14.1</v>
      </c>
      <c r="R53" s="50">
        <v>14.5</v>
      </c>
      <c r="S53" s="50">
        <v>20.8</v>
      </c>
      <c r="T53" s="50">
        <v>10.1</v>
      </c>
      <c r="U53" s="50">
        <v>0</v>
      </c>
      <c r="V53" s="50">
        <v>0</v>
      </c>
      <c r="W53" s="50">
        <v>0</v>
      </c>
      <c r="X53" s="50">
        <v>14.2</v>
      </c>
      <c r="Y53" s="50">
        <v>30.3</v>
      </c>
      <c r="Z53" s="50">
        <v>24.9</v>
      </c>
      <c r="AA53" s="50">
        <v>20.2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34.5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4.8</v>
      </c>
      <c r="M54" s="79">
        <v>14.8</v>
      </c>
      <c r="N54" s="79">
        <v>15.8</v>
      </c>
      <c r="O54" s="79">
        <v>7.9</v>
      </c>
      <c r="P54" s="79">
        <v>15.4</v>
      </c>
      <c r="Q54" s="73">
        <v>4.7</v>
      </c>
      <c r="R54" s="73">
        <v>6.9</v>
      </c>
      <c r="S54" s="50">
        <v>9.1999999999999993</v>
      </c>
      <c r="T54" s="50">
        <v>4.9000000000000004</v>
      </c>
      <c r="U54" s="50">
        <v>0</v>
      </c>
      <c r="V54" s="73">
        <v>0</v>
      </c>
      <c r="W54" s="73">
        <v>0</v>
      </c>
      <c r="X54" s="73">
        <v>6.2</v>
      </c>
      <c r="Y54" s="73">
        <v>10.6</v>
      </c>
      <c r="Z54" s="73">
        <v>15.2</v>
      </c>
      <c r="AA54" s="73">
        <v>10.1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15.8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1.7</v>
      </c>
      <c r="M55" s="81">
        <v>5.4</v>
      </c>
      <c r="N55" s="81">
        <v>5.8</v>
      </c>
      <c r="O55" s="81">
        <v>2.9</v>
      </c>
      <c r="P55" s="81">
        <v>5.5</v>
      </c>
      <c r="Q55" s="80">
        <v>1.7</v>
      </c>
      <c r="R55" s="80">
        <v>2.5</v>
      </c>
      <c r="S55" s="50">
        <v>3.3</v>
      </c>
      <c r="T55" s="50">
        <v>1.8</v>
      </c>
      <c r="U55" s="50">
        <v>0</v>
      </c>
      <c r="V55" s="80">
        <v>0</v>
      </c>
      <c r="W55" s="80">
        <v>0</v>
      </c>
      <c r="X55" s="80">
        <v>2.2000000000000002</v>
      </c>
      <c r="Y55" s="80">
        <v>3.9</v>
      </c>
      <c r="Z55" s="80">
        <v>3.9</v>
      </c>
      <c r="AA55" s="80">
        <v>3.7</v>
      </c>
      <c r="AB55" s="80">
        <v>0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5.8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0</v>
      </c>
      <c r="L56" s="72">
        <f t="shared" si="11"/>
        <v>26.4</v>
      </c>
      <c r="M56" s="72">
        <f t="shared" si="11"/>
        <v>54.699999999999996</v>
      </c>
      <c r="N56" s="72">
        <f t="shared" si="11"/>
        <v>51.599999999999994</v>
      </c>
      <c r="O56" s="72">
        <f t="shared" si="11"/>
        <v>30.1</v>
      </c>
      <c r="P56" s="72">
        <f t="shared" si="11"/>
        <v>41.6</v>
      </c>
      <c r="Q56" s="72">
        <f t="shared" si="11"/>
        <v>20.5</v>
      </c>
      <c r="R56" s="72">
        <f t="shared" si="11"/>
        <v>23.9</v>
      </c>
      <c r="S56" s="72">
        <f t="shared" si="11"/>
        <v>33.299999999999997</v>
      </c>
      <c r="T56" s="72">
        <f t="shared" si="11"/>
        <v>16.8</v>
      </c>
      <c r="U56" s="72">
        <f t="shared" si="11"/>
        <v>0</v>
      </c>
      <c r="V56" s="72">
        <f t="shared" si="11"/>
        <v>0</v>
      </c>
      <c r="W56" s="72">
        <f t="shared" si="11"/>
        <v>0</v>
      </c>
      <c r="X56" s="72">
        <f t="shared" si="11"/>
        <v>22.599999999999998</v>
      </c>
      <c r="Y56" s="72">
        <f t="shared" si="11"/>
        <v>44.8</v>
      </c>
      <c r="Z56" s="72">
        <f t="shared" si="11"/>
        <v>43.999999999999993</v>
      </c>
      <c r="AA56" s="72">
        <f t="shared" si="11"/>
        <v>34</v>
      </c>
      <c r="AB56" s="72">
        <f t="shared" si="11"/>
        <v>0</v>
      </c>
      <c r="AC56" s="72">
        <f t="shared" si="11"/>
        <v>0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54.699999999999996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57.35</v>
      </c>
      <c r="C57" s="50">
        <v>73.22</v>
      </c>
      <c r="D57" s="50">
        <v>71.59</v>
      </c>
      <c r="E57" s="50">
        <v>71.599999999999994</v>
      </c>
      <c r="F57" s="50">
        <v>70.5</v>
      </c>
      <c r="G57" s="50">
        <v>68.599999999999994</v>
      </c>
      <c r="H57" s="50">
        <v>68.599999999999994</v>
      </c>
      <c r="I57" s="50">
        <v>75.599999999999994</v>
      </c>
      <c r="J57" s="50">
        <v>67.010000000000005</v>
      </c>
      <c r="K57" s="50">
        <v>72.900000000000006</v>
      </c>
      <c r="L57" s="50">
        <v>63.38</v>
      </c>
      <c r="M57" s="50">
        <v>60</v>
      </c>
      <c r="N57" s="50">
        <v>64</v>
      </c>
      <c r="O57" s="50">
        <v>68</v>
      </c>
      <c r="P57" s="50">
        <v>73.2</v>
      </c>
      <c r="Q57" s="50">
        <v>70.05</v>
      </c>
      <c r="R57" s="50">
        <v>74.5</v>
      </c>
      <c r="S57" s="50">
        <v>70.599999999999994</v>
      </c>
      <c r="T57" s="50">
        <v>71.5</v>
      </c>
      <c r="U57" s="50">
        <v>71.099999999999994</v>
      </c>
      <c r="V57" s="50">
        <v>63.78</v>
      </c>
      <c r="W57" s="50">
        <v>75</v>
      </c>
      <c r="X57" s="50">
        <v>56.39</v>
      </c>
      <c r="Y57" s="50">
        <v>67.42</v>
      </c>
      <c r="Z57" s="50">
        <v>72.569999999999993</v>
      </c>
      <c r="AA57" s="50">
        <v>70.27</v>
      </c>
      <c r="AB57" s="50">
        <v>70.34</v>
      </c>
      <c r="AC57" s="50">
        <v>69</v>
      </c>
      <c r="AD57" s="50">
        <v>70</v>
      </c>
      <c r="AE57" s="50">
        <v>68</v>
      </c>
      <c r="AF57" s="50">
        <v>76</v>
      </c>
      <c r="AG57" s="62"/>
      <c r="AH57" s="54">
        <f t="shared" si="2"/>
        <v>76</v>
      </c>
      <c r="AI57" s="55">
        <f t="shared" si="3"/>
        <v>56.39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99.6</v>
      </c>
      <c r="L58" s="73">
        <v>104.3</v>
      </c>
      <c r="M58" s="50">
        <v>100</v>
      </c>
      <c r="N58" s="50">
        <v>86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104.3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328.7</v>
      </c>
      <c r="C59" s="73">
        <v>377</v>
      </c>
      <c r="D59" s="73">
        <v>374.2</v>
      </c>
      <c r="E59" s="73">
        <v>341</v>
      </c>
      <c r="F59" s="73">
        <v>336.7</v>
      </c>
      <c r="G59" s="73">
        <v>371</v>
      </c>
      <c r="H59" s="73">
        <v>380</v>
      </c>
      <c r="I59" s="73">
        <v>230</v>
      </c>
      <c r="J59" s="73">
        <v>230</v>
      </c>
      <c r="K59" s="50">
        <v>23.6</v>
      </c>
      <c r="L59" s="50">
        <v>40.5</v>
      </c>
      <c r="M59" s="73">
        <v>57.5</v>
      </c>
      <c r="N59" s="73">
        <v>175.9</v>
      </c>
      <c r="O59" s="73">
        <v>370.4</v>
      </c>
      <c r="P59" s="73">
        <v>313.8</v>
      </c>
      <c r="Q59" s="73">
        <v>326</v>
      </c>
      <c r="R59" s="73">
        <v>322.2</v>
      </c>
      <c r="S59" s="73">
        <v>358</v>
      </c>
      <c r="T59" s="73">
        <v>347</v>
      </c>
      <c r="U59" s="73">
        <v>345.4</v>
      </c>
      <c r="V59" s="73">
        <v>338</v>
      </c>
      <c r="W59" s="73">
        <v>386</v>
      </c>
      <c r="X59" s="84">
        <v>353.6</v>
      </c>
      <c r="Y59" s="84">
        <v>292</v>
      </c>
      <c r="Z59" s="84">
        <v>280</v>
      </c>
      <c r="AA59" s="84">
        <v>264</v>
      </c>
      <c r="AB59" s="73">
        <v>292.2</v>
      </c>
      <c r="AC59" s="73">
        <v>290</v>
      </c>
      <c r="AD59" s="73">
        <v>360</v>
      </c>
      <c r="AE59" s="73">
        <v>353</v>
      </c>
      <c r="AF59" s="73">
        <v>350</v>
      </c>
      <c r="AG59" s="85"/>
      <c r="AH59" s="54">
        <f t="shared" si="2"/>
        <v>386</v>
      </c>
      <c r="AI59" s="55">
        <f t="shared" si="3"/>
        <v>23.6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50.2</v>
      </c>
      <c r="H60" s="58">
        <v>47.7</v>
      </c>
      <c r="I60" s="58">
        <v>47.7</v>
      </c>
      <c r="J60" s="58">
        <v>47.7</v>
      </c>
      <c r="K60" s="58">
        <v>45.4</v>
      </c>
      <c r="L60" s="58">
        <v>57.8</v>
      </c>
      <c r="M60" s="73">
        <v>57.9</v>
      </c>
      <c r="N60" s="73">
        <v>54.4</v>
      </c>
      <c r="O60" s="73">
        <v>55.9</v>
      </c>
      <c r="P60" s="73">
        <v>57.7</v>
      </c>
      <c r="Q60" s="73">
        <v>59.3</v>
      </c>
      <c r="R60" s="73">
        <v>59.2</v>
      </c>
      <c r="S60" s="73">
        <v>44.4</v>
      </c>
      <c r="T60" s="73">
        <v>53.1</v>
      </c>
      <c r="U60" s="73">
        <v>57.8</v>
      </c>
      <c r="V60" s="73">
        <v>49.6</v>
      </c>
      <c r="W60" s="73">
        <v>46.8</v>
      </c>
      <c r="X60" s="73">
        <v>52.3</v>
      </c>
      <c r="Y60" s="73">
        <v>58.7</v>
      </c>
      <c r="Z60" s="73">
        <v>58.2</v>
      </c>
      <c r="AA60" s="73">
        <v>57.1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59.3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77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81</v>
      </c>
      <c r="J61" s="58">
        <v>81</v>
      </c>
      <c r="K61" s="58">
        <v>65.099999999999994</v>
      </c>
      <c r="L61" s="58">
        <v>83.5</v>
      </c>
      <c r="M61" s="50">
        <v>30.6</v>
      </c>
      <c r="N61" s="50">
        <v>32</v>
      </c>
      <c r="O61" s="50">
        <v>34.299999999999997</v>
      </c>
      <c r="P61" s="50">
        <v>60.4</v>
      </c>
      <c r="Q61" s="50">
        <v>49</v>
      </c>
      <c r="R61" s="50">
        <v>54.6</v>
      </c>
      <c r="S61" s="50">
        <v>62.7</v>
      </c>
      <c r="T61" s="50">
        <v>46.9</v>
      </c>
      <c r="U61" s="50">
        <v>53.8</v>
      </c>
      <c r="V61" s="50">
        <v>62.2</v>
      </c>
      <c r="W61" s="50">
        <v>49</v>
      </c>
      <c r="X61" s="50">
        <v>76.8</v>
      </c>
      <c r="Y61" s="50">
        <v>85.6</v>
      </c>
      <c r="Z61" s="50">
        <v>87.1</v>
      </c>
      <c r="AA61" s="50">
        <v>77.400000000000006</v>
      </c>
      <c r="AB61" s="50">
        <v>79.7</v>
      </c>
      <c r="AC61" s="50">
        <v>74.599999999999994</v>
      </c>
      <c r="AD61" s="50">
        <v>80</v>
      </c>
      <c r="AE61" s="50">
        <v>64</v>
      </c>
      <c r="AF61" s="50">
        <v>0</v>
      </c>
      <c r="AG61" s="85"/>
      <c r="AH61" s="54">
        <f t="shared" si="2"/>
        <v>87.1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5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73">
        <v>0</v>
      </c>
      <c r="L63" s="73">
        <v>0</v>
      </c>
      <c r="M63" s="58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5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73">
        <v>0</v>
      </c>
      <c r="L64" s="73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73">
        <v>0</v>
      </c>
      <c r="L65" s="73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73">
        <v>0</v>
      </c>
      <c r="L66" s="73">
        <v>0</v>
      </c>
      <c r="M66" s="58">
        <v>0</v>
      </c>
      <c r="N66" s="63">
        <v>14</v>
      </c>
      <c r="O66" s="63">
        <v>14</v>
      </c>
      <c r="P66" s="63">
        <v>12</v>
      </c>
      <c r="Q66" s="58">
        <v>12</v>
      </c>
      <c r="R66" s="63">
        <v>12</v>
      </c>
      <c r="S66" s="63">
        <v>12</v>
      </c>
      <c r="T66" s="63">
        <v>12</v>
      </c>
      <c r="U66" s="63">
        <v>12</v>
      </c>
      <c r="V66" s="63">
        <v>12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50">
        <v>0</v>
      </c>
      <c r="AG66" s="87"/>
      <c r="AH66" s="54">
        <f t="shared" si="2"/>
        <v>14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73">
        <v>0</v>
      </c>
      <c r="L67" s="73">
        <v>0</v>
      </c>
      <c r="M67" s="58">
        <v>0</v>
      </c>
      <c r="N67" s="63">
        <v>0</v>
      </c>
      <c r="O67" s="63">
        <v>0</v>
      </c>
      <c r="P67" s="63">
        <v>0</v>
      </c>
      <c r="Q67" s="58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5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463.05</v>
      </c>
      <c r="C68" s="72">
        <f>SUM(C57:C67)</f>
        <v>450.22</v>
      </c>
      <c r="D68" s="72">
        <f t="shared" ref="D68:AF68" si="13">SUM(D57:D67)</f>
        <v>445.78999999999996</v>
      </c>
      <c r="E68" s="72">
        <f t="shared" si="13"/>
        <v>412.6</v>
      </c>
      <c r="F68" s="72">
        <f t="shared" si="13"/>
        <v>407.2</v>
      </c>
      <c r="G68" s="72">
        <f t="shared" si="13"/>
        <v>489.8</v>
      </c>
      <c r="H68" s="72">
        <f t="shared" si="13"/>
        <v>496.3</v>
      </c>
      <c r="I68" s="72">
        <f t="shared" si="13"/>
        <v>434.3</v>
      </c>
      <c r="J68" s="72">
        <f t="shared" si="13"/>
        <v>425.71</v>
      </c>
      <c r="K68" s="72">
        <f t="shared" si="13"/>
        <v>306.60000000000002</v>
      </c>
      <c r="L68" s="72">
        <f t="shared" si="13"/>
        <v>349.48</v>
      </c>
      <c r="M68" s="72">
        <f t="shared" si="13"/>
        <v>306</v>
      </c>
      <c r="N68" s="72">
        <f t="shared" si="13"/>
        <v>426.29999999999995</v>
      </c>
      <c r="O68" s="72">
        <f t="shared" si="13"/>
        <v>542.59999999999991</v>
      </c>
      <c r="P68" s="72">
        <f t="shared" si="13"/>
        <v>517.09999999999991</v>
      </c>
      <c r="Q68" s="72">
        <f t="shared" si="13"/>
        <v>516.35</v>
      </c>
      <c r="R68" s="72">
        <f t="shared" si="13"/>
        <v>522.5</v>
      </c>
      <c r="S68" s="72">
        <f t="shared" si="13"/>
        <v>547.70000000000005</v>
      </c>
      <c r="T68" s="72">
        <f t="shared" si="13"/>
        <v>530.5</v>
      </c>
      <c r="U68" s="72">
        <f t="shared" si="13"/>
        <v>540.1</v>
      </c>
      <c r="V68" s="72">
        <f t="shared" si="13"/>
        <v>525.58000000000004</v>
      </c>
      <c r="W68" s="72">
        <f t="shared" si="13"/>
        <v>556.79999999999995</v>
      </c>
      <c r="X68" s="72">
        <f t="shared" si="13"/>
        <v>539.09</v>
      </c>
      <c r="Y68" s="72">
        <f t="shared" si="13"/>
        <v>503.72</v>
      </c>
      <c r="Z68" s="72">
        <f t="shared" si="13"/>
        <v>497.87</v>
      </c>
      <c r="AA68" s="72">
        <f t="shared" si="13"/>
        <v>468.77</v>
      </c>
      <c r="AB68" s="72">
        <f t="shared" si="13"/>
        <v>442.23999999999995</v>
      </c>
      <c r="AC68" s="72">
        <f t="shared" si="13"/>
        <v>433.6</v>
      </c>
      <c r="AD68" s="72">
        <f t="shared" si="13"/>
        <v>510</v>
      </c>
      <c r="AE68" s="72">
        <f t="shared" si="13"/>
        <v>485</v>
      </c>
      <c r="AF68" s="72">
        <f t="shared" si="13"/>
        <v>426</v>
      </c>
      <c r="AG68" s="78">
        <f>SUM(AG57:AG67)</f>
        <v>0</v>
      </c>
      <c r="AH68" s="54">
        <f t="shared" si="2"/>
        <v>556.79999999999995</v>
      </c>
      <c r="AI68" s="55">
        <f t="shared" si="3"/>
        <v>306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951.68999999999994</v>
      </c>
      <c r="C73" s="89">
        <f>C68+C56+C52+C38+C72</f>
        <v>953.36</v>
      </c>
      <c r="D73" s="89">
        <f t="shared" ref="D73:AG73" si="17">D68+D56+D52+D38+D72</f>
        <v>955.2299999999999</v>
      </c>
      <c r="E73" s="89">
        <f t="shared" si="17"/>
        <v>932.04</v>
      </c>
      <c r="F73" s="89">
        <f t="shared" si="17"/>
        <v>926.24</v>
      </c>
      <c r="G73" s="89">
        <f t="shared" si="17"/>
        <v>1008.14</v>
      </c>
      <c r="H73" s="89">
        <f t="shared" si="17"/>
        <v>1049.1399999999999</v>
      </c>
      <c r="I73" s="89">
        <f t="shared" si="17"/>
        <v>1165.24</v>
      </c>
      <c r="J73" s="89">
        <f t="shared" si="17"/>
        <v>1271.9499999999998</v>
      </c>
      <c r="K73" s="89">
        <f t="shared" si="17"/>
        <v>1409.6400000000003</v>
      </c>
      <c r="L73" s="89">
        <f t="shared" si="17"/>
        <v>1437.32</v>
      </c>
      <c r="M73" s="89">
        <f t="shared" si="17"/>
        <v>1368.04</v>
      </c>
      <c r="N73" s="89">
        <f t="shared" si="17"/>
        <v>1315.94</v>
      </c>
      <c r="O73" s="89">
        <f t="shared" si="17"/>
        <v>1309.04</v>
      </c>
      <c r="P73" s="89">
        <f t="shared" si="17"/>
        <v>1269.3399999999999</v>
      </c>
      <c r="Q73" s="89">
        <f t="shared" si="17"/>
        <v>1196.8899999999999</v>
      </c>
      <c r="R73" s="89">
        <f t="shared" si="17"/>
        <v>1122.54</v>
      </c>
      <c r="S73" s="89">
        <f t="shared" si="17"/>
        <v>1157.24</v>
      </c>
      <c r="T73" s="89">
        <f t="shared" si="17"/>
        <v>1151.8399999999999</v>
      </c>
      <c r="U73" s="89">
        <f t="shared" si="17"/>
        <v>1177.1399999999999</v>
      </c>
      <c r="V73" s="89">
        <f t="shared" si="17"/>
        <v>1183.82</v>
      </c>
      <c r="W73" s="89">
        <f t="shared" si="17"/>
        <v>1192.94</v>
      </c>
      <c r="X73" s="89">
        <f t="shared" si="17"/>
        <v>1301.43</v>
      </c>
      <c r="Y73" s="89">
        <f t="shared" si="17"/>
        <v>1494.7599999999998</v>
      </c>
      <c r="Z73" s="89">
        <f t="shared" si="17"/>
        <v>1463.21</v>
      </c>
      <c r="AA73" s="89">
        <f t="shared" si="17"/>
        <v>1394.11</v>
      </c>
      <c r="AB73" s="89">
        <f t="shared" si="17"/>
        <v>1344.28</v>
      </c>
      <c r="AC73" s="89">
        <f t="shared" si="17"/>
        <v>1298.74</v>
      </c>
      <c r="AD73" s="89">
        <f t="shared" si="17"/>
        <v>1253.1399999999999</v>
      </c>
      <c r="AE73" s="89">
        <f t="shared" si="17"/>
        <v>1074.1399999999999</v>
      </c>
      <c r="AF73" s="89">
        <f t="shared" si="17"/>
        <v>1005.14</v>
      </c>
      <c r="AG73" s="89">
        <f t="shared" si="17"/>
        <v>2144.14</v>
      </c>
      <c r="AH73" s="54">
        <f t="shared" si="2"/>
        <v>1494.7599999999998</v>
      </c>
      <c r="AI73" s="55">
        <f t="shared" si="3"/>
        <v>926.24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>
        <v>35</v>
      </c>
      <c r="O74" s="91">
        <v>20</v>
      </c>
      <c r="P74" s="91">
        <v>15</v>
      </c>
      <c r="Q74" s="91">
        <v>15</v>
      </c>
      <c r="R74" s="91">
        <v>15</v>
      </c>
      <c r="S74" s="91">
        <v>15</v>
      </c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35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951.68999999999994</v>
      </c>
      <c r="C75" s="89">
        <f>C73+C74</f>
        <v>953.36</v>
      </c>
      <c r="D75" s="89">
        <f t="shared" ref="D75:AF75" si="19">D72+D68+D56+D52+D38+D74</f>
        <v>955.2299999999999</v>
      </c>
      <c r="E75" s="89">
        <f t="shared" si="19"/>
        <v>932.04</v>
      </c>
      <c r="F75" s="89">
        <f t="shared" si="19"/>
        <v>926.24</v>
      </c>
      <c r="G75" s="89">
        <f t="shared" si="19"/>
        <v>1008.14</v>
      </c>
      <c r="H75" s="89">
        <f t="shared" si="19"/>
        <v>1049.1399999999999</v>
      </c>
      <c r="I75" s="89">
        <f t="shared" si="19"/>
        <v>1165.24</v>
      </c>
      <c r="J75" s="89">
        <f t="shared" si="19"/>
        <v>1271.9499999999998</v>
      </c>
      <c r="K75" s="89">
        <f t="shared" si="19"/>
        <v>1409.6400000000003</v>
      </c>
      <c r="L75" s="89">
        <f t="shared" si="19"/>
        <v>1437.32</v>
      </c>
      <c r="M75" s="89">
        <f t="shared" si="19"/>
        <v>1368.04</v>
      </c>
      <c r="N75" s="89">
        <f t="shared" si="19"/>
        <v>1350.94</v>
      </c>
      <c r="O75" s="89">
        <f t="shared" si="19"/>
        <v>1329.04</v>
      </c>
      <c r="P75" s="89">
        <f t="shared" si="19"/>
        <v>1284.3399999999999</v>
      </c>
      <c r="Q75" s="89">
        <f t="shared" si="19"/>
        <v>1211.8899999999999</v>
      </c>
      <c r="R75" s="89">
        <f t="shared" si="19"/>
        <v>1137.54</v>
      </c>
      <c r="S75" s="89">
        <f t="shared" si="19"/>
        <v>1172.24</v>
      </c>
      <c r="T75" s="89">
        <f t="shared" si="19"/>
        <v>1151.8399999999999</v>
      </c>
      <c r="U75" s="89">
        <f t="shared" si="19"/>
        <v>1177.1399999999999</v>
      </c>
      <c r="V75" s="89">
        <f t="shared" si="19"/>
        <v>1183.82</v>
      </c>
      <c r="W75" s="89">
        <f t="shared" si="19"/>
        <v>1192.94</v>
      </c>
      <c r="X75" s="89">
        <f t="shared" si="19"/>
        <v>1301.43</v>
      </c>
      <c r="Y75" s="89">
        <f t="shared" si="19"/>
        <v>1494.7599999999998</v>
      </c>
      <c r="Z75" s="89">
        <f t="shared" si="19"/>
        <v>1463.21</v>
      </c>
      <c r="AA75" s="89">
        <f t="shared" si="19"/>
        <v>1394.11</v>
      </c>
      <c r="AB75" s="89">
        <f t="shared" si="19"/>
        <v>1344.28</v>
      </c>
      <c r="AC75" s="89">
        <f t="shared" si="19"/>
        <v>1298.74</v>
      </c>
      <c r="AD75" s="89">
        <f t="shared" si="19"/>
        <v>1253.1399999999999</v>
      </c>
      <c r="AE75" s="89">
        <f t="shared" si="19"/>
        <v>1074.1399999999999</v>
      </c>
      <c r="AF75" s="89">
        <f t="shared" si="19"/>
        <v>1005.14</v>
      </c>
      <c r="AG75" s="78">
        <f>AG72+AG68+AG56+AG52+AG38+AG74</f>
        <v>2144.14</v>
      </c>
      <c r="AH75" s="54">
        <f t="shared" si="2"/>
        <v>1494.7599999999998</v>
      </c>
      <c r="AI75" s="55">
        <f t="shared" si="3"/>
        <v>926.24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1903.3799999999999</v>
      </c>
      <c r="C83" s="72">
        <f t="shared" ref="C83:AG83" si="35">SUM(C70:C82)</f>
        <v>1906.72</v>
      </c>
      <c r="D83" s="72">
        <f t="shared" si="35"/>
        <v>1910.4599999999998</v>
      </c>
      <c r="E83" s="72">
        <f t="shared" si="35"/>
        <v>1864.08</v>
      </c>
      <c r="F83" s="72">
        <f t="shared" si="35"/>
        <v>1852.48</v>
      </c>
      <c r="G83" s="72">
        <f t="shared" si="35"/>
        <v>2016.28</v>
      </c>
      <c r="H83" s="72">
        <f t="shared" si="35"/>
        <v>2098.2799999999997</v>
      </c>
      <c r="I83" s="72">
        <f t="shared" si="35"/>
        <v>2330.48</v>
      </c>
      <c r="J83" s="72">
        <f t="shared" si="35"/>
        <v>2543.8999999999996</v>
      </c>
      <c r="K83" s="72">
        <f t="shared" si="35"/>
        <v>2819.2800000000007</v>
      </c>
      <c r="L83" s="72">
        <f t="shared" si="35"/>
        <v>2874.64</v>
      </c>
      <c r="M83" s="72">
        <f t="shared" si="35"/>
        <v>2736.08</v>
      </c>
      <c r="N83" s="72">
        <f t="shared" si="35"/>
        <v>2701.88</v>
      </c>
      <c r="O83" s="72">
        <f t="shared" si="35"/>
        <v>2658.08</v>
      </c>
      <c r="P83" s="72">
        <f t="shared" si="35"/>
        <v>2568.6799999999998</v>
      </c>
      <c r="Q83" s="72">
        <f t="shared" si="35"/>
        <v>2423.7799999999997</v>
      </c>
      <c r="R83" s="72">
        <f t="shared" si="35"/>
        <v>2275.08</v>
      </c>
      <c r="S83" s="72">
        <f t="shared" si="35"/>
        <v>2344.48</v>
      </c>
      <c r="T83" s="72">
        <f t="shared" si="35"/>
        <v>2303.6799999999998</v>
      </c>
      <c r="U83" s="72">
        <f t="shared" si="35"/>
        <v>2354.2799999999997</v>
      </c>
      <c r="V83" s="72">
        <f t="shared" si="35"/>
        <v>2367.64</v>
      </c>
      <c r="W83" s="72">
        <f t="shared" si="35"/>
        <v>2385.88</v>
      </c>
      <c r="X83" s="72">
        <f t="shared" si="35"/>
        <v>2602.86</v>
      </c>
      <c r="Y83" s="72">
        <f t="shared" si="35"/>
        <v>2989.5199999999995</v>
      </c>
      <c r="Z83" s="72">
        <f t="shared" si="35"/>
        <v>2926.42</v>
      </c>
      <c r="AA83" s="72">
        <f t="shared" si="35"/>
        <v>2788.22</v>
      </c>
      <c r="AB83" s="72">
        <f t="shared" si="35"/>
        <v>2688.56</v>
      </c>
      <c r="AC83" s="72">
        <f t="shared" si="35"/>
        <v>2597.48</v>
      </c>
      <c r="AD83" s="72">
        <f t="shared" si="35"/>
        <v>2506.2799999999997</v>
      </c>
      <c r="AE83" s="72">
        <f t="shared" si="35"/>
        <v>2148.2799999999997</v>
      </c>
      <c r="AF83" s="72">
        <f t="shared" si="35"/>
        <v>2010.28</v>
      </c>
      <c r="AG83" s="78">
        <f t="shared" si="35"/>
        <v>4360.08</v>
      </c>
      <c r="AH83" s="54">
        <f t="shared" si="22"/>
        <v>2989.5199999999995</v>
      </c>
      <c r="AI83" s="55">
        <f t="shared" si="23"/>
        <v>1852.48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50.03</v>
      </c>
      <c r="C84" s="95">
        <v>50.027999999999999</v>
      </c>
      <c r="D84" s="95">
        <v>50.003999999999998</v>
      </c>
      <c r="E84" s="96">
        <v>50.048999999999999</v>
      </c>
      <c r="F84" s="96">
        <v>49.994999999999997</v>
      </c>
      <c r="G84" s="96">
        <v>50.018000000000001</v>
      </c>
      <c r="H84" s="96">
        <v>50.058999999999997</v>
      </c>
      <c r="I84" s="96">
        <v>50.03</v>
      </c>
      <c r="J84" s="96">
        <v>50.04</v>
      </c>
      <c r="K84" s="96">
        <v>50.05</v>
      </c>
      <c r="L84" s="96">
        <v>49.902999999999999</v>
      </c>
      <c r="M84" s="96">
        <v>50.031999999999996</v>
      </c>
      <c r="N84" s="96">
        <v>50.05</v>
      </c>
      <c r="O84" s="96">
        <v>49.911000000000001</v>
      </c>
      <c r="P84" s="96">
        <v>50.051000000000002</v>
      </c>
      <c r="Q84" s="96">
        <v>50.07</v>
      </c>
      <c r="R84" s="96">
        <v>49.963000000000001</v>
      </c>
      <c r="S84" s="96">
        <v>49.973999999999997</v>
      </c>
      <c r="T84" s="96">
        <v>49.972999999999999</v>
      </c>
      <c r="U84" s="96">
        <v>49.85</v>
      </c>
      <c r="V84" s="96">
        <v>49.927999999999997</v>
      </c>
      <c r="W84" s="96">
        <v>50.018000000000001</v>
      </c>
      <c r="X84" s="96">
        <v>50.030999999999999</v>
      </c>
      <c r="Y84" s="96">
        <v>50.115000000000002</v>
      </c>
      <c r="Z84" s="96">
        <v>50.046999999999997</v>
      </c>
      <c r="AA84" s="96">
        <v>49.973999999999997</v>
      </c>
      <c r="AB84" s="96">
        <v>50.027000000000001</v>
      </c>
      <c r="AC84" s="96">
        <v>50.04</v>
      </c>
      <c r="AD84" s="96">
        <v>49.923000000000002</v>
      </c>
      <c r="AE84" s="96">
        <v>50.07</v>
      </c>
      <c r="AF84" s="96">
        <v>50</v>
      </c>
      <c r="AG84" s="97"/>
      <c r="AH84" s="54">
        <f t="shared" si="22"/>
        <v>50.115000000000002</v>
      </c>
      <c r="AI84" s="55">
        <f t="shared" si="23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126.2</v>
      </c>
      <c r="C85" s="99">
        <v>123.8</v>
      </c>
      <c r="D85" s="99">
        <v>124.4</v>
      </c>
      <c r="E85" s="73">
        <v>124.6</v>
      </c>
      <c r="F85" s="73">
        <v>126.1</v>
      </c>
      <c r="G85" s="73">
        <v>123.6</v>
      </c>
      <c r="H85" s="73">
        <v>124.2</v>
      </c>
      <c r="I85" s="73">
        <v>126</v>
      </c>
      <c r="J85" s="73">
        <v>126</v>
      </c>
      <c r="K85" s="73">
        <v>123.7</v>
      </c>
      <c r="L85" s="73">
        <v>124.7</v>
      </c>
      <c r="M85" s="73">
        <v>124.8</v>
      </c>
      <c r="N85" s="73">
        <v>124.5</v>
      </c>
      <c r="O85" s="73">
        <v>124</v>
      </c>
      <c r="P85" s="73">
        <v>126</v>
      </c>
      <c r="Q85" s="73">
        <v>124.7</v>
      </c>
      <c r="R85" s="73">
        <v>126.8</v>
      </c>
      <c r="S85" s="73">
        <v>125.3</v>
      </c>
      <c r="T85" s="73">
        <v>126.2</v>
      </c>
      <c r="U85" s="100">
        <v>124.6</v>
      </c>
      <c r="V85" s="100">
        <v>126.3</v>
      </c>
      <c r="W85" s="100">
        <v>125.8</v>
      </c>
      <c r="X85" s="100">
        <v>125.6</v>
      </c>
      <c r="Y85" s="100">
        <v>124</v>
      </c>
      <c r="Z85" s="100">
        <v>125.4</v>
      </c>
      <c r="AA85" s="100">
        <v>126.9</v>
      </c>
      <c r="AB85" s="73">
        <v>126.5</v>
      </c>
      <c r="AC85" s="73">
        <v>128.4</v>
      </c>
      <c r="AD85" s="73">
        <v>129</v>
      </c>
      <c r="AE85" s="73">
        <v>128</v>
      </c>
      <c r="AF85" s="73">
        <v>124</v>
      </c>
      <c r="AG85" s="101"/>
      <c r="AH85" s="54">
        <f t="shared" si="22"/>
        <v>129</v>
      </c>
      <c r="AI85" s="55">
        <f t="shared" si="23"/>
        <v>123.6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129.5</v>
      </c>
      <c r="C86" s="99">
        <v>128.5</v>
      </c>
      <c r="D86" s="99">
        <v>128.6</v>
      </c>
      <c r="E86" s="73">
        <v>129.19999999999999</v>
      </c>
      <c r="F86" s="73">
        <v>130.19999999999999</v>
      </c>
      <c r="G86" s="73">
        <v>128</v>
      </c>
      <c r="H86" s="73">
        <v>128.80000000000001</v>
      </c>
      <c r="I86" s="73">
        <v>129.5</v>
      </c>
      <c r="J86" s="73">
        <v>129.5</v>
      </c>
      <c r="K86" s="73">
        <v>126.2</v>
      </c>
      <c r="L86" s="73">
        <v>126.8</v>
      </c>
      <c r="M86" s="73">
        <v>126.8</v>
      </c>
      <c r="N86" s="73">
        <v>126.6</v>
      </c>
      <c r="O86" s="73">
        <v>126.1</v>
      </c>
      <c r="P86" s="73">
        <v>128.4</v>
      </c>
      <c r="Q86" s="73">
        <v>128.4</v>
      </c>
      <c r="R86" s="73">
        <v>128.9</v>
      </c>
      <c r="S86" s="73">
        <v>128.19999999999999</v>
      </c>
      <c r="T86" s="73">
        <v>128</v>
      </c>
      <c r="U86" s="100">
        <v>126.9</v>
      </c>
      <c r="V86" s="100">
        <v>128.30000000000001</v>
      </c>
      <c r="W86" s="100">
        <v>128</v>
      </c>
      <c r="X86" s="100">
        <v>128.4</v>
      </c>
      <c r="Y86" s="100">
        <v>125.9</v>
      </c>
      <c r="Z86" s="100">
        <v>127</v>
      </c>
      <c r="AA86" s="100">
        <v>128.1</v>
      </c>
      <c r="AB86" s="73">
        <v>128.4</v>
      </c>
      <c r="AC86" s="73">
        <v>130.4</v>
      </c>
      <c r="AD86" s="73">
        <v>130</v>
      </c>
      <c r="AE86" s="73">
        <v>130</v>
      </c>
      <c r="AF86" s="73">
        <v>128</v>
      </c>
      <c r="AG86" s="101"/>
      <c r="AH86" s="54">
        <f t="shared" si="22"/>
        <v>130.4</v>
      </c>
      <c r="AI86" s="55">
        <f t="shared" si="23"/>
        <v>125.9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129.19999999999999</v>
      </c>
      <c r="C87" s="99">
        <v>128.6</v>
      </c>
      <c r="D87" s="99">
        <v>130.1</v>
      </c>
      <c r="E87" s="73">
        <v>130.69999999999999</v>
      </c>
      <c r="F87" s="73">
        <v>129.69999999999999</v>
      </c>
      <c r="G87" s="73">
        <v>129.69999999999999</v>
      </c>
      <c r="H87" s="73">
        <v>130.19999999999999</v>
      </c>
      <c r="I87" s="73">
        <v>127.3</v>
      </c>
      <c r="J87" s="73">
        <v>127.3</v>
      </c>
      <c r="K87" s="73">
        <v>127.7</v>
      </c>
      <c r="L87" s="73">
        <v>128.19999999999999</v>
      </c>
      <c r="M87" s="73">
        <v>126.8</v>
      </c>
      <c r="N87" s="73">
        <v>128.30000000000001</v>
      </c>
      <c r="O87" s="73">
        <v>129.19999999999999</v>
      </c>
      <c r="P87" s="73">
        <v>129.9</v>
      </c>
      <c r="Q87" s="73">
        <v>131.1</v>
      </c>
      <c r="R87" s="73">
        <v>129.5</v>
      </c>
      <c r="S87" s="73">
        <v>128.30000000000001</v>
      </c>
      <c r="T87" s="73">
        <v>127.1</v>
      </c>
      <c r="U87" s="73">
        <v>130.19999999999999</v>
      </c>
      <c r="V87" s="73">
        <v>129.6</v>
      </c>
      <c r="W87" s="73">
        <v>130</v>
      </c>
      <c r="X87" s="100">
        <v>130.19999999999999</v>
      </c>
      <c r="Y87" s="100">
        <v>128.1</v>
      </c>
      <c r="Z87" s="100">
        <v>130.19999999999999</v>
      </c>
      <c r="AA87" s="100">
        <v>130.5</v>
      </c>
      <c r="AB87" s="73">
        <v>132</v>
      </c>
      <c r="AC87" s="73">
        <v>130.69999999999999</v>
      </c>
      <c r="AD87" s="73">
        <v>130</v>
      </c>
      <c r="AE87" s="73">
        <v>129</v>
      </c>
      <c r="AF87" s="73">
        <v>128</v>
      </c>
      <c r="AG87" s="101"/>
      <c r="AH87" s="54">
        <f t="shared" si="22"/>
        <v>132</v>
      </c>
      <c r="AI87" s="55">
        <f t="shared" si="23"/>
        <v>126.8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130.9</v>
      </c>
      <c r="C88" s="99">
        <v>129.80000000000001</v>
      </c>
      <c r="D88" s="99">
        <v>131.69999999999999</v>
      </c>
      <c r="E88" s="73">
        <v>131.6</v>
      </c>
      <c r="F88" s="73">
        <v>130.69999999999999</v>
      </c>
      <c r="G88" s="73">
        <v>130.4</v>
      </c>
      <c r="H88" s="73">
        <v>130.5</v>
      </c>
      <c r="I88" s="73">
        <v>128.69999999999999</v>
      </c>
      <c r="J88" s="73">
        <v>128.69999999999999</v>
      </c>
      <c r="K88" s="73">
        <v>128.80000000000001</v>
      </c>
      <c r="L88" s="73">
        <v>129.5</v>
      </c>
      <c r="M88" s="73">
        <v>127.8</v>
      </c>
      <c r="N88" s="73">
        <v>131.9</v>
      </c>
      <c r="O88" s="73">
        <v>132.6</v>
      </c>
      <c r="P88" s="73">
        <v>133.69999999999999</v>
      </c>
      <c r="Q88" s="73">
        <v>133.19999999999999</v>
      </c>
      <c r="R88" s="73">
        <v>132.5</v>
      </c>
      <c r="S88" s="73">
        <v>130.69999999999999</v>
      </c>
      <c r="T88" s="73">
        <v>129.6</v>
      </c>
      <c r="U88" s="73">
        <v>132.5</v>
      </c>
      <c r="V88" s="73">
        <v>131.80000000000001</v>
      </c>
      <c r="W88" s="73">
        <v>132.1</v>
      </c>
      <c r="X88" s="100">
        <v>134.1</v>
      </c>
      <c r="Y88" s="100">
        <v>132.30000000000001</v>
      </c>
      <c r="Z88" s="100">
        <v>133</v>
      </c>
      <c r="AA88" s="100">
        <v>133.4</v>
      </c>
      <c r="AB88" s="73">
        <v>135.30000000000001</v>
      </c>
      <c r="AC88" s="73">
        <v>132</v>
      </c>
      <c r="AD88" s="73">
        <v>132</v>
      </c>
      <c r="AE88" s="73">
        <v>131.6</v>
      </c>
      <c r="AF88" s="73">
        <v>131</v>
      </c>
      <c r="AG88" s="101"/>
      <c r="AH88" s="54">
        <f t="shared" si="22"/>
        <v>135.30000000000001</v>
      </c>
      <c r="AI88" s="55">
        <f t="shared" si="23"/>
        <v>127.8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127.2</v>
      </c>
      <c r="C89" s="103">
        <v>127.8</v>
      </c>
      <c r="D89" s="103">
        <v>125.5</v>
      </c>
      <c r="E89" s="104">
        <v>128.9</v>
      </c>
      <c r="F89" s="104">
        <v>131.4</v>
      </c>
      <c r="G89" s="104">
        <v>129.6</v>
      </c>
      <c r="H89" s="104">
        <v>133.5</v>
      </c>
      <c r="I89" s="104">
        <v>132.4</v>
      </c>
      <c r="J89" s="104">
        <v>132.4</v>
      </c>
      <c r="K89" s="104">
        <v>134.19999999999999</v>
      </c>
      <c r="L89" s="104">
        <v>134.30000000000001</v>
      </c>
      <c r="M89" s="104">
        <v>132.5</v>
      </c>
      <c r="N89" s="104">
        <v>134.9</v>
      </c>
      <c r="O89" s="104">
        <v>135.19999999999999</v>
      </c>
      <c r="P89" s="104">
        <v>134.1</v>
      </c>
      <c r="Q89" s="104">
        <v>132.19999999999999</v>
      </c>
      <c r="R89" s="104">
        <v>132.9</v>
      </c>
      <c r="S89" s="104">
        <v>130.6</v>
      </c>
      <c r="T89" s="104">
        <v>135.19999999999999</v>
      </c>
      <c r="U89" s="104">
        <v>135.30000000000001</v>
      </c>
      <c r="V89" s="104">
        <v>136.9</v>
      </c>
      <c r="W89" s="104">
        <v>134.5</v>
      </c>
      <c r="X89" s="100"/>
      <c r="Y89" s="100">
        <v>132.9</v>
      </c>
      <c r="Z89" s="100">
        <v>136</v>
      </c>
      <c r="AA89" s="100">
        <v>133.69999999999999</v>
      </c>
      <c r="AB89" s="104">
        <v>133.6</v>
      </c>
      <c r="AC89" s="104">
        <v>134.5</v>
      </c>
      <c r="AD89" s="104">
        <v>133.5</v>
      </c>
      <c r="AE89" s="104">
        <v>134.6</v>
      </c>
      <c r="AF89" s="104">
        <v>129</v>
      </c>
      <c r="AG89" s="105"/>
      <c r="AH89" s="54">
        <f t="shared" si="22"/>
        <v>136.9</v>
      </c>
      <c r="AI89" s="55">
        <f t="shared" si="23"/>
        <v>125.5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137.1</v>
      </c>
      <c r="C90" s="99">
        <v>133.30000000000001</v>
      </c>
      <c r="D90" s="99">
        <v>133.80000000000001</v>
      </c>
      <c r="E90" s="73">
        <v>134.6</v>
      </c>
      <c r="F90" s="73">
        <v>134.69999999999999</v>
      </c>
      <c r="G90" s="73">
        <v>133.30000000000001</v>
      </c>
      <c r="H90" s="73">
        <v>133</v>
      </c>
      <c r="I90" s="73">
        <v>129.9</v>
      </c>
      <c r="J90" s="73">
        <v>129.9</v>
      </c>
      <c r="K90" s="73">
        <v>129.9</v>
      </c>
      <c r="L90" s="73">
        <v>128.80000000000001</v>
      </c>
      <c r="M90" s="73">
        <v>131.5</v>
      </c>
      <c r="N90" s="73">
        <v>134.30000000000001</v>
      </c>
      <c r="O90" s="73">
        <v>131.19999999999999</v>
      </c>
      <c r="P90" s="73">
        <v>132.69999999999999</v>
      </c>
      <c r="Q90" s="73">
        <v>135.80000000000001</v>
      </c>
      <c r="R90" s="73">
        <v>133.1</v>
      </c>
      <c r="S90" s="73">
        <v>134</v>
      </c>
      <c r="T90" s="73">
        <v>132.80000000000001</v>
      </c>
      <c r="U90" s="73">
        <v>133.19999999999999</v>
      </c>
      <c r="V90" s="73">
        <v>132.5</v>
      </c>
      <c r="W90" s="73">
        <v>132.30000000000001</v>
      </c>
      <c r="X90" s="100"/>
      <c r="Y90" s="100">
        <v>128.6</v>
      </c>
      <c r="Z90" s="100">
        <v>134.6</v>
      </c>
      <c r="AA90" s="100">
        <v>130.69999999999999</v>
      </c>
      <c r="AB90" s="73">
        <v>132.1</v>
      </c>
      <c r="AC90" s="73">
        <v>134</v>
      </c>
      <c r="AD90" s="73">
        <v>131</v>
      </c>
      <c r="AE90" s="73">
        <v>135</v>
      </c>
      <c r="AF90" s="73">
        <v>13</v>
      </c>
      <c r="AG90" s="101"/>
      <c r="AH90" s="54">
        <f t="shared" si="22"/>
        <v>137.1</v>
      </c>
      <c r="AI90" s="55">
        <f t="shared" si="23"/>
        <v>13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65.5</v>
      </c>
      <c r="C91" s="106">
        <v>64.8</v>
      </c>
      <c r="D91" s="106">
        <v>65.2</v>
      </c>
      <c r="E91" s="107">
        <v>65.2</v>
      </c>
      <c r="F91" s="107">
        <v>66</v>
      </c>
      <c r="G91" s="107">
        <v>64.8</v>
      </c>
      <c r="H91" s="107">
        <v>65.599999999999994</v>
      </c>
      <c r="I91" s="107">
        <v>65.7</v>
      </c>
      <c r="J91" s="107">
        <v>65.7</v>
      </c>
      <c r="K91" s="107">
        <v>63.9</v>
      </c>
      <c r="L91" s="107">
        <v>64.2</v>
      </c>
      <c r="M91" s="107">
        <v>64.2</v>
      </c>
      <c r="N91" s="107">
        <v>64</v>
      </c>
      <c r="O91" s="107">
        <v>63.9</v>
      </c>
      <c r="P91" s="107">
        <v>65</v>
      </c>
      <c r="Q91" s="107">
        <v>65.2</v>
      </c>
      <c r="R91" s="107">
        <v>65.099999999999994</v>
      </c>
      <c r="S91" s="107">
        <v>64.599999999999994</v>
      </c>
      <c r="T91" s="107">
        <v>64.7</v>
      </c>
      <c r="U91" s="107">
        <v>64</v>
      </c>
      <c r="V91" s="107">
        <v>64.8</v>
      </c>
      <c r="W91" s="107">
        <v>64.599999999999994</v>
      </c>
      <c r="X91" s="107">
        <v>65</v>
      </c>
      <c r="Y91" s="107">
        <v>63.8</v>
      </c>
      <c r="Z91" s="107">
        <v>64.3</v>
      </c>
      <c r="AA91" s="107">
        <v>64.7</v>
      </c>
      <c r="AB91" s="107">
        <v>65</v>
      </c>
      <c r="AC91" s="107">
        <v>66.099999999999994</v>
      </c>
      <c r="AD91" s="107">
        <v>65.8</v>
      </c>
      <c r="AE91" s="107">
        <v>65.7</v>
      </c>
      <c r="AF91" s="107">
        <v>64.400000000000006</v>
      </c>
      <c r="AG91" s="108"/>
      <c r="AH91" s="54">
        <f t="shared" si="22"/>
        <v>66.099999999999994</v>
      </c>
      <c r="AI91" s="55">
        <f t="shared" si="23"/>
        <v>63.8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192.14</v>
      </c>
      <c r="C93" s="114">
        <f>SUM(C15,C18,C21:C22,C42,C44:C45,C47,C49,C94:C97,C102,C108,C114,C123,C125,C137,C144,C147:C148,C155,C157,C159,C163:C165,C167:C169,C174,C180:C181,C183:C185,C193,C198)</f>
        <v>176.94</v>
      </c>
      <c r="D93" s="114">
        <f t="shared" ref="D93:AF93" si="37">SUM(D15,D18,D21:D22,D42,D44:D45,D47,D49,D94:D97,D102,D108,D114,D123,D125,D137,D144,D147:D148,D155,D157,D159,D163:D165,D167:D169,D174,D180:D181,D183:D185,D193,D198)</f>
        <v>170.83999999999997</v>
      </c>
      <c r="E93" s="114">
        <f t="shared" si="37"/>
        <v>166.83999999999997</v>
      </c>
      <c r="F93" s="114">
        <f t="shared" si="37"/>
        <v>172.73999999999998</v>
      </c>
      <c r="G93" s="113">
        <f t="shared" si="37"/>
        <v>194.23999999999998</v>
      </c>
      <c r="H93" s="113">
        <f t="shared" si="37"/>
        <v>203.64</v>
      </c>
      <c r="I93" s="113">
        <f t="shared" si="37"/>
        <v>272.54000000000002</v>
      </c>
      <c r="J93" s="113">
        <f t="shared" si="37"/>
        <v>359.74000000000007</v>
      </c>
      <c r="K93" s="113">
        <f t="shared" si="37"/>
        <v>323.54000000000008</v>
      </c>
      <c r="L93" s="113">
        <f t="shared" si="37"/>
        <v>405.54</v>
      </c>
      <c r="M93" s="113">
        <f t="shared" si="37"/>
        <v>392.04</v>
      </c>
      <c r="N93" s="113">
        <f t="shared" si="37"/>
        <v>364.94000000000005</v>
      </c>
      <c r="O93" s="113">
        <f t="shared" si="37"/>
        <v>357.84000000000003</v>
      </c>
      <c r="P93" s="113">
        <f t="shared" si="37"/>
        <v>344.94000000000005</v>
      </c>
      <c r="Q93" s="113">
        <f t="shared" si="37"/>
        <v>315.84000000000003</v>
      </c>
      <c r="R93" s="113">
        <f t="shared" si="37"/>
        <v>307.54000000000008</v>
      </c>
      <c r="S93" s="113">
        <f t="shared" si="37"/>
        <v>312.14000000000004</v>
      </c>
      <c r="T93" s="113">
        <f t="shared" si="37"/>
        <v>310.24000000000007</v>
      </c>
      <c r="U93" s="113">
        <f t="shared" si="37"/>
        <v>313.64</v>
      </c>
      <c r="V93" s="113">
        <f t="shared" si="37"/>
        <v>324.04000000000008</v>
      </c>
      <c r="W93" s="113">
        <f t="shared" si="37"/>
        <v>334.04000000000008</v>
      </c>
      <c r="X93" s="113">
        <f t="shared" si="37"/>
        <v>362.04000000000008</v>
      </c>
      <c r="Y93" s="113">
        <f t="shared" si="37"/>
        <v>412.74000000000007</v>
      </c>
      <c r="Z93" s="113">
        <f t="shared" si="37"/>
        <v>420.14</v>
      </c>
      <c r="AA93" s="113">
        <f t="shared" si="37"/>
        <v>404.34000000000003</v>
      </c>
      <c r="AB93" s="113">
        <f t="shared" si="37"/>
        <v>331.44000000000005</v>
      </c>
      <c r="AC93" s="113">
        <f t="shared" si="37"/>
        <v>368.64000000000004</v>
      </c>
      <c r="AD93" s="113">
        <f t="shared" si="37"/>
        <v>352.64000000000004</v>
      </c>
      <c r="AE93" s="113">
        <f t="shared" si="37"/>
        <v>270.64000000000004</v>
      </c>
      <c r="AF93" s="113">
        <f t="shared" si="37"/>
        <v>228.64</v>
      </c>
      <c r="AG93" s="115"/>
      <c r="AH93" s="54">
        <f>MAX(C93:AF93)</f>
        <v>420.14</v>
      </c>
      <c r="AI93" s="55">
        <f>MIN(C93:AF93)</f>
        <v>166.83999999999997</v>
      </c>
    </row>
    <row r="94" spans="1:88" x14ac:dyDescent="0.25">
      <c r="A94" s="116" t="s">
        <v>98</v>
      </c>
      <c r="B94" s="119">
        <v>-47.2</v>
      </c>
      <c r="C94" s="117">
        <v>-36.6</v>
      </c>
      <c r="D94" s="58">
        <v>-38.1</v>
      </c>
      <c r="E94" s="58">
        <v>-33.700000000000003</v>
      </c>
      <c r="F94" s="58">
        <v>-33.6</v>
      </c>
      <c r="G94" s="118">
        <v>-24.5</v>
      </c>
      <c r="H94" s="118">
        <v>-24.5</v>
      </c>
      <c r="I94" s="118">
        <v>3.2</v>
      </c>
      <c r="J94" s="118">
        <v>33.200000000000003</v>
      </c>
      <c r="K94" s="118">
        <v>53.5</v>
      </c>
      <c r="L94" s="118">
        <v>53.6</v>
      </c>
      <c r="M94" s="119">
        <v>59</v>
      </c>
      <c r="N94" s="118">
        <v>53.4</v>
      </c>
      <c r="O94" s="118">
        <v>56.9</v>
      </c>
      <c r="P94" s="118">
        <v>52.9</v>
      </c>
      <c r="Q94" s="118">
        <v>35.9</v>
      </c>
      <c r="R94" s="118">
        <v>15.3</v>
      </c>
      <c r="S94" s="118">
        <v>-1.3</v>
      </c>
      <c r="T94" s="118">
        <v>2</v>
      </c>
      <c r="U94" s="119">
        <v>21.4</v>
      </c>
      <c r="V94" s="119">
        <v>28.1</v>
      </c>
      <c r="W94" s="119">
        <v>21.3</v>
      </c>
      <c r="X94" s="118">
        <v>62.6</v>
      </c>
      <c r="Y94" s="118">
        <v>57.2</v>
      </c>
      <c r="Z94" s="118">
        <v>67.2</v>
      </c>
      <c r="AA94" s="118">
        <v>70.2</v>
      </c>
      <c r="AB94" s="119">
        <v>2.6</v>
      </c>
      <c r="AC94" s="119">
        <v>50</v>
      </c>
      <c r="AD94" s="119">
        <v>42</v>
      </c>
      <c r="AE94" s="119">
        <v>-3</v>
      </c>
      <c r="AF94" s="119">
        <v>-16</v>
      </c>
      <c r="AG94" s="120">
        <v>75</v>
      </c>
      <c r="AH94" s="54">
        <f t="shared" ref="AH94:AH99" si="38">IF(ABS(MAX(C94:AF94))&gt;ABS(MIN(C94:AF94)),MAX(C94:AF94),MIN(C94:AF94))</f>
        <v>70.2</v>
      </c>
      <c r="AI94" s="121">
        <f t="shared" ref="AI94:AI99" si="39">INDEX($C$9:$AF$9,1,MATCH(AH94,C94:AF94,0))</f>
        <v>0.8125</v>
      </c>
    </row>
    <row r="95" spans="1:88" x14ac:dyDescent="0.25">
      <c r="A95" s="122" t="s">
        <v>99</v>
      </c>
      <c r="B95" s="73">
        <v>-12</v>
      </c>
      <c r="C95" s="123">
        <v>-34</v>
      </c>
      <c r="D95" s="60">
        <v>-38</v>
      </c>
      <c r="E95" s="60">
        <v>-38.4</v>
      </c>
      <c r="F95" s="60">
        <v>-35.200000000000003</v>
      </c>
      <c r="G95" s="60">
        <v>-29.2</v>
      </c>
      <c r="H95" s="60">
        <v>-21.5</v>
      </c>
      <c r="I95" s="60">
        <v>4.0999999999999996</v>
      </c>
      <c r="J95" s="60">
        <v>32.5</v>
      </c>
      <c r="K95" s="60">
        <v>-38.1</v>
      </c>
      <c r="L95" s="60">
        <v>45</v>
      </c>
      <c r="M95" s="60">
        <v>42.7</v>
      </c>
      <c r="N95" s="60">
        <v>45</v>
      </c>
      <c r="O95" s="60">
        <v>46</v>
      </c>
      <c r="P95" s="60">
        <v>21</v>
      </c>
      <c r="Q95" s="60">
        <v>28.5</v>
      </c>
      <c r="R95" s="60">
        <v>23.6</v>
      </c>
      <c r="S95" s="60">
        <v>24</v>
      </c>
      <c r="T95" s="60">
        <v>24.4</v>
      </c>
      <c r="U95" s="60">
        <v>23.1</v>
      </c>
      <c r="V95" s="60">
        <v>28</v>
      </c>
      <c r="W95" s="60">
        <v>37</v>
      </c>
      <c r="X95" s="60">
        <v>32.4</v>
      </c>
      <c r="Y95" s="60">
        <v>75</v>
      </c>
      <c r="Z95" s="60">
        <v>72</v>
      </c>
      <c r="AA95" s="60">
        <v>63</v>
      </c>
      <c r="AB95" s="73">
        <v>47</v>
      </c>
      <c r="AC95" s="73">
        <v>42</v>
      </c>
      <c r="AD95" s="73">
        <v>44</v>
      </c>
      <c r="AE95" s="73">
        <v>7</v>
      </c>
      <c r="AF95" s="73">
        <v>-30</v>
      </c>
      <c r="AG95" s="120">
        <v>240</v>
      </c>
      <c r="AH95" s="54">
        <f t="shared" si="38"/>
        <v>75</v>
      </c>
      <c r="AI95" s="121">
        <f t="shared" si="39"/>
        <v>0.77083333333333337</v>
      </c>
    </row>
    <row r="96" spans="1:88" x14ac:dyDescent="0.25">
      <c r="A96" s="122" t="s">
        <v>100</v>
      </c>
      <c r="B96" s="73">
        <v>-1.9</v>
      </c>
      <c r="C96" s="123">
        <v>-7.2</v>
      </c>
      <c r="D96" s="60">
        <v>-5.8</v>
      </c>
      <c r="E96" s="60">
        <v>-10.7</v>
      </c>
      <c r="F96" s="60">
        <v>-4.5999999999999996</v>
      </c>
      <c r="G96" s="60">
        <v>-7.4</v>
      </c>
      <c r="H96" s="60">
        <v>-4.3</v>
      </c>
      <c r="I96" s="60">
        <v>3.2</v>
      </c>
      <c r="J96" s="60">
        <v>11.9</v>
      </c>
      <c r="K96" s="60">
        <v>29.2</v>
      </c>
      <c r="L96" s="60">
        <v>46.7</v>
      </c>
      <c r="M96" s="60">
        <v>38.200000000000003</v>
      </c>
      <c r="N96" s="60">
        <v>31.4</v>
      </c>
      <c r="O96" s="60">
        <v>29.2</v>
      </c>
      <c r="P96" s="60">
        <v>20</v>
      </c>
      <c r="Q96" s="60">
        <v>21.4</v>
      </c>
      <c r="R96" s="60">
        <v>22.4</v>
      </c>
      <c r="S96" s="60">
        <v>28</v>
      </c>
      <c r="T96" s="60">
        <v>16.899999999999999</v>
      </c>
      <c r="U96" s="60">
        <v>7.1</v>
      </c>
      <c r="V96" s="60">
        <v>8.5</v>
      </c>
      <c r="W96" s="60">
        <v>9.6999999999999993</v>
      </c>
      <c r="X96" s="60">
        <v>24</v>
      </c>
      <c r="Y96" s="60">
        <v>40.1</v>
      </c>
      <c r="Z96" s="60">
        <v>34.9</v>
      </c>
      <c r="AA96" s="60">
        <v>30.6</v>
      </c>
      <c r="AB96" s="73">
        <v>10.6</v>
      </c>
      <c r="AC96" s="73">
        <v>11</v>
      </c>
      <c r="AD96" s="73">
        <v>11</v>
      </c>
      <c r="AE96" s="73">
        <v>11</v>
      </c>
      <c r="AF96" s="73">
        <v>12</v>
      </c>
      <c r="AG96" s="120">
        <v>60</v>
      </c>
      <c r="AH96" s="54">
        <f t="shared" si="38"/>
        <v>46.7</v>
      </c>
      <c r="AI96" s="121">
        <f t="shared" si="39"/>
        <v>0.3125</v>
      </c>
    </row>
    <row r="97" spans="1:37" x14ac:dyDescent="0.25">
      <c r="A97" s="124" t="s">
        <v>101</v>
      </c>
      <c r="B97" s="126">
        <v>91.6</v>
      </c>
      <c r="C97" s="125">
        <v>95.2</v>
      </c>
      <c r="D97" s="63">
        <v>94.4</v>
      </c>
      <c r="E97" s="63">
        <v>91.3</v>
      </c>
      <c r="F97" s="63">
        <v>87.6</v>
      </c>
      <c r="G97" s="63">
        <v>96.8</v>
      </c>
      <c r="H97" s="63">
        <v>95.4</v>
      </c>
      <c r="I97" s="63">
        <v>103.7</v>
      </c>
      <c r="J97" s="63">
        <v>123.6</v>
      </c>
      <c r="K97" s="63">
        <v>120.4</v>
      </c>
      <c r="L97" s="63">
        <v>101.7</v>
      </c>
      <c r="M97" s="63">
        <v>93.3</v>
      </c>
      <c r="N97" s="63">
        <v>76.599999999999994</v>
      </c>
      <c r="O97" s="63">
        <v>67.2</v>
      </c>
      <c r="P97" s="63">
        <v>92.5</v>
      </c>
      <c r="Q97" s="63">
        <v>71.3</v>
      </c>
      <c r="R97" s="63">
        <v>87.5</v>
      </c>
      <c r="S97" s="63">
        <v>102</v>
      </c>
      <c r="T97" s="63">
        <v>107.2</v>
      </c>
      <c r="U97" s="63">
        <v>102.6</v>
      </c>
      <c r="V97" s="63">
        <v>100</v>
      </c>
      <c r="W97" s="63">
        <v>107</v>
      </c>
      <c r="X97" s="63">
        <v>84</v>
      </c>
      <c r="Y97" s="63">
        <v>83.7</v>
      </c>
      <c r="Z97" s="63">
        <v>84.2</v>
      </c>
      <c r="AA97" s="63">
        <v>78.7</v>
      </c>
      <c r="AB97" s="126">
        <v>107.6</v>
      </c>
      <c r="AC97" s="126">
        <v>102</v>
      </c>
      <c r="AD97" s="126">
        <v>92</v>
      </c>
      <c r="AE97" s="126">
        <v>92</v>
      </c>
      <c r="AF97" s="126">
        <v>99</v>
      </c>
      <c r="AG97" s="127">
        <v>120</v>
      </c>
      <c r="AH97" s="54">
        <f t="shared" si="38"/>
        <v>123.6</v>
      </c>
      <c r="AI97" s="121">
        <f t="shared" si="39"/>
        <v>0.27083333333333331</v>
      </c>
    </row>
    <row r="98" spans="1:37" x14ac:dyDescent="0.25">
      <c r="A98" s="124" t="s">
        <v>102</v>
      </c>
      <c r="B98" s="126">
        <v>85.1</v>
      </c>
      <c r="C98" s="125">
        <v>100.8</v>
      </c>
      <c r="D98" s="63">
        <v>101</v>
      </c>
      <c r="E98" s="63">
        <v>97.3</v>
      </c>
      <c r="F98" s="63">
        <v>94.1</v>
      </c>
      <c r="G98" s="63">
        <v>100.5</v>
      </c>
      <c r="H98" s="63">
        <v>102.5</v>
      </c>
      <c r="I98" s="63">
        <v>81</v>
      </c>
      <c r="J98" s="63">
        <v>98</v>
      </c>
      <c r="K98" s="63">
        <v>81.400000000000006</v>
      </c>
      <c r="L98" s="63">
        <v>59.9</v>
      </c>
      <c r="M98" s="63">
        <v>67.900000000000006</v>
      </c>
      <c r="N98" s="63">
        <v>74.8</v>
      </c>
      <c r="O98" s="63">
        <v>79.5</v>
      </c>
      <c r="P98" s="63">
        <v>57.8</v>
      </c>
      <c r="Q98" s="63">
        <v>78.400000000000006</v>
      </c>
      <c r="R98" s="63">
        <v>71.400000000000006</v>
      </c>
      <c r="S98" s="63">
        <v>88</v>
      </c>
      <c r="T98" s="63">
        <v>92</v>
      </c>
      <c r="U98" s="63">
        <v>85</v>
      </c>
      <c r="V98" s="63">
        <v>84.1</v>
      </c>
      <c r="W98" s="63">
        <v>87.2</v>
      </c>
      <c r="X98" s="63">
        <v>62</v>
      </c>
      <c r="Y98" s="63">
        <v>94.9</v>
      </c>
      <c r="Z98" s="63">
        <v>79.7</v>
      </c>
      <c r="AA98" s="63">
        <v>72.7</v>
      </c>
      <c r="AB98" s="126">
        <v>87</v>
      </c>
      <c r="AC98" s="126">
        <v>73</v>
      </c>
      <c r="AD98" s="126">
        <v>78</v>
      </c>
      <c r="AE98" s="126">
        <v>84</v>
      </c>
      <c r="AF98" s="126">
        <v>102</v>
      </c>
      <c r="AG98" s="127"/>
      <c r="AH98" s="54">
        <f t="shared" si="38"/>
        <v>102.5</v>
      </c>
      <c r="AI98" s="121">
        <f t="shared" si="39"/>
        <v>0.22916666666666666</v>
      </c>
    </row>
    <row r="99" spans="1:37" ht="15.75" thickBot="1" x14ac:dyDescent="0.3">
      <c r="A99" s="124" t="s">
        <v>103</v>
      </c>
      <c r="B99" s="126">
        <v>78.099999999999994</v>
      </c>
      <c r="C99" s="125">
        <v>79.8</v>
      </c>
      <c r="D99" s="63">
        <v>79.599999999999994</v>
      </c>
      <c r="E99" s="63">
        <v>76.599999999999994</v>
      </c>
      <c r="F99" s="63">
        <v>79.400000000000006</v>
      </c>
      <c r="G99" s="63">
        <v>53.2</v>
      </c>
      <c r="H99" s="63">
        <v>43.2</v>
      </c>
      <c r="I99" s="63">
        <v>44.8</v>
      </c>
      <c r="J99" s="63">
        <v>37.6</v>
      </c>
      <c r="K99" s="63">
        <v>20.6</v>
      </c>
      <c r="L99" s="63">
        <v>22.8</v>
      </c>
      <c r="M99" s="63">
        <v>12</v>
      </c>
      <c r="N99" s="63">
        <v>20.3</v>
      </c>
      <c r="O99" s="63">
        <v>17.5</v>
      </c>
      <c r="P99" s="63">
        <v>19.399999999999999</v>
      </c>
      <c r="Q99" s="63">
        <v>32.299999999999997</v>
      </c>
      <c r="R99" s="63">
        <v>21.9</v>
      </c>
      <c r="S99" s="63">
        <v>38.799999999999997</v>
      </c>
      <c r="T99" s="63">
        <v>32</v>
      </c>
      <c r="U99" s="63">
        <v>30.1</v>
      </c>
      <c r="V99" s="63">
        <v>28</v>
      </c>
      <c r="W99" s="63">
        <v>22.2</v>
      </c>
      <c r="X99" s="63">
        <v>0</v>
      </c>
      <c r="Y99" s="63">
        <v>15.3</v>
      </c>
      <c r="Z99" s="63">
        <v>6.5</v>
      </c>
      <c r="AA99" s="63">
        <v>5.7</v>
      </c>
      <c r="AB99" s="126">
        <v>36.5</v>
      </c>
      <c r="AC99" s="126">
        <v>45</v>
      </c>
      <c r="AD99" s="126">
        <v>49</v>
      </c>
      <c r="AE99" s="126">
        <v>70</v>
      </c>
      <c r="AF99" s="126">
        <v>77</v>
      </c>
      <c r="AG99" s="128"/>
      <c r="AH99" s="54">
        <f t="shared" si="38"/>
        <v>79.8</v>
      </c>
      <c r="AI99" s="121">
        <f t="shared" si="39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1437.32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2078/11/6)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951.68999999999994</v>
      </c>
      <c r="U213" s="174">
        <f t="shared" si="76"/>
        <v>953.36</v>
      </c>
      <c r="V213" s="174">
        <f t="shared" si="76"/>
        <v>955.2299999999999</v>
      </c>
      <c r="W213" s="174">
        <f t="shared" si="76"/>
        <v>932.04</v>
      </c>
      <c r="X213" s="174">
        <f t="shared" si="76"/>
        <v>926.24</v>
      </c>
      <c r="Y213" s="174">
        <f t="shared" si="76"/>
        <v>1008.14</v>
      </c>
      <c r="Z213" s="174">
        <f t="shared" si="76"/>
        <v>1049.1399999999999</v>
      </c>
      <c r="AA213" s="174">
        <f t="shared" si="76"/>
        <v>1165.24</v>
      </c>
      <c r="AB213" s="174">
        <f t="shared" si="76"/>
        <v>1271.9499999999998</v>
      </c>
      <c r="AC213" s="174">
        <f t="shared" si="76"/>
        <v>1409.6400000000003</v>
      </c>
      <c r="AD213" s="174">
        <f t="shared" si="76"/>
        <v>1437.32</v>
      </c>
      <c r="AE213" s="174">
        <f t="shared" si="76"/>
        <v>1368.04</v>
      </c>
      <c r="AF213" s="174">
        <f t="shared" si="76"/>
        <v>1350.94</v>
      </c>
      <c r="AG213" s="174">
        <f t="shared" si="76"/>
        <v>1329.04</v>
      </c>
      <c r="AH213" s="174">
        <f t="shared" si="76"/>
        <v>1284.3399999999999</v>
      </c>
      <c r="AI213" s="174">
        <f t="shared" si="76"/>
        <v>1211.8899999999999</v>
      </c>
      <c r="AJ213" s="174">
        <f t="shared" si="76"/>
        <v>1137.54</v>
      </c>
      <c r="AK213" s="174">
        <f t="shared" si="76"/>
        <v>1172.24</v>
      </c>
      <c r="AL213" s="174">
        <f t="shared" si="76"/>
        <v>1151.8399999999999</v>
      </c>
      <c r="AM213" s="174">
        <f t="shared" si="76"/>
        <v>1177.1399999999999</v>
      </c>
      <c r="AN213" s="174">
        <f t="shared" si="76"/>
        <v>1183.82</v>
      </c>
      <c r="AO213" s="174">
        <f t="shared" si="76"/>
        <v>1192.94</v>
      </c>
      <c r="AP213" s="174">
        <f t="shared" si="76"/>
        <v>1301.43</v>
      </c>
      <c r="AQ213" s="174">
        <f t="shared" si="76"/>
        <v>1494.7599999999998</v>
      </c>
      <c r="AR213" s="174">
        <f t="shared" si="76"/>
        <v>1463.21</v>
      </c>
      <c r="AS213" s="174">
        <f t="shared" si="76"/>
        <v>1394.11</v>
      </c>
      <c r="AT213" s="174">
        <f t="shared" si="76"/>
        <v>1344.28</v>
      </c>
      <c r="AU213" s="174">
        <f t="shared" si="76"/>
        <v>1298.74</v>
      </c>
      <c r="AV213" s="174">
        <f t="shared" si="76"/>
        <v>1253.1399999999999</v>
      </c>
      <c r="AW213" s="174">
        <f t="shared" si="76"/>
        <v>1074.1399999999999</v>
      </c>
      <c r="AX213" s="174">
        <f t="shared" si="76"/>
        <v>1005.14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N62:N67 P39:R39 M39:O42 O61:O67 P40:Q42 R42 AB81:AF81 C81:R81 C56:AF56 C82:AF83 D193:AF199 B193:B199 AB84:AF91 C68:AF80 B9:AF10 B191:AF191 AG73 AB94:AF99 U212:AF212 C94:C99 C84:D91 K61:N61 P60:R67 X85:AA91 K60:O60 I57:L57 C57:H67 K58:W59 I58:J67 R11:AF11 N37:R37 M11:Q12 S62:S67 R40:T41 R12:Y12 U40:AA42 R45:AA45 AB40:AE43 Z18:AF30 Z36:AF36 AF42:AF43 M53:AF55 AF57:AF67">
    <cfRule type="expression" dxfId="7476" priority="326">
      <formula>B$9&gt;=20/24</formula>
    </cfRule>
    <cfRule type="expression" dxfId="7475" priority="327">
      <formula>AND(B$9&gt;=14/24,B$9&lt;20/24)</formula>
    </cfRule>
    <cfRule type="expression" dxfId="7474" priority="328">
      <formula>AND(B$9&gt;=8/24,B$9&lt;14/24)</formula>
    </cfRule>
    <cfRule type="expression" dxfId="7473" priority="329">
      <formula>B$9&lt;8/24</formula>
    </cfRule>
  </conditionalFormatting>
  <conditionalFormatting sqref="AL4:AL6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472" priority="321">
      <formula>M$9&gt;=20/24</formula>
    </cfRule>
    <cfRule type="expression" dxfId="7471" priority="322">
      <formula>AND(M$9&gt;=14/24,M$9&lt;20/24)</formula>
    </cfRule>
    <cfRule type="expression" dxfId="7470" priority="323">
      <formula>AND(M$9&gt;=8/24,M$9&lt;14/24)</formula>
    </cfRule>
    <cfRule type="expression" dxfId="7469" priority="324">
      <formula>M$9&lt;8/24</formula>
    </cfRule>
  </conditionalFormatting>
  <conditionalFormatting sqref="M43:R43">
    <cfRule type="expression" dxfId="7468" priority="317">
      <formula>M$9&gt;=20/24</formula>
    </cfRule>
    <cfRule type="expression" dxfId="7467" priority="318">
      <formula>AND(M$9&gt;=14/24,M$9&lt;20/24)</formula>
    </cfRule>
    <cfRule type="expression" dxfId="7466" priority="319">
      <formula>AND(M$9&gt;=8/24,M$9&lt;14/24)</formula>
    </cfRule>
    <cfRule type="expression" dxfId="7465" priority="320">
      <formula>M$9&lt;8/24</formula>
    </cfRule>
  </conditionalFormatting>
  <conditionalFormatting sqref="S39:AE39">
    <cfRule type="expression" dxfId="7464" priority="309">
      <formula>S$9&gt;=20/24</formula>
    </cfRule>
    <cfRule type="expression" dxfId="7463" priority="310">
      <formula>AND(S$9&gt;=14/24,S$9&lt;20/24)</formula>
    </cfRule>
    <cfRule type="expression" dxfId="7462" priority="311">
      <formula>AND(S$9&gt;=8/24,S$9&lt;14/24)</formula>
    </cfRule>
    <cfRule type="expression" dxfId="7461" priority="312">
      <formula>S$9&lt;8/24</formula>
    </cfRule>
  </conditionalFormatting>
  <conditionalFormatting sqref="S57:AE57">
    <cfRule type="expression" dxfId="7460" priority="305">
      <formula>S$9&gt;=20/24</formula>
    </cfRule>
    <cfRule type="expression" dxfId="7459" priority="306">
      <formula>AND(S$9&gt;=14/24,S$9&lt;20/24)</formula>
    </cfRule>
    <cfRule type="expression" dxfId="7458" priority="307">
      <formula>AND(S$9&gt;=8/24,S$9&lt;14/24)</formula>
    </cfRule>
    <cfRule type="expression" dxfId="7457" priority="308">
      <formula>S$9&lt;8/24</formula>
    </cfRule>
  </conditionalFormatting>
  <conditionalFormatting sqref="S81:AA81">
    <cfRule type="expression" dxfId="7456" priority="301">
      <formula>S$9&gt;=20/24</formula>
    </cfRule>
    <cfRule type="expression" dxfId="7455" priority="302">
      <formula>AND(S$9&gt;=14/24,S$9&lt;20/24)</formula>
    </cfRule>
    <cfRule type="expression" dxfId="7454" priority="303">
      <formula>AND(S$9&gt;=8/24,S$9&lt;14/24)</formula>
    </cfRule>
    <cfRule type="expression" dxfId="7453" priority="304">
      <formula>S$9&lt;8/24</formula>
    </cfRule>
  </conditionalFormatting>
  <conditionalFormatting sqref="U84:AA84">
    <cfRule type="expression" dxfId="7452" priority="297">
      <formula>U$9&gt;=20/24</formula>
    </cfRule>
    <cfRule type="expression" dxfId="7451" priority="298">
      <formula>AND(U$9&gt;=14/24,U$9&lt;20/24)</formula>
    </cfRule>
    <cfRule type="expression" dxfId="7450" priority="299">
      <formula>AND(U$9&gt;=8/24,U$9&lt;14/24)</formula>
    </cfRule>
    <cfRule type="expression" dxfId="7449" priority="300">
      <formula>U$9&lt;8/24</formula>
    </cfRule>
  </conditionalFormatting>
  <conditionalFormatting sqref="AB49:AF49">
    <cfRule type="expression" dxfId="7448" priority="293">
      <formula>AB$9&gt;=20/24</formula>
    </cfRule>
    <cfRule type="expression" dxfId="7447" priority="294">
      <formula>AND(AB$9&gt;=14/24,AB$9&lt;20/24)</formula>
    </cfRule>
    <cfRule type="expression" dxfId="7446" priority="295">
      <formula>AND(AB$9&gt;=8/24,AB$9&lt;14/24)</formula>
    </cfRule>
    <cfRule type="expression" dxfId="7445" priority="296">
      <formula>AB$9&lt;8/24</formula>
    </cfRule>
  </conditionalFormatting>
  <conditionalFormatting sqref="M45:AA45">
    <cfRule type="expression" dxfId="7444" priority="285">
      <formula>M$9&gt;=20/24</formula>
    </cfRule>
    <cfRule type="expression" dxfId="7443" priority="286">
      <formula>AND(M$9&gt;=14/24,M$9&lt;20/24)</formula>
    </cfRule>
    <cfRule type="expression" dxfId="7442" priority="287">
      <formula>AND(M$9&gt;=8/24,M$9&lt;14/24)</formula>
    </cfRule>
    <cfRule type="expression" dxfId="7441" priority="288">
      <formula>M$9&lt;8/24</formula>
    </cfRule>
  </conditionalFormatting>
  <conditionalFormatting sqref="S37:AF37">
    <cfRule type="expression" dxfId="7440" priority="281">
      <formula>S$9&gt;=20/24</formula>
    </cfRule>
    <cfRule type="expression" dxfId="7439" priority="282">
      <formula>AND(S$9&gt;=14/24,S$9&lt;20/24)</formula>
    </cfRule>
    <cfRule type="expression" dxfId="7438" priority="283">
      <formula>AND(S$9&gt;=8/24,S$9&lt;14/24)</formula>
    </cfRule>
    <cfRule type="expression" dxfId="7437" priority="284">
      <formula>S$9&lt;8/24</formula>
    </cfRule>
  </conditionalFormatting>
  <conditionalFormatting sqref="Z31:AF32 Z35:AF35">
    <cfRule type="expression" dxfId="7436" priority="277">
      <formula>Z$9&gt;=20/24</formula>
    </cfRule>
    <cfRule type="expression" dxfId="7435" priority="278">
      <formula>AND(Z$9&gt;=14/24,Z$9&lt;20/24)</formula>
    </cfRule>
    <cfRule type="expression" dxfId="7434" priority="279">
      <formula>AND(Z$9&gt;=8/24,Z$9&lt;14/24)</formula>
    </cfRule>
    <cfRule type="expression" dxfId="7433" priority="280">
      <formula>Z$9&lt;8/24</formula>
    </cfRule>
  </conditionalFormatting>
  <conditionalFormatting sqref="S42:V43 W43:AA43 AB45:AF48">
    <cfRule type="expression" dxfId="7432" priority="273">
      <formula>S$9&gt;=20/24</formula>
    </cfRule>
    <cfRule type="expression" dxfId="7431" priority="274">
      <formula>AND(S$9&gt;=14/24,S$9&lt;20/24)</formula>
    </cfRule>
    <cfRule type="expression" dxfId="7430" priority="275">
      <formula>AND(S$9&gt;=8/24,S$9&lt;14/24)</formula>
    </cfRule>
    <cfRule type="expression" dxfId="7429" priority="276">
      <formula>S$9&lt;8/24</formula>
    </cfRule>
  </conditionalFormatting>
  <conditionalFormatting sqref="AB49:AF49">
    <cfRule type="expression" dxfId="7428" priority="269">
      <formula>AB$9&gt;=20/24</formula>
    </cfRule>
    <cfRule type="expression" dxfId="7427" priority="270">
      <formula>AND(AB$9&gt;=14/24,AB$9&lt;20/24)</formula>
    </cfRule>
    <cfRule type="expression" dxfId="7426" priority="271">
      <formula>AND(AB$9&gt;=8/24,AB$9&lt;14/24)</formula>
    </cfRule>
    <cfRule type="expression" dxfId="7425" priority="272">
      <formula>AB$9&lt;8/24</formula>
    </cfRule>
  </conditionalFormatting>
  <conditionalFormatting sqref="AB50:AF50">
    <cfRule type="expression" dxfId="7424" priority="265">
      <formula>AB$9&gt;=20/24</formula>
    </cfRule>
    <cfRule type="expression" dxfId="7423" priority="266">
      <formula>AND(AB$9&gt;=14/24,AB$9&lt;20/24)</formula>
    </cfRule>
    <cfRule type="expression" dxfId="7422" priority="267">
      <formula>AND(AB$9&gt;=8/24,AB$9&lt;14/24)</formula>
    </cfRule>
    <cfRule type="expression" dxfId="7421" priority="268">
      <formula>AB$9&lt;8/24</formula>
    </cfRule>
  </conditionalFormatting>
  <conditionalFormatting sqref="S60:T61 T62:U67 X60:AE61 AD62:AE63 V65:AE67">
    <cfRule type="expression" dxfId="7420" priority="261">
      <formula>S$9&gt;=20/24</formula>
    </cfRule>
    <cfRule type="expression" dxfId="7419" priority="262">
      <formula>AND(S$9&gt;=14/24,S$9&lt;20/24)</formula>
    </cfRule>
    <cfRule type="expression" dxfId="7418" priority="263">
      <formula>AND(S$9&gt;=8/24,S$9&lt;14/24)</formula>
    </cfRule>
    <cfRule type="expression" dxfId="7417" priority="264">
      <formula>S$9&lt;8/24</formula>
    </cfRule>
  </conditionalFormatting>
  <conditionalFormatting sqref="K62:M62 K63:L67">
    <cfRule type="expression" dxfId="7416" priority="257">
      <formula>K$9&gt;=20/24</formula>
    </cfRule>
    <cfRule type="expression" dxfId="7415" priority="258">
      <formula>AND(K$9&gt;=14/24,K$9&lt;20/24)</formula>
    </cfRule>
    <cfRule type="expression" dxfId="7414" priority="259">
      <formula>AND(K$9&gt;=8/24,K$9&lt;14/24)</formula>
    </cfRule>
    <cfRule type="expression" dxfId="7413" priority="260">
      <formula>K$9&lt;8/24</formula>
    </cfRule>
  </conditionalFormatting>
  <conditionalFormatting sqref="U94:AA97">
    <cfRule type="expression" dxfId="7412" priority="253">
      <formula>U$9&gt;=20/24</formula>
    </cfRule>
    <cfRule type="expression" dxfId="7411" priority="254">
      <formula>AND(U$9&gt;=14/24,U$9&lt;20/24)</formula>
    </cfRule>
    <cfRule type="expression" dxfId="7410" priority="255">
      <formula>AND(U$9&gt;=8/24,U$9&lt;14/24)</formula>
    </cfRule>
    <cfRule type="expression" dxfId="7409" priority="256">
      <formula>U$9&lt;8/24</formula>
    </cfRule>
  </conditionalFormatting>
  <conditionalFormatting sqref="AG51 R11:AF11 C38:AF38 J43 E11:P11 C42:J42 K42:S43 E37:L37 M12:P12 N37:AB37 Q11:Q12 M44:S45 C39:S41 R12:Y12 Z34:AB36 T39:AA45 Z18:AF32 AC34:AF37 AB39:AF50 C51:AF56">
    <cfRule type="expression" dxfId="7408" priority="252">
      <formula>C11&gt;$AG11</formula>
    </cfRule>
  </conditionalFormatting>
  <conditionalFormatting sqref="A100:A156 A84:A97 A11:A14 A16:A32 A45:A72 A80:A82 A74:A78 A35:A43 A169:A199">
    <cfRule type="expression" dxfId="7407" priority="251">
      <formula>$AH11=0</formula>
    </cfRule>
  </conditionalFormatting>
  <conditionalFormatting sqref="U98:AA98">
    <cfRule type="expression" dxfId="7406" priority="247">
      <formula>U$9&gt;=20/24</formula>
    </cfRule>
    <cfRule type="expression" dxfId="7405" priority="248">
      <formula>AND(U$9&gt;=14/24,U$9&lt;20/24)</formula>
    </cfRule>
    <cfRule type="expression" dxfId="7404" priority="249">
      <formula>AND(U$9&gt;=8/24,U$9&lt;14/24)</formula>
    </cfRule>
    <cfRule type="expression" dxfId="7403" priority="250">
      <formula>U$9&lt;8/24</formula>
    </cfRule>
  </conditionalFormatting>
  <conditionalFormatting sqref="A98">
    <cfRule type="expression" dxfId="7402" priority="246">
      <formula>$AH98=0</formula>
    </cfRule>
  </conditionalFormatting>
  <conditionalFormatting sqref="M63:M67">
    <cfRule type="expression" dxfId="7401" priority="242">
      <formula>M$9&gt;=20/24</formula>
    </cfRule>
    <cfRule type="expression" dxfId="7400" priority="243">
      <formula>AND(M$9&gt;=14/24,M$9&lt;20/24)</formula>
    </cfRule>
    <cfRule type="expression" dxfId="7399" priority="244">
      <formula>AND(M$9&gt;=8/24,M$9&lt;14/24)</formula>
    </cfRule>
    <cfRule type="expression" dxfId="7398" priority="245">
      <formula>M$9&lt;8/24</formula>
    </cfRule>
  </conditionalFormatting>
  <conditionalFormatting sqref="AL32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7397" priority="233">
      <formula>Z$9&gt;=20/24</formula>
    </cfRule>
    <cfRule type="expression" dxfId="7396" priority="234">
      <formula>AND(Z$9&gt;=14/24,Z$9&lt;20/24)</formula>
    </cfRule>
    <cfRule type="expression" dxfId="7395" priority="235">
      <formula>AND(Z$9&gt;=8/24,Z$9&lt;14/24)</formula>
    </cfRule>
    <cfRule type="expression" dxfId="7394" priority="236">
      <formula>Z$9&lt;8/24</formula>
    </cfRule>
  </conditionalFormatting>
  <conditionalFormatting sqref="A34">
    <cfRule type="expression" dxfId="7393" priority="232">
      <formula>$AH34=0</formula>
    </cfRule>
  </conditionalFormatting>
  <conditionalFormatting sqref="A83">
    <cfRule type="expression" dxfId="7392" priority="231">
      <formula>$AH83=0</formula>
    </cfRule>
  </conditionalFormatting>
  <conditionalFormatting sqref="A15">
    <cfRule type="expression" dxfId="7391" priority="226">
      <formula>$AH15=0</formula>
    </cfRule>
  </conditionalFormatting>
  <conditionalFormatting sqref="A163:A168">
    <cfRule type="expression" dxfId="7390" priority="225">
      <formula>$AH163=0</formula>
    </cfRule>
  </conditionalFormatting>
  <conditionalFormatting sqref="A157:A162">
    <cfRule type="expression" dxfId="7389" priority="224">
      <formula>$AH157=0</formula>
    </cfRule>
  </conditionalFormatting>
  <conditionalFormatting sqref="AB44:AF44">
    <cfRule type="expression" dxfId="7388" priority="220">
      <formula>AB$9&gt;=20/24</formula>
    </cfRule>
    <cfRule type="expression" dxfId="7387" priority="221">
      <formula>AND(AB$9&gt;=14/24,AB$9&lt;20/24)</formula>
    </cfRule>
    <cfRule type="expression" dxfId="7386" priority="222">
      <formula>AND(AB$9&gt;=8/24,AB$9&lt;14/24)</formula>
    </cfRule>
    <cfRule type="expression" dxfId="7385" priority="223">
      <formula>AB$9&lt;8/24</formula>
    </cfRule>
  </conditionalFormatting>
  <conditionalFormatting sqref="M44:AA44">
    <cfRule type="expression" dxfId="7384" priority="216">
      <formula>M$9&gt;=20/24</formula>
    </cfRule>
    <cfRule type="expression" dxfId="7383" priority="217">
      <formula>AND(M$9&gt;=14/24,M$9&lt;20/24)</formula>
    </cfRule>
    <cfRule type="expression" dxfId="7382" priority="218">
      <formula>AND(M$9&gt;=8/24,M$9&lt;14/24)</formula>
    </cfRule>
    <cfRule type="expression" dxfId="7381" priority="219">
      <formula>M$9&lt;8/24</formula>
    </cfRule>
  </conditionalFormatting>
  <conditionalFormatting sqref="A44">
    <cfRule type="expression" dxfId="7380" priority="211">
      <formula>$AH44=0</formula>
    </cfRule>
  </conditionalFormatting>
  <conditionalFormatting sqref="A79">
    <cfRule type="expression" dxfId="7379" priority="210">
      <formula>$AH79=0</formula>
    </cfRule>
  </conditionalFormatting>
  <conditionalFormatting sqref="A73">
    <cfRule type="expression" dxfId="7378" priority="209">
      <formula>$AH73=0</formula>
    </cfRule>
  </conditionalFormatting>
  <conditionalFormatting sqref="AL34:AL35 AL7:AL31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U60:W61 V62:AC64 AD64:AE64">
    <cfRule type="expression" dxfId="7377" priority="205">
      <formula>U$9&gt;=20/24</formula>
    </cfRule>
    <cfRule type="expression" dxfId="7376" priority="206">
      <formula>AND(U$9&gt;=14/24,U$9&lt;20/24)</formula>
    </cfRule>
    <cfRule type="expression" dxfId="7375" priority="207">
      <formula>AND(U$9&gt;=8/24,U$9&lt;14/24)</formula>
    </cfRule>
    <cfRule type="expression" dxfId="7374" priority="208">
      <formula>U$9&lt;8/24</formula>
    </cfRule>
  </conditionalFormatting>
  <conditionalFormatting sqref="U85:W91">
    <cfRule type="expression" dxfId="7373" priority="201">
      <formula>U$9&gt;=20/24</formula>
    </cfRule>
    <cfRule type="expression" dxfId="7372" priority="202">
      <formula>AND(U$9&gt;=14/24,U$9&lt;20/24)</formula>
    </cfRule>
    <cfRule type="expression" dxfId="7371" priority="203">
      <formula>AND(U$9&gt;=8/24,U$9&lt;14/24)</formula>
    </cfRule>
    <cfRule type="expression" dxfId="7370" priority="204">
      <formula>U$9&lt;8/24</formula>
    </cfRule>
  </conditionalFormatting>
  <conditionalFormatting sqref="S85:T91 E84:R91">
    <cfRule type="expression" dxfId="7369" priority="197">
      <formula>E$9&gt;=20/24</formula>
    </cfRule>
    <cfRule type="expression" dxfId="7368" priority="198">
      <formula>AND(E$9&gt;=14/24,E$9&lt;20/24)</formula>
    </cfRule>
    <cfRule type="expression" dxfId="7367" priority="199">
      <formula>AND(E$9&gt;=8/24,E$9&lt;14/24)</formula>
    </cfRule>
    <cfRule type="expression" dxfId="7366" priority="200">
      <formula>E$9&lt;8/24</formula>
    </cfRule>
  </conditionalFormatting>
  <conditionalFormatting sqref="S84:T84">
    <cfRule type="expression" dxfId="7365" priority="193">
      <formula>S$9&gt;=20/24</formula>
    </cfRule>
    <cfRule type="expression" dxfId="7364" priority="194">
      <formula>AND(S$9&gt;=14/24,S$9&lt;20/24)</formula>
    </cfRule>
    <cfRule type="expression" dxfId="7363" priority="195">
      <formula>AND(S$9&gt;=8/24,S$9&lt;14/24)</formula>
    </cfRule>
    <cfRule type="expression" dxfId="7362" priority="196">
      <formula>S$9&lt;8/24</formula>
    </cfRule>
  </conditionalFormatting>
  <conditionalFormatting sqref="D95:M97 D94:F94">
    <cfRule type="expression" dxfId="7361" priority="189">
      <formula>D$9&gt;=20/24</formula>
    </cfRule>
    <cfRule type="expression" dxfId="7360" priority="190">
      <formula>AND(D$9&gt;=14/24,D$9&lt;20/24)</formula>
    </cfRule>
    <cfRule type="expression" dxfId="7359" priority="191">
      <formula>AND(D$9&gt;=8/24,D$9&lt;14/24)</formula>
    </cfRule>
    <cfRule type="expression" dxfId="7358" priority="192">
      <formula>D$9&lt;8/24</formula>
    </cfRule>
  </conditionalFormatting>
  <conditionalFormatting sqref="N95:R97 O94:R94">
    <cfRule type="expression" dxfId="7357" priority="185">
      <formula>N$9&gt;=20/24</formula>
    </cfRule>
    <cfRule type="expression" dxfId="7356" priority="186">
      <formula>AND(N$9&gt;=14/24,N$9&lt;20/24)</formula>
    </cfRule>
    <cfRule type="expression" dxfId="7355" priority="187">
      <formula>AND(N$9&gt;=8/24,N$9&lt;14/24)</formula>
    </cfRule>
    <cfRule type="expression" dxfId="7354" priority="188">
      <formula>N$9&lt;8/24</formula>
    </cfRule>
  </conditionalFormatting>
  <conditionalFormatting sqref="S94:T97">
    <cfRule type="expression" dxfId="7353" priority="181">
      <formula>S$9&gt;=20/24</formula>
    </cfRule>
    <cfRule type="expression" dxfId="7352" priority="182">
      <formula>AND(S$9&gt;=14/24,S$9&lt;20/24)</formula>
    </cfRule>
    <cfRule type="expression" dxfId="7351" priority="183">
      <formula>AND(S$9&gt;=8/24,S$9&lt;14/24)</formula>
    </cfRule>
    <cfRule type="expression" dxfId="7350" priority="184">
      <formula>S$9&lt;8/24</formula>
    </cfRule>
  </conditionalFormatting>
  <conditionalFormatting sqref="D98:M98">
    <cfRule type="expression" dxfId="7349" priority="177">
      <formula>D$9&gt;=20/24</formula>
    </cfRule>
    <cfRule type="expression" dxfId="7348" priority="178">
      <formula>AND(D$9&gt;=14/24,D$9&lt;20/24)</formula>
    </cfRule>
    <cfRule type="expression" dxfId="7347" priority="179">
      <formula>AND(D$9&gt;=8/24,D$9&lt;14/24)</formula>
    </cfRule>
    <cfRule type="expression" dxfId="7346" priority="180">
      <formula>D$9&lt;8/24</formula>
    </cfRule>
  </conditionalFormatting>
  <conditionalFormatting sqref="N98:R98">
    <cfRule type="expression" dxfId="7345" priority="173">
      <formula>N$9&gt;=20/24</formula>
    </cfRule>
    <cfRule type="expression" dxfId="7344" priority="174">
      <formula>AND(N$9&gt;=14/24,N$9&lt;20/24)</formula>
    </cfRule>
    <cfRule type="expression" dxfId="7343" priority="175">
      <formula>AND(N$9&gt;=8/24,N$9&lt;14/24)</formula>
    </cfRule>
    <cfRule type="expression" dxfId="7342" priority="176">
      <formula>N$9&lt;8/24</formula>
    </cfRule>
  </conditionalFormatting>
  <conditionalFormatting sqref="S98:T98">
    <cfRule type="expression" dxfId="7341" priority="169">
      <formula>S$9&gt;=20/24</formula>
    </cfRule>
    <cfRule type="expression" dxfId="7340" priority="170">
      <formula>AND(S$9&gt;=14/24,S$9&lt;20/24)</formula>
    </cfRule>
    <cfRule type="expression" dxfId="7339" priority="171">
      <formula>AND(S$9&gt;=8/24,S$9&lt;14/24)</formula>
    </cfRule>
    <cfRule type="expression" dxfId="7338" priority="172">
      <formula>S$9&lt;8/24</formula>
    </cfRule>
  </conditionalFormatting>
  <conditionalFormatting sqref="M94:N94">
    <cfRule type="expression" dxfId="7337" priority="165">
      <formula>M$9&gt;=20/24</formula>
    </cfRule>
    <cfRule type="expression" dxfId="7336" priority="166">
      <formula>AND(M$9&gt;=14/24,M$9&lt;20/24)</formula>
    </cfRule>
    <cfRule type="expression" dxfId="7335" priority="167">
      <formula>AND(M$9&gt;=8/24,M$9&lt;14/24)</formula>
    </cfRule>
    <cfRule type="expression" dxfId="7334" priority="168">
      <formula>M$9&lt;8/24</formula>
    </cfRule>
  </conditionalFormatting>
  <conditionalFormatting sqref="G94:L94">
    <cfRule type="expression" dxfId="7333" priority="161">
      <formula>G$9&gt;=20/24</formula>
    </cfRule>
    <cfRule type="expression" dxfId="7332" priority="162">
      <formula>AND(G$9&gt;=14/24,G$9&lt;20/24)</formula>
    </cfRule>
    <cfRule type="expression" dxfId="7331" priority="163">
      <formula>AND(G$9&gt;=8/24,G$9&lt;14/24)</formula>
    </cfRule>
    <cfRule type="expression" dxfId="7330" priority="164">
      <formula>G$9&lt;8/24</formula>
    </cfRule>
  </conditionalFormatting>
  <conditionalFormatting sqref="U94:W94">
    <cfRule type="expression" dxfId="7329" priority="157">
      <formula>U$9&gt;=20/24</formula>
    </cfRule>
    <cfRule type="expression" dxfId="7328" priority="158">
      <formula>AND(U$9&gt;=14/24,U$9&lt;20/24)</formula>
    </cfRule>
    <cfRule type="expression" dxfId="7327" priority="159">
      <formula>AND(U$9&gt;=8/24,U$9&lt;14/24)</formula>
    </cfRule>
    <cfRule type="expression" dxfId="7326" priority="160">
      <formula>U$9&lt;8/24</formula>
    </cfRule>
  </conditionalFormatting>
  <conditionalFormatting sqref="N94:T94">
    <cfRule type="expression" dxfId="7325" priority="153">
      <formula>N$9&gt;=20/24</formula>
    </cfRule>
    <cfRule type="expression" dxfId="7324" priority="154">
      <formula>AND(N$9&gt;=14/24,N$9&lt;20/24)</formula>
    </cfRule>
    <cfRule type="expression" dxfId="7323" priority="155">
      <formula>AND(N$9&gt;=8/24,N$9&lt;14/24)</formula>
    </cfRule>
    <cfRule type="expression" dxfId="7322" priority="156">
      <formula>N$9&lt;8/24</formula>
    </cfRule>
  </conditionalFormatting>
  <conditionalFormatting sqref="U99:AA99">
    <cfRule type="expression" dxfId="7321" priority="149">
      <formula>U$9&gt;=20/24</formula>
    </cfRule>
    <cfRule type="expression" dxfId="7320" priority="150">
      <formula>AND(U$9&gt;=14/24,U$9&lt;20/24)</formula>
    </cfRule>
    <cfRule type="expression" dxfId="7319" priority="151">
      <formula>AND(U$9&gt;=8/24,U$9&lt;14/24)</formula>
    </cfRule>
    <cfRule type="expression" dxfId="7318" priority="152">
      <formula>U$9&lt;8/24</formula>
    </cfRule>
  </conditionalFormatting>
  <conditionalFormatting sqref="D99:M99">
    <cfRule type="expression" dxfId="7317" priority="145">
      <formula>D$9&gt;=20/24</formula>
    </cfRule>
    <cfRule type="expression" dxfId="7316" priority="146">
      <formula>AND(D$9&gt;=14/24,D$9&lt;20/24)</formula>
    </cfRule>
    <cfRule type="expression" dxfId="7315" priority="147">
      <formula>AND(D$9&gt;=8/24,D$9&lt;14/24)</formula>
    </cfRule>
    <cfRule type="expression" dxfId="7314" priority="148">
      <formula>D$9&lt;8/24</formula>
    </cfRule>
  </conditionalFormatting>
  <conditionalFormatting sqref="N99:R99">
    <cfRule type="expression" dxfId="7313" priority="141">
      <formula>N$9&gt;=20/24</formula>
    </cfRule>
    <cfRule type="expression" dxfId="7312" priority="142">
      <formula>AND(N$9&gt;=14/24,N$9&lt;20/24)</formula>
    </cfRule>
    <cfRule type="expression" dxfId="7311" priority="143">
      <formula>AND(N$9&gt;=8/24,N$9&lt;14/24)</formula>
    </cfRule>
    <cfRule type="expression" dxfId="7310" priority="144">
      <formula>N$9&lt;8/24</formula>
    </cfRule>
  </conditionalFormatting>
  <conditionalFormatting sqref="S99:T99">
    <cfRule type="expression" dxfId="7309" priority="137">
      <formula>S$9&gt;=20/24</formula>
    </cfRule>
    <cfRule type="expression" dxfId="7308" priority="138">
      <formula>AND(S$9&gt;=14/24,S$9&lt;20/24)</formula>
    </cfRule>
    <cfRule type="expression" dxfId="7307" priority="139">
      <formula>AND(S$9&gt;=8/24,S$9&lt;14/24)</formula>
    </cfRule>
    <cfRule type="expression" dxfId="7306" priority="140">
      <formula>S$9&lt;8/24</formula>
    </cfRule>
  </conditionalFormatting>
  <conditionalFormatting sqref="Z12:AF16">
    <cfRule type="expression" dxfId="7305" priority="133">
      <formula>Z$9&gt;=20/24</formula>
    </cfRule>
    <cfRule type="expression" dxfId="7304" priority="134">
      <formula>AND(Z$9&gt;=14/24,Z$9&lt;20/24)</formula>
    </cfRule>
    <cfRule type="expression" dxfId="7303" priority="135">
      <formula>AND(Z$9&gt;=8/24,Z$9&lt;14/24)</formula>
    </cfRule>
    <cfRule type="expression" dxfId="7302" priority="136">
      <formula>Z$9&lt;8/24</formula>
    </cfRule>
  </conditionalFormatting>
  <conditionalFormatting sqref="Z17:AF17">
    <cfRule type="expression" dxfId="7301" priority="129">
      <formula>Z$9&gt;=20/24</formula>
    </cfRule>
    <cfRule type="expression" dxfId="7300" priority="130">
      <formula>AND(Z$9&gt;=14/24,Z$9&lt;20/24)</formula>
    </cfRule>
    <cfRule type="expression" dxfId="7299" priority="131">
      <formula>AND(Z$9&gt;=8/24,Z$9&lt;14/24)</formula>
    </cfRule>
    <cfRule type="expression" dxfId="7298" priority="132">
      <formula>Z$9&lt;8/24</formula>
    </cfRule>
  </conditionalFormatting>
  <conditionalFormatting sqref="Z12:AF13">
    <cfRule type="expression" dxfId="7297" priority="125">
      <formula>Z$9&gt;=20/24</formula>
    </cfRule>
    <cfRule type="expression" dxfId="7296" priority="126">
      <formula>AND(Z$9&gt;=14/24,Z$9&lt;20/24)</formula>
    </cfRule>
    <cfRule type="expression" dxfId="7295" priority="127">
      <formula>AND(Z$9&gt;=8/24,Z$9&lt;14/24)</formula>
    </cfRule>
    <cfRule type="expression" dxfId="7294" priority="128">
      <formula>Z$9&lt;8/24</formula>
    </cfRule>
  </conditionalFormatting>
  <conditionalFormatting sqref="AB58:AE59">
    <cfRule type="expression" dxfId="7293" priority="121">
      <formula>AB$9&gt;=20/24</formula>
    </cfRule>
    <cfRule type="expression" dxfId="7292" priority="122">
      <formula>AND(AB$9&gt;=14/24,AB$9&lt;20/24)</formula>
    </cfRule>
    <cfRule type="expression" dxfId="7291" priority="123">
      <formula>AND(AB$9&gt;=8/24,AB$9&lt;14/24)</formula>
    </cfRule>
    <cfRule type="expression" dxfId="7290" priority="124">
      <formula>AB$9&lt;8/24</formula>
    </cfRule>
  </conditionalFormatting>
  <conditionalFormatting sqref="AL33">
    <cfRule type="iconSet" priority="11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89" priority="333">
      <formula>C$9&gt;=20/24</formula>
    </cfRule>
    <cfRule type="expression" dxfId="7288" priority="334">
      <formula>AND(C$9&gt;=14/24,C$9&lt;20/24)</formula>
    </cfRule>
    <cfRule type="expression" dxfId="7287" priority="335">
      <formula>AND(C$9&gt;=8/24,C$9&lt;14/24)</formula>
    </cfRule>
    <cfRule type="expression" dxfId="7286" priority="336">
      <formula>C$9&lt;8/24</formula>
    </cfRule>
  </conditionalFormatting>
  <conditionalFormatting sqref="A200">
    <cfRule type="expression" dxfId="7285" priority="337">
      <formula>$AH200=0</formula>
    </cfRule>
  </conditionalFormatting>
  <conditionalFormatting sqref="AG212">
    <cfRule type="expression" dxfId="7284" priority="338">
      <formula>B$9&gt;=20/24</formula>
    </cfRule>
    <cfRule type="expression" dxfId="7283" priority="339">
      <formula>AND(B$9&gt;=14/24,B$9&lt;20/24)</formula>
    </cfRule>
    <cfRule type="expression" dxfId="7282" priority="340">
      <formula>AND(B$9&gt;=8/24,B$9&lt;14/24)</formula>
    </cfRule>
    <cfRule type="expression" dxfId="7281" priority="341">
      <formula>B$9&lt;8/24</formula>
    </cfRule>
  </conditionalFormatting>
  <conditionalFormatting sqref="S8">
    <cfRule type="expression" dxfId="7280" priority="115">
      <formula>U$9&gt;=20/24</formula>
    </cfRule>
    <cfRule type="expression" dxfId="7279" priority="116">
      <formula>AND(U$9&gt;=14/24,U$9&lt;20/24)</formula>
    </cfRule>
    <cfRule type="expression" dxfId="7278" priority="117">
      <formula>AND(U$9&gt;=8/24,U$9&lt;14/24)</formula>
    </cfRule>
    <cfRule type="expression" dxfId="7277" priority="118">
      <formula>U$9&lt;8/24</formula>
    </cfRule>
  </conditionalFormatting>
  <conditionalFormatting sqref="AB8">
    <cfRule type="expression" dxfId="7276" priority="111">
      <formula>AD$9&gt;=20/24</formula>
    </cfRule>
    <cfRule type="expression" dxfId="7275" priority="112">
      <formula>AND(AD$9&gt;=14/24,AD$9&lt;20/24)</formula>
    </cfRule>
    <cfRule type="expression" dxfId="7274" priority="113">
      <formula>AND(AD$9&gt;=8/24,AD$9&lt;14/24)</formula>
    </cfRule>
    <cfRule type="expression" dxfId="7273" priority="114">
      <formula>AD$9&lt;8/24</formula>
    </cfRule>
  </conditionalFormatting>
  <conditionalFormatting sqref="AH212:AX212">
    <cfRule type="expression" dxfId="7272" priority="342">
      <formula>AG$9&gt;=20/24</formula>
    </cfRule>
    <cfRule type="expression" dxfId="7271" priority="343">
      <formula>AND(AG$9&gt;=14/24,AG$9&lt;20/24)</formula>
    </cfRule>
    <cfRule type="expression" dxfId="7270" priority="344">
      <formula>AND(AG$9&gt;=8/24,AG$9&lt;14/24)</formula>
    </cfRule>
    <cfRule type="expression" dxfId="7269" priority="345">
      <formula>AG$9&lt;8/24</formula>
    </cfRule>
  </conditionalFormatting>
  <conditionalFormatting sqref="T212">
    <cfRule type="expression" dxfId="7268" priority="346">
      <formula>AX$9&gt;=20/24</formula>
    </cfRule>
    <cfRule type="expression" dxfId="7267" priority="347">
      <formula>AND(AX$9&gt;=14/24,AX$9&lt;20/24)</formula>
    </cfRule>
    <cfRule type="expression" dxfId="7266" priority="348">
      <formula>AND(AX$9&gt;=8/24,AX$9&lt;14/24)</formula>
    </cfRule>
    <cfRule type="expression" dxfId="7265" priority="349">
      <formula>AX$9&lt;8/24</formula>
    </cfRule>
  </conditionalFormatting>
  <conditionalFormatting sqref="A99">
    <cfRule type="expression" dxfId="7264" priority="110">
      <formula>$AH99=0</formula>
    </cfRule>
  </conditionalFormatting>
  <conditionalFormatting sqref="Z33:AF33">
    <cfRule type="expression" dxfId="7263" priority="102">
      <formula>Z$9&gt;=20/24</formula>
    </cfRule>
    <cfRule type="expression" dxfId="7262" priority="103">
      <formula>AND(Z$9&gt;=14/24,Z$9&lt;20/24)</formula>
    </cfRule>
    <cfRule type="expression" dxfId="7261" priority="104">
      <formula>AND(Z$9&gt;=8/24,Z$9&lt;14/24)</formula>
    </cfRule>
    <cfRule type="expression" dxfId="7260" priority="105">
      <formula>Z$9&lt;8/24</formula>
    </cfRule>
  </conditionalFormatting>
  <conditionalFormatting sqref="Z33:AF33">
    <cfRule type="expression" dxfId="7259" priority="101">
      <formula>Z33&gt;$AG33</formula>
    </cfRule>
  </conditionalFormatting>
  <conditionalFormatting sqref="B68:B91 B53:B61 B94:B99 B11:D14 B43:I43 E12:L14 B28:L31 B36:L36 B26:L26 B16:Y25 M13:Y14">
    <cfRule type="expression" dxfId="7258" priority="74">
      <formula>B$9&gt;=20/24</formula>
    </cfRule>
    <cfRule type="expression" dxfId="7257" priority="75">
      <formula>AND(B$9&gt;=14/24,B$9&lt;20/24)</formula>
    </cfRule>
    <cfRule type="expression" dxfId="7256" priority="76">
      <formula>AND(B$9&gt;=8/24,B$9&lt;14/24)</formula>
    </cfRule>
    <cfRule type="expression" dxfId="7255" priority="77">
      <formula>B$9&lt;8/24</formula>
    </cfRule>
  </conditionalFormatting>
  <conditionalFormatting sqref="B32:L32">
    <cfRule type="expression" dxfId="7254" priority="70">
      <formula>B$9&gt;=20/24</formula>
    </cfRule>
    <cfRule type="expression" dxfId="7253" priority="71">
      <formula>AND(B$9&gt;=14/24,B$9&lt;20/24)</formula>
    </cfRule>
    <cfRule type="expression" dxfId="7252" priority="72">
      <formula>AND(B$9&gt;=8/24,B$9&lt;14/24)</formula>
    </cfRule>
    <cfRule type="expression" dxfId="7251" priority="73">
      <formula>B$9&lt;8/24</formula>
    </cfRule>
  </conditionalFormatting>
  <conditionalFormatting sqref="B49:AA49">
    <cfRule type="expression" dxfId="7250" priority="66">
      <formula>B$9&gt;=20/24</formula>
    </cfRule>
    <cfRule type="expression" dxfId="7249" priority="67">
      <formula>AND(B$9&gt;=14/24,B$9&lt;20/24)</formula>
    </cfRule>
    <cfRule type="expression" dxfId="7248" priority="68">
      <formula>AND(B$9&gt;=8/24,B$9&lt;14/24)</formula>
    </cfRule>
    <cfRule type="expression" dxfId="7247" priority="69">
      <formula>B$9&lt;8/24</formula>
    </cfRule>
  </conditionalFormatting>
  <conditionalFormatting sqref="B37:D37">
    <cfRule type="expression" dxfId="7246" priority="62">
      <formula>B$9&gt;=20/24</formula>
    </cfRule>
    <cfRule type="expression" dxfId="7245" priority="63">
      <formula>AND(B$9&gt;=14/24,B$9&lt;20/24)</formula>
    </cfRule>
    <cfRule type="expression" dxfId="7244" priority="64">
      <formula>AND(B$9&gt;=8/24,B$9&lt;14/24)</formula>
    </cfRule>
    <cfRule type="expression" dxfId="7243" priority="65">
      <formula>B$9&lt;8/24</formula>
    </cfRule>
  </conditionalFormatting>
  <conditionalFormatting sqref="B35:L35">
    <cfRule type="expression" dxfId="7242" priority="58">
      <formula>B$9&gt;=20/24</formula>
    </cfRule>
    <cfRule type="expression" dxfId="7241" priority="59">
      <formula>AND(B$9&gt;=14/24,B$9&lt;20/24)</formula>
    </cfRule>
    <cfRule type="expression" dxfId="7240" priority="60">
      <formula>AND(B$9&gt;=8/24,B$9&lt;14/24)</formula>
    </cfRule>
    <cfRule type="expression" dxfId="7239" priority="61">
      <formula>B$9&lt;8/24</formula>
    </cfRule>
  </conditionalFormatting>
  <conditionalFormatting sqref="B45:L48 M46:AA48">
    <cfRule type="expression" dxfId="7238" priority="54">
      <formula>B$9&gt;=20/24</formula>
    </cfRule>
    <cfRule type="expression" dxfId="7237" priority="55">
      <formula>AND(B$9&gt;=14/24,B$9&lt;20/24)</formula>
    </cfRule>
    <cfRule type="expression" dxfId="7236" priority="56">
      <formula>AND(B$9&gt;=8/24,B$9&lt;14/24)</formula>
    </cfRule>
    <cfRule type="expression" dxfId="7235" priority="57">
      <formula>B$9&lt;8/24</formula>
    </cfRule>
  </conditionalFormatting>
  <conditionalFormatting sqref="B49:AA49">
    <cfRule type="expression" dxfId="7234" priority="50">
      <formula>B$9&gt;=20/24</formula>
    </cfRule>
    <cfRule type="expression" dxfId="7233" priority="51">
      <formula>AND(B$9&gt;=14/24,B$9&lt;20/24)</formula>
    </cfRule>
    <cfRule type="expression" dxfId="7232" priority="52">
      <formula>AND(B$9&gt;=8/24,B$9&lt;14/24)</formula>
    </cfRule>
    <cfRule type="expression" dxfId="7231" priority="53">
      <formula>B$9&lt;8/24</formula>
    </cfRule>
  </conditionalFormatting>
  <conditionalFormatting sqref="B50:AA50">
    <cfRule type="expression" dxfId="7230" priority="46">
      <formula>B$9&gt;=20/24</formula>
    </cfRule>
    <cfRule type="expression" dxfId="7229" priority="47">
      <formula>AND(B$9&gt;=14/24,B$9&lt;20/24)</formula>
    </cfRule>
    <cfRule type="expression" dxfId="7228" priority="48">
      <formula>AND(B$9&gt;=8/24,B$9&lt;14/24)</formula>
    </cfRule>
    <cfRule type="expression" dxfId="7227" priority="49">
      <formula>B$9&lt;8/24</formula>
    </cfRule>
  </conditionalFormatting>
  <conditionalFormatting sqref="B62:B67">
    <cfRule type="expression" dxfId="7226" priority="42">
      <formula>B$9&gt;=20/24</formula>
    </cfRule>
    <cfRule type="expression" dxfId="7225" priority="43">
      <formula>AND(B$9&gt;=14/24,B$9&lt;20/24)</formula>
    </cfRule>
    <cfRule type="expression" dxfId="7224" priority="44">
      <formula>AND(B$9&gt;=8/24,B$9&lt;14/24)</formula>
    </cfRule>
    <cfRule type="expression" dxfId="7223" priority="45">
      <formula>B$9&lt;8/24</formula>
    </cfRule>
  </conditionalFormatting>
  <conditionalFormatting sqref="B34:B56 B11:D32 C34:D37 C43:I50 E12:L32 J44:L50 E34:L36 M13:Y25 M46:AA50">
    <cfRule type="expression" dxfId="7222" priority="41">
      <formula>B11&gt;$AG11</formula>
    </cfRule>
  </conditionalFormatting>
  <conditionalFormatting sqref="B34:L34">
    <cfRule type="expression" dxfId="7221" priority="37">
      <formula>B$9&gt;=20/24</formula>
    </cfRule>
    <cfRule type="expression" dxfId="7220" priority="38">
      <formula>AND(B$9&gt;=14/24,B$9&lt;20/24)</formula>
    </cfRule>
    <cfRule type="expression" dxfId="7219" priority="39">
      <formula>AND(B$9&gt;=8/24,B$9&lt;14/24)</formula>
    </cfRule>
    <cfRule type="expression" dxfId="7218" priority="40">
      <formula>B$9&lt;8/24</formula>
    </cfRule>
  </conditionalFormatting>
  <conditionalFormatting sqref="B15:Y15">
    <cfRule type="expression" dxfId="7217" priority="33">
      <formula>B$9&gt;=20/24</formula>
    </cfRule>
    <cfRule type="expression" dxfId="7216" priority="34">
      <formula>AND(B$9&gt;=14/24,B$9&lt;20/24)</formula>
    </cfRule>
    <cfRule type="expression" dxfId="7215" priority="35">
      <formula>AND(B$9&gt;=8/24,B$9&lt;14/24)</formula>
    </cfRule>
    <cfRule type="expression" dxfId="7214" priority="36">
      <formula>B$9&lt;8/24</formula>
    </cfRule>
  </conditionalFormatting>
  <conditionalFormatting sqref="B44:L44">
    <cfRule type="expression" dxfId="7213" priority="29">
      <formula>B$9&gt;=20/24</formula>
    </cfRule>
    <cfRule type="expression" dxfId="7212" priority="30">
      <formula>AND(B$9&gt;=14/24,B$9&lt;20/24)</formula>
    </cfRule>
    <cfRule type="expression" dxfId="7211" priority="31">
      <formula>AND(B$9&gt;=8/24,B$9&lt;14/24)</formula>
    </cfRule>
    <cfRule type="expression" dxfId="7210" priority="32">
      <formula>B$9&lt;8/24</formula>
    </cfRule>
  </conditionalFormatting>
  <conditionalFormatting sqref="B33:L33">
    <cfRule type="expression" dxfId="7209" priority="25">
      <formula>B$9&gt;=20/24</formula>
    </cfRule>
    <cfRule type="expression" dxfId="7208" priority="26">
      <formula>AND(B$9&gt;=14/24,B$9&lt;20/24)</formula>
    </cfRule>
    <cfRule type="expression" dxfId="7207" priority="27">
      <formula>AND(B$9&gt;=8/24,B$9&lt;14/24)</formula>
    </cfRule>
    <cfRule type="expression" dxfId="7206" priority="28">
      <formula>B$9&lt;8/24</formula>
    </cfRule>
  </conditionalFormatting>
  <conditionalFormatting sqref="B33:L33">
    <cfRule type="expression" dxfId="7205" priority="24">
      <formula>B33&gt;$AG33</formula>
    </cfRule>
  </conditionalFormatting>
  <conditionalFormatting sqref="M37">
    <cfRule type="expression" dxfId="7204" priority="20">
      <formula>M$9&gt;=20/24</formula>
    </cfRule>
    <cfRule type="expression" dxfId="7203" priority="21">
      <formula>AND(M$9&gt;=14/24,M$9&lt;20/24)</formula>
    </cfRule>
    <cfRule type="expression" dxfId="7202" priority="22">
      <formula>AND(M$9&gt;=8/24,M$9&lt;14/24)</formula>
    </cfRule>
    <cfRule type="expression" dxfId="7201" priority="23">
      <formula>M$9&lt;8/24</formula>
    </cfRule>
  </conditionalFormatting>
  <conditionalFormatting sqref="M37">
    <cfRule type="expression" dxfId="7200" priority="19">
      <formula>M37&gt;$AG37</formula>
    </cfRule>
  </conditionalFormatting>
  <conditionalFormatting sqref="M26:Y32 M36:Y36">
    <cfRule type="expression" dxfId="7199" priority="15">
      <formula>M$9&gt;=20/24</formula>
    </cfRule>
    <cfRule type="expression" dxfId="7198" priority="16">
      <formula>AND(M$9&gt;=14/24,M$9&lt;20/24)</formula>
    </cfRule>
    <cfRule type="expression" dxfId="7197" priority="17">
      <formula>AND(M$9&gt;=8/24,M$9&lt;14/24)</formula>
    </cfRule>
    <cfRule type="expression" dxfId="7196" priority="18">
      <formula>M$9&lt;8/24</formula>
    </cfRule>
  </conditionalFormatting>
  <conditionalFormatting sqref="M35:Y35">
    <cfRule type="expression" dxfId="7195" priority="11">
      <formula>M$9&gt;=20/24</formula>
    </cfRule>
    <cfRule type="expression" dxfId="7194" priority="12">
      <formula>AND(M$9&gt;=14/24,M$9&lt;20/24)</formula>
    </cfRule>
    <cfRule type="expression" dxfId="7193" priority="13">
      <formula>AND(M$9&gt;=8/24,M$9&lt;14/24)</formula>
    </cfRule>
    <cfRule type="expression" dxfId="7192" priority="14">
      <formula>M$9&lt;8/24</formula>
    </cfRule>
  </conditionalFormatting>
  <conditionalFormatting sqref="M26:Y32 M34:Y36">
    <cfRule type="expression" dxfId="7191" priority="10">
      <formula>M26&gt;$AG26</formula>
    </cfRule>
  </conditionalFormatting>
  <conditionalFormatting sqref="M34:Y34">
    <cfRule type="expression" dxfId="7190" priority="6">
      <formula>M$9&gt;=20/24</formula>
    </cfRule>
    <cfRule type="expression" dxfId="7189" priority="7">
      <formula>AND(M$9&gt;=14/24,M$9&lt;20/24)</formula>
    </cfRule>
    <cfRule type="expression" dxfId="7188" priority="8">
      <formula>AND(M$9&gt;=8/24,M$9&lt;14/24)</formula>
    </cfRule>
    <cfRule type="expression" dxfId="7187" priority="9">
      <formula>M$9&lt;8/24</formula>
    </cfRule>
  </conditionalFormatting>
  <conditionalFormatting sqref="M33:Y33">
    <cfRule type="expression" dxfId="7186" priority="2">
      <formula>M$9&gt;=20/24</formula>
    </cfRule>
    <cfRule type="expression" dxfId="7185" priority="3">
      <formula>AND(M$9&gt;=14/24,M$9&lt;20/24)</formula>
    </cfRule>
    <cfRule type="expression" dxfId="7184" priority="4">
      <formula>AND(M$9&gt;=8/24,M$9&lt;14/24)</formula>
    </cfRule>
    <cfRule type="expression" dxfId="7183" priority="5">
      <formula>M$9&lt;8/24</formula>
    </cfRule>
  </conditionalFormatting>
  <conditionalFormatting sqref="M33:Y33">
    <cfRule type="expression" dxfId="7182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0" id="{BB508166-12D2-4B3D-908B-D3625B71B0E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D58" sqref="D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2078/11/7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418</v>
      </c>
      <c r="C5" s="32">
        <f t="shared" si="0"/>
        <v>403</v>
      </c>
      <c r="D5" s="32">
        <f t="shared" si="0"/>
        <v>409.5</v>
      </c>
      <c r="E5" s="32">
        <f t="shared" si="0"/>
        <v>381.3</v>
      </c>
      <c r="F5" s="32">
        <f t="shared" si="0"/>
        <v>381.79999999999995</v>
      </c>
      <c r="G5" s="32">
        <f t="shared" si="0"/>
        <v>391.8</v>
      </c>
      <c r="H5" s="32">
        <f t="shared" si="0"/>
        <v>400.4</v>
      </c>
      <c r="I5" s="32">
        <f t="shared" si="0"/>
        <v>348.4</v>
      </c>
      <c r="J5" s="32">
        <f t="shared" si="0"/>
        <v>206</v>
      </c>
      <c r="K5" s="32">
        <f t="shared" si="0"/>
        <v>197.3</v>
      </c>
      <c r="L5" s="32">
        <f t="shared" si="0"/>
        <v>201.10000000000002</v>
      </c>
      <c r="M5" s="32">
        <f t="shared" si="0"/>
        <v>163.30000000000001</v>
      </c>
      <c r="N5" s="32">
        <f t="shared" si="0"/>
        <v>167.39000000000001</v>
      </c>
      <c r="O5" s="32">
        <f t="shared" si="0"/>
        <v>119.89000000000001</v>
      </c>
      <c r="P5" s="32">
        <f t="shared" si="0"/>
        <v>118.8</v>
      </c>
      <c r="Q5" s="32">
        <f t="shared" si="0"/>
        <v>134.6</v>
      </c>
      <c r="R5" s="32">
        <f t="shared" si="0"/>
        <v>330.08</v>
      </c>
      <c r="S5" s="32">
        <f t="shared" si="0"/>
        <v>330.2</v>
      </c>
      <c r="T5" s="32">
        <f t="shared" si="0"/>
        <v>409.15</v>
      </c>
      <c r="U5" s="32">
        <f t="shared" si="0"/>
        <v>140.6</v>
      </c>
      <c r="V5" s="32">
        <f t="shared" si="0"/>
        <v>356.15</v>
      </c>
      <c r="W5" s="32">
        <f t="shared" si="0"/>
        <v>78.58</v>
      </c>
      <c r="X5" s="32">
        <f t="shared" si="0"/>
        <v>299.65999999999997</v>
      </c>
      <c r="Y5" s="32">
        <f t="shared" si="0"/>
        <v>318.37</v>
      </c>
      <c r="Z5" s="32">
        <f t="shared" si="0"/>
        <v>525.4</v>
      </c>
      <c r="AA5" s="32">
        <f t="shared" si="0"/>
        <v>489.44</v>
      </c>
      <c r="AB5" s="32">
        <f t="shared" si="0"/>
        <v>482.7</v>
      </c>
      <c r="AC5" s="32">
        <f t="shared" si="0"/>
        <v>492.6</v>
      </c>
      <c r="AD5" s="32">
        <f t="shared" si="0"/>
        <v>423.9</v>
      </c>
      <c r="AE5" s="32">
        <f t="shared" si="0"/>
        <v>408.5</v>
      </c>
      <c r="AF5" s="32">
        <f>B68</f>
        <v>433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1371MW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Load=807</v>
      </c>
      <c r="B7" s="37">
        <f>B75</f>
        <v>967.14</v>
      </c>
      <c r="C7" s="37">
        <f t="shared" ref="C7:AF7" si="1">C75</f>
        <v>952.14</v>
      </c>
      <c r="D7" s="37">
        <f t="shared" si="1"/>
        <v>911.14</v>
      </c>
      <c r="E7" s="37">
        <f t="shared" si="1"/>
        <v>912.93999999999994</v>
      </c>
      <c r="F7" s="37">
        <f t="shared" si="1"/>
        <v>909.64</v>
      </c>
      <c r="G7" s="37">
        <f t="shared" si="1"/>
        <v>995.43999999999983</v>
      </c>
      <c r="H7" s="37">
        <f t="shared" si="1"/>
        <v>1059.94</v>
      </c>
      <c r="I7" s="37">
        <f t="shared" si="1"/>
        <v>1089.7399999999998</v>
      </c>
      <c r="J7" s="37">
        <f t="shared" si="1"/>
        <v>1172.44</v>
      </c>
      <c r="K7" s="37">
        <f t="shared" si="1"/>
        <v>1283.3400000000001</v>
      </c>
      <c r="L7" s="37">
        <f t="shared" si="1"/>
        <v>1336.8400000000001</v>
      </c>
      <c r="M7" s="37">
        <f t="shared" si="1"/>
        <v>1370.74</v>
      </c>
      <c r="N7" s="37">
        <f t="shared" si="1"/>
        <v>1281.94</v>
      </c>
      <c r="O7" s="37">
        <f t="shared" si="1"/>
        <v>1205.1300000000001</v>
      </c>
      <c r="P7" s="37">
        <f t="shared" si="1"/>
        <v>1156.6300000000001</v>
      </c>
      <c r="Q7" s="37">
        <f t="shared" si="1"/>
        <v>808.43999999999994</v>
      </c>
      <c r="R7" s="37">
        <f t="shared" si="1"/>
        <v>807.43999999999994</v>
      </c>
      <c r="S7" s="37">
        <f t="shared" si="1"/>
        <v>980.21999999999991</v>
      </c>
      <c r="T7" s="37">
        <f t="shared" si="1"/>
        <v>969.24</v>
      </c>
      <c r="U7" s="37">
        <f t="shared" si="1"/>
        <v>1017.09</v>
      </c>
      <c r="V7" s="37">
        <f t="shared" si="1"/>
        <v>970.33999999999992</v>
      </c>
      <c r="W7" s="37">
        <f t="shared" si="1"/>
        <v>993.68999999999994</v>
      </c>
      <c r="X7" s="37">
        <f t="shared" si="1"/>
        <v>1061.72</v>
      </c>
      <c r="Y7" s="37">
        <f t="shared" si="1"/>
        <v>1429.8000000000002</v>
      </c>
      <c r="Z7" s="37">
        <f t="shared" si="1"/>
        <v>1453.6100000000001</v>
      </c>
      <c r="AA7" s="37">
        <f t="shared" si="1"/>
        <v>1384.54</v>
      </c>
      <c r="AB7" s="37">
        <f t="shared" si="1"/>
        <v>1299.8799999999999</v>
      </c>
      <c r="AC7" s="37">
        <f t="shared" si="1"/>
        <v>1217.54</v>
      </c>
      <c r="AD7" s="37">
        <f t="shared" si="1"/>
        <v>1167.6399999999999</v>
      </c>
      <c r="AE7" s="37">
        <f t="shared" si="1"/>
        <v>1042.8399999999999</v>
      </c>
      <c r="AF7" s="37">
        <f t="shared" si="1"/>
        <v>942.14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20</v>
      </c>
      <c r="E11" s="49">
        <v>15</v>
      </c>
      <c r="F11" s="49">
        <v>40</v>
      </c>
      <c r="G11" s="49">
        <v>60</v>
      </c>
      <c r="H11" s="49">
        <v>60</v>
      </c>
      <c r="I11" s="49">
        <v>60</v>
      </c>
      <c r="J11" s="49">
        <v>130</v>
      </c>
      <c r="K11" s="49">
        <v>320</v>
      </c>
      <c r="L11" s="49">
        <v>365</v>
      </c>
      <c r="M11" s="50">
        <v>395</v>
      </c>
      <c r="N11" s="50">
        <v>350</v>
      </c>
      <c r="O11" s="50">
        <v>332</v>
      </c>
      <c r="P11" s="50">
        <v>300</v>
      </c>
      <c r="Q11" s="50">
        <v>90</v>
      </c>
      <c r="R11" s="50">
        <v>90</v>
      </c>
      <c r="S11" s="50">
        <v>82.7</v>
      </c>
      <c r="T11" s="50">
        <v>85.6</v>
      </c>
      <c r="U11" s="50">
        <v>12</v>
      </c>
      <c r="V11" s="50">
        <v>150</v>
      </c>
      <c r="W11" s="50">
        <v>25</v>
      </c>
      <c r="X11" s="50">
        <v>220</v>
      </c>
      <c r="Y11" s="50">
        <v>340</v>
      </c>
      <c r="Z11" s="52">
        <v>330</v>
      </c>
      <c r="AA11" s="50">
        <v>70</v>
      </c>
      <c r="AB11" s="50">
        <v>50</v>
      </c>
      <c r="AC11" s="50">
        <v>12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395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17.7</v>
      </c>
      <c r="C13" s="49">
        <v>17.7</v>
      </c>
      <c r="D13" s="49">
        <v>17.7</v>
      </c>
      <c r="E13" s="49">
        <v>18.100000000000001</v>
      </c>
      <c r="F13" s="49">
        <v>18.100000000000001</v>
      </c>
      <c r="G13" s="49">
        <v>18.100000000000001</v>
      </c>
      <c r="H13" s="49">
        <v>18.100000000000001</v>
      </c>
      <c r="I13" s="49">
        <v>17.899999999999999</v>
      </c>
      <c r="J13" s="49">
        <v>17.899999999999999</v>
      </c>
      <c r="K13" s="49">
        <v>17.899999999999999</v>
      </c>
      <c r="L13" s="49">
        <v>17.899999999999999</v>
      </c>
      <c r="M13" s="49">
        <v>17.899999999999999</v>
      </c>
      <c r="N13" s="49">
        <v>17.899999999999999</v>
      </c>
      <c r="O13" s="49">
        <v>17.5</v>
      </c>
      <c r="P13" s="49">
        <v>17.5</v>
      </c>
      <c r="Q13" s="49">
        <v>18.399999999999999</v>
      </c>
      <c r="R13" s="49">
        <v>18.399999999999999</v>
      </c>
      <c r="S13" s="49">
        <v>18.399999999999999</v>
      </c>
      <c r="T13" s="49">
        <v>18.399999999999999</v>
      </c>
      <c r="U13" s="49">
        <v>18.399999999999999</v>
      </c>
      <c r="V13" s="49">
        <v>18.399999999999999</v>
      </c>
      <c r="W13" s="49">
        <v>18.399999999999999</v>
      </c>
      <c r="X13" s="49">
        <v>18.399999999999999</v>
      </c>
      <c r="Y13" s="49">
        <v>18.399999999999999</v>
      </c>
      <c r="Z13" s="50">
        <v>18.399999999999999</v>
      </c>
      <c r="AA13" s="50">
        <v>18.399999999999999</v>
      </c>
      <c r="AB13" s="50">
        <v>18.399999999999999</v>
      </c>
      <c r="AC13" s="50">
        <v>18.399999999999999</v>
      </c>
      <c r="AD13" s="50">
        <v>17.899999999999999</v>
      </c>
      <c r="AE13" s="50">
        <v>17.899999999999999</v>
      </c>
      <c r="AF13" s="50">
        <v>18.7</v>
      </c>
      <c r="AG13" s="59">
        <v>52.4</v>
      </c>
      <c r="AH13" s="54">
        <f t="shared" si="2"/>
        <v>18.7</v>
      </c>
      <c r="AI13" s="55">
        <f t="shared" si="3"/>
        <v>17.5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34.1</v>
      </c>
      <c r="C14" s="49">
        <v>34.1</v>
      </c>
      <c r="D14" s="49">
        <v>34.1</v>
      </c>
      <c r="E14" s="49">
        <v>34.1</v>
      </c>
      <c r="F14" s="49">
        <v>34.1</v>
      </c>
      <c r="G14" s="49">
        <v>34.1</v>
      </c>
      <c r="H14" s="49">
        <v>34.1</v>
      </c>
      <c r="I14" s="49">
        <v>34.4</v>
      </c>
      <c r="J14" s="49">
        <v>34.4</v>
      </c>
      <c r="K14" s="49">
        <v>34.4</v>
      </c>
      <c r="L14" s="49">
        <v>34.4</v>
      </c>
      <c r="M14" s="50">
        <v>34.4</v>
      </c>
      <c r="N14" s="50">
        <v>34.4</v>
      </c>
      <c r="O14" s="50">
        <v>34.4</v>
      </c>
      <c r="P14" s="50">
        <v>34.4</v>
      </c>
      <c r="Q14" s="50">
        <v>34.4</v>
      </c>
      <c r="R14" s="50">
        <v>34.4</v>
      </c>
      <c r="S14" s="50">
        <v>34.799999999999997</v>
      </c>
      <c r="T14" s="50">
        <v>34.799999999999997</v>
      </c>
      <c r="U14" s="50">
        <v>34.799999999999997</v>
      </c>
      <c r="V14" s="50">
        <v>34.799999999999997</v>
      </c>
      <c r="W14" s="50">
        <v>34.799999999999997</v>
      </c>
      <c r="X14" s="50">
        <v>34.799999999999997</v>
      </c>
      <c r="Y14" s="50">
        <v>34.799999999999997</v>
      </c>
      <c r="Z14" s="50">
        <v>34.799999999999997</v>
      </c>
      <c r="AA14" s="50">
        <v>34.799999999999997</v>
      </c>
      <c r="AB14" s="50">
        <v>34.799999999999997</v>
      </c>
      <c r="AC14" s="50">
        <v>34.799999999999997</v>
      </c>
      <c r="AD14" s="50">
        <v>34.700000000000003</v>
      </c>
      <c r="AE14" s="50">
        <v>34.6</v>
      </c>
      <c r="AF14" s="50">
        <v>34.6</v>
      </c>
      <c r="AG14" s="59">
        <v>50</v>
      </c>
      <c r="AH14" s="54">
        <f t="shared" si="2"/>
        <v>34.799999999999997</v>
      </c>
      <c r="AI14" s="55">
        <f t="shared" si="3"/>
        <v>34.1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19.7</v>
      </c>
      <c r="C15" s="61">
        <v>19.7</v>
      </c>
      <c r="D15" s="61">
        <v>19.7</v>
      </c>
      <c r="E15" s="61">
        <v>19.7</v>
      </c>
      <c r="F15" s="61">
        <v>19.7</v>
      </c>
      <c r="G15" s="61">
        <v>19.7</v>
      </c>
      <c r="H15" s="61">
        <v>19.7</v>
      </c>
      <c r="I15" s="61">
        <v>19.7</v>
      </c>
      <c r="J15" s="61">
        <v>19.7</v>
      </c>
      <c r="K15" s="61">
        <v>19.7</v>
      </c>
      <c r="L15" s="61">
        <v>19.7</v>
      </c>
      <c r="M15" s="50">
        <v>19.7</v>
      </c>
      <c r="N15" s="50">
        <v>19.7</v>
      </c>
      <c r="O15" s="50">
        <v>19.7</v>
      </c>
      <c r="P15" s="50">
        <v>19.7</v>
      </c>
      <c r="Q15" s="50">
        <v>19.7</v>
      </c>
      <c r="R15" s="50">
        <v>19.7</v>
      </c>
      <c r="S15" s="50">
        <v>19</v>
      </c>
      <c r="T15" s="50">
        <v>19</v>
      </c>
      <c r="U15" s="50">
        <v>19</v>
      </c>
      <c r="V15" s="50">
        <v>19</v>
      </c>
      <c r="W15" s="50">
        <v>19</v>
      </c>
      <c r="X15" s="50">
        <v>19</v>
      </c>
      <c r="Y15" s="50">
        <v>19</v>
      </c>
      <c r="Z15" s="50">
        <v>19</v>
      </c>
      <c r="AA15" s="50">
        <v>19</v>
      </c>
      <c r="AB15" s="50">
        <v>19</v>
      </c>
      <c r="AC15" s="50">
        <v>19</v>
      </c>
      <c r="AD15" s="50">
        <v>21.6</v>
      </c>
      <c r="AE15" s="50">
        <v>21.8</v>
      </c>
      <c r="AF15" s="50">
        <v>20.8</v>
      </c>
      <c r="AG15" s="62">
        <v>45</v>
      </c>
      <c r="AH15" s="54">
        <f t="shared" si="2"/>
        <v>21.8</v>
      </c>
      <c r="AI15" s="55">
        <f t="shared" si="3"/>
        <v>19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7.5</v>
      </c>
      <c r="C17" s="49">
        <v>7.5</v>
      </c>
      <c r="D17" s="49">
        <v>7.5</v>
      </c>
      <c r="E17" s="49">
        <v>7.5</v>
      </c>
      <c r="F17" s="49">
        <v>7.5</v>
      </c>
      <c r="G17" s="49">
        <v>7.5</v>
      </c>
      <c r="H17" s="49">
        <v>7.5</v>
      </c>
      <c r="I17" s="49">
        <v>7.5</v>
      </c>
      <c r="J17" s="49">
        <v>7.5</v>
      </c>
      <c r="K17" s="49">
        <v>7.5</v>
      </c>
      <c r="L17" s="49">
        <v>7.5</v>
      </c>
      <c r="M17" s="50">
        <v>7.5</v>
      </c>
      <c r="N17" s="50">
        <v>7.5</v>
      </c>
      <c r="O17" s="50">
        <v>7.5</v>
      </c>
      <c r="P17" s="50">
        <v>7.5</v>
      </c>
      <c r="Q17" s="50">
        <v>7.5</v>
      </c>
      <c r="R17" s="50">
        <v>7.5</v>
      </c>
      <c r="S17" s="50">
        <v>7.5</v>
      </c>
      <c r="T17" s="50">
        <v>7.5</v>
      </c>
      <c r="U17" s="50">
        <v>7.5</v>
      </c>
      <c r="V17" s="50">
        <v>7.5</v>
      </c>
      <c r="W17" s="50">
        <v>7.5</v>
      </c>
      <c r="X17" s="50">
        <v>7.5</v>
      </c>
      <c r="Y17" s="50">
        <v>7.5</v>
      </c>
      <c r="Z17" s="50">
        <v>7.5</v>
      </c>
      <c r="AA17" s="50">
        <v>7.5</v>
      </c>
      <c r="AB17" s="50">
        <v>7.5</v>
      </c>
      <c r="AC17" s="50">
        <v>7.5</v>
      </c>
      <c r="AD17" s="50">
        <v>7.5</v>
      </c>
      <c r="AE17" s="50">
        <v>7.5</v>
      </c>
      <c r="AF17" s="50">
        <v>7.5</v>
      </c>
      <c r="AG17" s="59">
        <v>42</v>
      </c>
      <c r="AH17" s="54">
        <f t="shared" si="2"/>
        <v>7.5</v>
      </c>
      <c r="AI17" s="55">
        <f t="shared" si="3"/>
        <v>7.5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9</v>
      </c>
      <c r="C18" s="49">
        <v>9</v>
      </c>
      <c r="D18" s="49">
        <v>9</v>
      </c>
      <c r="E18" s="49">
        <v>9</v>
      </c>
      <c r="F18" s="49">
        <v>9</v>
      </c>
      <c r="G18" s="49">
        <v>9</v>
      </c>
      <c r="H18" s="49">
        <v>9</v>
      </c>
      <c r="I18" s="49">
        <v>9</v>
      </c>
      <c r="J18" s="49">
        <v>9</v>
      </c>
      <c r="K18" s="49">
        <v>9</v>
      </c>
      <c r="L18" s="49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6.9</v>
      </c>
      <c r="C19" s="49">
        <v>6.9</v>
      </c>
      <c r="D19" s="49">
        <v>6.9</v>
      </c>
      <c r="E19" s="49">
        <v>6.9</v>
      </c>
      <c r="F19" s="49">
        <v>6.9</v>
      </c>
      <c r="G19" s="49">
        <v>6.9</v>
      </c>
      <c r="H19" s="49">
        <v>6.9</v>
      </c>
      <c r="I19" s="49">
        <v>6.9</v>
      </c>
      <c r="J19" s="49">
        <v>6.9</v>
      </c>
      <c r="K19" s="49">
        <v>6.9</v>
      </c>
      <c r="L19" s="49">
        <v>6.9</v>
      </c>
      <c r="M19" s="50">
        <v>6.9</v>
      </c>
      <c r="N19" s="50">
        <v>6.9</v>
      </c>
      <c r="O19" s="50">
        <v>6.9</v>
      </c>
      <c r="P19" s="50">
        <v>6.9</v>
      </c>
      <c r="Q19" s="50">
        <v>6.9</v>
      </c>
      <c r="R19" s="50">
        <v>6.9</v>
      </c>
      <c r="S19" s="50">
        <v>6.9</v>
      </c>
      <c r="T19" s="50">
        <v>6.9</v>
      </c>
      <c r="U19" s="50">
        <v>6.9</v>
      </c>
      <c r="V19" s="50">
        <v>6.9</v>
      </c>
      <c r="W19" s="50">
        <v>6.9</v>
      </c>
      <c r="X19" s="50">
        <v>6.9</v>
      </c>
      <c r="Y19" s="50">
        <v>6.9</v>
      </c>
      <c r="Z19" s="50">
        <v>6.9</v>
      </c>
      <c r="AA19" s="50">
        <v>6.9</v>
      </c>
      <c r="AB19" s="50">
        <v>6.9</v>
      </c>
      <c r="AC19" s="50">
        <v>6.9</v>
      </c>
      <c r="AD19" s="50">
        <v>9.4</v>
      </c>
      <c r="AE19" s="50">
        <v>9.6</v>
      </c>
      <c r="AF19" s="50">
        <v>9.6999999999999993</v>
      </c>
      <c r="AG19" s="59">
        <v>30</v>
      </c>
      <c r="AH19" s="54">
        <f t="shared" si="2"/>
        <v>9.6999999999999993</v>
      </c>
      <c r="AI19" s="55">
        <f t="shared" si="3"/>
        <v>6.9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16.600000000000001</v>
      </c>
      <c r="C22" s="49">
        <v>16.600000000000001</v>
      </c>
      <c r="D22" s="49">
        <v>16.600000000000001</v>
      </c>
      <c r="E22" s="49">
        <v>16.600000000000001</v>
      </c>
      <c r="F22" s="49">
        <v>16.600000000000001</v>
      </c>
      <c r="G22" s="49">
        <v>16.600000000000001</v>
      </c>
      <c r="H22" s="49">
        <v>16.600000000000001</v>
      </c>
      <c r="I22" s="49">
        <v>16.600000000000001</v>
      </c>
      <c r="J22" s="49">
        <v>16.600000000000001</v>
      </c>
      <c r="K22" s="49">
        <v>16.600000000000001</v>
      </c>
      <c r="L22" s="49">
        <v>16.600000000000001</v>
      </c>
      <c r="M22" s="50">
        <v>16.600000000000001</v>
      </c>
      <c r="N22" s="50">
        <v>16.600000000000001</v>
      </c>
      <c r="O22" s="50">
        <v>16.600000000000001</v>
      </c>
      <c r="P22" s="50">
        <v>16.600000000000001</v>
      </c>
      <c r="Q22" s="50">
        <v>16.600000000000001</v>
      </c>
      <c r="R22" s="50">
        <v>16.600000000000001</v>
      </c>
      <c r="S22" s="50">
        <v>11.3</v>
      </c>
      <c r="T22" s="50">
        <v>11.3</v>
      </c>
      <c r="U22" s="50">
        <v>11.3</v>
      </c>
      <c r="V22" s="50">
        <v>11.3</v>
      </c>
      <c r="W22" s="50">
        <v>9.1999999999999993</v>
      </c>
      <c r="X22" s="50">
        <v>9.1999999999999993</v>
      </c>
      <c r="Y22" s="50">
        <v>17.399999999999999</v>
      </c>
      <c r="Z22" s="50">
        <v>18.3</v>
      </c>
      <c r="AA22" s="50">
        <v>18.3</v>
      </c>
      <c r="AB22" s="50">
        <v>18.3</v>
      </c>
      <c r="AC22" s="50">
        <v>18.3</v>
      </c>
      <c r="AD22" s="50">
        <v>11.5</v>
      </c>
      <c r="AE22" s="50">
        <v>11.7</v>
      </c>
      <c r="AF22" s="50">
        <v>11.7</v>
      </c>
      <c r="AG22" s="59">
        <v>25</v>
      </c>
      <c r="AH22" s="54">
        <f t="shared" si="2"/>
        <v>18.3</v>
      </c>
      <c r="AI22" s="55">
        <f t="shared" si="3"/>
        <v>9.1999999999999993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9</v>
      </c>
      <c r="C24" s="49">
        <v>9</v>
      </c>
      <c r="D24" s="49">
        <v>9</v>
      </c>
      <c r="E24" s="49">
        <v>9</v>
      </c>
      <c r="F24" s="49">
        <v>9</v>
      </c>
      <c r="G24" s="49">
        <v>9</v>
      </c>
      <c r="H24" s="49">
        <v>9</v>
      </c>
      <c r="I24" s="49">
        <v>9</v>
      </c>
      <c r="J24" s="49">
        <v>9</v>
      </c>
      <c r="K24" s="49">
        <v>9</v>
      </c>
      <c r="L24" s="49">
        <v>9</v>
      </c>
      <c r="M24" s="50">
        <v>9</v>
      </c>
      <c r="N24" s="50">
        <v>9</v>
      </c>
      <c r="O24" s="50">
        <v>9</v>
      </c>
      <c r="P24" s="50">
        <v>9</v>
      </c>
      <c r="Q24" s="50">
        <v>9</v>
      </c>
      <c r="R24" s="50">
        <v>9</v>
      </c>
      <c r="S24" s="50">
        <v>9.3000000000000007</v>
      </c>
      <c r="T24" s="50">
        <v>9.3000000000000007</v>
      </c>
      <c r="U24" s="50">
        <v>9.3000000000000007</v>
      </c>
      <c r="V24" s="50">
        <v>9.3000000000000007</v>
      </c>
      <c r="W24" s="50">
        <v>9.3000000000000007</v>
      </c>
      <c r="X24" s="50">
        <v>9.3000000000000007</v>
      </c>
      <c r="Y24" s="50">
        <v>9.3000000000000007</v>
      </c>
      <c r="Z24" s="50">
        <v>9.3000000000000007</v>
      </c>
      <c r="AA24" s="50">
        <v>9.3000000000000007</v>
      </c>
      <c r="AB24" s="50">
        <v>9.3000000000000007</v>
      </c>
      <c r="AC24" s="50">
        <v>9.3000000000000007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38.1</v>
      </c>
      <c r="C37" s="61">
        <v>38.1</v>
      </c>
      <c r="D37" s="61">
        <v>38.1</v>
      </c>
      <c r="E37" s="61">
        <f>13.6+27.2</f>
        <v>40.799999999999997</v>
      </c>
      <c r="F37" s="61">
        <f>13.8+27.9</f>
        <v>41.7</v>
      </c>
      <c r="G37" s="61">
        <f>13.8+27.8</f>
        <v>41.6</v>
      </c>
      <c r="H37" s="61">
        <f>13.4+26.7</f>
        <v>40.1</v>
      </c>
      <c r="I37" s="61">
        <f>13.4+26.7</f>
        <v>40.1</v>
      </c>
      <c r="J37" s="61">
        <v>40</v>
      </c>
      <c r="K37" s="61">
        <f>13+25.9</f>
        <v>38.9</v>
      </c>
      <c r="L37" s="61">
        <f>13.1+25.9</f>
        <v>39</v>
      </c>
      <c r="M37" s="70">
        <f>13.2+26.3</f>
        <v>39.5</v>
      </c>
      <c r="N37" s="70">
        <f>13.3+27.1</f>
        <v>40.400000000000006</v>
      </c>
      <c r="O37" s="70">
        <f>13.7+27.7</f>
        <v>41.4</v>
      </c>
      <c r="P37" s="70">
        <f>13.8+27.9</f>
        <v>41.7</v>
      </c>
      <c r="Q37" s="70">
        <f>12.8+24.8</f>
        <v>37.6</v>
      </c>
      <c r="R37" s="70">
        <f>13.3+25.9</f>
        <v>39.200000000000003</v>
      </c>
      <c r="S37" s="70">
        <f>12.9+25.4</f>
        <v>38.299999999999997</v>
      </c>
      <c r="T37" s="70">
        <f>27.7+14</f>
        <v>41.7</v>
      </c>
      <c r="U37" s="70">
        <f>26+13.2</f>
        <v>39.200000000000003</v>
      </c>
      <c r="V37" s="70">
        <f>13+25.7</f>
        <v>38.700000000000003</v>
      </c>
      <c r="W37" s="70">
        <f>25.7+12.8</f>
        <v>38.5</v>
      </c>
      <c r="X37" s="70">
        <v>35.700000000000003</v>
      </c>
      <c r="Y37" s="70">
        <v>33</v>
      </c>
      <c r="Z37" s="70">
        <v>33.299999999999997</v>
      </c>
      <c r="AA37" s="70">
        <v>34.5</v>
      </c>
      <c r="AB37" s="70">
        <f>11.6+23.4</f>
        <v>35</v>
      </c>
      <c r="AC37" s="70">
        <f>11.7+24</f>
        <v>35.700000000000003</v>
      </c>
      <c r="AD37" s="70">
        <f>12.5+25.7</f>
        <v>38.200000000000003</v>
      </c>
      <c r="AE37" s="70">
        <f>12.6+25.8</f>
        <v>38.4</v>
      </c>
      <c r="AF37" s="70">
        <f>12.6+25.2</f>
        <v>37.799999999999997</v>
      </c>
      <c r="AG37" s="67">
        <v>240</v>
      </c>
      <c r="AH37" s="54">
        <f t="shared" si="2"/>
        <v>41.7</v>
      </c>
      <c r="AI37" s="55">
        <f t="shared" si="3"/>
        <v>33</v>
      </c>
      <c r="AK37" s="56"/>
    </row>
    <row r="38" spans="1:88" ht="15.75" thickBot="1" x14ac:dyDescent="0.3">
      <c r="A38" s="71" t="s">
        <v>46</v>
      </c>
      <c r="B38" s="72">
        <f>SUM(B11:B36)</f>
        <v>388.9</v>
      </c>
      <c r="C38" s="72">
        <f t="shared" ref="C38:AF38" si="4">SUM(C11:C36)</f>
        <v>388.9</v>
      </c>
      <c r="D38" s="72">
        <f t="shared" si="4"/>
        <v>396.9</v>
      </c>
      <c r="E38" s="72">
        <f t="shared" si="4"/>
        <v>392.29999999999995</v>
      </c>
      <c r="F38" s="72">
        <f t="shared" si="4"/>
        <v>417.29999999999995</v>
      </c>
      <c r="G38" s="72">
        <f t="shared" si="4"/>
        <v>437.29999999999995</v>
      </c>
      <c r="H38" s="72">
        <f t="shared" si="4"/>
        <v>437.29999999999995</v>
      </c>
      <c r="I38" s="72">
        <f t="shared" si="4"/>
        <v>437.4</v>
      </c>
      <c r="J38" s="72">
        <f t="shared" si="4"/>
        <v>507.4</v>
      </c>
      <c r="K38" s="72">
        <f t="shared" si="4"/>
        <v>697.4</v>
      </c>
      <c r="L38" s="72">
        <f t="shared" si="4"/>
        <v>742.4</v>
      </c>
      <c r="M38" s="72">
        <f t="shared" si="4"/>
        <v>772.40000000000009</v>
      </c>
      <c r="N38" s="72">
        <f t="shared" si="4"/>
        <v>727.4</v>
      </c>
      <c r="O38" s="72">
        <f t="shared" si="4"/>
        <v>709</v>
      </c>
      <c r="P38" s="72">
        <f t="shared" si="4"/>
        <v>677</v>
      </c>
      <c r="Q38" s="72">
        <f t="shared" si="4"/>
        <v>467.9</v>
      </c>
      <c r="R38" s="72">
        <f t="shared" si="4"/>
        <v>467.9</v>
      </c>
      <c r="S38" s="72">
        <f t="shared" si="4"/>
        <v>455.29999999999995</v>
      </c>
      <c r="T38" s="72">
        <f t="shared" si="4"/>
        <v>458.2</v>
      </c>
      <c r="U38" s="72">
        <f t="shared" si="4"/>
        <v>384.6</v>
      </c>
      <c r="V38" s="72">
        <f t="shared" si="4"/>
        <v>522.59999999999991</v>
      </c>
      <c r="W38" s="72">
        <f t="shared" si="4"/>
        <v>395.5</v>
      </c>
      <c r="X38" s="72">
        <f t="shared" si="4"/>
        <v>590.5</v>
      </c>
      <c r="Y38" s="72">
        <f t="shared" si="4"/>
        <v>718.7</v>
      </c>
      <c r="Z38" s="72">
        <v>709.60000000000014</v>
      </c>
      <c r="AA38" s="72">
        <f t="shared" si="4"/>
        <v>449.6</v>
      </c>
      <c r="AB38" s="72">
        <f t="shared" si="4"/>
        <v>429.59999999999997</v>
      </c>
      <c r="AC38" s="72">
        <f t="shared" si="4"/>
        <v>391.6</v>
      </c>
      <c r="AD38" s="50">
        <f t="shared" si="4"/>
        <v>392</v>
      </c>
      <c r="AE38" s="72">
        <f t="shared" si="4"/>
        <v>392.5</v>
      </c>
      <c r="AF38" s="72">
        <f t="shared" si="4"/>
        <v>392.4</v>
      </c>
      <c r="AG38" s="67">
        <f>SUM(AG11:AG37)</f>
        <v>1492.8299999999997</v>
      </c>
      <c r="AH38" s="54">
        <f t="shared" si="2"/>
        <v>772.40000000000009</v>
      </c>
      <c r="AI38" s="55">
        <f t="shared" si="3"/>
        <v>384.6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34.299999999999997</v>
      </c>
      <c r="H39" s="61">
        <v>47.8</v>
      </c>
      <c r="I39" s="61">
        <v>61.5</v>
      </c>
      <c r="J39" s="61">
        <v>93.7</v>
      </c>
      <c r="K39" s="61">
        <v>140.6</v>
      </c>
      <c r="L39" s="61">
        <v>142.5</v>
      </c>
      <c r="M39" s="50">
        <v>142.69999999999999</v>
      </c>
      <c r="N39" s="50">
        <v>143.69999999999999</v>
      </c>
      <c r="O39" s="50">
        <v>121.7</v>
      </c>
      <c r="P39" s="50">
        <v>144</v>
      </c>
      <c r="Q39" s="50">
        <v>76.5</v>
      </c>
      <c r="R39" s="50">
        <v>70.7</v>
      </c>
      <c r="S39" s="50">
        <v>71.099999999999994</v>
      </c>
      <c r="T39" s="50">
        <v>61</v>
      </c>
      <c r="U39" s="50">
        <v>71.3</v>
      </c>
      <c r="V39" s="50">
        <v>96.6</v>
      </c>
      <c r="W39" s="50">
        <v>60.4</v>
      </c>
      <c r="X39" s="50">
        <v>145.69999999999999</v>
      </c>
      <c r="Y39" s="50">
        <v>144.6</v>
      </c>
      <c r="Z39" s="50">
        <v>144.80000000000001</v>
      </c>
      <c r="AA39" s="50">
        <v>144.6</v>
      </c>
      <c r="AB39" s="50">
        <v>131.6</v>
      </c>
      <c r="AC39" s="50">
        <v>111.2</v>
      </c>
      <c r="AD39" s="61">
        <v>60</v>
      </c>
      <c r="AE39" s="50">
        <v>29.6</v>
      </c>
      <c r="AF39" s="49">
        <v>0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20.3</v>
      </c>
      <c r="I40" s="61">
        <v>18.600000000000001</v>
      </c>
      <c r="J40" s="61">
        <v>43.7</v>
      </c>
      <c r="K40" s="61">
        <v>64.7</v>
      </c>
      <c r="L40" s="61">
        <v>69.400000000000006</v>
      </c>
      <c r="M40" s="73">
        <v>69.099999999999994</v>
      </c>
      <c r="N40" s="73">
        <v>69.099999999999994</v>
      </c>
      <c r="O40" s="73">
        <v>60.4</v>
      </c>
      <c r="P40" s="73">
        <v>70</v>
      </c>
      <c r="Q40" s="73">
        <v>27.5</v>
      </c>
      <c r="R40" s="73">
        <v>22.5</v>
      </c>
      <c r="S40" s="73">
        <v>34.9</v>
      </c>
      <c r="T40" s="73">
        <v>22.6</v>
      </c>
      <c r="U40" s="73">
        <v>22.8</v>
      </c>
      <c r="V40" s="73">
        <v>70.8</v>
      </c>
      <c r="W40" s="73">
        <v>43.8</v>
      </c>
      <c r="X40" s="73">
        <v>70.5</v>
      </c>
      <c r="Y40" s="73">
        <v>70.900000000000006</v>
      </c>
      <c r="Z40" s="73">
        <v>71.2</v>
      </c>
      <c r="AA40" s="73">
        <v>70.7</v>
      </c>
      <c r="AB40" s="73">
        <v>71.5</v>
      </c>
      <c r="AC40" s="73">
        <v>60</v>
      </c>
      <c r="AD40" s="70">
        <v>50.8</v>
      </c>
      <c r="AE40" s="73">
        <v>24.6</v>
      </c>
      <c r="AF40" s="61">
        <v>0</v>
      </c>
      <c r="AG40" s="67">
        <v>70</v>
      </c>
      <c r="AH40" s="54">
        <f t="shared" si="2"/>
        <v>71.5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50</v>
      </c>
      <c r="C41" s="61">
        <v>50</v>
      </c>
      <c r="D41" s="61">
        <v>16</v>
      </c>
      <c r="E41" s="61">
        <v>16.600000000000001</v>
      </c>
      <c r="F41" s="61">
        <v>16.5</v>
      </c>
      <c r="G41" s="61">
        <v>34.5</v>
      </c>
      <c r="H41" s="61">
        <v>45.2</v>
      </c>
      <c r="I41" s="61">
        <v>54.3</v>
      </c>
      <c r="J41" s="61">
        <v>61.7</v>
      </c>
      <c r="K41" s="61">
        <v>57.1</v>
      </c>
      <c r="L41" s="61">
        <v>67.7</v>
      </c>
      <c r="M41" s="73">
        <v>67.900000000000006</v>
      </c>
      <c r="N41" s="73">
        <v>67.900000000000006</v>
      </c>
      <c r="O41" s="73">
        <v>45.9</v>
      </c>
      <c r="P41" s="73">
        <v>45</v>
      </c>
      <c r="Q41" s="73">
        <v>17</v>
      </c>
      <c r="R41" s="73">
        <v>17</v>
      </c>
      <c r="S41" s="73">
        <v>0</v>
      </c>
      <c r="T41" s="73">
        <v>0</v>
      </c>
      <c r="U41" s="73">
        <v>36</v>
      </c>
      <c r="V41" s="73">
        <v>46.5</v>
      </c>
      <c r="W41" s="73">
        <v>34.6</v>
      </c>
      <c r="X41" s="73">
        <v>68</v>
      </c>
      <c r="Y41" s="73">
        <v>68.099999999999994</v>
      </c>
      <c r="Z41" s="73">
        <v>67.5</v>
      </c>
      <c r="AA41" s="73">
        <v>67.400000000000006</v>
      </c>
      <c r="AB41" s="73">
        <v>67.3</v>
      </c>
      <c r="AC41" s="73">
        <v>66.8</v>
      </c>
      <c r="AD41" s="73">
        <v>66.5</v>
      </c>
      <c r="AE41" s="73">
        <v>66.5</v>
      </c>
      <c r="AF41" s="61">
        <v>35.5</v>
      </c>
      <c r="AG41" s="67">
        <v>69</v>
      </c>
      <c r="AH41" s="54">
        <f t="shared" si="2"/>
        <v>68.099999999999994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47.1</v>
      </c>
      <c r="C42" s="61">
        <v>47.1</v>
      </c>
      <c r="D42" s="61">
        <v>47.1</v>
      </c>
      <c r="E42" s="61">
        <v>46.4</v>
      </c>
      <c r="F42" s="61">
        <v>46.4</v>
      </c>
      <c r="G42" s="61">
        <v>46.4</v>
      </c>
      <c r="H42" s="61">
        <v>46.4</v>
      </c>
      <c r="I42" s="61">
        <v>46.4</v>
      </c>
      <c r="J42" s="61">
        <v>46.4</v>
      </c>
      <c r="K42" s="61">
        <v>46.4</v>
      </c>
      <c r="L42" s="61">
        <v>46.4</v>
      </c>
      <c r="M42" s="73">
        <v>46.4</v>
      </c>
      <c r="N42" s="73">
        <v>46.4</v>
      </c>
      <c r="O42" s="73">
        <v>46.6</v>
      </c>
      <c r="P42" s="73">
        <v>46.6</v>
      </c>
      <c r="Q42" s="73">
        <v>46.6</v>
      </c>
      <c r="R42" s="73">
        <v>46.6</v>
      </c>
      <c r="S42" s="73">
        <v>30.7</v>
      </c>
      <c r="T42" s="73">
        <v>49.1</v>
      </c>
      <c r="U42" s="73">
        <v>45.1</v>
      </c>
      <c r="V42" s="73">
        <v>45.1</v>
      </c>
      <c r="W42" s="73">
        <v>45.1</v>
      </c>
      <c r="X42" s="73">
        <v>45.3</v>
      </c>
      <c r="Y42" s="73">
        <v>47.1</v>
      </c>
      <c r="Z42" s="73">
        <v>47.4</v>
      </c>
      <c r="AA42" s="73">
        <v>46.1</v>
      </c>
      <c r="AB42" s="73">
        <v>47.3</v>
      </c>
      <c r="AC42" s="73">
        <v>47.1</v>
      </c>
      <c r="AD42" s="73">
        <v>47.6</v>
      </c>
      <c r="AE42" s="73">
        <v>47.6</v>
      </c>
      <c r="AF42" s="61">
        <v>47.6</v>
      </c>
      <c r="AG42" s="67">
        <v>60</v>
      </c>
      <c r="AH42" s="54">
        <f t="shared" si="2"/>
        <v>49.1</v>
      </c>
      <c r="AI42" s="55">
        <f t="shared" si="3"/>
        <v>30.7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13</v>
      </c>
      <c r="H43" s="61">
        <v>23</v>
      </c>
      <c r="I43" s="61">
        <v>23</v>
      </c>
      <c r="J43" s="61">
        <v>23</v>
      </c>
      <c r="K43" s="61">
        <v>23</v>
      </c>
      <c r="L43" s="61">
        <v>23</v>
      </c>
      <c r="M43" s="50">
        <v>23</v>
      </c>
      <c r="N43" s="50">
        <v>10</v>
      </c>
      <c r="O43" s="50">
        <v>0</v>
      </c>
      <c r="P43" s="50">
        <v>0</v>
      </c>
      <c r="Q43" s="50">
        <v>0</v>
      </c>
      <c r="R43" s="50">
        <v>0</v>
      </c>
      <c r="S43" s="50">
        <v>10</v>
      </c>
      <c r="T43" s="50">
        <v>0</v>
      </c>
      <c r="U43" s="50">
        <v>0</v>
      </c>
      <c r="V43" s="50">
        <v>0</v>
      </c>
      <c r="W43" s="50">
        <v>10</v>
      </c>
      <c r="X43" s="50">
        <v>15</v>
      </c>
      <c r="Y43" s="50">
        <v>10</v>
      </c>
      <c r="Z43" s="73">
        <v>15</v>
      </c>
      <c r="AA43" s="73">
        <v>15</v>
      </c>
      <c r="AB43" s="73">
        <v>15</v>
      </c>
      <c r="AC43" s="73">
        <v>10</v>
      </c>
      <c r="AD43" s="73">
        <v>10</v>
      </c>
      <c r="AE43" s="73">
        <v>10</v>
      </c>
      <c r="AF43" s="61">
        <v>10</v>
      </c>
      <c r="AG43" s="67">
        <v>30</v>
      </c>
      <c r="AH43" s="54">
        <f t="shared" si="2"/>
        <v>23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74">
        <v>16</v>
      </c>
      <c r="H45" s="74">
        <v>16</v>
      </c>
      <c r="I45" s="74">
        <v>16</v>
      </c>
      <c r="J45" s="74">
        <v>16</v>
      </c>
      <c r="K45" s="74">
        <v>16</v>
      </c>
      <c r="L45" s="74">
        <v>16</v>
      </c>
      <c r="M45" s="74">
        <v>16</v>
      </c>
      <c r="N45" s="74">
        <v>16</v>
      </c>
      <c r="O45" s="74">
        <v>16</v>
      </c>
      <c r="P45" s="74">
        <v>16</v>
      </c>
      <c r="Q45" s="74">
        <v>16</v>
      </c>
      <c r="R45" s="74">
        <v>16</v>
      </c>
      <c r="S45" s="74">
        <v>16</v>
      </c>
      <c r="T45" s="74">
        <v>16</v>
      </c>
      <c r="U45" s="74">
        <v>16</v>
      </c>
      <c r="V45" s="74">
        <v>16</v>
      </c>
      <c r="W45" s="74">
        <v>16</v>
      </c>
      <c r="X45" s="74">
        <v>16</v>
      </c>
      <c r="Y45" s="74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61">
        <v>4</v>
      </c>
      <c r="Q46" s="61">
        <v>4</v>
      </c>
      <c r="R46" s="61">
        <v>4</v>
      </c>
      <c r="S46" s="61">
        <v>4</v>
      </c>
      <c r="T46" s="61">
        <v>4</v>
      </c>
      <c r="U46" s="61">
        <v>4</v>
      </c>
      <c r="V46" s="61">
        <v>4</v>
      </c>
      <c r="W46" s="61">
        <v>4</v>
      </c>
      <c r="X46" s="61">
        <v>4</v>
      </c>
      <c r="Y46" s="61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61">
        <v>10</v>
      </c>
      <c r="T47" s="61">
        <v>10</v>
      </c>
      <c r="U47" s="61">
        <v>10</v>
      </c>
      <c r="V47" s="61">
        <v>10</v>
      </c>
      <c r="W47" s="61">
        <v>10</v>
      </c>
      <c r="X47" s="61">
        <v>10</v>
      </c>
      <c r="Y47" s="61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74">
        <v>5</v>
      </c>
      <c r="H48" s="74">
        <v>5</v>
      </c>
      <c r="I48" s="74">
        <v>5</v>
      </c>
      <c r="J48" s="74">
        <v>5</v>
      </c>
      <c r="K48" s="74">
        <v>5</v>
      </c>
      <c r="L48" s="74">
        <v>5</v>
      </c>
      <c r="M48" s="74">
        <v>5</v>
      </c>
      <c r="N48" s="74">
        <v>5</v>
      </c>
      <c r="O48" s="74">
        <v>5</v>
      </c>
      <c r="P48" s="74">
        <v>5</v>
      </c>
      <c r="Q48" s="74">
        <v>5</v>
      </c>
      <c r="R48" s="74">
        <v>5</v>
      </c>
      <c r="S48" s="74">
        <v>5</v>
      </c>
      <c r="T48" s="74">
        <v>5</v>
      </c>
      <c r="U48" s="74">
        <v>5</v>
      </c>
      <c r="V48" s="74">
        <v>5</v>
      </c>
      <c r="W48" s="74">
        <v>5</v>
      </c>
      <c r="X48" s="74">
        <v>5</v>
      </c>
      <c r="Y48" s="74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6.4</v>
      </c>
      <c r="C49" s="61">
        <v>6.4</v>
      </c>
      <c r="D49" s="61">
        <v>6.4</v>
      </c>
      <c r="E49" s="61">
        <v>6.4</v>
      </c>
      <c r="F49" s="61">
        <v>6.4</v>
      </c>
      <c r="G49" s="61">
        <v>6.4</v>
      </c>
      <c r="H49" s="61">
        <v>6.4</v>
      </c>
      <c r="I49" s="61">
        <v>6.4</v>
      </c>
      <c r="J49" s="61">
        <v>6.4</v>
      </c>
      <c r="K49" s="61">
        <v>6.4</v>
      </c>
      <c r="L49" s="61">
        <v>6.4</v>
      </c>
      <c r="M49" s="61">
        <v>6.4</v>
      </c>
      <c r="N49" s="61">
        <v>6.4</v>
      </c>
      <c r="O49" s="61">
        <v>6.4</v>
      </c>
      <c r="P49" s="61">
        <v>6.4</v>
      </c>
      <c r="Q49" s="61">
        <v>6.4</v>
      </c>
      <c r="R49" s="61">
        <v>6.4</v>
      </c>
      <c r="S49" s="61">
        <v>6.4</v>
      </c>
      <c r="T49" s="61">
        <v>6.4</v>
      </c>
      <c r="U49" s="61">
        <v>6.4</v>
      </c>
      <c r="V49" s="61">
        <v>6.4</v>
      </c>
      <c r="W49" s="61">
        <v>6.4</v>
      </c>
      <c r="X49" s="61">
        <v>6.4</v>
      </c>
      <c r="Y49" s="61">
        <v>6.4</v>
      </c>
      <c r="Z49" s="50">
        <v>6.4</v>
      </c>
      <c r="AA49" s="50">
        <v>6.4</v>
      </c>
      <c r="AB49" s="50">
        <v>6.4</v>
      </c>
      <c r="AC49" s="50">
        <v>6.4</v>
      </c>
      <c r="AD49" s="50">
        <v>6.4</v>
      </c>
      <c r="AE49" s="50">
        <v>6.4</v>
      </c>
      <c r="AF49" s="50">
        <v>6.4</v>
      </c>
      <c r="AG49" s="67">
        <v>10.050000000000001</v>
      </c>
      <c r="AH49" s="54">
        <f t="shared" si="2"/>
        <v>6.4</v>
      </c>
      <c r="AI49" s="55">
        <f t="shared" si="3"/>
        <v>6.4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61">
        <v>3.2</v>
      </c>
      <c r="N50" s="61">
        <v>3.2</v>
      </c>
      <c r="O50" s="61">
        <v>3.2</v>
      </c>
      <c r="P50" s="61">
        <v>3.2</v>
      </c>
      <c r="Q50" s="61">
        <v>3.2</v>
      </c>
      <c r="R50" s="61">
        <v>3.2</v>
      </c>
      <c r="S50" s="61">
        <v>3.2</v>
      </c>
      <c r="T50" s="61">
        <v>3.2</v>
      </c>
      <c r="U50" s="61">
        <v>3.2</v>
      </c>
      <c r="V50" s="61">
        <v>3.2</v>
      </c>
      <c r="W50" s="61">
        <v>3.2</v>
      </c>
      <c r="X50" s="61">
        <v>3.2</v>
      </c>
      <c r="Y50" s="61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145.23999999999998</v>
      </c>
      <c r="C52" s="72">
        <f t="shared" ref="C52:AF52" si="6">SUM(C39:C51)</f>
        <v>145.23999999999998</v>
      </c>
      <c r="D52" s="72">
        <f t="shared" si="6"/>
        <v>111.24000000000001</v>
      </c>
      <c r="E52" s="72">
        <f t="shared" si="6"/>
        <v>111.14000000000001</v>
      </c>
      <c r="F52" s="72">
        <f t="shared" si="6"/>
        <v>111.04000000000002</v>
      </c>
      <c r="G52" s="72">
        <f t="shared" si="6"/>
        <v>176.33999999999997</v>
      </c>
      <c r="H52" s="72">
        <f t="shared" si="6"/>
        <v>230.83999999999997</v>
      </c>
      <c r="I52" s="72">
        <f t="shared" si="6"/>
        <v>251.93999999999997</v>
      </c>
      <c r="J52" s="72">
        <f t="shared" si="6"/>
        <v>316.64</v>
      </c>
      <c r="K52" s="72">
        <f t="shared" si="6"/>
        <v>379.94</v>
      </c>
      <c r="L52" s="72">
        <f t="shared" si="6"/>
        <v>397.14</v>
      </c>
      <c r="M52" s="72">
        <f t="shared" si="6"/>
        <v>397.23999999999995</v>
      </c>
      <c r="N52" s="72">
        <f t="shared" si="6"/>
        <v>385.23999999999995</v>
      </c>
      <c r="O52" s="72">
        <f t="shared" si="6"/>
        <v>322.74</v>
      </c>
      <c r="P52" s="72">
        <f t="shared" si="6"/>
        <v>353.74</v>
      </c>
      <c r="Q52" s="72">
        <f t="shared" si="6"/>
        <v>215.73999999999998</v>
      </c>
      <c r="R52" s="72">
        <f t="shared" si="6"/>
        <v>204.94</v>
      </c>
      <c r="S52" s="72">
        <f t="shared" si="6"/>
        <v>194.83999999999997</v>
      </c>
      <c r="T52" s="72">
        <f t="shared" si="6"/>
        <v>180.83999999999997</v>
      </c>
      <c r="U52" s="72">
        <f t="shared" si="6"/>
        <v>223.33999999999997</v>
      </c>
      <c r="V52" s="72">
        <f t="shared" si="6"/>
        <v>307.14</v>
      </c>
      <c r="W52" s="72">
        <f t="shared" si="6"/>
        <v>242.03999999999996</v>
      </c>
      <c r="X52" s="72">
        <f t="shared" si="6"/>
        <v>392.64</v>
      </c>
      <c r="Y52" s="72">
        <f t="shared" si="6"/>
        <v>388.84000000000003</v>
      </c>
      <c r="Z52" s="72">
        <v>394.03999999999996</v>
      </c>
      <c r="AA52" s="72">
        <f t="shared" si="6"/>
        <v>391.94000000000005</v>
      </c>
      <c r="AB52" s="72">
        <f t="shared" si="6"/>
        <v>380.84</v>
      </c>
      <c r="AC52" s="72">
        <f t="shared" si="6"/>
        <v>343.24</v>
      </c>
      <c r="AD52" s="72">
        <f t="shared" si="6"/>
        <v>283.03999999999996</v>
      </c>
      <c r="AE52" s="72">
        <f t="shared" si="6"/>
        <v>226.44</v>
      </c>
      <c r="AF52" s="72">
        <f t="shared" si="6"/>
        <v>141.23999999999998</v>
      </c>
      <c r="AG52" s="78">
        <f>SUM(AG39:AG51)</f>
        <v>489.91</v>
      </c>
      <c r="AH52" s="54">
        <f t="shared" si="2"/>
        <v>397.23999999999995</v>
      </c>
      <c r="AI52" s="55">
        <f t="shared" si="3"/>
        <v>111.04000000000002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79">
        <v>0</v>
      </c>
      <c r="N53" s="79">
        <v>0</v>
      </c>
      <c r="O53" s="79">
        <v>0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14.1</v>
      </c>
      <c r="Z53" s="50">
        <v>20.3</v>
      </c>
      <c r="AA53" s="50">
        <v>10.6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20.3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0</v>
      </c>
      <c r="N54" s="79">
        <v>0</v>
      </c>
      <c r="O54" s="79">
        <v>0</v>
      </c>
      <c r="P54" s="79">
        <v>0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0</v>
      </c>
      <c r="Y54" s="73">
        <v>6.2</v>
      </c>
      <c r="Z54" s="73">
        <v>8.3000000000000007</v>
      </c>
      <c r="AA54" s="73">
        <v>5.0999999999999996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8.3000000000000007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0</v>
      </c>
      <c r="N55" s="81">
        <v>0</v>
      </c>
      <c r="O55" s="81">
        <v>0</v>
      </c>
      <c r="P55" s="81">
        <v>0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0</v>
      </c>
      <c r="Y55" s="80">
        <v>2.2999999999999998</v>
      </c>
      <c r="Z55" s="80">
        <v>3</v>
      </c>
      <c r="AA55" s="80">
        <v>1.9</v>
      </c>
      <c r="AB55" s="80">
        <v>0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3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0</v>
      </c>
      <c r="M56" s="72">
        <f t="shared" si="7"/>
        <v>0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0</v>
      </c>
      <c r="Y56" s="72">
        <f t="shared" si="7"/>
        <v>22.6</v>
      </c>
      <c r="Z56" s="72">
        <v>31.6</v>
      </c>
      <c r="AA56" s="72">
        <f t="shared" si="7"/>
        <v>17.599999999999998</v>
      </c>
      <c r="AB56" s="72">
        <f t="shared" si="7"/>
        <v>0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31.6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75</v>
      </c>
      <c r="C57" s="50">
        <v>76</v>
      </c>
      <c r="D57" s="50">
        <v>66</v>
      </c>
      <c r="E57" s="50">
        <v>65</v>
      </c>
      <c r="F57" s="50">
        <v>64.7</v>
      </c>
      <c r="G57" s="50">
        <v>66.400000000000006</v>
      </c>
      <c r="H57" s="50">
        <v>71.8</v>
      </c>
      <c r="I57" s="50">
        <v>63</v>
      </c>
      <c r="J57" s="50">
        <v>71</v>
      </c>
      <c r="K57" s="50">
        <v>64.8</v>
      </c>
      <c r="L57" s="50">
        <v>68.7</v>
      </c>
      <c r="M57" s="50">
        <v>67.8</v>
      </c>
      <c r="N57" s="50">
        <v>73</v>
      </c>
      <c r="O57" s="50">
        <v>71.790000000000006</v>
      </c>
      <c r="P57" s="50">
        <v>71.790000000000006</v>
      </c>
      <c r="Q57" s="50">
        <v>66.599999999999994</v>
      </c>
      <c r="R57" s="50">
        <v>77.599999999999994</v>
      </c>
      <c r="S57" s="50">
        <v>51.08</v>
      </c>
      <c r="T57" s="50">
        <v>65.2</v>
      </c>
      <c r="U57" s="50">
        <v>74.849999999999994</v>
      </c>
      <c r="V57" s="50">
        <v>62</v>
      </c>
      <c r="W57" s="50">
        <v>76.150000000000006</v>
      </c>
      <c r="X57" s="50">
        <v>67.28</v>
      </c>
      <c r="Y57" s="50">
        <v>76.56</v>
      </c>
      <c r="Z57" s="50">
        <v>82.17</v>
      </c>
      <c r="AA57" s="50">
        <v>72.3</v>
      </c>
      <c r="AB57" s="50">
        <v>71.14</v>
      </c>
      <c r="AC57" s="50">
        <v>70.5</v>
      </c>
      <c r="AD57" s="50">
        <v>75</v>
      </c>
      <c r="AE57" s="50">
        <v>71</v>
      </c>
      <c r="AF57" s="50">
        <v>68</v>
      </c>
      <c r="AG57" s="62"/>
      <c r="AH57" s="54">
        <f t="shared" si="2"/>
        <v>82.17</v>
      </c>
      <c r="AI57" s="55">
        <f t="shared" si="3"/>
        <v>51.08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350</v>
      </c>
      <c r="C59" s="73">
        <v>335</v>
      </c>
      <c r="D59" s="73">
        <v>331</v>
      </c>
      <c r="E59" s="73">
        <v>338.5</v>
      </c>
      <c r="F59" s="73">
        <v>310.60000000000002</v>
      </c>
      <c r="G59" s="73">
        <v>315.39999999999998</v>
      </c>
      <c r="H59" s="50">
        <v>320</v>
      </c>
      <c r="I59" s="50">
        <v>337.4</v>
      </c>
      <c r="J59" s="50">
        <v>277.39999999999998</v>
      </c>
      <c r="K59" s="50">
        <v>57.2</v>
      </c>
      <c r="L59" s="50">
        <v>51</v>
      </c>
      <c r="M59" s="73">
        <v>47.1</v>
      </c>
      <c r="N59" s="73">
        <v>57</v>
      </c>
      <c r="O59" s="73">
        <v>60</v>
      </c>
      <c r="P59" s="73">
        <v>0</v>
      </c>
      <c r="Q59" s="73">
        <v>0</v>
      </c>
      <c r="R59" s="73">
        <v>0</v>
      </c>
      <c r="S59" s="73">
        <v>279</v>
      </c>
      <c r="T59" s="73">
        <v>265</v>
      </c>
      <c r="U59" s="73">
        <v>334.3</v>
      </c>
      <c r="V59" s="73">
        <v>78.599999999999994</v>
      </c>
      <c r="W59" s="73">
        <v>280</v>
      </c>
      <c r="X59" s="84">
        <v>11.3</v>
      </c>
      <c r="Y59" s="84">
        <v>94.6</v>
      </c>
      <c r="Z59" s="84">
        <v>95.5</v>
      </c>
      <c r="AA59" s="84">
        <v>315.2</v>
      </c>
      <c r="AB59" s="73">
        <v>290.10000000000002</v>
      </c>
      <c r="AC59" s="73">
        <v>301</v>
      </c>
      <c r="AD59" s="73">
        <v>339</v>
      </c>
      <c r="AE59" s="73">
        <v>277</v>
      </c>
      <c r="AF59" s="73">
        <v>280</v>
      </c>
      <c r="AG59" s="85"/>
      <c r="AH59" s="54">
        <f t="shared" si="2"/>
        <v>350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8</v>
      </c>
      <c r="C60" s="58">
        <v>7</v>
      </c>
      <c r="D60" s="58">
        <v>6</v>
      </c>
      <c r="E60" s="58">
        <v>6</v>
      </c>
      <c r="F60" s="58">
        <v>6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53.5</v>
      </c>
      <c r="Z60" s="73">
        <v>59.9</v>
      </c>
      <c r="AA60" s="73">
        <v>60</v>
      </c>
      <c r="AB60" s="73">
        <v>51.2</v>
      </c>
      <c r="AC60" s="73">
        <v>46.5</v>
      </c>
      <c r="AD60" s="73">
        <v>0</v>
      </c>
      <c r="AE60" s="73">
        <v>0</v>
      </c>
      <c r="AF60" s="58">
        <v>0</v>
      </c>
      <c r="AG60" s="85"/>
      <c r="AH60" s="54">
        <f t="shared" si="2"/>
        <v>60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84</v>
      </c>
      <c r="L61" s="58">
        <v>77.599999999999994</v>
      </c>
      <c r="M61" s="50">
        <v>86.2</v>
      </c>
      <c r="N61" s="50">
        <v>33.299999999999997</v>
      </c>
      <c r="O61" s="50">
        <v>35.6</v>
      </c>
      <c r="P61" s="50">
        <v>48.1</v>
      </c>
      <c r="Q61" s="50">
        <v>52.2</v>
      </c>
      <c r="R61" s="50">
        <v>57</v>
      </c>
      <c r="S61" s="50">
        <v>0</v>
      </c>
      <c r="T61" s="50">
        <v>0</v>
      </c>
      <c r="U61" s="73">
        <v>0</v>
      </c>
      <c r="V61" s="73">
        <v>0</v>
      </c>
      <c r="W61" s="73">
        <v>0</v>
      </c>
      <c r="X61" s="73">
        <v>0</v>
      </c>
      <c r="Y61" s="50">
        <v>75</v>
      </c>
      <c r="Z61" s="50">
        <v>80.8</v>
      </c>
      <c r="AA61" s="50">
        <v>77.900000000000006</v>
      </c>
      <c r="AB61" s="50">
        <v>77</v>
      </c>
      <c r="AC61" s="50">
        <v>64.7</v>
      </c>
      <c r="AD61" s="50">
        <v>78.599999999999994</v>
      </c>
      <c r="AE61" s="50">
        <v>75.900000000000006</v>
      </c>
      <c r="AF61" s="50">
        <v>60.5</v>
      </c>
      <c r="AG61" s="85"/>
      <c r="AH61" s="54">
        <f t="shared" si="2"/>
        <v>86.2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0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60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58">
        <v>0</v>
      </c>
      <c r="AA64" s="6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60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58">
        <v>0</v>
      </c>
      <c r="AA65" s="6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60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63">
        <v>0</v>
      </c>
      <c r="AA66" s="60">
        <v>0</v>
      </c>
      <c r="AB66" s="63">
        <v>0</v>
      </c>
      <c r="AC66" s="63">
        <v>0</v>
      </c>
      <c r="AD66" s="63">
        <v>0</v>
      </c>
      <c r="AE66" s="63">
        <v>0</v>
      </c>
      <c r="AF66" s="58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60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63">
        <v>0</v>
      </c>
      <c r="AA67" s="60">
        <v>0</v>
      </c>
      <c r="AB67" s="63">
        <v>0</v>
      </c>
      <c r="AC67" s="63">
        <v>0</v>
      </c>
      <c r="AD67" s="63">
        <v>0</v>
      </c>
      <c r="AE67" s="63">
        <v>0</v>
      </c>
      <c r="AF67" s="58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433</v>
      </c>
      <c r="C68" s="72">
        <f>SUM(C57:C67)</f>
        <v>418</v>
      </c>
      <c r="D68" s="72">
        <f t="shared" ref="D68:AF68" si="8">SUM(D57:D67)</f>
        <v>403</v>
      </c>
      <c r="E68" s="72">
        <f t="shared" si="8"/>
        <v>409.5</v>
      </c>
      <c r="F68" s="72">
        <f t="shared" si="8"/>
        <v>381.3</v>
      </c>
      <c r="G68" s="72">
        <f t="shared" si="8"/>
        <v>381.79999999999995</v>
      </c>
      <c r="H68" s="72">
        <f t="shared" si="8"/>
        <v>391.8</v>
      </c>
      <c r="I68" s="72">
        <f t="shared" si="8"/>
        <v>400.4</v>
      </c>
      <c r="J68" s="72">
        <f t="shared" si="8"/>
        <v>348.4</v>
      </c>
      <c r="K68" s="72">
        <f t="shared" si="8"/>
        <v>206</v>
      </c>
      <c r="L68" s="72">
        <f t="shared" si="8"/>
        <v>197.3</v>
      </c>
      <c r="M68" s="72">
        <f t="shared" si="8"/>
        <v>201.10000000000002</v>
      </c>
      <c r="N68" s="72">
        <f t="shared" si="8"/>
        <v>163.30000000000001</v>
      </c>
      <c r="O68" s="72">
        <f t="shared" si="8"/>
        <v>167.39000000000001</v>
      </c>
      <c r="P68" s="72">
        <f t="shared" si="8"/>
        <v>119.89000000000001</v>
      </c>
      <c r="Q68" s="72">
        <f t="shared" si="8"/>
        <v>118.8</v>
      </c>
      <c r="R68" s="72">
        <f t="shared" si="8"/>
        <v>134.6</v>
      </c>
      <c r="S68" s="72">
        <f t="shared" si="8"/>
        <v>330.08</v>
      </c>
      <c r="T68" s="72">
        <f t="shared" si="8"/>
        <v>330.2</v>
      </c>
      <c r="U68" s="72">
        <f t="shared" si="8"/>
        <v>409.15</v>
      </c>
      <c r="V68" s="72">
        <f t="shared" si="8"/>
        <v>140.6</v>
      </c>
      <c r="W68" s="72">
        <f t="shared" si="8"/>
        <v>356.15</v>
      </c>
      <c r="X68" s="72">
        <f t="shared" si="8"/>
        <v>78.58</v>
      </c>
      <c r="Y68" s="72">
        <f t="shared" si="8"/>
        <v>299.65999999999997</v>
      </c>
      <c r="Z68" s="72">
        <v>318.37</v>
      </c>
      <c r="AA68" s="72">
        <f t="shared" si="8"/>
        <v>525.4</v>
      </c>
      <c r="AB68" s="72">
        <f t="shared" si="8"/>
        <v>489.44</v>
      </c>
      <c r="AC68" s="72">
        <f t="shared" si="8"/>
        <v>482.7</v>
      </c>
      <c r="AD68" s="72">
        <f t="shared" si="8"/>
        <v>492.6</v>
      </c>
      <c r="AE68" s="72">
        <f t="shared" si="8"/>
        <v>423.9</v>
      </c>
      <c r="AF68" s="72">
        <f t="shared" si="8"/>
        <v>408.5</v>
      </c>
      <c r="AG68" s="78">
        <f>SUM(AG57:AG67)</f>
        <v>0</v>
      </c>
      <c r="AH68" s="54">
        <f t="shared" si="2"/>
        <v>525.4</v>
      </c>
      <c r="AI68" s="55">
        <f t="shared" si="3"/>
        <v>78.58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967.14</v>
      </c>
      <c r="C73" s="89">
        <f>C68+C56+C52+C38+C72</f>
        <v>952.14</v>
      </c>
      <c r="D73" s="89">
        <f t="shared" ref="D73:AG73" si="10">D68+D56+D52+D38+D72</f>
        <v>911.14</v>
      </c>
      <c r="E73" s="89">
        <f t="shared" si="10"/>
        <v>912.93999999999994</v>
      </c>
      <c r="F73" s="89">
        <f t="shared" si="10"/>
        <v>909.64</v>
      </c>
      <c r="G73" s="89">
        <f t="shared" si="10"/>
        <v>995.43999999999983</v>
      </c>
      <c r="H73" s="89">
        <f t="shared" si="10"/>
        <v>1059.94</v>
      </c>
      <c r="I73" s="89">
        <f t="shared" si="10"/>
        <v>1089.7399999999998</v>
      </c>
      <c r="J73" s="89">
        <f t="shared" si="10"/>
        <v>1172.44</v>
      </c>
      <c r="K73" s="89">
        <f t="shared" si="10"/>
        <v>1283.3400000000001</v>
      </c>
      <c r="L73" s="89">
        <f t="shared" si="10"/>
        <v>1336.8400000000001</v>
      </c>
      <c r="M73" s="89">
        <f t="shared" si="10"/>
        <v>1370.74</v>
      </c>
      <c r="N73" s="89">
        <f t="shared" si="10"/>
        <v>1275.94</v>
      </c>
      <c r="O73" s="89">
        <f t="shared" si="10"/>
        <v>1199.1300000000001</v>
      </c>
      <c r="P73" s="89">
        <f t="shared" si="10"/>
        <v>1150.6300000000001</v>
      </c>
      <c r="Q73" s="89">
        <f t="shared" si="10"/>
        <v>802.43999999999994</v>
      </c>
      <c r="R73" s="89">
        <f t="shared" si="10"/>
        <v>807.43999999999994</v>
      </c>
      <c r="S73" s="89">
        <f t="shared" si="10"/>
        <v>980.21999999999991</v>
      </c>
      <c r="T73" s="89">
        <f t="shared" si="10"/>
        <v>969.24</v>
      </c>
      <c r="U73" s="89">
        <f t="shared" si="10"/>
        <v>1017.09</v>
      </c>
      <c r="V73" s="89">
        <f t="shared" si="10"/>
        <v>970.33999999999992</v>
      </c>
      <c r="W73" s="89">
        <f t="shared" si="10"/>
        <v>993.68999999999994</v>
      </c>
      <c r="X73" s="89">
        <f t="shared" si="10"/>
        <v>1061.72</v>
      </c>
      <c r="Y73" s="89">
        <f t="shared" si="10"/>
        <v>1429.8000000000002</v>
      </c>
      <c r="Z73" s="89">
        <v>1453.6100000000001</v>
      </c>
      <c r="AA73" s="89">
        <f t="shared" si="10"/>
        <v>1384.54</v>
      </c>
      <c r="AB73" s="89">
        <f t="shared" si="10"/>
        <v>1299.8799999999999</v>
      </c>
      <c r="AC73" s="89">
        <f t="shared" si="10"/>
        <v>1217.54</v>
      </c>
      <c r="AD73" s="89">
        <f t="shared" si="10"/>
        <v>1167.6399999999999</v>
      </c>
      <c r="AE73" s="89">
        <f t="shared" si="10"/>
        <v>1042.8399999999999</v>
      </c>
      <c r="AF73" s="89">
        <f t="shared" si="10"/>
        <v>942.14</v>
      </c>
      <c r="AG73" s="89">
        <f t="shared" si="10"/>
        <v>2144.14</v>
      </c>
      <c r="AH73" s="54">
        <f t="shared" si="2"/>
        <v>1453.6100000000001</v>
      </c>
      <c r="AI73" s="55">
        <f t="shared" si="3"/>
        <v>802.43999999999994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>
        <v>6</v>
      </c>
      <c r="O74" s="91">
        <v>6</v>
      </c>
      <c r="P74" s="91">
        <v>6</v>
      </c>
      <c r="Q74" s="91">
        <v>6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6</v>
      </c>
      <c r="AI74" s="55">
        <f t="shared" si="3"/>
        <v>6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967.14</v>
      </c>
      <c r="C75" s="89">
        <f>C73+C74</f>
        <v>952.14</v>
      </c>
      <c r="D75" s="89">
        <f t="shared" ref="D75:AF75" si="11">D72+D68+D56+D52+D38+D74</f>
        <v>911.14</v>
      </c>
      <c r="E75" s="89">
        <f t="shared" si="11"/>
        <v>912.93999999999994</v>
      </c>
      <c r="F75" s="89">
        <f t="shared" si="11"/>
        <v>909.64</v>
      </c>
      <c r="G75" s="89">
        <f t="shared" si="11"/>
        <v>995.43999999999983</v>
      </c>
      <c r="H75" s="89">
        <f t="shared" si="11"/>
        <v>1059.94</v>
      </c>
      <c r="I75" s="89">
        <f t="shared" si="11"/>
        <v>1089.7399999999998</v>
      </c>
      <c r="J75" s="89">
        <f t="shared" si="11"/>
        <v>1172.44</v>
      </c>
      <c r="K75" s="89">
        <f t="shared" si="11"/>
        <v>1283.3400000000001</v>
      </c>
      <c r="L75" s="89">
        <f t="shared" si="11"/>
        <v>1336.8400000000001</v>
      </c>
      <c r="M75" s="89">
        <f t="shared" si="11"/>
        <v>1370.74</v>
      </c>
      <c r="N75" s="89">
        <f t="shared" si="11"/>
        <v>1281.94</v>
      </c>
      <c r="O75" s="89">
        <f t="shared" si="11"/>
        <v>1205.1300000000001</v>
      </c>
      <c r="P75" s="89">
        <f t="shared" si="11"/>
        <v>1156.6300000000001</v>
      </c>
      <c r="Q75" s="89">
        <f t="shared" si="11"/>
        <v>808.43999999999994</v>
      </c>
      <c r="R75" s="89">
        <f t="shared" si="11"/>
        <v>807.43999999999994</v>
      </c>
      <c r="S75" s="89">
        <f t="shared" si="11"/>
        <v>980.21999999999991</v>
      </c>
      <c r="T75" s="89">
        <f t="shared" si="11"/>
        <v>969.24</v>
      </c>
      <c r="U75" s="89">
        <f t="shared" si="11"/>
        <v>1017.09</v>
      </c>
      <c r="V75" s="89">
        <f t="shared" si="11"/>
        <v>970.33999999999992</v>
      </c>
      <c r="W75" s="89">
        <f t="shared" si="11"/>
        <v>993.68999999999994</v>
      </c>
      <c r="X75" s="89">
        <f t="shared" si="11"/>
        <v>1061.72</v>
      </c>
      <c r="Y75" s="89">
        <f t="shared" si="11"/>
        <v>1429.8000000000002</v>
      </c>
      <c r="Z75" s="89">
        <v>1453.6100000000001</v>
      </c>
      <c r="AA75" s="89">
        <f t="shared" si="11"/>
        <v>1384.54</v>
      </c>
      <c r="AB75" s="89">
        <f t="shared" si="11"/>
        <v>1299.8799999999999</v>
      </c>
      <c r="AC75" s="89">
        <f t="shared" si="11"/>
        <v>1217.54</v>
      </c>
      <c r="AD75" s="89">
        <f t="shared" si="11"/>
        <v>1167.6399999999999</v>
      </c>
      <c r="AE75" s="89">
        <f t="shared" si="11"/>
        <v>1042.8399999999999</v>
      </c>
      <c r="AF75" s="89">
        <f t="shared" si="11"/>
        <v>942.14</v>
      </c>
      <c r="AG75" s="78">
        <f>AG72+AG68+AG56+AG52+AG38+AG74</f>
        <v>2144.14</v>
      </c>
      <c r="AH75" s="54">
        <f t="shared" si="2"/>
        <v>1453.6100000000001</v>
      </c>
      <c r="AI75" s="55">
        <f t="shared" si="3"/>
        <v>807.43999999999994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/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>
        <v>0</v>
      </c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1934.28</v>
      </c>
      <c r="C83" s="72">
        <f t="shared" ref="C83:AG83" si="20">SUM(C70:C82)</f>
        <v>1904.28</v>
      </c>
      <c r="D83" s="72">
        <f t="shared" si="20"/>
        <v>1822.28</v>
      </c>
      <c r="E83" s="72">
        <f t="shared" si="20"/>
        <v>1825.8799999999999</v>
      </c>
      <c r="F83" s="72">
        <f t="shared" si="20"/>
        <v>1819.28</v>
      </c>
      <c r="G83" s="72">
        <f t="shared" si="20"/>
        <v>1990.8799999999997</v>
      </c>
      <c r="H83" s="72">
        <f t="shared" si="20"/>
        <v>2119.88</v>
      </c>
      <c r="I83" s="72">
        <f t="shared" si="20"/>
        <v>2179.4799999999996</v>
      </c>
      <c r="J83" s="72">
        <f t="shared" si="20"/>
        <v>2344.88</v>
      </c>
      <c r="K83" s="72">
        <f t="shared" si="20"/>
        <v>2566.6800000000003</v>
      </c>
      <c r="L83" s="72">
        <f t="shared" si="20"/>
        <v>2673.6800000000003</v>
      </c>
      <c r="M83" s="72">
        <f t="shared" si="20"/>
        <v>2741.48</v>
      </c>
      <c r="N83" s="72">
        <f t="shared" si="20"/>
        <v>2563.88</v>
      </c>
      <c r="O83" s="72">
        <f t="shared" si="20"/>
        <v>2410.2600000000002</v>
      </c>
      <c r="P83" s="72">
        <f t="shared" si="20"/>
        <v>2313.2600000000002</v>
      </c>
      <c r="Q83" s="72">
        <f t="shared" si="20"/>
        <v>1616.8799999999999</v>
      </c>
      <c r="R83" s="72">
        <f t="shared" si="20"/>
        <v>1614.8799999999999</v>
      </c>
      <c r="S83" s="72">
        <f t="shared" si="20"/>
        <v>1960.4399999999998</v>
      </c>
      <c r="T83" s="72">
        <f t="shared" si="20"/>
        <v>1938.48</v>
      </c>
      <c r="U83" s="72">
        <f t="shared" si="20"/>
        <v>2034.18</v>
      </c>
      <c r="V83" s="72">
        <f t="shared" si="20"/>
        <v>1940.6799999999998</v>
      </c>
      <c r="W83" s="72">
        <f t="shared" si="20"/>
        <v>1987.3799999999999</v>
      </c>
      <c r="X83" s="72">
        <f t="shared" si="20"/>
        <v>2123.44</v>
      </c>
      <c r="Y83" s="72">
        <f t="shared" si="20"/>
        <v>2859.6000000000004</v>
      </c>
      <c r="Z83" s="72">
        <v>318.37</v>
      </c>
      <c r="AA83" s="72">
        <f t="shared" si="20"/>
        <v>2769.08</v>
      </c>
      <c r="AB83" s="72">
        <f t="shared" si="20"/>
        <v>2599.7599999999998</v>
      </c>
      <c r="AC83" s="72">
        <f t="shared" si="20"/>
        <v>2435.08</v>
      </c>
      <c r="AD83" s="72">
        <f t="shared" si="20"/>
        <v>2335.2799999999997</v>
      </c>
      <c r="AE83" s="72">
        <f t="shared" si="20"/>
        <v>2085.6799999999998</v>
      </c>
      <c r="AF83" s="72">
        <f t="shared" si="20"/>
        <v>1884.28</v>
      </c>
      <c r="AG83" s="78">
        <f t="shared" si="20"/>
        <v>4360.08</v>
      </c>
      <c r="AH83" s="54">
        <f t="shared" si="13"/>
        <v>2859.6000000000004</v>
      </c>
      <c r="AI83" s="55">
        <f t="shared" si="14"/>
        <v>318.37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50.05</v>
      </c>
      <c r="C84" s="96">
        <v>49.927</v>
      </c>
      <c r="D84" s="96">
        <v>50.08</v>
      </c>
      <c r="E84" s="96">
        <v>50.021999999999998</v>
      </c>
      <c r="F84" s="96">
        <v>50.006</v>
      </c>
      <c r="G84" s="96">
        <v>50.037999999999997</v>
      </c>
      <c r="H84" s="96">
        <v>49.997999999999998</v>
      </c>
      <c r="I84" s="96">
        <v>50.081000000000003</v>
      </c>
      <c r="J84" s="96">
        <v>50.064999999999998</v>
      </c>
      <c r="K84" s="96">
        <v>50.015999999999998</v>
      </c>
      <c r="L84" s="96">
        <v>49.997999999999998</v>
      </c>
      <c r="M84" s="96">
        <v>50.031999999999996</v>
      </c>
      <c r="N84" s="96">
        <v>50.03</v>
      </c>
      <c r="O84" s="96">
        <v>50.02</v>
      </c>
      <c r="P84" s="96">
        <v>49.99</v>
      </c>
      <c r="Q84" s="96">
        <v>50</v>
      </c>
      <c r="R84" s="96">
        <v>50.01</v>
      </c>
      <c r="S84" s="96">
        <v>50.075000000000003</v>
      </c>
      <c r="T84" s="96">
        <v>50.026000000000003</v>
      </c>
      <c r="U84" s="96">
        <v>49.91</v>
      </c>
      <c r="V84" s="96">
        <v>49.933999999999997</v>
      </c>
      <c r="W84" s="96">
        <v>50.012</v>
      </c>
      <c r="X84" s="96">
        <v>49.997</v>
      </c>
      <c r="Y84" s="96">
        <v>50.021000000000001</v>
      </c>
      <c r="Z84" s="96">
        <v>50.021000000000001</v>
      </c>
      <c r="AA84" s="96">
        <v>49.975999999999999</v>
      </c>
      <c r="AB84" s="96">
        <v>50.026000000000003</v>
      </c>
      <c r="AC84" s="96">
        <v>49.966999999999999</v>
      </c>
      <c r="AD84" s="96">
        <v>49.9</v>
      </c>
      <c r="AE84" s="96">
        <v>50.02</v>
      </c>
      <c r="AF84" s="96">
        <v>50.01</v>
      </c>
      <c r="AG84" s="97"/>
      <c r="AH84" s="54">
        <f t="shared" si="13"/>
        <v>50.081000000000003</v>
      </c>
      <c r="AI84" s="55">
        <f t="shared" si="14"/>
        <v>49.9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124.5</v>
      </c>
      <c r="C85" s="73">
        <v>125</v>
      </c>
      <c r="D85" s="73">
        <v>126</v>
      </c>
      <c r="E85" s="73">
        <v>126.1</v>
      </c>
      <c r="F85" s="73">
        <v>127.1</v>
      </c>
      <c r="G85" s="73">
        <v>125.4</v>
      </c>
      <c r="H85" s="73">
        <v>124.8</v>
      </c>
      <c r="I85" s="73">
        <v>124.4</v>
      </c>
      <c r="J85" s="73">
        <v>125</v>
      </c>
      <c r="K85" s="73">
        <v>126.5</v>
      </c>
      <c r="L85" s="73">
        <v>124.4</v>
      </c>
      <c r="M85" s="73">
        <v>123.3</v>
      </c>
      <c r="N85" s="73">
        <v>126.6</v>
      </c>
      <c r="O85" s="73">
        <v>125.1</v>
      </c>
      <c r="P85" s="73">
        <v>128.19999999999999</v>
      </c>
      <c r="Q85" s="73">
        <v>127.4</v>
      </c>
      <c r="R85" s="73">
        <v>127.4</v>
      </c>
      <c r="S85" s="73">
        <v>121.8</v>
      </c>
      <c r="T85" s="73">
        <v>124.6</v>
      </c>
      <c r="U85" s="100">
        <v>124</v>
      </c>
      <c r="V85" s="100">
        <v>125.3</v>
      </c>
      <c r="W85" s="100">
        <v>124.7</v>
      </c>
      <c r="X85" s="100">
        <v>123.7</v>
      </c>
      <c r="Y85" s="100">
        <v>124.7</v>
      </c>
      <c r="Z85" s="100">
        <v>125.4</v>
      </c>
      <c r="AA85" s="100">
        <v>127.3</v>
      </c>
      <c r="AB85" s="73">
        <v>126.1</v>
      </c>
      <c r="AC85" s="73">
        <v>126.1</v>
      </c>
      <c r="AD85" s="73">
        <v>127.1</v>
      </c>
      <c r="AE85" s="73">
        <v>128.5</v>
      </c>
      <c r="AF85" s="73">
        <v>128.1</v>
      </c>
      <c r="AG85" s="101"/>
      <c r="AH85" s="54">
        <f t="shared" si="13"/>
        <v>128.5</v>
      </c>
      <c r="AI85" s="55">
        <f t="shared" si="14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</v>
      </c>
      <c r="C86" s="73">
        <v>129</v>
      </c>
      <c r="D86" s="73">
        <v>130</v>
      </c>
      <c r="E86" s="73">
        <v>130</v>
      </c>
      <c r="F86" s="73">
        <v>130.6</v>
      </c>
      <c r="G86" s="73">
        <v>129.4</v>
      </c>
      <c r="H86" s="73">
        <v>128.80000000000001</v>
      </c>
      <c r="I86" s="73">
        <v>128.4</v>
      </c>
      <c r="J86" s="73">
        <v>128.69999999999999</v>
      </c>
      <c r="K86" s="73">
        <v>128.4</v>
      </c>
      <c r="L86" s="73">
        <v>126.6</v>
      </c>
      <c r="M86" s="73">
        <v>126</v>
      </c>
      <c r="N86" s="73">
        <v>129</v>
      </c>
      <c r="O86" s="73">
        <v>127.5</v>
      </c>
      <c r="P86" s="73">
        <v>130.19999999999999</v>
      </c>
      <c r="Q86" s="73">
        <v>129.9</v>
      </c>
      <c r="R86" s="73">
        <v>129.4</v>
      </c>
      <c r="S86" s="73">
        <v>125.8</v>
      </c>
      <c r="T86" s="73">
        <v>127.4</v>
      </c>
      <c r="U86" s="100">
        <v>127.6</v>
      </c>
      <c r="V86" s="100">
        <v>128.5</v>
      </c>
      <c r="W86" s="100">
        <v>127.7</v>
      </c>
      <c r="X86" s="100">
        <v>125.7</v>
      </c>
      <c r="Y86" s="100">
        <v>127.5</v>
      </c>
      <c r="Z86" s="100">
        <v>128.1</v>
      </c>
      <c r="AA86" s="100">
        <v>128.69999999999999</v>
      </c>
      <c r="AB86" s="73">
        <v>127.3</v>
      </c>
      <c r="AC86" s="73">
        <v>127.9</v>
      </c>
      <c r="AD86" s="73">
        <v>129.6</v>
      </c>
      <c r="AE86" s="73">
        <v>131.1</v>
      </c>
      <c r="AF86" s="73">
        <v>130.80000000000001</v>
      </c>
      <c r="AG86" s="101"/>
      <c r="AH86" s="54">
        <f t="shared" si="13"/>
        <v>131.1</v>
      </c>
      <c r="AI86" s="55">
        <f t="shared" si="14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129</v>
      </c>
      <c r="C87" s="73">
        <v>129</v>
      </c>
      <c r="D87" s="73">
        <v>129</v>
      </c>
      <c r="E87" s="73">
        <v>128.80000000000001</v>
      </c>
      <c r="F87" s="73">
        <v>127.9</v>
      </c>
      <c r="G87" s="73">
        <v>129</v>
      </c>
      <c r="H87" s="73">
        <v>127.8</v>
      </c>
      <c r="I87" s="73">
        <v>128.19999999999999</v>
      </c>
      <c r="J87" s="73">
        <v>127.9</v>
      </c>
      <c r="K87" s="73">
        <v>127.8</v>
      </c>
      <c r="L87" s="73">
        <v>129.19999999999999</v>
      </c>
      <c r="M87" s="73">
        <v>128.80000000000001</v>
      </c>
      <c r="N87" s="73">
        <v>131.6</v>
      </c>
      <c r="O87" s="73">
        <v>128.80000000000001</v>
      </c>
      <c r="P87" s="73">
        <v>128.6</v>
      </c>
      <c r="Q87" s="73">
        <v>131.19999999999999</v>
      </c>
      <c r="R87" s="73">
        <v>130.69999999999999</v>
      </c>
      <c r="S87" s="73">
        <v>129.30000000000001</v>
      </c>
      <c r="T87" s="73">
        <v>130</v>
      </c>
      <c r="U87" s="73">
        <v>129.19999999999999</v>
      </c>
      <c r="V87" s="73">
        <v>130.4</v>
      </c>
      <c r="W87" s="73">
        <v>127.8</v>
      </c>
      <c r="X87" s="100">
        <v>128.5</v>
      </c>
      <c r="Y87" s="100">
        <v>132.30000000000001</v>
      </c>
      <c r="Z87" s="100">
        <v>132.6</v>
      </c>
      <c r="AA87" s="100">
        <v>134</v>
      </c>
      <c r="AB87" s="73">
        <v>130.4</v>
      </c>
      <c r="AC87" s="73">
        <v>130.4</v>
      </c>
      <c r="AD87" s="73">
        <v>130.9</v>
      </c>
      <c r="AE87" s="73">
        <v>132</v>
      </c>
      <c r="AF87" s="73">
        <v>130.6</v>
      </c>
      <c r="AG87" s="101"/>
      <c r="AH87" s="54">
        <f t="shared" si="13"/>
        <v>134</v>
      </c>
      <c r="AI87" s="55">
        <f t="shared" si="14"/>
        <v>127.8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</v>
      </c>
      <c r="C88" s="73">
        <v>132</v>
      </c>
      <c r="D88" s="73">
        <v>131</v>
      </c>
      <c r="E88" s="73">
        <v>130.6</v>
      </c>
      <c r="F88" s="73">
        <v>130.4</v>
      </c>
      <c r="G88" s="73">
        <v>132</v>
      </c>
      <c r="H88" s="73">
        <v>131</v>
      </c>
      <c r="I88" s="73">
        <v>130.80000000000001</v>
      </c>
      <c r="J88" s="73">
        <v>129.19999999999999</v>
      </c>
      <c r="K88" s="73">
        <v>132.4</v>
      </c>
      <c r="L88" s="73">
        <v>133.30000000000001</v>
      </c>
      <c r="M88" s="73">
        <v>133.1</v>
      </c>
      <c r="N88" s="73">
        <v>134.19999999999999</v>
      </c>
      <c r="O88" s="73">
        <v>132.5</v>
      </c>
      <c r="P88" s="73">
        <v>133.6</v>
      </c>
      <c r="Q88" s="73">
        <v>134.6</v>
      </c>
      <c r="R88" s="73">
        <v>132.4</v>
      </c>
      <c r="S88" s="73">
        <v>131.30000000000001</v>
      </c>
      <c r="T88" s="73">
        <v>131.69999999999999</v>
      </c>
      <c r="U88" s="73">
        <v>130.4</v>
      </c>
      <c r="V88" s="73">
        <v>131.9</v>
      </c>
      <c r="W88" s="73">
        <v>129</v>
      </c>
      <c r="X88" s="100">
        <v>132.30000000000001</v>
      </c>
      <c r="Y88" s="100">
        <v>135.19999999999999</v>
      </c>
      <c r="Z88" s="100">
        <v>134.19999999999999</v>
      </c>
      <c r="AA88" s="100">
        <v>136.4</v>
      </c>
      <c r="AB88" s="73">
        <v>132.30000000000001</v>
      </c>
      <c r="AC88" s="73">
        <v>132.9</v>
      </c>
      <c r="AD88" s="73">
        <v>133.1</v>
      </c>
      <c r="AE88" s="73">
        <v>134.80000000000001</v>
      </c>
      <c r="AF88" s="73">
        <v>133.6</v>
      </c>
      <c r="AG88" s="101"/>
      <c r="AH88" s="54">
        <f t="shared" si="13"/>
        <v>136.4</v>
      </c>
      <c r="AI88" s="55">
        <f t="shared" si="14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128.5</v>
      </c>
      <c r="C89" s="104">
        <v>128</v>
      </c>
      <c r="D89" s="104">
        <v>127</v>
      </c>
      <c r="E89" s="104">
        <v>131.80000000000001</v>
      </c>
      <c r="F89" s="104">
        <v>132.5</v>
      </c>
      <c r="G89" s="104">
        <v>133.6</v>
      </c>
      <c r="H89" s="104">
        <v>133.1</v>
      </c>
      <c r="I89" s="104">
        <v>134.6</v>
      </c>
      <c r="J89" s="104">
        <v>135.6</v>
      </c>
      <c r="K89" s="104">
        <v>133.69999999999999</v>
      </c>
      <c r="L89" s="104">
        <v>133</v>
      </c>
      <c r="M89" s="104">
        <v>134.30000000000001</v>
      </c>
      <c r="N89" s="104">
        <v>135.1</v>
      </c>
      <c r="O89" s="104">
        <v>132.6</v>
      </c>
      <c r="P89" s="104">
        <v>138.4</v>
      </c>
      <c r="Q89" s="104">
        <v>133.80000000000001</v>
      </c>
      <c r="R89" s="104">
        <v>129.6</v>
      </c>
      <c r="S89" s="104">
        <v>131.1</v>
      </c>
      <c r="T89" s="104">
        <v>133.30000000000001</v>
      </c>
      <c r="U89" s="104">
        <v>133.6</v>
      </c>
      <c r="V89" s="104">
        <v>135.4</v>
      </c>
      <c r="W89" s="104">
        <v>135.6</v>
      </c>
      <c r="X89" s="100">
        <v>131.5</v>
      </c>
      <c r="Y89" s="100">
        <v>132.80000000000001</v>
      </c>
      <c r="Z89" s="100">
        <v>135.9</v>
      </c>
      <c r="AA89" s="100">
        <v>134.69999999999999</v>
      </c>
      <c r="AB89" s="104">
        <v>134.80000000000001</v>
      </c>
      <c r="AC89" s="104">
        <v>133</v>
      </c>
      <c r="AD89" s="104">
        <v>134.80000000000001</v>
      </c>
      <c r="AE89" s="104">
        <v>134.6</v>
      </c>
      <c r="AF89" s="104">
        <v>129.5</v>
      </c>
      <c r="AG89" s="105"/>
      <c r="AH89" s="54">
        <f t="shared" si="13"/>
        <v>138.4</v>
      </c>
      <c r="AI89" s="55">
        <f t="shared" si="14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132.6</v>
      </c>
      <c r="C90" s="73">
        <v>133.80000000000001</v>
      </c>
      <c r="D90" s="73">
        <v>139</v>
      </c>
      <c r="E90" s="73">
        <v>135.80000000000001</v>
      </c>
      <c r="F90" s="73">
        <v>137.19999999999999</v>
      </c>
      <c r="G90" s="73">
        <v>131.5</v>
      </c>
      <c r="H90" s="73">
        <v>136.1</v>
      </c>
      <c r="I90" s="73">
        <v>135</v>
      </c>
      <c r="J90" s="73">
        <v>128.80000000000001</v>
      </c>
      <c r="K90" s="73">
        <v>134.6</v>
      </c>
      <c r="L90" s="73">
        <v>132.5</v>
      </c>
      <c r="M90" s="73">
        <v>132.30000000000001</v>
      </c>
      <c r="N90" s="73">
        <v>130.9</v>
      </c>
      <c r="O90" s="73">
        <v>133.80000000000001</v>
      </c>
      <c r="P90" s="73">
        <v>132</v>
      </c>
      <c r="Q90" s="73">
        <v>134.80000000000001</v>
      </c>
      <c r="R90" s="73">
        <v>135.4</v>
      </c>
      <c r="S90" s="73">
        <v>136.6</v>
      </c>
      <c r="T90" s="73">
        <v>135.9</v>
      </c>
      <c r="U90" s="73">
        <v>130</v>
      </c>
      <c r="V90" s="73">
        <v>129.9</v>
      </c>
      <c r="W90" s="73">
        <v>135.1</v>
      </c>
      <c r="X90" s="100">
        <v>133.30000000000001</v>
      </c>
      <c r="Y90" s="100">
        <v>1314</v>
      </c>
      <c r="Z90" s="100">
        <v>129.9</v>
      </c>
      <c r="AA90" s="100">
        <v>133.5</v>
      </c>
      <c r="AB90" s="73">
        <v>134.80000000000001</v>
      </c>
      <c r="AC90" s="73">
        <v>132.6</v>
      </c>
      <c r="AD90" s="73">
        <v>135.19999999999999</v>
      </c>
      <c r="AE90" s="73">
        <v>136.6</v>
      </c>
      <c r="AF90" s="73">
        <v>135.6</v>
      </c>
      <c r="AG90" s="101"/>
      <c r="AH90" s="54">
        <f t="shared" si="13"/>
        <v>1314</v>
      </c>
      <c r="AI90" s="55">
        <f t="shared" si="14"/>
        <v>128.80000000000001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</v>
      </c>
      <c r="C91" s="107">
        <v>65</v>
      </c>
      <c r="D91" s="107">
        <v>65.2</v>
      </c>
      <c r="E91" s="107">
        <v>65.400000000000006</v>
      </c>
      <c r="F91" s="107">
        <v>65.8</v>
      </c>
      <c r="G91" s="107">
        <v>65.400000000000006</v>
      </c>
      <c r="H91" s="107">
        <v>64.8</v>
      </c>
      <c r="I91" s="107">
        <v>64.5</v>
      </c>
      <c r="J91" s="107">
        <v>64.8</v>
      </c>
      <c r="K91" s="107">
        <v>64.8</v>
      </c>
      <c r="L91" s="107">
        <v>63.7</v>
      </c>
      <c r="M91" s="107">
        <v>63.8</v>
      </c>
      <c r="N91" s="107">
        <v>64.900000000000006</v>
      </c>
      <c r="O91" s="107">
        <v>64.2</v>
      </c>
      <c r="P91" s="107">
        <v>64.400000000000006</v>
      </c>
      <c r="Q91" s="107">
        <v>65.400000000000006</v>
      </c>
      <c r="R91" s="107">
        <v>65.2</v>
      </c>
      <c r="S91" s="107">
        <v>63.7</v>
      </c>
      <c r="T91" s="107">
        <v>64.2</v>
      </c>
      <c r="U91" s="107">
        <v>64.599999999999994</v>
      </c>
      <c r="V91" s="107">
        <v>65.099999999999994</v>
      </c>
      <c r="W91" s="107">
        <v>64.599999999999994</v>
      </c>
      <c r="X91" s="107">
        <v>63.4</v>
      </c>
      <c r="Y91" s="107">
        <v>64.8</v>
      </c>
      <c r="Z91" s="107">
        <v>65</v>
      </c>
      <c r="AA91" s="107">
        <v>65.099999999999994</v>
      </c>
      <c r="AB91" s="107">
        <v>64.2</v>
      </c>
      <c r="AC91" s="107">
        <v>64.7</v>
      </c>
      <c r="AD91" s="107">
        <v>65.7</v>
      </c>
      <c r="AE91" s="107">
        <v>66.099999999999994</v>
      </c>
      <c r="AF91" s="107">
        <v>65.8</v>
      </c>
      <c r="AG91" s="108"/>
      <c r="AH91" s="54">
        <f t="shared" si="13"/>
        <v>66.099999999999994</v>
      </c>
      <c r="AI91" s="55">
        <f t="shared" si="14"/>
        <v>63.4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193.64</v>
      </c>
      <c r="C93" s="114">
        <f>SUM(C15,C18,C21:C22,C42,C44:C45,C47,C49,C94:C97,C102,C108,C114,C123,C125,C137,C144,C147:C148,C155,C157,C159,C163:C165,C167:C169,C174,C180:C181,C183:C185,C193,C198)</f>
        <v>183.64</v>
      </c>
      <c r="D93" s="114">
        <f t="shared" ref="D93:AF93" si="21">SUM(D15,D18,D21:D22,D42,D44:D45,D47,D49,D94:D97,D102,D108,D114,D123,D125,D137,D144,D147:D148,D155,D157,D159,D163:D165,D167:D169,D174,D180:D181,D183:D185,D193,D198)</f>
        <v>178.64</v>
      </c>
      <c r="E93" s="114">
        <f t="shared" si="21"/>
        <v>172.64</v>
      </c>
      <c r="F93" s="114">
        <f t="shared" si="21"/>
        <v>179.43999999999997</v>
      </c>
      <c r="G93" s="113">
        <f t="shared" si="21"/>
        <v>197.73999999999995</v>
      </c>
      <c r="H93" s="113">
        <f t="shared" si="21"/>
        <v>220.23999999999995</v>
      </c>
      <c r="I93" s="113">
        <f t="shared" si="21"/>
        <v>241.93999999999994</v>
      </c>
      <c r="J93" s="113">
        <f t="shared" si="21"/>
        <v>278.64</v>
      </c>
      <c r="K93" s="113">
        <f t="shared" si="21"/>
        <v>319.54000000000002</v>
      </c>
      <c r="L93" s="113">
        <f t="shared" si="21"/>
        <v>342.64</v>
      </c>
      <c r="M93" s="113">
        <f t="shared" si="21"/>
        <v>361.74</v>
      </c>
      <c r="N93" s="113">
        <f t="shared" si="21"/>
        <v>374.74</v>
      </c>
      <c r="O93" s="113">
        <f t="shared" si="21"/>
        <v>355.24000000000007</v>
      </c>
      <c r="P93" s="113">
        <f t="shared" si="21"/>
        <v>330.1400000000001</v>
      </c>
      <c r="Q93" s="113">
        <f t="shared" si="21"/>
        <v>303.44000000000005</v>
      </c>
      <c r="R93" s="113">
        <f t="shared" si="21"/>
        <v>295.44000000000005</v>
      </c>
      <c r="S93" s="113">
        <f t="shared" si="21"/>
        <v>272.14000000000004</v>
      </c>
      <c r="T93" s="113">
        <f t="shared" si="21"/>
        <v>264.34000000000003</v>
      </c>
      <c r="U93" s="113">
        <f t="shared" si="21"/>
        <v>273.34000000000003</v>
      </c>
      <c r="V93" s="113">
        <f t="shared" si="21"/>
        <v>283.64000000000004</v>
      </c>
      <c r="W93" s="113">
        <f t="shared" si="21"/>
        <v>309.24</v>
      </c>
      <c r="X93" s="113">
        <f t="shared" si="21"/>
        <v>340.94000000000005</v>
      </c>
      <c r="Y93" s="113">
        <f t="shared" si="21"/>
        <v>399.14</v>
      </c>
      <c r="Z93" s="113">
        <v>422.29708333333332</v>
      </c>
      <c r="AA93" s="113">
        <f t="shared" si="21"/>
        <v>394.94000000000005</v>
      </c>
      <c r="AB93" s="113">
        <f t="shared" si="21"/>
        <v>378.04</v>
      </c>
      <c r="AC93" s="113">
        <f t="shared" si="21"/>
        <v>356.44000000000005</v>
      </c>
      <c r="AD93" s="113">
        <f t="shared" si="21"/>
        <v>314.54000000000008</v>
      </c>
      <c r="AE93" s="113">
        <f t="shared" si="21"/>
        <v>260.84000000000003</v>
      </c>
      <c r="AF93" s="113">
        <f t="shared" si="21"/>
        <v>205.14</v>
      </c>
      <c r="AG93" s="115"/>
      <c r="AH93" s="54">
        <f>MAX(C93:AF93)</f>
        <v>422.29708333333332</v>
      </c>
      <c r="AI93" s="55">
        <f>MIN(C93:AF93)</f>
        <v>172.64</v>
      </c>
    </row>
    <row r="94" spans="1:88" x14ac:dyDescent="0.25">
      <c r="A94" s="116" t="s">
        <v>98</v>
      </c>
      <c r="B94" s="117">
        <v>-28</v>
      </c>
      <c r="C94" s="58">
        <v>-28</v>
      </c>
      <c r="D94" s="58">
        <v>-41</v>
      </c>
      <c r="E94" s="58">
        <v>-43.5</v>
      </c>
      <c r="F94" s="58">
        <v>-38.1</v>
      </c>
      <c r="G94" s="118">
        <v>-22.5</v>
      </c>
      <c r="H94" s="118">
        <v>-2.1</v>
      </c>
      <c r="I94" s="118">
        <v>3.6</v>
      </c>
      <c r="J94" s="118">
        <v>28.6</v>
      </c>
      <c r="K94" s="118">
        <v>39.6</v>
      </c>
      <c r="L94" s="118">
        <v>43.3</v>
      </c>
      <c r="M94" s="119">
        <v>44.8</v>
      </c>
      <c r="N94" s="119">
        <v>43</v>
      </c>
      <c r="O94" s="118">
        <v>29.3</v>
      </c>
      <c r="P94" s="118">
        <v>47.3</v>
      </c>
      <c r="Q94" s="118">
        <v>12.4</v>
      </c>
      <c r="R94" s="118">
        <v>0</v>
      </c>
      <c r="S94" s="118">
        <v>12.9</v>
      </c>
      <c r="T94" s="118">
        <v>1.4</v>
      </c>
      <c r="U94" s="119">
        <v>21.3</v>
      </c>
      <c r="V94" s="119">
        <v>53.2</v>
      </c>
      <c r="W94" s="119">
        <v>76.400000000000006</v>
      </c>
      <c r="X94" s="118">
        <v>73.5</v>
      </c>
      <c r="Y94" s="118">
        <v>67</v>
      </c>
      <c r="Z94" s="118">
        <v>64.3</v>
      </c>
      <c r="AA94" s="118">
        <v>72.099999999999994</v>
      </c>
      <c r="AB94" s="119">
        <v>77.099999999999994</v>
      </c>
      <c r="AC94" s="119">
        <v>70.599999999999994</v>
      </c>
      <c r="AD94" s="119">
        <v>37.700000000000003</v>
      </c>
      <c r="AE94" s="119">
        <v>18.600000000000001</v>
      </c>
      <c r="AF94" s="119">
        <v>-24.1</v>
      </c>
      <c r="AG94" s="120">
        <v>75</v>
      </c>
      <c r="AH94" s="54">
        <f t="shared" ref="AH94:AH99" si="22">IF(ABS(MAX(C94:AF94))&gt;ABS(MIN(C94:AF94)),MAX(C94:AF94),MIN(C94:AF94))</f>
        <v>77.099999999999994</v>
      </c>
      <c r="AI94" s="121">
        <f t="shared" ref="AI94:AI99" si="23">INDEX($C$9:$AF$9,1,MATCH(AH94,C94:AF94,0))</f>
        <v>0.83333333333333337</v>
      </c>
    </row>
    <row r="95" spans="1:88" x14ac:dyDescent="0.25">
      <c r="A95" s="122" t="s">
        <v>99</v>
      </c>
      <c r="B95" s="123">
        <v>-45</v>
      </c>
      <c r="C95" s="60">
        <v>-50</v>
      </c>
      <c r="D95" s="60">
        <v>-45</v>
      </c>
      <c r="E95" s="60">
        <v>-45.5</v>
      </c>
      <c r="F95" s="60">
        <v>-43</v>
      </c>
      <c r="G95" s="60">
        <v>-45.2</v>
      </c>
      <c r="H95" s="60">
        <v>-40</v>
      </c>
      <c r="I95" s="60">
        <v>-32.4</v>
      </c>
      <c r="J95" s="60">
        <v>-21.8</v>
      </c>
      <c r="K95" s="60">
        <v>6.1</v>
      </c>
      <c r="L95" s="60">
        <v>37.1</v>
      </c>
      <c r="M95" s="60">
        <v>49</v>
      </c>
      <c r="N95" s="60">
        <f>18.3+20.3</f>
        <v>38.6</v>
      </c>
      <c r="O95" s="60">
        <f>18.6+20.9</f>
        <v>39.5</v>
      </c>
      <c r="P95" s="60">
        <f>7.4+8.5</f>
        <v>15.9</v>
      </c>
      <c r="Q95" s="60">
        <f>18.6+20</f>
        <v>38.6</v>
      </c>
      <c r="R95" s="60">
        <f>9.5+10.4</f>
        <v>19.899999999999999</v>
      </c>
      <c r="S95" s="60">
        <v>2.9</v>
      </c>
      <c r="T95" s="60">
        <v>-6.8</v>
      </c>
      <c r="U95" s="60">
        <v>-5.5</v>
      </c>
      <c r="V95" s="60">
        <v>-9.4</v>
      </c>
      <c r="W95" s="60">
        <v>-4.8</v>
      </c>
      <c r="X95" s="60">
        <v>41.6</v>
      </c>
      <c r="Y95" s="60">
        <v>65.3</v>
      </c>
      <c r="Z95" s="60">
        <v>66.7</v>
      </c>
      <c r="AA95" s="60">
        <v>58.8</v>
      </c>
      <c r="AB95" s="73">
        <v>52.6</v>
      </c>
      <c r="AC95" s="73">
        <v>45.5</v>
      </c>
      <c r="AD95" s="73">
        <v>15</v>
      </c>
      <c r="AE95" s="73">
        <f>-2.9-3.4</f>
        <v>-6.3</v>
      </c>
      <c r="AF95" s="73">
        <f>-10-11.6</f>
        <v>-21.6</v>
      </c>
      <c r="AG95" s="120">
        <v>240</v>
      </c>
      <c r="AH95" s="54">
        <f t="shared" si="22"/>
        <v>66.7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12</v>
      </c>
      <c r="C96" s="60">
        <v>12</v>
      </c>
      <c r="D96" s="60">
        <v>12</v>
      </c>
      <c r="E96" s="60">
        <v>10.3</v>
      </c>
      <c r="F96" s="60">
        <v>10</v>
      </c>
      <c r="G96" s="60">
        <v>11.4</v>
      </c>
      <c r="H96" s="60">
        <v>11.3</v>
      </c>
      <c r="I96" s="60">
        <v>11</v>
      </c>
      <c r="J96" s="60">
        <v>10</v>
      </c>
      <c r="K96" s="60">
        <v>9.5</v>
      </c>
      <c r="L96" s="60">
        <v>9.3000000000000007</v>
      </c>
      <c r="M96" s="60">
        <v>8.9</v>
      </c>
      <c r="N96" s="60">
        <v>8.8000000000000007</v>
      </c>
      <c r="O96" s="60">
        <v>8.4</v>
      </c>
      <c r="P96" s="60">
        <v>6.9</v>
      </c>
      <c r="Q96" s="60">
        <v>7.2</v>
      </c>
      <c r="R96" s="60">
        <v>7.8</v>
      </c>
      <c r="S96" s="60">
        <v>8.9</v>
      </c>
      <c r="T96" s="60">
        <v>8</v>
      </c>
      <c r="U96" s="60">
        <v>8.4</v>
      </c>
      <c r="V96" s="60">
        <v>9.8000000000000007</v>
      </c>
      <c r="W96" s="60">
        <v>9.6999999999999993</v>
      </c>
      <c r="X96" s="60">
        <v>10.1</v>
      </c>
      <c r="Y96" s="60">
        <v>23.4</v>
      </c>
      <c r="Z96" s="60">
        <v>30.2</v>
      </c>
      <c r="AA96" s="60">
        <v>20.6</v>
      </c>
      <c r="AB96" s="73">
        <v>10.5</v>
      </c>
      <c r="AC96" s="73">
        <v>12.6</v>
      </c>
      <c r="AD96" s="73">
        <v>11.4</v>
      </c>
      <c r="AE96" s="73">
        <v>11.7</v>
      </c>
      <c r="AF96" s="73">
        <v>11.7</v>
      </c>
      <c r="AG96" s="120">
        <v>60</v>
      </c>
      <c r="AH96" s="54">
        <f t="shared" si="22"/>
        <v>30.2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91</v>
      </c>
      <c r="C97" s="63">
        <v>86</v>
      </c>
      <c r="D97" s="63">
        <v>89</v>
      </c>
      <c r="E97" s="63">
        <v>88.4</v>
      </c>
      <c r="F97" s="63">
        <v>87.6</v>
      </c>
      <c r="G97" s="63">
        <v>91.1</v>
      </c>
      <c r="H97" s="63">
        <v>88.1</v>
      </c>
      <c r="I97" s="63">
        <v>96.8</v>
      </c>
      <c r="J97" s="63">
        <v>98.9</v>
      </c>
      <c r="K97" s="63">
        <v>101.4</v>
      </c>
      <c r="L97" s="63">
        <v>90</v>
      </c>
      <c r="M97" s="63">
        <v>96.1</v>
      </c>
      <c r="N97" s="63">
        <v>121.4</v>
      </c>
      <c r="O97" s="63">
        <v>114.9</v>
      </c>
      <c r="P97" s="63">
        <v>96.9</v>
      </c>
      <c r="Q97" s="63">
        <v>82.1</v>
      </c>
      <c r="R97" s="63">
        <v>104.6</v>
      </c>
      <c r="S97" s="63">
        <v>106.2</v>
      </c>
      <c r="T97" s="63">
        <v>102.1</v>
      </c>
      <c r="U97" s="63">
        <v>93.5</v>
      </c>
      <c r="V97" s="63">
        <v>74.400000000000006</v>
      </c>
      <c r="W97" s="63">
        <v>74.400000000000006</v>
      </c>
      <c r="X97" s="63">
        <v>62</v>
      </c>
      <c r="Y97" s="63">
        <v>79.7</v>
      </c>
      <c r="Z97" s="63">
        <v>85.3</v>
      </c>
      <c r="AA97" s="63">
        <v>79.8</v>
      </c>
      <c r="AB97" s="126">
        <v>73</v>
      </c>
      <c r="AC97" s="126">
        <v>63.1</v>
      </c>
      <c r="AD97" s="126">
        <v>89.5</v>
      </c>
      <c r="AE97" s="126">
        <v>75.5</v>
      </c>
      <c r="AF97" s="126">
        <v>78.8</v>
      </c>
      <c r="AG97" s="127">
        <v>120</v>
      </c>
      <c r="AH97" s="54">
        <f t="shared" si="22"/>
        <v>121.4</v>
      </c>
      <c r="AI97" s="121">
        <f t="shared" si="23"/>
        <v>0.375</v>
      </c>
    </row>
    <row r="98" spans="1:37" x14ac:dyDescent="0.25">
      <c r="A98" s="124" t="s">
        <v>102</v>
      </c>
      <c r="B98" s="125">
        <v>99</v>
      </c>
      <c r="C98" s="63">
        <v>96</v>
      </c>
      <c r="D98" s="63">
        <v>98</v>
      </c>
      <c r="E98" s="63">
        <v>98.7</v>
      </c>
      <c r="F98" s="63">
        <v>93.6</v>
      </c>
      <c r="G98" s="63">
        <v>96.9</v>
      </c>
      <c r="H98" s="63">
        <v>92.6</v>
      </c>
      <c r="I98" s="63">
        <v>96.5</v>
      </c>
      <c r="J98" s="63">
        <v>92</v>
      </c>
      <c r="K98" s="63">
        <v>65.599999999999994</v>
      </c>
      <c r="L98" s="63">
        <v>92.6</v>
      </c>
      <c r="M98" s="63">
        <v>104.7</v>
      </c>
      <c r="N98" s="63">
        <v>86.1</v>
      </c>
      <c r="O98" s="63">
        <v>90.8</v>
      </c>
      <c r="P98" s="63">
        <v>54.3</v>
      </c>
      <c r="Q98" s="63">
        <v>95.9</v>
      </c>
      <c r="R98" s="63">
        <v>85</v>
      </c>
      <c r="S98" s="63">
        <v>97.7</v>
      </c>
      <c r="T98" s="63">
        <v>95.3</v>
      </c>
      <c r="U98" s="63">
        <v>92.4</v>
      </c>
      <c r="V98" s="63">
        <v>60.7</v>
      </c>
      <c r="W98" s="63">
        <v>60.7</v>
      </c>
      <c r="X98" s="63">
        <v>67.599999999999994</v>
      </c>
      <c r="Y98" s="63">
        <v>94.3</v>
      </c>
      <c r="Z98" s="63">
        <v>91.7</v>
      </c>
      <c r="AA98" s="63">
        <v>73.8</v>
      </c>
      <c r="AB98" s="126">
        <v>69.2</v>
      </c>
      <c r="AC98" s="126">
        <v>67.3</v>
      </c>
      <c r="AD98" s="126">
        <v>73.8</v>
      </c>
      <c r="AE98" s="126">
        <v>66.5</v>
      </c>
      <c r="AF98" s="126">
        <v>73.599999999999994</v>
      </c>
      <c r="AG98" s="127"/>
      <c r="AH98" s="54">
        <f t="shared" si="22"/>
        <v>104.7</v>
      </c>
      <c r="AI98" s="121">
        <f t="shared" si="23"/>
        <v>0.33333333333333331</v>
      </c>
    </row>
    <row r="99" spans="1:37" ht="15.75" thickBot="1" x14ac:dyDescent="0.3">
      <c r="A99" s="124" t="s">
        <v>103</v>
      </c>
      <c r="B99" s="125">
        <v>80</v>
      </c>
      <c r="C99" s="63">
        <v>80</v>
      </c>
      <c r="D99" s="63">
        <v>79</v>
      </c>
      <c r="E99" s="63">
        <v>74.8</v>
      </c>
      <c r="F99" s="63">
        <v>76.8</v>
      </c>
      <c r="G99" s="63">
        <v>68.3</v>
      </c>
      <c r="H99" s="63">
        <v>57.1</v>
      </c>
      <c r="I99" s="63">
        <v>59.2</v>
      </c>
      <c r="J99" s="63">
        <v>47.9</v>
      </c>
      <c r="K99" s="63">
        <v>47</v>
      </c>
      <c r="L99" s="63">
        <v>52.1</v>
      </c>
      <c r="M99" s="63">
        <v>50.5</v>
      </c>
      <c r="N99" s="63">
        <v>48.9</v>
      </c>
      <c r="O99" s="63">
        <v>53</v>
      </c>
      <c r="P99" s="63">
        <v>31.5</v>
      </c>
      <c r="Q99" s="63">
        <v>44.6</v>
      </c>
      <c r="R99" s="63">
        <v>7.4</v>
      </c>
      <c r="S99" s="63">
        <v>4.3</v>
      </c>
      <c r="T99" s="63">
        <v>3.7</v>
      </c>
      <c r="U99" s="63">
        <v>20.7</v>
      </c>
      <c r="V99" s="63">
        <v>13</v>
      </c>
      <c r="W99" s="63">
        <v>13</v>
      </c>
      <c r="X99" s="63">
        <v>2.7</v>
      </c>
      <c r="Y99" s="63">
        <v>6.7</v>
      </c>
      <c r="Z99" s="63">
        <v>12.2</v>
      </c>
      <c r="AA99" s="63">
        <v>5.5</v>
      </c>
      <c r="AB99" s="126">
        <v>1.7</v>
      </c>
      <c r="AC99" s="126">
        <v>4.2</v>
      </c>
      <c r="AD99" s="126">
        <v>47</v>
      </c>
      <c r="AE99" s="126">
        <v>52.9</v>
      </c>
      <c r="AF99" s="126">
        <v>72.2</v>
      </c>
      <c r="AG99" s="128"/>
      <c r="AH99" s="54">
        <f t="shared" si="22"/>
        <v>80</v>
      </c>
      <c r="AI99" s="121">
        <f t="shared" si="23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1370.74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2078/11/7)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967.14</v>
      </c>
      <c r="U213" s="174">
        <f t="shared" si="60"/>
        <v>952.14</v>
      </c>
      <c r="V213" s="174">
        <f t="shared" si="60"/>
        <v>911.14</v>
      </c>
      <c r="W213" s="174">
        <f t="shared" si="60"/>
        <v>912.93999999999994</v>
      </c>
      <c r="X213" s="174">
        <f t="shared" si="60"/>
        <v>909.64</v>
      </c>
      <c r="Y213" s="174">
        <f t="shared" si="60"/>
        <v>995.43999999999983</v>
      </c>
      <c r="Z213" s="174">
        <f t="shared" si="60"/>
        <v>1059.94</v>
      </c>
      <c r="AA213" s="174">
        <f t="shared" si="60"/>
        <v>1089.7399999999998</v>
      </c>
      <c r="AB213" s="174">
        <f t="shared" si="60"/>
        <v>1172.44</v>
      </c>
      <c r="AC213" s="174">
        <f t="shared" si="60"/>
        <v>1283.3400000000001</v>
      </c>
      <c r="AD213" s="174">
        <f t="shared" si="60"/>
        <v>1336.8400000000001</v>
      </c>
      <c r="AE213" s="174">
        <f t="shared" si="60"/>
        <v>1370.74</v>
      </c>
      <c r="AF213" s="174">
        <f t="shared" si="60"/>
        <v>1281.94</v>
      </c>
      <c r="AG213" s="174">
        <f t="shared" si="60"/>
        <v>1205.1300000000001</v>
      </c>
      <c r="AH213" s="174">
        <f t="shared" si="60"/>
        <v>1156.6300000000001</v>
      </c>
      <c r="AI213" s="174">
        <f t="shared" si="60"/>
        <v>808.43999999999994</v>
      </c>
      <c r="AJ213" s="174">
        <f t="shared" si="60"/>
        <v>807.43999999999994</v>
      </c>
      <c r="AK213" s="174">
        <f t="shared" si="60"/>
        <v>980.21999999999991</v>
      </c>
      <c r="AL213" s="174">
        <f t="shared" si="60"/>
        <v>969.24</v>
      </c>
      <c r="AM213" s="174">
        <f t="shared" si="60"/>
        <v>1017.09</v>
      </c>
      <c r="AN213" s="174">
        <f t="shared" si="60"/>
        <v>970.33999999999992</v>
      </c>
      <c r="AO213" s="174">
        <f t="shared" si="60"/>
        <v>993.68999999999994</v>
      </c>
      <c r="AP213" s="174">
        <f t="shared" si="60"/>
        <v>1061.72</v>
      </c>
      <c r="AQ213" s="174">
        <f t="shared" si="60"/>
        <v>1429.8000000000002</v>
      </c>
      <c r="AR213" s="174">
        <f t="shared" si="60"/>
        <v>1453.6100000000001</v>
      </c>
      <c r="AS213" s="174">
        <f t="shared" si="60"/>
        <v>1384.54</v>
      </c>
      <c r="AT213" s="174">
        <f t="shared" si="60"/>
        <v>1299.8799999999999</v>
      </c>
      <c r="AU213" s="174">
        <f t="shared" si="60"/>
        <v>1217.54</v>
      </c>
      <c r="AV213" s="174">
        <f t="shared" si="60"/>
        <v>1167.6399999999999</v>
      </c>
      <c r="AW213" s="174">
        <f t="shared" si="60"/>
        <v>1042.8399999999999</v>
      </c>
      <c r="AX213" s="174">
        <f t="shared" si="60"/>
        <v>942.14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M37 C57:L59 D63:D67 C60:M60 D61:M61 R40:T41 M58:M59 X85:AA91 AB81:AF81 B81:R81 C56:AF56 B82:AF83 D193:AF199 B193:B199 C68:AF72 AB84:AF91 B84:B91 B9:AF10 B191:AF191 AG73 AB94:AF99 B94:B99 U212:AF212 B53:B72 C61:C67 C53:D55 B36:M36 S58:W59 B73:AF80 N36:R37 M39:R42 N58:R61 U40:Y42 M16:Y32 N45:Y48 Z41:AE43 Z40:AC40 AE40 Z16:AF31 S36:AF36 M11:AF14 M53:AF55 AF57:AF67">
    <cfRule type="expression" dxfId="7180" priority="281">
      <formula>B$9&gt;=20/24</formula>
    </cfRule>
    <cfRule type="expression" dxfId="7179" priority="282">
      <formula>AND(B$9&gt;=14/24,B$9&lt;20/24)</formula>
    </cfRule>
    <cfRule type="expression" dxfId="7178" priority="283">
      <formula>AND(B$9&gt;=8/24,B$9&lt;14/24)</formula>
    </cfRule>
    <cfRule type="expression" dxfId="7177" priority="284">
      <formula>B$9&lt;8/24</formula>
    </cfRule>
  </conditionalFormatting>
  <conditionalFormatting sqref="AL4:AL6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7176" priority="276">
      <formula>M$9&gt;=20/24</formula>
    </cfRule>
    <cfRule type="expression" dxfId="7175" priority="277">
      <formula>AND(M$9&gt;=14/24,M$9&lt;20/24)</formula>
    </cfRule>
    <cfRule type="expression" dxfId="7174" priority="278">
      <formula>AND(M$9&gt;=8/24,M$9&lt;14/24)</formula>
    </cfRule>
    <cfRule type="expression" dxfId="7173" priority="279">
      <formula>M$9&lt;8/24</formula>
    </cfRule>
  </conditionalFormatting>
  <conditionalFormatting sqref="M43:R43">
    <cfRule type="expression" dxfId="7172" priority="272">
      <formula>M$9&gt;=20/24</formula>
    </cfRule>
    <cfRule type="expression" dxfId="7171" priority="273">
      <formula>AND(M$9&gt;=14/24,M$9&lt;20/24)</formula>
    </cfRule>
    <cfRule type="expression" dxfId="7170" priority="274">
      <formula>AND(M$9&gt;=8/24,M$9&lt;14/24)</formula>
    </cfRule>
    <cfRule type="expression" dxfId="7169" priority="275">
      <formula>M$9&lt;8/24</formula>
    </cfRule>
  </conditionalFormatting>
  <conditionalFormatting sqref="Z32:AF32">
    <cfRule type="expression" dxfId="7168" priority="268">
      <formula>Z$9&gt;=20/24</formula>
    </cfRule>
    <cfRule type="expression" dxfId="7167" priority="269">
      <formula>AND(Z$9&gt;=14/24,Z$9&lt;20/24)</formula>
    </cfRule>
    <cfRule type="expression" dxfId="7166" priority="270">
      <formula>AND(Z$9&gt;=8/24,Z$9&lt;14/24)</formula>
    </cfRule>
    <cfRule type="expression" dxfId="7165" priority="271">
      <formula>Z$9&lt;8/24</formula>
    </cfRule>
  </conditionalFormatting>
  <conditionalFormatting sqref="S39:AC39 AE39">
    <cfRule type="expression" dxfId="7164" priority="264">
      <formula>S$9&gt;=20/24</formula>
    </cfRule>
    <cfRule type="expression" dxfId="7163" priority="265">
      <formula>AND(S$9&gt;=14/24,S$9&lt;20/24)</formula>
    </cfRule>
    <cfRule type="expression" dxfId="7162" priority="266">
      <formula>AND(S$9&gt;=8/24,S$9&lt;14/24)</formula>
    </cfRule>
    <cfRule type="expression" dxfId="7161" priority="267">
      <formula>S$9&lt;8/24</formula>
    </cfRule>
  </conditionalFormatting>
  <conditionalFormatting sqref="S57:AE57">
    <cfRule type="expression" dxfId="7160" priority="260">
      <formula>S$9&gt;=20/24</formula>
    </cfRule>
    <cfRule type="expression" dxfId="7159" priority="261">
      <formula>AND(S$9&gt;=14/24,S$9&lt;20/24)</formula>
    </cfRule>
    <cfRule type="expression" dxfId="7158" priority="262">
      <formula>AND(S$9&gt;=8/24,S$9&lt;14/24)</formula>
    </cfRule>
    <cfRule type="expression" dxfId="7157" priority="263">
      <formula>S$9&lt;8/24</formula>
    </cfRule>
  </conditionalFormatting>
  <conditionalFormatting sqref="S81:AA81">
    <cfRule type="expression" dxfId="7156" priority="256">
      <formula>S$9&gt;=20/24</formula>
    </cfRule>
    <cfRule type="expression" dxfId="7155" priority="257">
      <formula>AND(S$9&gt;=14/24,S$9&lt;20/24)</formula>
    </cfRule>
    <cfRule type="expression" dxfId="7154" priority="258">
      <formula>AND(S$9&gt;=8/24,S$9&lt;14/24)</formula>
    </cfRule>
    <cfRule type="expression" dxfId="7153" priority="259">
      <formula>S$9&lt;8/24</formula>
    </cfRule>
  </conditionalFormatting>
  <conditionalFormatting sqref="U84:AA84">
    <cfRule type="expression" dxfId="7152" priority="252">
      <formula>U$9&gt;=20/24</formula>
    </cfRule>
    <cfRule type="expression" dxfId="7151" priority="253">
      <formula>AND(U$9&gt;=14/24,U$9&lt;20/24)</formula>
    </cfRule>
    <cfRule type="expression" dxfId="7150" priority="254">
      <formula>AND(U$9&gt;=8/24,U$9&lt;14/24)</formula>
    </cfRule>
    <cfRule type="expression" dxfId="7149" priority="255">
      <formula>U$9&lt;8/24</formula>
    </cfRule>
  </conditionalFormatting>
  <conditionalFormatting sqref="M35:Y35">
    <cfRule type="expression" dxfId="7148" priority="248">
      <formula>M$9&gt;=20/24</formula>
    </cfRule>
    <cfRule type="expression" dxfId="7147" priority="249">
      <formula>AND(M$9&gt;=14/24,M$9&lt;20/24)</formula>
    </cfRule>
    <cfRule type="expression" dxfId="7146" priority="250">
      <formula>AND(M$9&gt;=8/24,M$9&lt;14/24)</formula>
    </cfRule>
    <cfRule type="expression" dxfId="7145" priority="251">
      <formula>M$9&lt;8/24</formula>
    </cfRule>
  </conditionalFormatting>
  <conditionalFormatting sqref="M49:Y49">
    <cfRule type="expression" dxfId="7144" priority="244">
      <formula>M$9&gt;=20/24</formula>
    </cfRule>
    <cfRule type="expression" dxfId="7143" priority="245">
      <formula>AND(M$9&gt;=14/24,M$9&lt;20/24)</formula>
    </cfRule>
    <cfRule type="expression" dxfId="7142" priority="246">
      <formula>AND(M$9&gt;=8/24,M$9&lt;14/24)</formula>
    </cfRule>
    <cfRule type="expression" dxfId="7141" priority="247">
      <formula>M$9&lt;8/24</formula>
    </cfRule>
  </conditionalFormatting>
  <conditionalFormatting sqref="M50:Y50">
    <cfRule type="expression" dxfId="7140" priority="240">
      <formula>M$9&gt;=20/24</formula>
    </cfRule>
    <cfRule type="expression" dxfId="7139" priority="241">
      <formula>AND(M$9&gt;=14/24,M$9&lt;20/24)</formula>
    </cfRule>
    <cfRule type="expression" dxfId="7138" priority="242">
      <formula>AND(M$9&gt;=8/24,M$9&lt;14/24)</formula>
    </cfRule>
    <cfRule type="expression" dxfId="7137" priority="243">
      <formula>M$9&lt;8/24</formula>
    </cfRule>
  </conditionalFormatting>
  <conditionalFormatting sqref="M45:Y48">
    <cfRule type="expression" dxfId="7136" priority="236">
      <formula>M$9&gt;=20/24</formula>
    </cfRule>
    <cfRule type="expression" dxfId="7135" priority="237">
      <formula>AND(M$9&gt;=14/24,M$9&lt;20/24)</formula>
    </cfRule>
    <cfRule type="expression" dxfId="7134" priority="238">
      <formula>AND(M$9&gt;=8/24,M$9&lt;14/24)</formula>
    </cfRule>
    <cfRule type="expression" dxfId="7133" priority="239">
      <formula>M$9&lt;8/24</formula>
    </cfRule>
  </conditionalFormatting>
  <conditionalFormatting sqref="S37:AF37">
    <cfRule type="expression" dxfId="7132" priority="232">
      <formula>S$9&gt;=20/24</formula>
    </cfRule>
    <cfRule type="expression" dxfId="7131" priority="233">
      <formula>AND(S$9&gt;=14/24,S$9&lt;20/24)</formula>
    </cfRule>
    <cfRule type="expression" dxfId="7130" priority="234">
      <formula>AND(S$9&gt;=8/24,S$9&lt;14/24)</formula>
    </cfRule>
    <cfRule type="expression" dxfId="7129" priority="235">
      <formula>S$9&lt;8/24</formula>
    </cfRule>
  </conditionalFormatting>
  <conditionalFormatting sqref="Z35:AF35">
    <cfRule type="expression" dxfId="7128" priority="228">
      <formula>Z$9&gt;=20/24</formula>
    </cfRule>
    <cfRule type="expression" dxfId="7127" priority="229">
      <formula>AND(Z$9&gt;=14/24,Z$9&lt;20/24)</formula>
    </cfRule>
    <cfRule type="expression" dxfId="7126" priority="230">
      <formula>AND(Z$9&gt;=8/24,Z$9&lt;14/24)</formula>
    </cfRule>
    <cfRule type="expression" dxfId="7125" priority="231">
      <formula>Z$9&lt;8/24</formula>
    </cfRule>
  </conditionalFormatting>
  <conditionalFormatting sqref="S42:T43 U43:Y43 S45:AF48">
    <cfRule type="expression" dxfId="7124" priority="224">
      <formula>S$9&gt;=20/24</formula>
    </cfRule>
    <cfRule type="expression" dxfId="7123" priority="225">
      <formula>AND(S$9&gt;=14/24,S$9&lt;20/24)</formula>
    </cfRule>
    <cfRule type="expression" dxfId="7122" priority="226">
      <formula>AND(S$9&gt;=8/24,S$9&lt;14/24)</formula>
    </cfRule>
    <cfRule type="expression" dxfId="7121" priority="227">
      <formula>S$9&lt;8/24</formula>
    </cfRule>
  </conditionalFormatting>
  <conditionalFormatting sqref="S49:AF49">
    <cfRule type="expression" dxfId="7120" priority="220">
      <formula>S$9&gt;=20/24</formula>
    </cfRule>
    <cfRule type="expression" dxfId="7119" priority="221">
      <formula>AND(S$9&gt;=14/24,S$9&lt;20/24)</formula>
    </cfRule>
    <cfRule type="expression" dxfId="7118" priority="222">
      <formula>AND(S$9&gt;=8/24,S$9&lt;14/24)</formula>
    </cfRule>
    <cfRule type="expression" dxfId="7117" priority="223">
      <formula>S$9&lt;8/24</formula>
    </cfRule>
  </conditionalFormatting>
  <conditionalFormatting sqref="S50:AF50">
    <cfRule type="expression" dxfId="7116" priority="216">
      <formula>S$9&gt;=20/24</formula>
    </cfRule>
    <cfRule type="expression" dxfId="7115" priority="217">
      <formula>AND(S$9&gt;=14/24,S$9&lt;20/24)</formula>
    </cfRule>
    <cfRule type="expression" dxfId="7114" priority="218">
      <formula>AND(S$9&gt;=8/24,S$9&lt;14/24)</formula>
    </cfRule>
    <cfRule type="expression" dxfId="7113" priority="219">
      <formula>S$9&lt;8/24</formula>
    </cfRule>
  </conditionalFormatting>
  <conditionalFormatting sqref="Y60:AE61 S60:T61 Z62:AE67">
    <cfRule type="expression" dxfId="7112" priority="212">
      <formula>S$9&gt;=20/24</formula>
    </cfRule>
    <cfRule type="expression" dxfId="7111" priority="213">
      <formula>AND(S$9&gt;=14/24,S$9&lt;20/24)</formula>
    </cfRule>
    <cfRule type="expression" dxfId="7110" priority="214">
      <formula>AND(S$9&gt;=8/24,S$9&lt;14/24)</formula>
    </cfRule>
    <cfRule type="expression" dxfId="7109" priority="215">
      <formula>S$9&lt;8/24</formula>
    </cfRule>
  </conditionalFormatting>
  <conditionalFormatting sqref="D62:I62 I63:I67 J62:L67">
    <cfRule type="expression" dxfId="7108" priority="208">
      <formula>D$9&gt;=20/24</formula>
    </cfRule>
    <cfRule type="expression" dxfId="7107" priority="209">
      <formula>AND(D$9&gt;=14/24,D$9&lt;20/24)</formula>
    </cfRule>
    <cfRule type="expression" dxfId="7106" priority="210">
      <formula>AND(D$9&gt;=8/24,D$9&lt;14/24)</formula>
    </cfRule>
    <cfRule type="expression" dxfId="7105" priority="211">
      <formula>D$9&lt;8/24</formula>
    </cfRule>
  </conditionalFormatting>
  <conditionalFormatting sqref="U94:AA97">
    <cfRule type="expression" dxfId="7104" priority="204">
      <formula>U$9&gt;=20/24</formula>
    </cfRule>
    <cfRule type="expression" dxfId="7103" priority="205">
      <formula>AND(U$9&gt;=14/24,U$9&lt;20/24)</formula>
    </cfRule>
    <cfRule type="expression" dxfId="7102" priority="206">
      <formula>AND(U$9&gt;=8/24,U$9&lt;14/24)</formula>
    </cfRule>
    <cfRule type="expression" dxfId="7101" priority="207">
      <formula>U$9&lt;8/24</formula>
    </cfRule>
  </conditionalFormatting>
  <conditionalFormatting sqref="AG51 E11:M11 B11:D32 M12:M14 E12:L32 W11:AC11 N11:V14 M16:Y32 W12:Y14 AE38:AF40 Z12:AC32 B34:AC40 AD11:AF32 AD34:AF37 B41:AF56">
    <cfRule type="expression" dxfId="7100" priority="203">
      <formula>B11&gt;$AG11</formula>
    </cfRule>
  </conditionalFormatting>
  <conditionalFormatting sqref="A100:A156 A84:A97 A11:A14 A16:A32 A45:A72 A80:A82 A74:A78 A35:A43 A169:A199">
    <cfRule type="expression" dxfId="7099" priority="202">
      <formula>$AH11=0</formula>
    </cfRule>
  </conditionalFormatting>
  <conditionalFormatting sqref="U98:AA98">
    <cfRule type="expression" dxfId="7098" priority="198">
      <formula>U$9&gt;=20/24</formula>
    </cfRule>
    <cfRule type="expression" dxfId="7097" priority="199">
      <formula>AND(U$9&gt;=14/24,U$9&lt;20/24)</formula>
    </cfRule>
    <cfRule type="expression" dxfId="7096" priority="200">
      <formula>AND(U$9&gt;=8/24,U$9&lt;14/24)</formula>
    </cfRule>
    <cfRule type="expression" dxfId="7095" priority="201">
      <formula>U$9&lt;8/24</formula>
    </cfRule>
  </conditionalFormatting>
  <conditionalFormatting sqref="A98">
    <cfRule type="expression" dxfId="7094" priority="197">
      <formula>$AH98=0</formula>
    </cfRule>
  </conditionalFormatting>
  <conditionalFormatting sqref="E63:H67">
    <cfRule type="expression" dxfId="7093" priority="189">
      <formula>E$9&gt;=20/24</formula>
    </cfRule>
    <cfRule type="expression" dxfId="7092" priority="190">
      <formula>AND(E$9&gt;=14/24,E$9&lt;20/24)</formula>
    </cfRule>
    <cfRule type="expression" dxfId="7091" priority="191">
      <formula>AND(E$9&gt;=8/24,E$9&lt;14/24)</formula>
    </cfRule>
    <cfRule type="expression" dxfId="7090" priority="192">
      <formula>E$9&lt;8/24</formula>
    </cfRule>
  </conditionalFormatting>
  <conditionalFormatting sqref="M62:T67">
    <cfRule type="expression" dxfId="7089" priority="185">
      <formula>M$9&gt;=20/24</formula>
    </cfRule>
    <cfRule type="expression" dxfId="7088" priority="186">
      <formula>AND(M$9&gt;=14/24,M$9&lt;20/24)</formula>
    </cfRule>
    <cfRule type="expression" dxfId="7087" priority="187">
      <formula>AND(M$9&gt;=8/24,M$9&lt;14/24)</formula>
    </cfRule>
    <cfRule type="expression" dxfId="7086" priority="188">
      <formula>M$9&lt;8/24</formula>
    </cfRule>
  </conditionalFormatting>
  <conditionalFormatting sqref="AL32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7085" priority="180">
      <formula>Z$9&gt;=20/24</formula>
    </cfRule>
    <cfRule type="expression" dxfId="7084" priority="181">
      <formula>AND(Z$9&gt;=14/24,Z$9&lt;20/24)</formula>
    </cfRule>
    <cfRule type="expression" dxfId="7083" priority="182">
      <formula>AND(Z$9&gt;=8/24,Z$9&lt;14/24)</formula>
    </cfRule>
    <cfRule type="expression" dxfId="7082" priority="183">
      <formula>Z$9&lt;8/24</formula>
    </cfRule>
  </conditionalFormatting>
  <conditionalFormatting sqref="M34:Y34">
    <cfRule type="expression" dxfId="7081" priority="176">
      <formula>M$9&gt;=20/24</formula>
    </cfRule>
    <cfRule type="expression" dxfId="7080" priority="177">
      <formula>AND(M$9&gt;=14/24,M$9&lt;20/24)</formula>
    </cfRule>
    <cfRule type="expression" dxfId="7079" priority="178">
      <formula>AND(M$9&gt;=8/24,M$9&lt;14/24)</formula>
    </cfRule>
    <cfRule type="expression" dxfId="7078" priority="179">
      <formula>M$9&lt;8/24</formula>
    </cfRule>
  </conditionalFormatting>
  <conditionalFormatting sqref="A34">
    <cfRule type="expression" dxfId="7077" priority="171">
      <formula>$AH34=0</formula>
    </cfRule>
  </conditionalFormatting>
  <conditionalFormatting sqref="A83">
    <cfRule type="expression" dxfId="7076" priority="170">
      <formula>$AH83=0</formula>
    </cfRule>
  </conditionalFormatting>
  <conditionalFormatting sqref="Z15:AF15">
    <cfRule type="expression" dxfId="7075" priority="166">
      <formula>Z$9&gt;=20/24</formula>
    </cfRule>
    <cfRule type="expression" dxfId="7074" priority="167">
      <formula>AND(Z$9&gt;=14/24,Z$9&lt;20/24)</formula>
    </cfRule>
    <cfRule type="expression" dxfId="7073" priority="168">
      <formula>AND(Z$9&gt;=8/24,Z$9&lt;14/24)</formula>
    </cfRule>
    <cfRule type="expression" dxfId="7072" priority="169">
      <formula>Z$9&lt;8/24</formula>
    </cfRule>
  </conditionalFormatting>
  <conditionalFormatting sqref="M15:Y15">
    <cfRule type="expression" dxfId="7071" priority="162">
      <formula>M$9&gt;=20/24</formula>
    </cfRule>
    <cfRule type="expression" dxfId="7070" priority="163">
      <formula>AND(M$9&gt;=14/24,M$9&lt;20/24)</formula>
    </cfRule>
    <cfRule type="expression" dxfId="7069" priority="164">
      <formula>AND(M$9&gt;=8/24,M$9&lt;14/24)</formula>
    </cfRule>
    <cfRule type="expression" dxfId="7068" priority="165">
      <formula>M$9&lt;8/24</formula>
    </cfRule>
  </conditionalFormatting>
  <conditionalFormatting sqref="M15:Y15">
    <cfRule type="expression" dxfId="7067" priority="161">
      <formula>M15&gt;$AG15</formula>
    </cfRule>
  </conditionalFormatting>
  <conditionalFormatting sqref="A15">
    <cfRule type="expression" dxfId="7066" priority="160">
      <formula>$AH15=0</formula>
    </cfRule>
  </conditionalFormatting>
  <conditionalFormatting sqref="A163:A168">
    <cfRule type="expression" dxfId="7065" priority="159">
      <formula>$AH163=0</formula>
    </cfRule>
  </conditionalFormatting>
  <conditionalFormatting sqref="A157:A162">
    <cfRule type="expression" dxfId="7064" priority="158">
      <formula>$AH157=0</formula>
    </cfRule>
  </conditionalFormatting>
  <conditionalFormatting sqref="Z44:AF44">
    <cfRule type="expression" dxfId="7063" priority="154">
      <formula>Z$9&gt;=20/24</formula>
    </cfRule>
    <cfRule type="expression" dxfId="7062" priority="155">
      <formula>AND(Z$9&gt;=14/24,Z$9&lt;20/24)</formula>
    </cfRule>
    <cfRule type="expression" dxfId="7061" priority="156">
      <formula>AND(Z$9&gt;=8/24,Z$9&lt;14/24)</formula>
    </cfRule>
    <cfRule type="expression" dxfId="7060" priority="157">
      <formula>Z$9&lt;8/24</formula>
    </cfRule>
  </conditionalFormatting>
  <conditionalFormatting sqref="M44:Y44">
    <cfRule type="expression" dxfId="7059" priority="150">
      <formula>M$9&gt;=20/24</formula>
    </cfRule>
    <cfRule type="expression" dxfId="7058" priority="151">
      <formula>AND(M$9&gt;=14/24,M$9&lt;20/24)</formula>
    </cfRule>
    <cfRule type="expression" dxfId="7057" priority="152">
      <formula>AND(M$9&gt;=8/24,M$9&lt;14/24)</formula>
    </cfRule>
    <cfRule type="expression" dxfId="7056" priority="153">
      <formula>M$9&lt;8/24</formula>
    </cfRule>
  </conditionalFormatting>
  <conditionalFormatting sqref="S44:Y44">
    <cfRule type="expression" dxfId="7055" priority="146">
      <formula>S$9&gt;=20/24</formula>
    </cfRule>
    <cfRule type="expression" dxfId="7054" priority="147">
      <formula>AND(S$9&gt;=14/24,S$9&lt;20/24)</formula>
    </cfRule>
    <cfRule type="expression" dxfId="7053" priority="148">
      <formula>AND(S$9&gt;=8/24,S$9&lt;14/24)</formula>
    </cfRule>
    <cfRule type="expression" dxfId="7052" priority="149">
      <formula>S$9&lt;8/24</formula>
    </cfRule>
  </conditionalFormatting>
  <conditionalFormatting sqref="A44">
    <cfRule type="expression" dxfId="7051" priority="145">
      <formula>$AH44=0</formula>
    </cfRule>
  </conditionalFormatting>
  <conditionalFormatting sqref="A79">
    <cfRule type="expression" dxfId="7050" priority="144">
      <formula>$AH79=0</formula>
    </cfRule>
  </conditionalFormatting>
  <conditionalFormatting sqref="A73">
    <cfRule type="expression" dxfId="7049" priority="143">
      <formula>$AH73=0</formula>
    </cfRule>
  </conditionalFormatting>
  <conditionalFormatting sqref="AL34:AL35 AL7:AL31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U60:X67 Y62:Y67">
    <cfRule type="expression" dxfId="7048" priority="139">
      <formula>U$9&gt;=20/24</formula>
    </cfRule>
    <cfRule type="expression" dxfId="7047" priority="140">
      <formula>AND(U$9&gt;=14/24,U$9&lt;20/24)</formula>
    </cfRule>
    <cfRule type="expression" dxfId="7046" priority="141">
      <formula>AND(U$9&gt;=8/24,U$9&lt;14/24)</formula>
    </cfRule>
    <cfRule type="expression" dxfId="7045" priority="142">
      <formula>U$9&lt;8/24</formula>
    </cfRule>
  </conditionalFormatting>
  <conditionalFormatting sqref="U85:W91">
    <cfRule type="expression" dxfId="7044" priority="135">
      <formula>U$9&gt;=20/24</formula>
    </cfRule>
    <cfRule type="expression" dxfId="7043" priority="136">
      <formula>AND(U$9&gt;=14/24,U$9&lt;20/24)</formula>
    </cfRule>
    <cfRule type="expression" dxfId="7042" priority="137">
      <formula>AND(U$9&gt;=8/24,U$9&lt;14/24)</formula>
    </cfRule>
    <cfRule type="expression" dxfId="7041" priority="138">
      <formula>U$9&lt;8/24</formula>
    </cfRule>
  </conditionalFormatting>
  <conditionalFormatting sqref="S85:T91 C84:R91">
    <cfRule type="expression" dxfId="7040" priority="131">
      <formula>C$9&gt;=20/24</formula>
    </cfRule>
    <cfRule type="expression" dxfId="7039" priority="132">
      <formula>AND(C$9&gt;=14/24,C$9&lt;20/24)</formula>
    </cfRule>
    <cfRule type="expression" dxfId="7038" priority="133">
      <formula>AND(C$9&gt;=8/24,C$9&lt;14/24)</formula>
    </cfRule>
    <cfRule type="expression" dxfId="7037" priority="134">
      <formula>C$9&lt;8/24</formula>
    </cfRule>
  </conditionalFormatting>
  <conditionalFormatting sqref="S84:T84">
    <cfRule type="expression" dxfId="7036" priority="127">
      <formula>S$9&gt;=20/24</formula>
    </cfRule>
    <cfRule type="expression" dxfId="7035" priority="128">
      <formula>AND(S$9&gt;=14/24,S$9&lt;20/24)</formula>
    </cfRule>
    <cfRule type="expression" dxfId="7034" priority="129">
      <formula>AND(S$9&gt;=8/24,S$9&lt;14/24)</formula>
    </cfRule>
    <cfRule type="expression" dxfId="7033" priority="130">
      <formula>S$9&lt;8/24</formula>
    </cfRule>
  </conditionalFormatting>
  <conditionalFormatting sqref="C94:F94 C95:N97">
    <cfRule type="expression" dxfId="7032" priority="123">
      <formula>C$9&gt;=20/24</formula>
    </cfRule>
    <cfRule type="expression" dxfId="7031" priority="124">
      <formula>AND(C$9&gt;=14/24,C$9&lt;20/24)</formula>
    </cfRule>
    <cfRule type="expression" dxfId="7030" priority="125">
      <formula>AND(C$9&gt;=8/24,C$9&lt;14/24)</formula>
    </cfRule>
    <cfRule type="expression" dxfId="7029" priority="126">
      <formula>C$9&lt;8/24</formula>
    </cfRule>
  </conditionalFormatting>
  <conditionalFormatting sqref="O94:R97">
    <cfRule type="expression" dxfId="7028" priority="119">
      <formula>O$9&gt;=20/24</formula>
    </cfRule>
    <cfRule type="expression" dxfId="7027" priority="120">
      <formula>AND(O$9&gt;=14/24,O$9&lt;20/24)</formula>
    </cfRule>
    <cfRule type="expression" dxfId="7026" priority="121">
      <formula>AND(O$9&gt;=8/24,O$9&lt;14/24)</formula>
    </cfRule>
    <cfRule type="expression" dxfId="7025" priority="122">
      <formula>O$9&lt;8/24</formula>
    </cfRule>
  </conditionalFormatting>
  <conditionalFormatting sqref="S94:T97">
    <cfRule type="expression" dxfId="7024" priority="115">
      <formula>S$9&gt;=20/24</formula>
    </cfRule>
    <cfRule type="expression" dxfId="7023" priority="116">
      <formula>AND(S$9&gt;=14/24,S$9&lt;20/24)</formula>
    </cfRule>
    <cfRule type="expression" dxfId="7022" priority="117">
      <formula>AND(S$9&gt;=8/24,S$9&lt;14/24)</formula>
    </cfRule>
    <cfRule type="expression" dxfId="7021" priority="118">
      <formula>S$9&lt;8/24</formula>
    </cfRule>
  </conditionalFormatting>
  <conditionalFormatting sqref="C98:N98">
    <cfRule type="expression" dxfId="7020" priority="111">
      <formula>C$9&gt;=20/24</formula>
    </cfRule>
    <cfRule type="expression" dxfId="7019" priority="112">
      <formula>AND(C$9&gt;=14/24,C$9&lt;20/24)</formula>
    </cfRule>
    <cfRule type="expression" dxfId="7018" priority="113">
      <formula>AND(C$9&gt;=8/24,C$9&lt;14/24)</formula>
    </cfRule>
    <cfRule type="expression" dxfId="7017" priority="114">
      <formula>C$9&lt;8/24</formula>
    </cfRule>
  </conditionalFormatting>
  <conditionalFormatting sqref="O98:R98">
    <cfRule type="expression" dxfId="7016" priority="107">
      <formula>O$9&gt;=20/24</formula>
    </cfRule>
    <cfRule type="expression" dxfId="7015" priority="108">
      <formula>AND(O$9&gt;=14/24,O$9&lt;20/24)</formula>
    </cfRule>
    <cfRule type="expression" dxfId="7014" priority="109">
      <formula>AND(O$9&gt;=8/24,O$9&lt;14/24)</formula>
    </cfRule>
    <cfRule type="expression" dxfId="7013" priority="110">
      <formula>O$9&lt;8/24</formula>
    </cfRule>
  </conditionalFormatting>
  <conditionalFormatting sqref="S98:T98">
    <cfRule type="expression" dxfId="7012" priority="103">
      <formula>S$9&gt;=20/24</formula>
    </cfRule>
    <cfRule type="expression" dxfId="7011" priority="104">
      <formula>AND(S$9&gt;=14/24,S$9&lt;20/24)</formula>
    </cfRule>
    <cfRule type="expression" dxfId="7010" priority="105">
      <formula>AND(S$9&gt;=8/24,S$9&lt;14/24)</formula>
    </cfRule>
    <cfRule type="expression" dxfId="7009" priority="106">
      <formula>S$9&lt;8/24</formula>
    </cfRule>
  </conditionalFormatting>
  <conditionalFormatting sqref="M94:N94">
    <cfRule type="expression" dxfId="7008" priority="99">
      <formula>M$9&gt;=20/24</formula>
    </cfRule>
    <cfRule type="expression" dxfId="7007" priority="100">
      <formula>AND(M$9&gt;=14/24,M$9&lt;20/24)</formula>
    </cfRule>
    <cfRule type="expression" dxfId="7006" priority="101">
      <formula>AND(M$9&gt;=8/24,M$9&lt;14/24)</formula>
    </cfRule>
    <cfRule type="expression" dxfId="7005" priority="102">
      <formula>M$9&lt;8/24</formula>
    </cfRule>
  </conditionalFormatting>
  <conditionalFormatting sqref="G94:L94">
    <cfRule type="expression" dxfId="7004" priority="95">
      <formula>G$9&gt;=20/24</formula>
    </cfRule>
    <cfRule type="expression" dxfId="7003" priority="96">
      <formula>AND(G$9&gt;=14/24,G$9&lt;20/24)</formula>
    </cfRule>
    <cfRule type="expression" dxfId="7002" priority="97">
      <formula>AND(G$9&gt;=8/24,G$9&lt;14/24)</formula>
    </cfRule>
    <cfRule type="expression" dxfId="7001" priority="98">
      <formula>G$9&lt;8/24</formula>
    </cfRule>
  </conditionalFormatting>
  <conditionalFormatting sqref="U94:W94">
    <cfRule type="expression" dxfId="7000" priority="91">
      <formula>U$9&gt;=20/24</formula>
    </cfRule>
    <cfRule type="expression" dxfId="6999" priority="92">
      <formula>AND(U$9&gt;=14/24,U$9&lt;20/24)</formula>
    </cfRule>
    <cfRule type="expression" dxfId="6998" priority="93">
      <formula>AND(U$9&gt;=8/24,U$9&lt;14/24)</formula>
    </cfRule>
    <cfRule type="expression" dxfId="6997" priority="94">
      <formula>U$9&lt;8/24</formula>
    </cfRule>
  </conditionalFormatting>
  <conditionalFormatting sqref="O94:T94">
    <cfRule type="expression" dxfId="6996" priority="87">
      <formula>O$9&gt;=20/24</formula>
    </cfRule>
    <cfRule type="expression" dxfId="6995" priority="88">
      <formula>AND(O$9&gt;=14/24,O$9&lt;20/24)</formula>
    </cfRule>
    <cfRule type="expression" dxfId="6994" priority="89">
      <formula>AND(O$9&gt;=8/24,O$9&lt;14/24)</formula>
    </cfRule>
    <cfRule type="expression" dxfId="6993" priority="90">
      <formula>O$9&lt;8/24</formula>
    </cfRule>
  </conditionalFormatting>
  <conditionalFormatting sqref="U99:AA99">
    <cfRule type="expression" dxfId="6992" priority="83">
      <formula>U$9&gt;=20/24</formula>
    </cfRule>
    <cfRule type="expression" dxfId="6991" priority="84">
      <formula>AND(U$9&gt;=14/24,U$9&lt;20/24)</formula>
    </cfRule>
    <cfRule type="expression" dxfId="6990" priority="85">
      <formula>AND(U$9&gt;=8/24,U$9&lt;14/24)</formula>
    </cfRule>
    <cfRule type="expression" dxfId="6989" priority="86">
      <formula>U$9&lt;8/24</formula>
    </cfRule>
  </conditionalFormatting>
  <conditionalFormatting sqref="C99:N99">
    <cfRule type="expression" dxfId="6988" priority="79">
      <formula>C$9&gt;=20/24</formula>
    </cfRule>
    <cfRule type="expression" dxfId="6987" priority="80">
      <formula>AND(C$9&gt;=14/24,C$9&lt;20/24)</formula>
    </cfRule>
    <cfRule type="expression" dxfId="6986" priority="81">
      <formula>AND(C$9&gt;=8/24,C$9&lt;14/24)</formula>
    </cfRule>
    <cfRule type="expression" dxfId="6985" priority="82">
      <formula>C$9&lt;8/24</formula>
    </cfRule>
  </conditionalFormatting>
  <conditionalFormatting sqref="O99:R99">
    <cfRule type="expression" dxfId="6984" priority="75">
      <formula>O$9&gt;=20/24</formula>
    </cfRule>
    <cfRule type="expression" dxfId="6983" priority="76">
      <formula>AND(O$9&gt;=14/24,O$9&lt;20/24)</formula>
    </cfRule>
    <cfRule type="expression" dxfId="6982" priority="77">
      <formula>AND(O$9&gt;=8/24,O$9&lt;14/24)</formula>
    </cfRule>
    <cfRule type="expression" dxfId="6981" priority="78">
      <formula>O$9&lt;8/24</formula>
    </cfRule>
  </conditionalFormatting>
  <conditionalFormatting sqref="S99:T99">
    <cfRule type="expression" dxfId="6980" priority="71">
      <formula>S$9&gt;=20/24</formula>
    </cfRule>
    <cfRule type="expression" dxfId="6979" priority="72">
      <formula>AND(S$9&gt;=14/24,S$9&lt;20/24)</formula>
    </cfRule>
    <cfRule type="expression" dxfId="6978" priority="73">
      <formula>AND(S$9&gt;=8/24,S$9&lt;14/24)</formula>
    </cfRule>
    <cfRule type="expression" dxfId="6977" priority="74">
      <formula>S$9&lt;8/24</formula>
    </cfRule>
  </conditionalFormatting>
  <conditionalFormatting sqref="AB58:AE59">
    <cfRule type="expression" dxfId="6976" priority="55">
      <formula>AB$9&gt;=20/24</formula>
    </cfRule>
    <cfRule type="expression" dxfId="6975" priority="56">
      <formula>AND(AB$9&gt;=14/24,AB$9&lt;20/24)</formula>
    </cfRule>
    <cfRule type="expression" dxfId="6974" priority="57">
      <formula>AND(AB$9&gt;=8/24,AB$9&lt;14/24)</formula>
    </cfRule>
    <cfRule type="expression" dxfId="6973" priority="58">
      <formula>AB$9&lt;8/24</formula>
    </cfRule>
  </conditionalFormatting>
  <conditionalFormatting sqref="AL33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72" priority="288">
      <formula>C$9&gt;=20/24</formula>
    </cfRule>
    <cfRule type="expression" dxfId="6971" priority="289">
      <formula>AND(C$9&gt;=14/24,C$9&lt;20/24)</formula>
    </cfRule>
    <cfRule type="expression" dxfId="6970" priority="290">
      <formula>AND(C$9&gt;=8/24,C$9&lt;14/24)</formula>
    </cfRule>
    <cfRule type="expression" dxfId="6969" priority="291">
      <formula>C$9&lt;8/24</formula>
    </cfRule>
  </conditionalFormatting>
  <conditionalFormatting sqref="A200">
    <cfRule type="expression" dxfId="6968" priority="292">
      <formula>$AH200=0</formula>
    </cfRule>
  </conditionalFormatting>
  <conditionalFormatting sqref="AG212">
    <cfRule type="expression" dxfId="6967" priority="293">
      <formula>B$9&gt;=20/24</formula>
    </cfRule>
    <cfRule type="expression" dxfId="6966" priority="294">
      <formula>AND(B$9&gt;=14/24,B$9&lt;20/24)</formula>
    </cfRule>
    <cfRule type="expression" dxfId="6965" priority="295">
      <formula>AND(B$9&gt;=8/24,B$9&lt;14/24)</formula>
    </cfRule>
    <cfRule type="expression" dxfId="6964" priority="296">
      <formula>B$9&lt;8/24</formula>
    </cfRule>
  </conditionalFormatting>
  <conditionalFormatting sqref="S8">
    <cfRule type="expression" dxfId="6963" priority="49">
      <formula>U$9&gt;=20/24</formula>
    </cfRule>
    <cfRule type="expression" dxfId="6962" priority="50">
      <formula>AND(U$9&gt;=14/24,U$9&lt;20/24)</formula>
    </cfRule>
    <cfRule type="expression" dxfId="6961" priority="51">
      <formula>AND(U$9&gt;=8/24,U$9&lt;14/24)</formula>
    </cfRule>
    <cfRule type="expression" dxfId="6960" priority="52">
      <formula>U$9&lt;8/24</formula>
    </cfRule>
  </conditionalFormatting>
  <conditionalFormatting sqref="AB8">
    <cfRule type="expression" dxfId="6959" priority="45">
      <formula>AD$9&gt;=20/24</formula>
    </cfRule>
    <cfRule type="expression" dxfId="6958" priority="46">
      <formula>AND(AD$9&gt;=14/24,AD$9&lt;20/24)</formula>
    </cfRule>
    <cfRule type="expression" dxfId="6957" priority="47">
      <formula>AND(AD$9&gt;=8/24,AD$9&lt;14/24)</formula>
    </cfRule>
    <cfRule type="expression" dxfId="6956" priority="48">
      <formula>AD$9&lt;8/24</formula>
    </cfRule>
  </conditionalFormatting>
  <conditionalFormatting sqref="AH212:AX212">
    <cfRule type="expression" dxfId="6955" priority="297">
      <formula>AG$9&gt;=20/24</formula>
    </cfRule>
    <cfRule type="expression" dxfId="6954" priority="298">
      <formula>AND(AG$9&gt;=14/24,AG$9&lt;20/24)</formula>
    </cfRule>
    <cfRule type="expression" dxfId="6953" priority="299">
      <formula>AND(AG$9&gt;=8/24,AG$9&lt;14/24)</formula>
    </cfRule>
    <cfRule type="expression" dxfId="6952" priority="300">
      <formula>AG$9&lt;8/24</formula>
    </cfRule>
  </conditionalFormatting>
  <conditionalFormatting sqref="T212">
    <cfRule type="expression" dxfId="6951" priority="301">
      <formula>AX$9&gt;=20/24</formula>
    </cfRule>
    <cfRule type="expression" dxfId="6950" priority="302">
      <formula>AND(AX$9&gt;=14/24,AX$9&lt;20/24)</formula>
    </cfRule>
    <cfRule type="expression" dxfId="6949" priority="303">
      <formula>AND(AX$9&gt;=8/24,AX$9&lt;14/24)</formula>
    </cfRule>
    <cfRule type="expression" dxfId="6948" priority="304">
      <formula>AX$9&lt;8/24</formula>
    </cfRule>
  </conditionalFormatting>
  <conditionalFormatting sqref="A99">
    <cfRule type="expression" dxfId="6947" priority="44">
      <formula>$AH99=0</formula>
    </cfRule>
  </conditionalFormatting>
  <conditionalFormatting sqref="M33:Y33">
    <cfRule type="expression" dxfId="6946" priority="40">
      <formula>M$9&gt;=20/24</formula>
    </cfRule>
    <cfRule type="expression" dxfId="6945" priority="41">
      <formula>AND(M$9&gt;=14/24,M$9&lt;20/24)</formula>
    </cfRule>
    <cfRule type="expression" dxfId="6944" priority="42">
      <formula>AND(M$9&gt;=8/24,M$9&lt;14/24)</formula>
    </cfRule>
    <cfRule type="expression" dxfId="6943" priority="43">
      <formula>M$9&lt;8/24</formula>
    </cfRule>
  </conditionalFormatting>
  <conditionalFormatting sqref="Z33:AF33">
    <cfRule type="expression" dxfId="6942" priority="36">
      <formula>Z$9&gt;=20/24</formula>
    </cfRule>
    <cfRule type="expression" dxfId="6941" priority="37">
      <formula>AND(Z$9&gt;=14/24,Z$9&lt;20/24)</formula>
    </cfRule>
    <cfRule type="expression" dxfId="6940" priority="38">
      <formula>AND(Z$9&gt;=8/24,Z$9&lt;14/24)</formula>
    </cfRule>
    <cfRule type="expression" dxfId="6939" priority="39">
      <formula>Z$9&lt;8/24</formula>
    </cfRule>
  </conditionalFormatting>
  <conditionalFormatting sqref="B33:AF33">
    <cfRule type="expression" dxfId="6938" priority="31">
      <formula>B33&gt;$AG33</formula>
    </cfRule>
  </conditionalFormatting>
  <conditionalFormatting sqref="AD39">
    <cfRule type="expression" dxfId="6937" priority="27">
      <formula>AD$9&gt;=20/24</formula>
    </cfRule>
    <cfRule type="expression" dxfId="6936" priority="28">
      <formula>AND(AD$9&gt;=14/24,AD$9&lt;20/24)</formula>
    </cfRule>
    <cfRule type="expression" dxfId="6935" priority="29">
      <formula>AND(AD$9&gt;=8/24,AD$9&lt;14/24)</formula>
    </cfRule>
    <cfRule type="expression" dxfId="6934" priority="30">
      <formula>AD$9&lt;8/24</formula>
    </cfRule>
  </conditionalFormatting>
  <conditionalFormatting sqref="AD40">
    <cfRule type="expression" dxfId="6933" priority="19">
      <formula>AD$9&gt;=20/24</formula>
    </cfRule>
    <cfRule type="expression" dxfId="6932" priority="20">
      <formula>AND(AD$9&gt;=14/24,AD$9&lt;20/24)</formula>
    </cfRule>
    <cfRule type="expression" dxfId="6931" priority="21">
      <formula>AND(AD$9&gt;=8/24,AD$9&lt;14/24)</formula>
    </cfRule>
    <cfRule type="expression" dxfId="6930" priority="22">
      <formula>AD$9&lt;8/24</formula>
    </cfRule>
  </conditionalFormatting>
  <conditionalFormatting sqref="AD38">
    <cfRule type="expression" dxfId="6929" priority="15">
      <formula>AD$9&gt;=20/24</formula>
    </cfRule>
    <cfRule type="expression" dxfId="6928" priority="16">
      <formula>AND(AD$9&gt;=14/24,AD$9&lt;20/24)</formula>
    </cfRule>
    <cfRule type="expression" dxfId="6927" priority="17">
      <formula>AND(AD$9&gt;=8/24,AD$9&lt;14/24)</formula>
    </cfRule>
    <cfRule type="expression" dxfId="6926" priority="18">
      <formula>AD$9&lt;8/24</formula>
    </cfRule>
  </conditionalFormatting>
  <conditionalFormatting sqref="AD38:AD40">
    <cfRule type="expression" dxfId="6925" priority="14">
      <formula>AD38&gt;$AG38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4" id="{714E9E49-570F-4D68-8C0E-E1B5C8A5E2B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67" sqref="A6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2078/11/8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375</v>
      </c>
      <c r="C5" s="32">
        <f t="shared" si="0"/>
        <v>324</v>
      </c>
      <c r="D5" s="32">
        <f t="shared" si="0"/>
        <v>341</v>
      </c>
      <c r="E5" s="32">
        <f t="shared" si="0"/>
        <v>339</v>
      </c>
      <c r="F5" s="32">
        <f t="shared" si="0"/>
        <v>435.2</v>
      </c>
      <c r="G5" s="32">
        <f t="shared" si="0"/>
        <v>422.8</v>
      </c>
      <c r="H5" s="32">
        <f t="shared" si="0"/>
        <v>495</v>
      </c>
      <c r="I5" s="32">
        <f t="shared" si="0"/>
        <v>490.8</v>
      </c>
      <c r="J5" s="32">
        <f t="shared" si="0"/>
        <v>362.22</v>
      </c>
      <c r="K5" s="32">
        <f t="shared" si="0"/>
        <v>384.40000000000003</v>
      </c>
      <c r="L5" s="32">
        <f t="shared" si="0"/>
        <v>392.6</v>
      </c>
      <c r="M5" s="32">
        <f t="shared" si="0"/>
        <v>352.8</v>
      </c>
      <c r="N5" s="32">
        <f t="shared" si="0"/>
        <v>344.15</v>
      </c>
      <c r="O5" s="32">
        <f t="shared" si="0"/>
        <v>297.2</v>
      </c>
      <c r="P5" s="32">
        <f t="shared" si="0"/>
        <v>576.42999999999995</v>
      </c>
      <c r="Q5" s="32">
        <f t="shared" si="0"/>
        <v>605.36</v>
      </c>
      <c r="R5" s="32">
        <f t="shared" si="0"/>
        <v>601.5</v>
      </c>
      <c r="S5" s="32">
        <f t="shared" si="0"/>
        <v>598.40000000000009</v>
      </c>
      <c r="T5" s="32">
        <f t="shared" si="0"/>
        <v>581</v>
      </c>
      <c r="U5" s="32">
        <f t="shared" si="0"/>
        <v>0</v>
      </c>
      <c r="V5" s="32">
        <f t="shared" si="0"/>
        <v>506.9</v>
      </c>
      <c r="W5" s="32">
        <f t="shared" si="0"/>
        <v>589.32000000000005</v>
      </c>
      <c r="X5" s="32">
        <f t="shared" si="0"/>
        <v>589.32000000000005</v>
      </c>
      <c r="Y5" s="32">
        <f t="shared" si="0"/>
        <v>584.53</v>
      </c>
      <c r="Z5" s="32">
        <f t="shared" si="0"/>
        <v>555.6</v>
      </c>
      <c r="AA5" s="32">
        <f t="shared" si="0"/>
        <v>544.29999999999995</v>
      </c>
      <c r="AB5" s="32">
        <f t="shared" si="0"/>
        <v>453.13</v>
      </c>
      <c r="AC5" s="32">
        <f t="shared" si="0"/>
        <v>447.83</v>
      </c>
      <c r="AD5" s="32">
        <f t="shared" si="0"/>
        <v>347</v>
      </c>
      <c r="AE5" s="32">
        <f t="shared" si="0"/>
        <v>406.02</v>
      </c>
      <c r="AF5" s="32">
        <f>B68</f>
        <v>410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Load=0</v>
      </c>
      <c r="B7" s="37">
        <f>B75</f>
        <v>921.83999999999992</v>
      </c>
      <c r="C7" s="37">
        <f t="shared" ref="C7:AF7" si="1">C75</f>
        <v>885.63999999999987</v>
      </c>
      <c r="D7" s="37">
        <f t="shared" si="1"/>
        <v>835.44</v>
      </c>
      <c r="E7" s="37">
        <f t="shared" si="1"/>
        <v>861.24</v>
      </c>
      <c r="F7" s="37">
        <f t="shared" si="1"/>
        <v>851.54</v>
      </c>
      <c r="G7" s="37">
        <f t="shared" si="1"/>
        <v>949.74</v>
      </c>
      <c r="H7" s="37">
        <f t="shared" si="1"/>
        <v>1012.64</v>
      </c>
      <c r="I7" s="37">
        <f t="shared" si="1"/>
        <v>1101.1399999999999</v>
      </c>
      <c r="J7" s="37">
        <f t="shared" si="1"/>
        <v>1234.24</v>
      </c>
      <c r="K7" s="37">
        <f t="shared" si="1"/>
        <v>1364.8600000000001</v>
      </c>
      <c r="L7" s="37">
        <f t="shared" si="1"/>
        <v>1434.74</v>
      </c>
      <c r="M7" s="37">
        <f t="shared" si="1"/>
        <v>1467.64</v>
      </c>
      <c r="N7" s="37">
        <f t="shared" si="1"/>
        <v>1370.64</v>
      </c>
      <c r="O7" s="37">
        <f t="shared" si="1"/>
        <v>1305.29</v>
      </c>
      <c r="P7" s="37">
        <f t="shared" si="1"/>
        <v>1246.1399999999999</v>
      </c>
      <c r="Q7" s="37">
        <f t="shared" si="1"/>
        <v>1222.27</v>
      </c>
      <c r="R7" s="37">
        <f t="shared" si="1"/>
        <v>1201.4000000000001</v>
      </c>
      <c r="S7" s="37">
        <f t="shared" si="1"/>
        <v>1205.54</v>
      </c>
      <c r="T7" s="37">
        <f t="shared" si="1"/>
        <v>1192.94</v>
      </c>
      <c r="U7" s="37">
        <f t="shared" si="1"/>
        <v>1206.1399999999999</v>
      </c>
      <c r="V7" s="37">
        <f t="shared" si="1"/>
        <v>0</v>
      </c>
      <c r="W7" s="37">
        <f t="shared" si="1"/>
        <v>1247.04</v>
      </c>
      <c r="X7" s="37">
        <f t="shared" si="1"/>
        <v>1421.46</v>
      </c>
      <c r="Y7" s="37">
        <f t="shared" si="1"/>
        <v>1416.46</v>
      </c>
      <c r="Z7" s="37">
        <f t="shared" si="1"/>
        <v>1432.87</v>
      </c>
      <c r="AA7" s="37">
        <f t="shared" si="1"/>
        <v>1383.94</v>
      </c>
      <c r="AB7" s="37">
        <f t="shared" si="1"/>
        <v>1349.6399999999999</v>
      </c>
      <c r="AC7" s="37">
        <f t="shared" si="1"/>
        <v>1244.97</v>
      </c>
      <c r="AD7" s="37">
        <f t="shared" si="1"/>
        <v>1207.8699999999999</v>
      </c>
      <c r="AE7" s="37">
        <f t="shared" si="1"/>
        <v>973.54</v>
      </c>
      <c r="AF7" s="37">
        <f t="shared" si="1"/>
        <v>933.95999999999992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customHeight="1" thickTop="1" x14ac:dyDescent="0.25">
      <c r="A11" s="48" t="s">
        <v>19</v>
      </c>
      <c r="B11" s="50">
        <v>12</v>
      </c>
      <c r="C11" s="50">
        <v>12</v>
      </c>
      <c r="D11" s="50">
        <v>12</v>
      </c>
      <c r="E11" s="49">
        <v>12</v>
      </c>
      <c r="F11" s="49">
        <v>12</v>
      </c>
      <c r="G11" s="49">
        <v>12</v>
      </c>
      <c r="H11" s="49">
        <v>15</v>
      </c>
      <c r="I11" s="49">
        <v>15</v>
      </c>
      <c r="J11" s="49">
        <v>50</v>
      </c>
      <c r="K11" s="49">
        <v>270</v>
      </c>
      <c r="L11" s="49">
        <v>300</v>
      </c>
      <c r="M11" s="50">
        <v>300</v>
      </c>
      <c r="N11" s="50">
        <v>300</v>
      </c>
      <c r="O11" s="50">
        <v>228</v>
      </c>
      <c r="P11" s="50">
        <v>228</v>
      </c>
      <c r="Q11" s="50">
        <v>30</v>
      </c>
      <c r="R11" s="51">
        <v>12</v>
      </c>
      <c r="S11" s="51">
        <v>12</v>
      </c>
      <c r="T11" s="51">
        <v>10</v>
      </c>
      <c r="U11" s="51">
        <v>10</v>
      </c>
      <c r="V11" s="211" t="s">
        <v>220</v>
      </c>
      <c r="W11" s="51">
        <v>20</v>
      </c>
      <c r="X11" s="51">
        <v>70</v>
      </c>
      <c r="Y11" s="50">
        <v>90</v>
      </c>
      <c r="Z11" s="51">
        <v>70</v>
      </c>
      <c r="AA11" s="51">
        <v>50</v>
      </c>
      <c r="AB11" s="51">
        <v>50</v>
      </c>
      <c r="AC11" s="50">
        <v>30</v>
      </c>
      <c r="AD11" s="50">
        <v>30</v>
      </c>
      <c r="AE11" s="50">
        <v>30</v>
      </c>
      <c r="AF11" s="49">
        <v>15</v>
      </c>
      <c r="AG11" s="53">
        <v>456</v>
      </c>
      <c r="AH11" s="54">
        <f>MAX(B11:AF11)</f>
        <v>300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31</v>
      </c>
      <c r="C12" s="50">
        <v>31</v>
      </c>
      <c r="D12" s="50">
        <v>31</v>
      </c>
      <c r="E12" s="50">
        <v>31</v>
      </c>
      <c r="F12" s="50">
        <v>31</v>
      </c>
      <c r="G12" s="50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212"/>
      <c r="W12" s="49">
        <v>31</v>
      </c>
      <c r="X12" s="49">
        <v>31</v>
      </c>
      <c r="Y12" s="58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18.2</v>
      </c>
      <c r="C13" s="50">
        <v>17.899999999999999</v>
      </c>
      <c r="D13" s="50">
        <v>17.899999999999999</v>
      </c>
      <c r="E13" s="50">
        <v>17.899999999999999</v>
      </c>
      <c r="F13" s="50">
        <v>17.899999999999999</v>
      </c>
      <c r="G13" s="50">
        <v>17.899999999999999</v>
      </c>
      <c r="H13" s="49">
        <v>18.899999999999999</v>
      </c>
      <c r="I13" s="49">
        <v>18.899999999999999</v>
      </c>
      <c r="J13" s="49">
        <v>18.899999999999999</v>
      </c>
      <c r="K13" s="49">
        <v>18.899999999999999</v>
      </c>
      <c r="L13" s="49">
        <v>18.899999999999999</v>
      </c>
      <c r="M13" s="49">
        <v>18.899999999999999</v>
      </c>
      <c r="N13" s="49">
        <v>18.899999999999999</v>
      </c>
      <c r="O13" s="49">
        <v>18.899999999999999</v>
      </c>
      <c r="P13" s="49">
        <v>18.899999999999999</v>
      </c>
      <c r="Q13" s="49">
        <v>16.899999999999999</v>
      </c>
      <c r="R13" s="49">
        <v>17.2</v>
      </c>
      <c r="S13" s="49">
        <v>18.600000000000001</v>
      </c>
      <c r="T13" s="49">
        <v>18.600000000000001</v>
      </c>
      <c r="U13" s="49">
        <v>18.600000000000001</v>
      </c>
      <c r="V13" s="212"/>
      <c r="W13" s="49">
        <v>18.600000000000001</v>
      </c>
      <c r="X13" s="49">
        <v>18.600000000000001</v>
      </c>
      <c r="Y13" s="58">
        <v>18.600000000000001</v>
      </c>
      <c r="Z13" s="49">
        <v>18.600000000000001</v>
      </c>
      <c r="AA13" s="49">
        <v>18.600000000000001</v>
      </c>
      <c r="AB13" s="49">
        <v>18.600000000000001</v>
      </c>
      <c r="AC13" s="49">
        <v>18.600000000000001</v>
      </c>
      <c r="AD13" s="49">
        <v>18.600000000000001</v>
      </c>
      <c r="AE13" s="49">
        <v>18.600000000000001</v>
      </c>
      <c r="AF13" s="49">
        <v>18.600000000000001</v>
      </c>
      <c r="AG13" s="59">
        <v>52.4</v>
      </c>
      <c r="AH13" s="54">
        <f t="shared" si="2"/>
        <v>18.899999999999999</v>
      </c>
      <c r="AI13" s="55">
        <f t="shared" si="3"/>
        <v>16.899999999999999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34.6</v>
      </c>
      <c r="C14" s="50">
        <v>34.799999999999997</v>
      </c>
      <c r="D14" s="50">
        <v>34.200000000000003</v>
      </c>
      <c r="E14" s="50">
        <v>34.200000000000003</v>
      </c>
      <c r="F14" s="50">
        <v>34.200000000000003</v>
      </c>
      <c r="G14" s="50">
        <v>34.200000000000003</v>
      </c>
      <c r="H14" s="49">
        <v>34.6</v>
      </c>
      <c r="I14" s="49">
        <v>34.6</v>
      </c>
      <c r="J14" s="49">
        <v>34.6</v>
      </c>
      <c r="K14" s="49">
        <v>34.6</v>
      </c>
      <c r="L14" s="49">
        <v>34.6</v>
      </c>
      <c r="M14" s="50">
        <v>34.6</v>
      </c>
      <c r="N14" s="50">
        <v>34.6</v>
      </c>
      <c r="O14" s="50">
        <v>34.6</v>
      </c>
      <c r="P14" s="50">
        <v>34.6</v>
      </c>
      <c r="Q14" s="50">
        <v>34.6</v>
      </c>
      <c r="R14" s="50">
        <v>34.6</v>
      </c>
      <c r="S14" s="50">
        <v>34.6</v>
      </c>
      <c r="T14" s="50">
        <v>34.6</v>
      </c>
      <c r="U14" s="50">
        <v>34.6</v>
      </c>
      <c r="V14" s="212"/>
      <c r="W14" s="50">
        <v>34.6</v>
      </c>
      <c r="X14" s="50">
        <v>34.6</v>
      </c>
      <c r="Y14" s="60">
        <v>34.6</v>
      </c>
      <c r="Z14" s="50">
        <v>34.6</v>
      </c>
      <c r="AA14" s="50">
        <v>34.6</v>
      </c>
      <c r="AB14" s="50">
        <v>34.6</v>
      </c>
      <c r="AC14" s="50">
        <v>34.6</v>
      </c>
      <c r="AD14" s="50">
        <v>34.6</v>
      </c>
      <c r="AE14" s="50">
        <v>34.6</v>
      </c>
      <c r="AF14" s="50">
        <v>34.6</v>
      </c>
      <c r="AG14" s="59">
        <v>50</v>
      </c>
      <c r="AH14" s="54">
        <f t="shared" si="2"/>
        <v>34.799999999999997</v>
      </c>
      <c r="AI14" s="55">
        <f t="shared" si="3"/>
        <v>34.200000000000003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20.100000000000001</v>
      </c>
      <c r="C15" s="50">
        <v>20.100000000000001</v>
      </c>
      <c r="D15" s="50">
        <v>21.2</v>
      </c>
      <c r="E15" s="50">
        <v>21.2</v>
      </c>
      <c r="F15" s="50">
        <v>21.2</v>
      </c>
      <c r="G15" s="50">
        <v>21.2</v>
      </c>
      <c r="H15" s="61">
        <v>20.100000000000001</v>
      </c>
      <c r="I15" s="61">
        <v>20.100000000000001</v>
      </c>
      <c r="J15" s="61">
        <v>20.100000000000001</v>
      </c>
      <c r="K15" s="61">
        <v>20.100000000000001</v>
      </c>
      <c r="L15" s="61">
        <v>20.100000000000001</v>
      </c>
      <c r="M15" s="50">
        <v>20.100000000000001</v>
      </c>
      <c r="N15" s="50">
        <v>20.100000000000001</v>
      </c>
      <c r="O15" s="50">
        <v>20.100000000000001</v>
      </c>
      <c r="P15" s="50">
        <v>20.100000000000001</v>
      </c>
      <c r="Q15" s="50">
        <v>19.399999999999999</v>
      </c>
      <c r="R15" s="50">
        <v>19.399999999999999</v>
      </c>
      <c r="S15" s="50">
        <v>19.399999999999999</v>
      </c>
      <c r="T15" s="50">
        <v>19.399999999999999</v>
      </c>
      <c r="U15" s="50">
        <v>19.399999999999999</v>
      </c>
      <c r="V15" s="212"/>
      <c r="W15" s="50">
        <v>19.399999999999999</v>
      </c>
      <c r="X15" s="50">
        <v>19.399999999999999</v>
      </c>
      <c r="Y15" s="60">
        <v>19.399999999999999</v>
      </c>
      <c r="Z15" s="50">
        <v>19.399999999999999</v>
      </c>
      <c r="AA15" s="50">
        <v>19.399999999999999</v>
      </c>
      <c r="AB15" s="50">
        <v>19.399999999999999</v>
      </c>
      <c r="AC15" s="50">
        <v>19.399999999999999</v>
      </c>
      <c r="AD15" s="50">
        <v>19.399999999999999</v>
      </c>
      <c r="AE15" s="50">
        <v>19.399999999999999</v>
      </c>
      <c r="AF15" s="50">
        <v>19.399999999999999</v>
      </c>
      <c r="AG15" s="62">
        <v>45</v>
      </c>
      <c r="AH15" s="54">
        <f t="shared" si="2"/>
        <v>21.2</v>
      </c>
      <c r="AI15" s="55">
        <f t="shared" si="3"/>
        <v>19.399999999999999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212"/>
      <c r="W16" s="50">
        <v>10</v>
      </c>
      <c r="X16" s="50">
        <v>10</v>
      </c>
      <c r="Y16" s="63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7.5</v>
      </c>
      <c r="C17" s="50">
        <v>7.5</v>
      </c>
      <c r="D17" s="50">
        <v>7.5</v>
      </c>
      <c r="E17" s="50">
        <v>7.5</v>
      </c>
      <c r="F17" s="50">
        <v>7.5</v>
      </c>
      <c r="G17" s="50">
        <v>7.5</v>
      </c>
      <c r="H17" s="50">
        <v>7.5</v>
      </c>
      <c r="I17" s="50">
        <v>7.5</v>
      </c>
      <c r="J17" s="50">
        <v>7.5</v>
      </c>
      <c r="K17" s="50">
        <v>7.5</v>
      </c>
      <c r="L17" s="50">
        <v>7.5</v>
      </c>
      <c r="M17" s="50">
        <v>7.5</v>
      </c>
      <c r="N17" s="50">
        <v>7.5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212"/>
      <c r="W17" s="50">
        <v>0</v>
      </c>
      <c r="X17" s="50">
        <v>0</v>
      </c>
      <c r="Y17" s="6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9">
        <v>42</v>
      </c>
      <c r="AH17" s="54">
        <f t="shared" si="2"/>
        <v>7.5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212"/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9.1999999999999993</v>
      </c>
      <c r="C19" s="50">
        <v>9.1999999999999993</v>
      </c>
      <c r="D19" s="50">
        <v>9.1999999999999993</v>
      </c>
      <c r="E19" s="50">
        <v>9.1999999999999993</v>
      </c>
      <c r="F19" s="50">
        <v>9.1999999999999993</v>
      </c>
      <c r="G19" s="50">
        <v>9.1999999999999993</v>
      </c>
      <c r="H19" s="50">
        <v>9.1999999999999993</v>
      </c>
      <c r="I19" s="50">
        <v>9.1999999999999993</v>
      </c>
      <c r="J19" s="50">
        <v>9.1999999999999993</v>
      </c>
      <c r="K19" s="50">
        <v>9.1999999999999993</v>
      </c>
      <c r="L19" s="50">
        <v>9.1999999999999993</v>
      </c>
      <c r="M19" s="50">
        <v>9.1999999999999993</v>
      </c>
      <c r="N19" s="50">
        <v>9.1999999999999993</v>
      </c>
      <c r="O19" s="50">
        <v>9.1999999999999993</v>
      </c>
      <c r="P19" s="50">
        <v>9.1999999999999993</v>
      </c>
      <c r="Q19" s="50">
        <v>9.1999999999999993</v>
      </c>
      <c r="R19" s="50">
        <v>9.1999999999999993</v>
      </c>
      <c r="S19" s="50">
        <v>9.1999999999999993</v>
      </c>
      <c r="T19" s="50">
        <v>9.1999999999999993</v>
      </c>
      <c r="U19" s="50">
        <v>9.1999999999999993</v>
      </c>
      <c r="V19" s="212"/>
      <c r="W19" s="50">
        <v>9.1999999999999993</v>
      </c>
      <c r="X19" s="50">
        <v>9.1999999999999993</v>
      </c>
      <c r="Y19" s="50">
        <v>9.1999999999999993</v>
      </c>
      <c r="Z19" s="50">
        <v>9.1999999999999993</v>
      </c>
      <c r="AA19" s="50">
        <v>9.1999999999999993</v>
      </c>
      <c r="AB19" s="50">
        <v>9.1999999999999993</v>
      </c>
      <c r="AC19" s="50">
        <v>9.1999999999999993</v>
      </c>
      <c r="AD19" s="50">
        <v>9.1999999999999993</v>
      </c>
      <c r="AE19" s="50">
        <v>9.1999999999999993</v>
      </c>
      <c r="AF19" s="50">
        <v>9.1999999999999993</v>
      </c>
      <c r="AG19" s="59">
        <v>30</v>
      </c>
      <c r="AH19" s="54">
        <f t="shared" si="2"/>
        <v>9.1999999999999993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212"/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212"/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11.7</v>
      </c>
      <c r="C22" s="50">
        <v>11.7</v>
      </c>
      <c r="D22" s="50">
        <v>11.8</v>
      </c>
      <c r="E22" s="50">
        <v>11.8</v>
      </c>
      <c r="F22" s="50">
        <v>11.8</v>
      </c>
      <c r="G22" s="50">
        <v>11.8</v>
      </c>
      <c r="H22" s="50">
        <v>11.8</v>
      </c>
      <c r="I22" s="50">
        <v>11.8</v>
      </c>
      <c r="J22" s="50">
        <v>11.8</v>
      </c>
      <c r="K22" s="50">
        <v>11.8</v>
      </c>
      <c r="L22" s="50">
        <v>11.8</v>
      </c>
      <c r="M22" s="50">
        <v>11.8</v>
      </c>
      <c r="N22" s="50">
        <v>11.8</v>
      </c>
      <c r="O22" s="50">
        <v>11.8</v>
      </c>
      <c r="P22" s="50">
        <v>11.8</v>
      </c>
      <c r="Q22" s="50">
        <v>11.8</v>
      </c>
      <c r="R22" s="50">
        <v>11.8</v>
      </c>
      <c r="S22" s="50">
        <v>11.8</v>
      </c>
      <c r="T22" s="50">
        <v>11.8</v>
      </c>
      <c r="U22" s="50">
        <v>11.8</v>
      </c>
      <c r="V22" s="212"/>
      <c r="W22" s="50">
        <v>11.8</v>
      </c>
      <c r="X22" s="50">
        <v>11.8</v>
      </c>
      <c r="Y22" s="50">
        <v>11.8</v>
      </c>
      <c r="Z22" s="50">
        <v>11.8</v>
      </c>
      <c r="AA22" s="50">
        <v>11.8</v>
      </c>
      <c r="AB22" s="50">
        <v>11.8</v>
      </c>
      <c r="AC22" s="50">
        <v>11.8</v>
      </c>
      <c r="AD22" s="50">
        <v>11.8</v>
      </c>
      <c r="AE22" s="50">
        <v>11.8</v>
      </c>
      <c r="AF22" s="50">
        <v>11.8</v>
      </c>
      <c r="AG22" s="59">
        <v>25</v>
      </c>
      <c r="AH22" s="54">
        <f t="shared" si="2"/>
        <v>11.8</v>
      </c>
      <c r="AI22" s="55">
        <f t="shared" si="3"/>
        <v>11.7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212"/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</v>
      </c>
      <c r="C24" s="50">
        <v>12</v>
      </c>
      <c r="D24" s="50">
        <v>12</v>
      </c>
      <c r="E24" s="50">
        <v>12</v>
      </c>
      <c r="F24" s="50">
        <v>12</v>
      </c>
      <c r="G24" s="50">
        <v>12</v>
      </c>
      <c r="H24" s="50">
        <v>12</v>
      </c>
      <c r="I24" s="50">
        <v>12</v>
      </c>
      <c r="J24" s="50">
        <v>12</v>
      </c>
      <c r="K24" s="50">
        <v>12</v>
      </c>
      <c r="L24" s="50">
        <v>12</v>
      </c>
      <c r="M24" s="50">
        <v>12</v>
      </c>
      <c r="N24" s="50">
        <v>12</v>
      </c>
      <c r="O24" s="50">
        <v>12</v>
      </c>
      <c r="P24" s="50">
        <v>12</v>
      </c>
      <c r="Q24" s="50">
        <v>12</v>
      </c>
      <c r="R24" s="50">
        <v>12</v>
      </c>
      <c r="S24" s="50">
        <v>12</v>
      </c>
      <c r="T24" s="50">
        <v>12</v>
      </c>
      <c r="U24" s="50">
        <v>12</v>
      </c>
      <c r="V24" s="212"/>
      <c r="W24" s="50">
        <v>12</v>
      </c>
      <c r="X24" s="50">
        <v>12</v>
      </c>
      <c r="Y24" s="50">
        <v>12</v>
      </c>
      <c r="Z24" s="50">
        <v>12</v>
      </c>
      <c r="AA24" s="50">
        <v>12</v>
      </c>
      <c r="AB24" s="50">
        <v>12</v>
      </c>
      <c r="AC24" s="50">
        <v>12</v>
      </c>
      <c r="AD24" s="50">
        <v>12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212"/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212"/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212"/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212"/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212"/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212"/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212"/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212"/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212"/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212"/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212"/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212"/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12.9+26.1</f>
        <v>39</v>
      </c>
      <c r="C37" s="70">
        <f>13.3+26.7</f>
        <v>40</v>
      </c>
      <c r="D37" s="70">
        <f>13.4+26.9</f>
        <v>40.299999999999997</v>
      </c>
      <c r="E37" s="70">
        <f>13.4+26.9</f>
        <v>40.299999999999997</v>
      </c>
      <c r="F37" s="61">
        <f>13.8+27.6</f>
        <v>41.400000000000006</v>
      </c>
      <c r="G37" s="61">
        <f>13.8+27.6</f>
        <v>41.400000000000006</v>
      </c>
      <c r="H37" s="61">
        <f>13.8+26.9</f>
        <v>40.700000000000003</v>
      </c>
      <c r="I37" s="61">
        <f>14+26.7</f>
        <v>40.700000000000003</v>
      </c>
      <c r="J37" s="61">
        <f>13.7+25.8</f>
        <v>39.5</v>
      </c>
      <c r="K37" s="61">
        <f>13.6+25.8</f>
        <v>39.4</v>
      </c>
      <c r="L37" s="61">
        <f>13.4+25.6</f>
        <v>39</v>
      </c>
      <c r="M37" s="70">
        <f>13.3+25.8</f>
        <v>39.1</v>
      </c>
      <c r="N37" s="70">
        <v>38.799999999999997</v>
      </c>
      <c r="O37" s="70">
        <v>31.1</v>
      </c>
      <c r="P37" s="70">
        <v>31.1</v>
      </c>
      <c r="Q37" s="70">
        <v>30.7</v>
      </c>
      <c r="R37" s="70">
        <v>33.4</v>
      </c>
      <c r="S37" s="70">
        <v>33.6</v>
      </c>
      <c r="T37" s="70">
        <f>9.5+24.2</f>
        <v>33.700000000000003</v>
      </c>
      <c r="U37" s="70">
        <f>9.5+24.2</f>
        <v>33.700000000000003</v>
      </c>
      <c r="V37" s="212"/>
      <c r="W37" s="70">
        <f>9.5+24.2</f>
        <v>33.700000000000003</v>
      </c>
      <c r="X37" s="70">
        <f>8.1+19.5</f>
        <v>27.6</v>
      </c>
      <c r="Y37" s="70">
        <v>26.9</v>
      </c>
      <c r="Z37" s="70">
        <f>8.1+20.7</f>
        <v>28.799999999999997</v>
      </c>
      <c r="AA37" s="70">
        <f>8.1+20.7</f>
        <v>28.799999999999997</v>
      </c>
      <c r="AB37" s="70">
        <v>29</v>
      </c>
      <c r="AC37" s="70">
        <v>28.7</v>
      </c>
      <c r="AD37" s="70">
        <v>29.2</v>
      </c>
      <c r="AE37" s="70">
        <v>38.700000000000003</v>
      </c>
      <c r="AF37" s="61">
        <v>38.700000000000003</v>
      </c>
      <c r="AG37" s="67">
        <v>240</v>
      </c>
      <c r="AH37" s="54">
        <f t="shared" si="2"/>
        <v>41.400000000000006</v>
      </c>
      <c r="AI37" s="55">
        <f t="shared" si="3"/>
        <v>26.9</v>
      </c>
      <c r="AK37" s="56"/>
    </row>
    <row r="38" spans="1:88" ht="16.5" customHeight="1" thickBot="1" x14ac:dyDescent="0.3">
      <c r="A38" s="71" t="s">
        <v>46</v>
      </c>
      <c r="B38" s="72">
        <f t="shared" ref="B38" si="4">SUM(B11:B36)</f>
        <v>390.69999999999993</v>
      </c>
      <c r="C38" s="72">
        <f t="shared" ref="C38:AF38" si="5">SUM(C11:C36)</f>
        <v>390.59999999999991</v>
      </c>
      <c r="D38" s="72">
        <f t="shared" si="5"/>
        <v>391.2</v>
      </c>
      <c r="E38" s="72">
        <f t="shared" si="5"/>
        <v>391.2</v>
      </c>
      <c r="F38" s="72">
        <f t="shared" si="5"/>
        <v>391.2</v>
      </c>
      <c r="G38" s="72">
        <f t="shared" si="5"/>
        <v>391.2</v>
      </c>
      <c r="H38" s="72">
        <f t="shared" si="5"/>
        <v>394.5</v>
      </c>
      <c r="I38" s="72">
        <f t="shared" si="5"/>
        <v>394.5</v>
      </c>
      <c r="J38" s="72">
        <f t="shared" si="5"/>
        <v>429.49999999999994</v>
      </c>
      <c r="K38" s="72">
        <f t="shared" si="5"/>
        <v>649.5</v>
      </c>
      <c r="L38" s="72">
        <f t="shared" si="5"/>
        <v>679.5</v>
      </c>
      <c r="M38" s="72">
        <f t="shared" si="5"/>
        <v>679.5</v>
      </c>
      <c r="N38" s="72">
        <f t="shared" si="5"/>
        <v>679.5</v>
      </c>
      <c r="O38" s="72">
        <f t="shared" si="5"/>
        <v>600</v>
      </c>
      <c r="P38" s="72">
        <f t="shared" si="5"/>
        <v>600</v>
      </c>
      <c r="Q38" s="72">
        <f t="shared" si="5"/>
        <v>399.29999999999995</v>
      </c>
      <c r="R38" s="72">
        <f t="shared" si="5"/>
        <v>381.6</v>
      </c>
      <c r="S38" s="72">
        <f t="shared" si="5"/>
        <v>383</v>
      </c>
      <c r="T38" s="72">
        <f t="shared" si="5"/>
        <v>381</v>
      </c>
      <c r="U38" s="72">
        <f t="shared" si="5"/>
        <v>381</v>
      </c>
      <c r="V38" s="212"/>
      <c r="W38" s="72">
        <f t="shared" si="5"/>
        <v>391</v>
      </c>
      <c r="X38" s="72">
        <f t="shared" si="5"/>
        <v>440.99999999999994</v>
      </c>
      <c r="Y38" s="72">
        <v>440.99999999999994</v>
      </c>
      <c r="Z38" s="72">
        <f t="shared" si="5"/>
        <v>440.99999999999994</v>
      </c>
      <c r="AA38" s="72">
        <f t="shared" si="5"/>
        <v>420.99999999999994</v>
      </c>
      <c r="AB38" s="72">
        <f t="shared" si="5"/>
        <v>420.99999999999994</v>
      </c>
      <c r="AC38" s="72">
        <f t="shared" si="5"/>
        <v>401</v>
      </c>
      <c r="AD38" s="72">
        <f t="shared" si="5"/>
        <v>401</v>
      </c>
      <c r="AE38" s="72">
        <f t="shared" si="5"/>
        <v>401</v>
      </c>
      <c r="AF38" s="72">
        <f t="shared" si="5"/>
        <v>386</v>
      </c>
      <c r="AG38" s="67">
        <f>SUM(AG11:AG37)</f>
        <v>1492.8299999999997</v>
      </c>
      <c r="AH38" s="54">
        <f t="shared" si="2"/>
        <v>679.5</v>
      </c>
      <c r="AI38" s="55">
        <f t="shared" si="3"/>
        <v>381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32.700000000000003</v>
      </c>
      <c r="I39" s="61">
        <v>44</v>
      </c>
      <c r="J39" s="61">
        <v>107</v>
      </c>
      <c r="K39" s="61">
        <v>140</v>
      </c>
      <c r="L39" s="61">
        <v>145.69999999999999</v>
      </c>
      <c r="M39" s="50">
        <v>143.69999999999999</v>
      </c>
      <c r="N39" s="50">
        <v>106.4</v>
      </c>
      <c r="O39" s="50">
        <v>97.2</v>
      </c>
      <c r="P39" s="50">
        <v>95.9</v>
      </c>
      <c r="Q39" s="50">
        <v>81</v>
      </c>
      <c r="R39" s="50">
        <v>73.3</v>
      </c>
      <c r="S39" s="50">
        <v>81.400000000000006</v>
      </c>
      <c r="T39" s="50">
        <v>62.5</v>
      </c>
      <c r="U39" s="50">
        <v>85</v>
      </c>
      <c r="V39" s="212"/>
      <c r="W39" s="50">
        <v>72</v>
      </c>
      <c r="X39" s="50">
        <v>121.7</v>
      </c>
      <c r="Y39" s="50">
        <v>145.1</v>
      </c>
      <c r="Z39" s="50">
        <v>131.5</v>
      </c>
      <c r="AA39" s="50">
        <v>131.5</v>
      </c>
      <c r="AB39" s="50">
        <v>121.7</v>
      </c>
      <c r="AC39" s="50">
        <v>144.9</v>
      </c>
      <c r="AD39" s="50">
        <v>131.1</v>
      </c>
      <c r="AE39" s="50">
        <v>62.9</v>
      </c>
      <c r="AF39" s="49">
        <v>48.6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23.6</v>
      </c>
      <c r="I40" s="61">
        <v>35</v>
      </c>
      <c r="J40" s="61">
        <v>60</v>
      </c>
      <c r="K40" s="61">
        <v>69.8</v>
      </c>
      <c r="L40" s="61">
        <v>69.8</v>
      </c>
      <c r="M40" s="73">
        <v>65.3</v>
      </c>
      <c r="N40" s="73">
        <v>51.2</v>
      </c>
      <c r="O40" s="73">
        <v>70.8</v>
      </c>
      <c r="P40" s="73">
        <v>68.099999999999994</v>
      </c>
      <c r="Q40" s="73">
        <v>30.8</v>
      </c>
      <c r="R40" s="73">
        <v>23.6</v>
      </c>
      <c r="S40" s="73">
        <v>23.9</v>
      </c>
      <c r="T40" s="73">
        <v>34.9</v>
      </c>
      <c r="U40" s="73">
        <v>35</v>
      </c>
      <c r="V40" s="212"/>
      <c r="W40" s="73">
        <v>48.8</v>
      </c>
      <c r="X40" s="73">
        <v>48.2</v>
      </c>
      <c r="Y40" s="73">
        <v>48.1</v>
      </c>
      <c r="Z40" s="73">
        <v>50.3</v>
      </c>
      <c r="AA40" s="73">
        <v>50.3</v>
      </c>
      <c r="AB40" s="73">
        <v>46.6</v>
      </c>
      <c r="AC40" s="73">
        <v>70.2</v>
      </c>
      <c r="AD40" s="73">
        <v>59.1</v>
      </c>
      <c r="AE40" s="73">
        <v>25</v>
      </c>
      <c r="AF40" s="61">
        <v>0</v>
      </c>
      <c r="AG40" s="67">
        <v>70</v>
      </c>
      <c r="AH40" s="54">
        <f t="shared" si="2"/>
        <v>70.8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23.6</v>
      </c>
      <c r="C41" s="61">
        <v>23</v>
      </c>
      <c r="D41" s="61">
        <v>23.2</v>
      </c>
      <c r="E41" s="61">
        <v>22.5</v>
      </c>
      <c r="F41" s="61">
        <v>18.100000000000001</v>
      </c>
      <c r="G41" s="61">
        <v>18.600000000000001</v>
      </c>
      <c r="H41" s="61">
        <v>33.799999999999997</v>
      </c>
      <c r="I41" s="61">
        <v>34.4</v>
      </c>
      <c r="J41" s="61">
        <v>46.5</v>
      </c>
      <c r="K41" s="61">
        <v>41.9</v>
      </c>
      <c r="L41" s="61">
        <v>48.9</v>
      </c>
      <c r="M41" s="73">
        <v>47.1</v>
      </c>
      <c r="N41" s="73">
        <v>42.7</v>
      </c>
      <c r="O41" s="73">
        <v>44.8</v>
      </c>
      <c r="P41" s="73">
        <v>32.4</v>
      </c>
      <c r="Q41" s="73">
        <v>31.7</v>
      </c>
      <c r="R41" s="73">
        <v>17.7</v>
      </c>
      <c r="S41" s="73">
        <v>15.9</v>
      </c>
      <c r="T41" s="73">
        <v>16.100000000000001</v>
      </c>
      <c r="U41" s="73">
        <v>23</v>
      </c>
      <c r="V41" s="212"/>
      <c r="W41" s="73">
        <v>42</v>
      </c>
      <c r="X41" s="73">
        <v>49</v>
      </c>
      <c r="Y41" s="73">
        <v>68.3</v>
      </c>
      <c r="Z41" s="73">
        <v>65.900000000000006</v>
      </c>
      <c r="AA41" s="73">
        <v>65.900000000000006</v>
      </c>
      <c r="AB41" s="73">
        <v>67.599999999999994</v>
      </c>
      <c r="AC41" s="73">
        <v>67.099999999999994</v>
      </c>
      <c r="AD41" s="73">
        <v>62.5</v>
      </c>
      <c r="AE41" s="73">
        <v>34</v>
      </c>
      <c r="AF41" s="61">
        <v>0</v>
      </c>
      <c r="AG41" s="67">
        <v>69</v>
      </c>
      <c r="AH41" s="54">
        <f t="shared" si="2"/>
        <v>68.3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49.4</v>
      </c>
      <c r="C42" s="61">
        <v>48.9</v>
      </c>
      <c r="D42" s="61">
        <v>48.9</v>
      </c>
      <c r="E42" s="61">
        <v>48.4</v>
      </c>
      <c r="F42" s="61">
        <v>45.1</v>
      </c>
      <c r="G42" s="61">
        <v>46.6</v>
      </c>
      <c r="H42" s="61">
        <v>47.1</v>
      </c>
      <c r="I42" s="61">
        <v>40.1</v>
      </c>
      <c r="J42" s="61">
        <v>42.3</v>
      </c>
      <c r="K42" s="61">
        <v>43.3</v>
      </c>
      <c r="L42" s="61">
        <v>43.3</v>
      </c>
      <c r="M42" s="73">
        <v>43.3</v>
      </c>
      <c r="N42" s="73">
        <v>48.3</v>
      </c>
      <c r="O42" s="73">
        <v>48.1</v>
      </c>
      <c r="P42" s="73">
        <v>48.1</v>
      </c>
      <c r="Q42" s="73">
        <v>48.3</v>
      </c>
      <c r="R42" s="73">
        <v>48.1</v>
      </c>
      <c r="S42" s="73">
        <v>48.1</v>
      </c>
      <c r="T42" s="73">
        <v>43.3</v>
      </c>
      <c r="U42" s="73">
        <v>44.4</v>
      </c>
      <c r="V42" s="212"/>
      <c r="W42" s="73">
        <v>47.9</v>
      </c>
      <c r="X42" s="73">
        <v>47.4</v>
      </c>
      <c r="Y42" s="73">
        <v>47.1</v>
      </c>
      <c r="Z42" s="73">
        <v>47.1</v>
      </c>
      <c r="AA42" s="73">
        <v>47.1</v>
      </c>
      <c r="AB42" s="73">
        <v>42.1</v>
      </c>
      <c r="AC42" s="73">
        <v>46.6</v>
      </c>
      <c r="AD42" s="73">
        <v>46.6</v>
      </c>
      <c r="AE42" s="73">
        <v>46.9</v>
      </c>
      <c r="AF42" s="61">
        <v>46.6</v>
      </c>
      <c r="AG42" s="67">
        <v>60</v>
      </c>
      <c r="AH42" s="54">
        <f t="shared" si="2"/>
        <v>49.4</v>
      </c>
      <c r="AI42" s="55">
        <f t="shared" si="3"/>
        <v>40.1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10</v>
      </c>
      <c r="F43" s="61">
        <v>10</v>
      </c>
      <c r="G43" s="61">
        <v>10</v>
      </c>
      <c r="H43" s="61">
        <v>10</v>
      </c>
      <c r="I43" s="61">
        <v>10</v>
      </c>
      <c r="J43" s="61">
        <v>10</v>
      </c>
      <c r="K43" s="61">
        <v>10</v>
      </c>
      <c r="L43" s="61">
        <v>15</v>
      </c>
      <c r="M43" s="50">
        <v>15</v>
      </c>
      <c r="N43" s="50">
        <v>15</v>
      </c>
      <c r="O43" s="50">
        <v>15</v>
      </c>
      <c r="P43" s="50">
        <v>15</v>
      </c>
      <c r="Q43" s="50">
        <v>13</v>
      </c>
      <c r="R43" s="50">
        <v>10</v>
      </c>
      <c r="S43" s="50">
        <v>10</v>
      </c>
      <c r="T43" s="50">
        <v>10</v>
      </c>
      <c r="U43" s="50">
        <v>10</v>
      </c>
      <c r="V43" s="212"/>
      <c r="W43" s="50">
        <v>0</v>
      </c>
      <c r="X43" s="50">
        <v>0</v>
      </c>
      <c r="Y43" s="50">
        <v>15</v>
      </c>
      <c r="Z43" s="50">
        <v>0</v>
      </c>
      <c r="AA43" s="50">
        <v>0</v>
      </c>
      <c r="AB43" s="73">
        <v>10</v>
      </c>
      <c r="AC43" s="73">
        <v>10</v>
      </c>
      <c r="AD43" s="73">
        <v>13</v>
      </c>
      <c r="AE43" s="73">
        <v>10</v>
      </c>
      <c r="AF43" s="61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212"/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212"/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4</v>
      </c>
      <c r="C46" s="50">
        <v>4</v>
      </c>
      <c r="D46" s="50">
        <v>4</v>
      </c>
      <c r="E46" s="50">
        <v>4</v>
      </c>
      <c r="F46" s="50">
        <v>4</v>
      </c>
      <c r="G46" s="50">
        <v>4</v>
      </c>
      <c r="H46" s="50">
        <v>4</v>
      </c>
      <c r="I46" s="50">
        <v>4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212"/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10</v>
      </c>
      <c r="H47" s="50">
        <v>10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212"/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212"/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6.4</v>
      </c>
      <c r="C49" s="50">
        <v>6.4</v>
      </c>
      <c r="D49" s="50">
        <v>6.4</v>
      </c>
      <c r="E49" s="50">
        <v>6.4</v>
      </c>
      <c r="F49" s="50">
        <v>6.4</v>
      </c>
      <c r="G49" s="50">
        <v>6.4</v>
      </c>
      <c r="H49" s="50">
        <v>6.4</v>
      </c>
      <c r="I49" s="50">
        <v>6.4</v>
      </c>
      <c r="J49" s="50">
        <v>6.4</v>
      </c>
      <c r="K49" s="50">
        <v>6.4</v>
      </c>
      <c r="L49" s="50">
        <v>6.4</v>
      </c>
      <c r="M49" s="50">
        <v>6.4</v>
      </c>
      <c r="N49" s="50">
        <v>6.4</v>
      </c>
      <c r="O49" s="50">
        <v>6.4</v>
      </c>
      <c r="P49" s="50">
        <v>6.4</v>
      </c>
      <c r="Q49" s="50">
        <v>0</v>
      </c>
      <c r="R49" s="50">
        <v>0</v>
      </c>
      <c r="S49" s="50">
        <v>0</v>
      </c>
      <c r="T49" s="50">
        <v>5</v>
      </c>
      <c r="U49" s="50">
        <v>5</v>
      </c>
      <c r="V49" s="212"/>
      <c r="W49" s="50">
        <v>5</v>
      </c>
      <c r="X49" s="50">
        <v>5</v>
      </c>
      <c r="Y49" s="50">
        <v>5</v>
      </c>
      <c r="Z49" s="50">
        <v>5</v>
      </c>
      <c r="AA49" s="50">
        <v>5</v>
      </c>
      <c r="AB49" s="50">
        <v>5</v>
      </c>
      <c r="AC49" s="50">
        <v>5</v>
      </c>
      <c r="AD49" s="50">
        <v>5</v>
      </c>
      <c r="AE49" s="50">
        <v>5</v>
      </c>
      <c r="AF49" s="50">
        <v>5</v>
      </c>
      <c r="AG49" s="67">
        <v>10.050000000000001</v>
      </c>
      <c r="AH49" s="54">
        <f t="shared" si="2"/>
        <v>6.4</v>
      </c>
      <c r="AI49" s="55">
        <f t="shared" si="3"/>
        <v>0</v>
      </c>
      <c r="AK49" s="56"/>
    </row>
    <row r="50" spans="1:37" x14ac:dyDescent="0.25">
      <c r="A50" s="66" t="s">
        <v>58</v>
      </c>
      <c r="B50" s="50">
        <v>3.2</v>
      </c>
      <c r="C50" s="50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50">
        <v>3.2</v>
      </c>
      <c r="N50" s="50">
        <v>3.2</v>
      </c>
      <c r="O50" s="50">
        <v>3.2</v>
      </c>
      <c r="P50" s="50">
        <v>3.2</v>
      </c>
      <c r="Q50" s="50">
        <v>3.2</v>
      </c>
      <c r="R50" s="50">
        <v>3.2</v>
      </c>
      <c r="S50" s="50">
        <v>3.2</v>
      </c>
      <c r="T50" s="50">
        <v>3.2</v>
      </c>
      <c r="U50" s="50">
        <v>3.2</v>
      </c>
      <c r="V50" s="212"/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212"/>
      <c r="W51" s="77">
        <f t="shared" si="7"/>
        <v>3.54</v>
      </c>
      <c r="X51" s="77">
        <f t="shared" si="7"/>
        <v>3.54</v>
      </c>
      <c r="Y51" s="77"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121.14000000000001</v>
      </c>
      <c r="C52" s="72">
        <f t="shared" ref="C52:AF52" si="9">SUM(C39:C51)</f>
        <v>120.04000000000002</v>
      </c>
      <c r="D52" s="72">
        <f t="shared" si="9"/>
        <v>120.24000000000001</v>
      </c>
      <c r="E52" s="72">
        <f t="shared" si="9"/>
        <v>129.04000000000002</v>
      </c>
      <c r="F52" s="72">
        <f t="shared" si="9"/>
        <v>121.34000000000002</v>
      </c>
      <c r="G52" s="72">
        <f t="shared" si="9"/>
        <v>123.34000000000002</v>
      </c>
      <c r="H52" s="72">
        <f t="shared" si="9"/>
        <v>195.33999999999997</v>
      </c>
      <c r="I52" s="72">
        <f t="shared" si="9"/>
        <v>211.64</v>
      </c>
      <c r="J52" s="72">
        <f t="shared" si="9"/>
        <v>313.94</v>
      </c>
      <c r="K52" s="72">
        <f t="shared" si="9"/>
        <v>353.14</v>
      </c>
      <c r="L52" s="72">
        <f t="shared" si="9"/>
        <v>370.84</v>
      </c>
      <c r="M52" s="72">
        <f t="shared" si="9"/>
        <v>362.54</v>
      </c>
      <c r="N52" s="72">
        <f t="shared" si="9"/>
        <v>311.74</v>
      </c>
      <c r="O52" s="72">
        <f t="shared" si="9"/>
        <v>324.04000000000002</v>
      </c>
      <c r="P52" s="72">
        <f t="shared" si="9"/>
        <v>307.64</v>
      </c>
      <c r="Q52" s="72">
        <f t="shared" si="9"/>
        <v>246.54</v>
      </c>
      <c r="R52" s="72">
        <f t="shared" si="9"/>
        <v>214.44</v>
      </c>
      <c r="S52" s="72">
        <f t="shared" si="9"/>
        <v>221.04</v>
      </c>
      <c r="T52" s="72">
        <f t="shared" si="9"/>
        <v>213.54</v>
      </c>
      <c r="U52" s="72">
        <f t="shared" si="9"/>
        <v>244.14</v>
      </c>
      <c r="V52" s="212"/>
      <c r="W52" s="72">
        <f t="shared" si="9"/>
        <v>257.44</v>
      </c>
      <c r="X52" s="72">
        <f t="shared" si="9"/>
        <v>313.04000000000002</v>
      </c>
      <c r="Y52" s="72">
        <v>308.04000000000002</v>
      </c>
      <c r="Z52" s="72">
        <f t="shared" si="9"/>
        <v>341.54</v>
      </c>
      <c r="AA52" s="72">
        <f t="shared" si="9"/>
        <v>341.54</v>
      </c>
      <c r="AB52" s="72">
        <f t="shared" si="9"/>
        <v>334.74</v>
      </c>
      <c r="AC52" s="72">
        <f t="shared" si="9"/>
        <v>385.54000000000008</v>
      </c>
      <c r="AD52" s="72">
        <f t="shared" si="9"/>
        <v>359.04</v>
      </c>
      <c r="AE52" s="72">
        <f t="shared" si="9"/>
        <v>225.54</v>
      </c>
      <c r="AF52" s="72">
        <f t="shared" si="9"/>
        <v>141.93999999999997</v>
      </c>
      <c r="AG52" s="78">
        <f>SUM(AG39:AG51)</f>
        <v>489.91</v>
      </c>
      <c r="AH52" s="54">
        <f t="shared" si="2"/>
        <v>385.54000000000008</v>
      </c>
      <c r="AI52" s="55">
        <f t="shared" si="3"/>
        <v>120.04000000000002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79">
        <v>20.3</v>
      </c>
      <c r="N53" s="79">
        <v>13.3</v>
      </c>
      <c r="O53" s="79">
        <v>30</v>
      </c>
      <c r="P53" s="79">
        <v>30.4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212"/>
      <c r="W53" s="50">
        <v>49.1</v>
      </c>
      <c r="X53" s="50">
        <v>49</v>
      </c>
      <c r="Y53" s="50">
        <v>49</v>
      </c>
      <c r="Z53" s="50">
        <v>39.700000000000003</v>
      </c>
      <c r="AA53" s="50">
        <v>39.700000000000003</v>
      </c>
      <c r="AB53" s="50">
        <v>29.7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49.1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9.3000000000000007</v>
      </c>
      <c r="N54" s="79">
        <v>9.6999999999999993</v>
      </c>
      <c r="O54" s="79">
        <v>5.2</v>
      </c>
      <c r="P54" s="79">
        <v>8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212"/>
      <c r="W54" s="73">
        <v>31.1</v>
      </c>
      <c r="X54" s="73">
        <v>21.3</v>
      </c>
      <c r="Y54" s="73">
        <v>22.8</v>
      </c>
      <c r="Z54" s="73">
        <v>19.100000000000001</v>
      </c>
      <c r="AA54" s="73">
        <v>19.100000000000001</v>
      </c>
      <c r="AB54" s="73">
        <v>14.6</v>
      </c>
      <c r="AC54" s="73">
        <v>3.9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31.1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3.4</v>
      </c>
      <c r="N55" s="81">
        <v>3.6</v>
      </c>
      <c r="O55" s="81">
        <v>1.9</v>
      </c>
      <c r="P55" s="81">
        <v>2.9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212"/>
      <c r="W55" s="80">
        <v>11.5</v>
      </c>
      <c r="X55" s="80">
        <v>7.8</v>
      </c>
      <c r="Y55" s="80">
        <v>8.3000000000000007</v>
      </c>
      <c r="Z55" s="80">
        <v>7</v>
      </c>
      <c r="AA55" s="80">
        <v>7</v>
      </c>
      <c r="AB55" s="80">
        <v>5.3</v>
      </c>
      <c r="AC55" s="80">
        <v>1.4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11.5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0</v>
      </c>
      <c r="L56" s="72">
        <f t="shared" si="11"/>
        <v>0</v>
      </c>
      <c r="M56" s="72">
        <f t="shared" si="11"/>
        <v>33</v>
      </c>
      <c r="N56" s="72">
        <f t="shared" si="11"/>
        <v>26.6</v>
      </c>
      <c r="O56" s="72">
        <f t="shared" si="11"/>
        <v>37.1</v>
      </c>
      <c r="P56" s="72">
        <f t="shared" si="11"/>
        <v>41.3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2">
        <f t="shared" si="11"/>
        <v>0</v>
      </c>
      <c r="U56" s="72">
        <f t="shared" si="11"/>
        <v>0</v>
      </c>
      <c r="V56" s="212"/>
      <c r="W56" s="72">
        <f t="shared" si="11"/>
        <v>91.7</v>
      </c>
      <c r="X56" s="72">
        <f t="shared" si="11"/>
        <v>78.099999999999994</v>
      </c>
      <c r="Y56" s="72">
        <v>78.099999999999994</v>
      </c>
      <c r="Z56" s="72">
        <f t="shared" si="11"/>
        <v>65.800000000000011</v>
      </c>
      <c r="AA56" s="72">
        <f t="shared" si="11"/>
        <v>65.800000000000011</v>
      </c>
      <c r="AB56" s="72">
        <f t="shared" si="11"/>
        <v>49.599999999999994</v>
      </c>
      <c r="AC56" s="72">
        <f t="shared" si="11"/>
        <v>5.3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91.7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68</v>
      </c>
      <c r="C57" s="50">
        <v>65</v>
      </c>
      <c r="D57" s="50">
        <v>69</v>
      </c>
      <c r="E57" s="50">
        <v>57</v>
      </c>
      <c r="F57" s="50">
        <v>53</v>
      </c>
      <c r="G57" s="50">
        <v>71</v>
      </c>
      <c r="H57" s="50">
        <v>65</v>
      </c>
      <c r="I57" s="50">
        <v>74</v>
      </c>
      <c r="J57" s="50">
        <v>68</v>
      </c>
      <c r="K57" s="50">
        <v>77.819999999999993</v>
      </c>
      <c r="L57" s="50">
        <v>77.3</v>
      </c>
      <c r="M57" s="50">
        <v>77</v>
      </c>
      <c r="N57" s="50">
        <v>68.599999999999994</v>
      </c>
      <c r="O57" s="50">
        <v>73.25</v>
      </c>
      <c r="P57" s="50">
        <v>73.7</v>
      </c>
      <c r="Q57" s="50">
        <v>72.33</v>
      </c>
      <c r="R57" s="50">
        <v>74.86</v>
      </c>
      <c r="S57" s="50">
        <v>74.900000000000006</v>
      </c>
      <c r="T57" s="50">
        <v>66</v>
      </c>
      <c r="U57" s="50">
        <v>69</v>
      </c>
      <c r="V57" s="212"/>
      <c r="W57" s="50">
        <v>66</v>
      </c>
      <c r="X57" s="50">
        <v>67.62</v>
      </c>
      <c r="Y57" s="50">
        <v>63</v>
      </c>
      <c r="Z57" s="50">
        <v>73.83</v>
      </c>
      <c r="AA57" s="50">
        <v>60</v>
      </c>
      <c r="AB57" s="50">
        <v>62</v>
      </c>
      <c r="AC57" s="50">
        <v>66.13</v>
      </c>
      <c r="AD57" s="50">
        <v>67.83</v>
      </c>
      <c r="AE57" s="50">
        <v>56</v>
      </c>
      <c r="AF57" s="50">
        <v>71.52</v>
      </c>
      <c r="AG57" s="62"/>
      <c r="AH57" s="54">
        <f t="shared" si="2"/>
        <v>77.819999999999993</v>
      </c>
      <c r="AI57" s="55">
        <f t="shared" si="3"/>
        <v>53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96</v>
      </c>
      <c r="L58" s="73">
        <v>120</v>
      </c>
      <c r="M58" s="50">
        <v>125</v>
      </c>
      <c r="N58" s="50">
        <v>123.1</v>
      </c>
      <c r="O58" s="50">
        <v>69.400000000000006</v>
      </c>
      <c r="P58" s="50">
        <v>89.9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212"/>
      <c r="W58" s="50">
        <v>0</v>
      </c>
      <c r="X58" s="50">
        <v>0</v>
      </c>
      <c r="Y58" s="83">
        <v>0</v>
      </c>
      <c r="Z58" s="50">
        <v>0</v>
      </c>
      <c r="AA58" s="50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125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281</v>
      </c>
      <c r="C59" s="73">
        <v>310</v>
      </c>
      <c r="D59" s="73">
        <v>255</v>
      </c>
      <c r="E59" s="73">
        <v>284</v>
      </c>
      <c r="F59" s="73">
        <v>217.5</v>
      </c>
      <c r="G59" s="73">
        <v>292.39999999999998</v>
      </c>
      <c r="H59" s="50">
        <v>279</v>
      </c>
      <c r="I59" s="50">
        <v>353</v>
      </c>
      <c r="J59" s="50">
        <v>343</v>
      </c>
      <c r="K59" s="50">
        <v>45.6</v>
      </c>
      <c r="L59" s="50">
        <v>48</v>
      </c>
      <c r="M59" s="73">
        <v>51.8</v>
      </c>
      <c r="N59" s="73">
        <v>46.4</v>
      </c>
      <c r="O59" s="73">
        <v>58.8</v>
      </c>
      <c r="P59" s="73">
        <v>4.7</v>
      </c>
      <c r="Q59" s="73">
        <v>362</v>
      </c>
      <c r="R59" s="73">
        <v>392.8</v>
      </c>
      <c r="S59" s="73">
        <v>400.9</v>
      </c>
      <c r="T59" s="73">
        <v>393</v>
      </c>
      <c r="U59" s="73">
        <v>381</v>
      </c>
      <c r="V59" s="212"/>
      <c r="W59" s="73">
        <v>300</v>
      </c>
      <c r="X59" s="73">
        <v>380</v>
      </c>
      <c r="Y59" s="84">
        <v>375</v>
      </c>
      <c r="Z59" s="73">
        <v>367</v>
      </c>
      <c r="AA59" s="73">
        <v>350</v>
      </c>
      <c r="AB59" s="73">
        <v>354</v>
      </c>
      <c r="AC59" s="73">
        <v>387</v>
      </c>
      <c r="AD59" s="73">
        <v>380</v>
      </c>
      <c r="AE59" s="73">
        <v>291</v>
      </c>
      <c r="AF59" s="73">
        <v>334.5</v>
      </c>
      <c r="AG59" s="85"/>
      <c r="AH59" s="54">
        <f t="shared" si="2"/>
        <v>400.9</v>
      </c>
      <c r="AI59" s="55">
        <f t="shared" si="3"/>
        <v>4.7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60.7</v>
      </c>
      <c r="L60" s="58">
        <v>56.1</v>
      </c>
      <c r="M60" s="73">
        <v>52.2</v>
      </c>
      <c r="N60" s="73">
        <v>60.1</v>
      </c>
      <c r="O60" s="73">
        <v>57.6</v>
      </c>
      <c r="P60" s="73">
        <v>50.2</v>
      </c>
      <c r="Q60" s="73">
        <v>57.8</v>
      </c>
      <c r="R60" s="73">
        <v>55.9</v>
      </c>
      <c r="S60" s="73">
        <v>52.6</v>
      </c>
      <c r="T60" s="73">
        <v>62.2</v>
      </c>
      <c r="U60" s="73">
        <v>43.8</v>
      </c>
      <c r="V60" s="212"/>
      <c r="W60" s="73">
        <v>55.4</v>
      </c>
      <c r="X60" s="73">
        <v>57.8</v>
      </c>
      <c r="Y60" s="73">
        <v>62.2</v>
      </c>
      <c r="Z60" s="73">
        <v>60.2</v>
      </c>
      <c r="AA60" s="73">
        <v>61.9</v>
      </c>
      <c r="AB60" s="73">
        <v>59.3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62.2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61</v>
      </c>
      <c r="C61" s="58">
        <v>0</v>
      </c>
      <c r="D61" s="58">
        <v>0</v>
      </c>
      <c r="E61" s="58">
        <v>0</v>
      </c>
      <c r="F61" s="58">
        <v>68.5</v>
      </c>
      <c r="G61" s="58">
        <v>71.8</v>
      </c>
      <c r="H61" s="58">
        <v>78.8</v>
      </c>
      <c r="I61" s="58">
        <v>68</v>
      </c>
      <c r="J61" s="58">
        <v>79.8</v>
      </c>
      <c r="K61" s="58">
        <v>82.1</v>
      </c>
      <c r="L61" s="58">
        <v>83</v>
      </c>
      <c r="M61" s="50">
        <v>86.6</v>
      </c>
      <c r="N61" s="50">
        <v>54.6</v>
      </c>
      <c r="O61" s="50">
        <v>85.1</v>
      </c>
      <c r="P61" s="50">
        <v>78.7</v>
      </c>
      <c r="Q61" s="50">
        <v>84.3</v>
      </c>
      <c r="R61" s="50">
        <v>81.8</v>
      </c>
      <c r="S61" s="50">
        <v>73.099999999999994</v>
      </c>
      <c r="T61" s="50">
        <v>77.2</v>
      </c>
      <c r="U61" s="50">
        <v>87.2</v>
      </c>
      <c r="V61" s="212"/>
      <c r="W61" s="50">
        <v>85.5</v>
      </c>
      <c r="X61" s="50">
        <v>83.9</v>
      </c>
      <c r="Y61" s="50">
        <v>86.7</v>
      </c>
      <c r="Z61" s="50">
        <v>83.5</v>
      </c>
      <c r="AA61" s="50">
        <v>83.7</v>
      </c>
      <c r="AB61" s="50">
        <v>69</v>
      </c>
      <c r="AC61" s="50">
        <v>0</v>
      </c>
      <c r="AD61" s="50">
        <v>0</v>
      </c>
      <c r="AE61" s="50">
        <v>0</v>
      </c>
      <c r="AF61" s="50">
        <v>0</v>
      </c>
      <c r="AG61" s="85"/>
      <c r="AH61" s="54">
        <f t="shared" si="2"/>
        <v>87.2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212"/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73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212"/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73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212"/>
      <c r="W64" s="60">
        <v>0</v>
      </c>
      <c r="X64" s="60">
        <v>0</v>
      </c>
      <c r="Y64" s="58">
        <v>0</v>
      </c>
      <c r="Z64" s="60">
        <v>0</v>
      </c>
      <c r="AA64" s="6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ht="15.75" customHeight="1" x14ac:dyDescent="0.25">
      <c r="A65" s="66" t="s">
        <v>73</v>
      </c>
      <c r="B65" s="58">
        <v>0</v>
      </c>
      <c r="C65" s="73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212"/>
      <c r="W65" s="60">
        <v>0</v>
      </c>
      <c r="X65" s="60">
        <v>0</v>
      </c>
      <c r="Y65" s="58">
        <v>0</v>
      </c>
      <c r="Z65" s="60">
        <v>0</v>
      </c>
      <c r="AA65" s="6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73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212"/>
      <c r="W66" s="60">
        <v>0</v>
      </c>
      <c r="X66" s="60">
        <v>0</v>
      </c>
      <c r="Y66" s="63">
        <v>0</v>
      </c>
      <c r="Z66" s="60">
        <v>0</v>
      </c>
      <c r="AA66" s="60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73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212"/>
      <c r="W67" s="60">
        <v>0</v>
      </c>
      <c r="X67" s="60">
        <v>0</v>
      </c>
      <c r="Y67" s="63">
        <v>0</v>
      </c>
      <c r="Z67" s="60">
        <v>0</v>
      </c>
      <c r="AA67" s="60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410</v>
      </c>
      <c r="C68" s="72">
        <f>SUM(C57:C67)</f>
        <v>375</v>
      </c>
      <c r="D68" s="72">
        <f t="shared" ref="D68:AF68" si="13">SUM(D57:D67)</f>
        <v>324</v>
      </c>
      <c r="E68" s="72">
        <f t="shared" si="13"/>
        <v>341</v>
      </c>
      <c r="F68" s="72">
        <f t="shared" si="13"/>
        <v>339</v>
      </c>
      <c r="G68" s="72">
        <f t="shared" si="13"/>
        <v>435.2</v>
      </c>
      <c r="H68" s="72">
        <f t="shared" si="13"/>
        <v>422.8</v>
      </c>
      <c r="I68" s="72">
        <f t="shared" si="13"/>
        <v>495</v>
      </c>
      <c r="J68" s="72">
        <f t="shared" si="13"/>
        <v>490.8</v>
      </c>
      <c r="K68" s="72">
        <f t="shared" si="13"/>
        <v>362.22</v>
      </c>
      <c r="L68" s="72">
        <f t="shared" si="13"/>
        <v>384.40000000000003</v>
      </c>
      <c r="M68" s="72">
        <f t="shared" si="13"/>
        <v>392.6</v>
      </c>
      <c r="N68" s="72">
        <f t="shared" si="13"/>
        <v>352.8</v>
      </c>
      <c r="O68" s="72">
        <f t="shared" si="13"/>
        <v>344.15</v>
      </c>
      <c r="P68" s="72">
        <f t="shared" si="13"/>
        <v>297.2</v>
      </c>
      <c r="Q68" s="72">
        <f t="shared" si="13"/>
        <v>576.42999999999995</v>
      </c>
      <c r="R68" s="72">
        <f t="shared" si="13"/>
        <v>605.36</v>
      </c>
      <c r="S68" s="72">
        <f t="shared" si="13"/>
        <v>601.5</v>
      </c>
      <c r="T68" s="72">
        <f t="shared" si="13"/>
        <v>598.40000000000009</v>
      </c>
      <c r="U68" s="72">
        <f t="shared" si="13"/>
        <v>581</v>
      </c>
      <c r="V68" s="212"/>
      <c r="W68" s="72">
        <f t="shared" si="13"/>
        <v>506.9</v>
      </c>
      <c r="X68" s="72">
        <f t="shared" si="13"/>
        <v>589.32000000000005</v>
      </c>
      <c r="Y68" s="72">
        <v>589.32000000000005</v>
      </c>
      <c r="Z68" s="72">
        <f t="shared" si="13"/>
        <v>584.53</v>
      </c>
      <c r="AA68" s="72">
        <f t="shared" si="13"/>
        <v>555.6</v>
      </c>
      <c r="AB68" s="72">
        <f t="shared" si="13"/>
        <v>544.29999999999995</v>
      </c>
      <c r="AC68" s="72">
        <f t="shared" si="13"/>
        <v>453.13</v>
      </c>
      <c r="AD68" s="72">
        <f t="shared" si="13"/>
        <v>447.83</v>
      </c>
      <c r="AE68" s="72">
        <f t="shared" si="13"/>
        <v>347</v>
      </c>
      <c r="AF68" s="72">
        <f t="shared" si="13"/>
        <v>406.02</v>
      </c>
      <c r="AG68" s="78">
        <f>SUM(AG57:AG67)</f>
        <v>0</v>
      </c>
      <c r="AH68" s="54">
        <f t="shared" si="2"/>
        <v>605.36</v>
      </c>
      <c r="AI68" s="55">
        <f t="shared" si="3"/>
        <v>297.2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212"/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212"/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212"/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212"/>
      <c r="W72" s="72">
        <f t="shared" si="15"/>
        <v>0</v>
      </c>
      <c r="X72" s="72">
        <f t="shared" si="15"/>
        <v>0</v>
      </c>
      <c r="Y72" s="72"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921.83999999999992</v>
      </c>
      <c r="C73" s="89">
        <f>C68+C56+C52+C38+C72</f>
        <v>885.63999999999987</v>
      </c>
      <c r="D73" s="89">
        <f t="shared" ref="D73:AG73" si="17">D68+D56+D52+D38+D72</f>
        <v>835.44</v>
      </c>
      <c r="E73" s="89">
        <f t="shared" si="17"/>
        <v>861.24</v>
      </c>
      <c r="F73" s="89">
        <f t="shared" si="17"/>
        <v>851.54</v>
      </c>
      <c r="G73" s="89">
        <f t="shared" si="17"/>
        <v>949.74</v>
      </c>
      <c r="H73" s="89">
        <f t="shared" si="17"/>
        <v>1012.64</v>
      </c>
      <c r="I73" s="89">
        <f t="shared" si="17"/>
        <v>1101.1399999999999</v>
      </c>
      <c r="J73" s="89">
        <f t="shared" si="17"/>
        <v>1234.24</v>
      </c>
      <c r="K73" s="89">
        <f t="shared" si="17"/>
        <v>1364.8600000000001</v>
      </c>
      <c r="L73" s="89">
        <f t="shared" si="17"/>
        <v>1434.74</v>
      </c>
      <c r="M73" s="89">
        <f t="shared" si="17"/>
        <v>1467.64</v>
      </c>
      <c r="N73" s="89">
        <f t="shared" si="17"/>
        <v>1370.64</v>
      </c>
      <c r="O73" s="89">
        <f t="shared" si="17"/>
        <v>1305.29</v>
      </c>
      <c r="P73" s="89">
        <f t="shared" si="17"/>
        <v>1246.1399999999999</v>
      </c>
      <c r="Q73" s="89">
        <f t="shared" si="17"/>
        <v>1222.27</v>
      </c>
      <c r="R73" s="89">
        <f t="shared" si="17"/>
        <v>1201.4000000000001</v>
      </c>
      <c r="S73" s="89">
        <f t="shared" si="17"/>
        <v>1205.54</v>
      </c>
      <c r="T73" s="89">
        <f t="shared" si="17"/>
        <v>1192.94</v>
      </c>
      <c r="U73" s="89">
        <f t="shared" si="17"/>
        <v>1206.1399999999999</v>
      </c>
      <c r="V73" s="212"/>
      <c r="W73" s="89">
        <f t="shared" si="17"/>
        <v>1247.04</v>
      </c>
      <c r="X73" s="89">
        <f t="shared" si="17"/>
        <v>1421.46</v>
      </c>
      <c r="Y73" s="89">
        <v>1416.46</v>
      </c>
      <c r="Z73" s="89">
        <f t="shared" si="17"/>
        <v>1432.87</v>
      </c>
      <c r="AA73" s="89">
        <f t="shared" si="17"/>
        <v>1383.94</v>
      </c>
      <c r="AB73" s="89">
        <f t="shared" si="17"/>
        <v>1349.6399999999999</v>
      </c>
      <c r="AC73" s="89">
        <f t="shared" si="17"/>
        <v>1244.97</v>
      </c>
      <c r="AD73" s="89">
        <f t="shared" si="17"/>
        <v>1207.8699999999999</v>
      </c>
      <c r="AE73" s="89">
        <f t="shared" si="17"/>
        <v>973.54</v>
      </c>
      <c r="AF73" s="89">
        <f t="shared" si="17"/>
        <v>933.95999999999992</v>
      </c>
      <c r="AG73" s="89">
        <f t="shared" si="17"/>
        <v>2144.14</v>
      </c>
      <c r="AH73" s="54">
        <f t="shared" si="2"/>
        <v>1467.64</v>
      </c>
      <c r="AI73" s="55">
        <f t="shared" si="3"/>
        <v>835.44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212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921.83999999999992</v>
      </c>
      <c r="C75" s="89">
        <f>C73+C74</f>
        <v>885.63999999999987</v>
      </c>
      <c r="D75" s="89">
        <f t="shared" ref="D75:AF75" si="19">D72+D68+D56+D52+D38+D74</f>
        <v>835.44</v>
      </c>
      <c r="E75" s="89">
        <f t="shared" si="19"/>
        <v>861.24</v>
      </c>
      <c r="F75" s="89">
        <f t="shared" si="19"/>
        <v>851.54</v>
      </c>
      <c r="G75" s="89">
        <f t="shared" si="19"/>
        <v>949.74</v>
      </c>
      <c r="H75" s="89">
        <f t="shared" si="19"/>
        <v>1012.64</v>
      </c>
      <c r="I75" s="89">
        <f t="shared" si="19"/>
        <v>1101.1399999999999</v>
      </c>
      <c r="J75" s="89">
        <f t="shared" si="19"/>
        <v>1234.24</v>
      </c>
      <c r="K75" s="89">
        <f t="shared" si="19"/>
        <v>1364.8600000000001</v>
      </c>
      <c r="L75" s="89">
        <f t="shared" si="19"/>
        <v>1434.74</v>
      </c>
      <c r="M75" s="89">
        <f t="shared" si="19"/>
        <v>1467.64</v>
      </c>
      <c r="N75" s="89">
        <f t="shared" si="19"/>
        <v>1370.64</v>
      </c>
      <c r="O75" s="89">
        <f t="shared" si="19"/>
        <v>1305.29</v>
      </c>
      <c r="P75" s="89">
        <f t="shared" si="19"/>
        <v>1246.1399999999999</v>
      </c>
      <c r="Q75" s="89">
        <f t="shared" si="19"/>
        <v>1222.27</v>
      </c>
      <c r="R75" s="89">
        <f t="shared" si="19"/>
        <v>1201.4000000000001</v>
      </c>
      <c r="S75" s="89">
        <f t="shared" si="19"/>
        <v>1205.54</v>
      </c>
      <c r="T75" s="89">
        <f t="shared" si="19"/>
        <v>1192.94</v>
      </c>
      <c r="U75" s="89">
        <f t="shared" si="19"/>
        <v>1206.1399999999999</v>
      </c>
      <c r="V75" s="212"/>
      <c r="W75" s="89">
        <f t="shared" si="19"/>
        <v>1247.04</v>
      </c>
      <c r="X75" s="89">
        <f t="shared" si="19"/>
        <v>1421.46</v>
      </c>
      <c r="Y75" s="89">
        <v>1416.46</v>
      </c>
      <c r="Z75" s="89">
        <f t="shared" si="19"/>
        <v>1432.87</v>
      </c>
      <c r="AA75" s="89">
        <f t="shared" si="19"/>
        <v>1383.94</v>
      </c>
      <c r="AB75" s="89">
        <f t="shared" si="19"/>
        <v>1349.6399999999999</v>
      </c>
      <c r="AC75" s="89">
        <f t="shared" si="19"/>
        <v>1244.97</v>
      </c>
      <c r="AD75" s="89">
        <f t="shared" si="19"/>
        <v>1207.8699999999999</v>
      </c>
      <c r="AE75" s="89">
        <f t="shared" si="19"/>
        <v>973.54</v>
      </c>
      <c r="AF75" s="89">
        <f t="shared" si="19"/>
        <v>933.95999999999992</v>
      </c>
      <c r="AG75" s="78">
        <f>AG72+AG68+AG56+AG52+AG38+AG74</f>
        <v>2144.14</v>
      </c>
      <c r="AH75" s="54">
        <f t="shared" si="2"/>
        <v>1467.64</v>
      </c>
      <c r="AI75" s="55">
        <f t="shared" si="3"/>
        <v>835.44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212"/>
      <c r="W76" s="58">
        <f t="shared" si="21"/>
        <v>0</v>
      </c>
      <c r="X76" s="58">
        <f t="shared" si="21"/>
        <v>0</v>
      </c>
      <c r="Y76" s="58"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212"/>
      <c r="W77" s="58">
        <f t="shared" si="25"/>
        <v>0</v>
      </c>
      <c r="X77" s="58">
        <f t="shared" si="25"/>
        <v>0</v>
      </c>
      <c r="Y77" s="58"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212"/>
      <c r="W78" s="58">
        <f t="shared" si="27"/>
        <v>0</v>
      </c>
      <c r="X78" s="58">
        <f t="shared" si="27"/>
        <v>0</v>
      </c>
      <c r="Y78" s="58"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212"/>
      <c r="W79" s="58">
        <f t="shared" si="29"/>
        <v>0</v>
      </c>
      <c r="X79" s="58">
        <f t="shared" si="29"/>
        <v>0</v>
      </c>
      <c r="Y79" s="58"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212"/>
      <c r="W80" s="58">
        <f t="shared" si="31"/>
        <v>0</v>
      </c>
      <c r="X80" s="58">
        <f t="shared" si="31"/>
        <v>0</v>
      </c>
      <c r="Y80" s="58"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212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212"/>
      <c r="W82" s="72">
        <f t="shared" si="33"/>
        <v>0</v>
      </c>
      <c r="X82" s="72">
        <f t="shared" si="33"/>
        <v>0</v>
      </c>
      <c r="Y82" s="72"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1843.6799999999998</v>
      </c>
      <c r="C83" s="72">
        <f t="shared" ref="C83:AG83" si="35">SUM(C70:C82)</f>
        <v>1771.2799999999997</v>
      </c>
      <c r="D83" s="72">
        <f t="shared" si="35"/>
        <v>1670.88</v>
      </c>
      <c r="E83" s="72">
        <f t="shared" si="35"/>
        <v>1722.48</v>
      </c>
      <c r="F83" s="72">
        <f t="shared" si="35"/>
        <v>1703.08</v>
      </c>
      <c r="G83" s="72">
        <f t="shared" si="35"/>
        <v>1899.48</v>
      </c>
      <c r="H83" s="72">
        <f t="shared" si="35"/>
        <v>2025.28</v>
      </c>
      <c r="I83" s="72">
        <f t="shared" si="35"/>
        <v>2202.2799999999997</v>
      </c>
      <c r="J83" s="72">
        <f t="shared" si="35"/>
        <v>2468.48</v>
      </c>
      <c r="K83" s="72">
        <f t="shared" si="35"/>
        <v>2729.7200000000003</v>
      </c>
      <c r="L83" s="72">
        <f t="shared" si="35"/>
        <v>2869.48</v>
      </c>
      <c r="M83" s="72">
        <f t="shared" si="35"/>
        <v>2935.28</v>
      </c>
      <c r="N83" s="72">
        <f t="shared" si="35"/>
        <v>2741.28</v>
      </c>
      <c r="O83" s="72">
        <f t="shared" si="35"/>
        <v>2610.58</v>
      </c>
      <c r="P83" s="72">
        <f t="shared" si="35"/>
        <v>2492.2799999999997</v>
      </c>
      <c r="Q83" s="72">
        <f t="shared" si="35"/>
        <v>2444.54</v>
      </c>
      <c r="R83" s="72">
        <f t="shared" si="35"/>
        <v>2402.8000000000002</v>
      </c>
      <c r="S83" s="72">
        <f t="shared" si="35"/>
        <v>2411.08</v>
      </c>
      <c r="T83" s="72">
        <f t="shared" si="35"/>
        <v>2385.88</v>
      </c>
      <c r="U83" s="72">
        <f t="shared" si="35"/>
        <v>2412.2799999999997</v>
      </c>
      <c r="V83" s="212"/>
      <c r="W83" s="72">
        <f t="shared" si="35"/>
        <v>2494.08</v>
      </c>
      <c r="X83" s="72">
        <f t="shared" si="35"/>
        <v>2842.92</v>
      </c>
      <c r="Y83" s="72">
        <v>2832.92</v>
      </c>
      <c r="Z83" s="72">
        <f t="shared" si="35"/>
        <v>2865.74</v>
      </c>
      <c r="AA83" s="72">
        <f t="shared" si="35"/>
        <v>2767.88</v>
      </c>
      <c r="AB83" s="72">
        <f t="shared" si="35"/>
        <v>2699.2799999999997</v>
      </c>
      <c r="AC83" s="72">
        <f t="shared" si="35"/>
        <v>2489.94</v>
      </c>
      <c r="AD83" s="72">
        <f t="shared" si="35"/>
        <v>2415.7399999999998</v>
      </c>
      <c r="AE83" s="72">
        <f t="shared" si="35"/>
        <v>1947.08</v>
      </c>
      <c r="AF83" s="72">
        <f t="shared" si="35"/>
        <v>1867.9199999999998</v>
      </c>
      <c r="AG83" s="78">
        <f t="shared" si="35"/>
        <v>4360.08</v>
      </c>
      <c r="AH83" s="54">
        <f t="shared" si="22"/>
        <v>2935.28</v>
      </c>
      <c r="AI83" s="55">
        <f t="shared" si="23"/>
        <v>1670.88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50.03</v>
      </c>
      <c r="C84" s="96">
        <v>50.02</v>
      </c>
      <c r="D84" s="96">
        <v>50.01</v>
      </c>
      <c r="E84" s="96">
        <v>49.99</v>
      </c>
      <c r="F84" s="96">
        <v>49.963000000000001</v>
      </c>
      <c r="G84" s="96">
        <v>49.953000000000003</v>
      </c>
      <c r="H84" s="96">
        <v>49.920999999999999</v>
      </c>
      <c r="I84" s="96">
        <v>50.015999999999998</v>
      </c>
      <c r="J84" s="96">
        <v>50.113999999999997</v>
      </c>
      <c r="K84" s="96">
        <v>49.972999999999999</v>
      </c>
      <c r="L84" s="96">
        <v>50.027999999999999</v>
      </c>
      <c r="M84" s="96">
        <v>50.045999999999999</v>
      </c>
      <c r="N84" s="96">
        <v>50.055999999999997</v>
      </c>
      <c r="O84" s="96">
        <v>49.945999999999998</v>
      </c>
      <c r="P84" s="96">
        <v>50.011000000000003</v>
      </c>
      <c r="Q84" s="96">
        <v>50.024000000000001</v>
      </c>
      <c r="R84" s="96">
        <v>50.015000000000001</v>
      </c>
      <c r="S84" s="96">
        <v>50.061999999999998</v>
      </c>
      <c r="T84" s="96">
        <v>49.99</v>
      </c>
      <c r="U84" s="96">
        <v>49.26</v>
      </c>
      <c r="V84" s="212"/>
      <c r="W84" s="96">
        <v>50</v>
      </c>
      <c r="X84" s="96">
        <v>50.05</v>
      </c>
      <c r="Y84" s="96">
        <v>50.07</v>
      </c>
      <c r="Z84" s="96">
        <v>49.83</v>
      </c>
      <c r="AA84" s="96">
        <v>50</v>
      </c>
      <c r="AB84" s="96">
        <v>49.881999999999998</v>
      </c>
      <c r="AC84" s="96">
        <v>50.018000000000001</v>
      </c>
      <c r="AD84" s="96">
        <v>49.970999999999997</v>
      </c>
      <c r="AE84" s="96">
        <v>50.042000000000002</v>
      </c>
      <c r="AF84" s="96">
        <v>50.033999999999999</v>
      </c>
      <c r="AG84" s="97"/>
      <c r="AH84" s="54">
        <f t="shared" si="22"/>
        <v>50.113999999999997</v>
      </c>
      <c r="AI84" s="55">
        <f t="shared" si="23"/>
        <v>49.26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127.2</v>
      </c>
      <c r="C85" s="73">
        <v>128.9</v>
      </c>
      <c r="D85" s="73">
        <v>127.5</v>
      </c>
      <c r="E85" s="73">
        <v>125.9</v>
      </c>
      <c r="F85" s="73">
        <v>125.9</v>
      </c>
      <c r="G85" s="73">
        <v>128.4</v>
      </c>
      <c r="H85" s="73">
        <v>128.5</v>
      </c>
      <c r="I85" s="73">
        <v>126.1</v>
      </c>
      <c r="J85" s="73">
        <v>124.3</v>
      </c>
      <c r="K85" s="73">
        <v>123</v>
      </c>
      <c r="L85" s="73">
        <v>124.1</v>
      </c>
      <c r="M85" s="73">
        <v>123.9</v>
      </c>
      <c r="N85" s="73">
        <v>124.5</v>
      </c>
      <c r="O85" s="73">
        <v>125.8</v>
      </c>
      <c r="P85" s="73">
        <v>125.5</v>
      </c>
      <c r="Q85" s="73">
        <v>124</v>
      </c>
      <c r="R85" s="73">
        <v>122</v>
      </c>
      <c r="S85" s="73">
        <v>122</v>
      </c>
      <c r="T85" s="73">
        <v>123.7</v>
      </c>
      <c r="U85" s="73">
        <v>124.1</v>
      </c>
      <c r="V85" s="212"/>
      <c r="W85" s="73">
        <v>126.1</v>
      </c>
      <c r="X85" s="73">
        <v>124.4</v>
      </c>
      <c r="Y85" s="100">
        <v>124.7</v>
      </c>
      <c r="Z85" s="73">
        <v>125.8</v>
      </c>
      <c r="AA85" s="73">
        <v>127</v>
      </c>
      <c r="AB85" s="73">
        <v>126.1</v>
      </c>
      <c r="AC85" s="73">
        <v>122.4</v>
      </c>
      <c r="AD85" s="73">
        <v>123.7</v>
      </c>
      <c r="AE85" s="73">
        <v>124.5</v>
      </c>
      <c r="AF85" s="73">
        <v>123.9</v>
      </c>
      <c r="AG85" s="101"/>
      <c r="AH85" s="54">
        <f t="shared" si="22"/>
        <v>128.9</v>
      </c>
      <c r="AI85" s="55">
        <f t="shared" si="23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130.30000000000001</v>
      </c>
      <c r="C86" s="73">
        <v>131.9</v>
      </c>
      <c r="D86" s="73">
        <v>131.69999999999999</v>
      </c>
      <c r="E86" s="73">
        <v>130.19999999999999</v>
      </c>
      <c r="F86" s="73">
        <v>130.19999999999999</v>
      </c>
      <c r="G86" s="73">
        <v>131.19999999999999</v>
      </c>
      <c r="H86" s="73">
        <v>131.19999999999999</v>
      </c>
      <c r="I86" s="73">
        <v>129.4</v>
      </c>
      <c r="J86" s="73">
        <v>127</v>
      </c>
      <c r="K86" s="73">
        <v>125.6</v>
      </c>
      <c r="L86" s="73">
        <v>126.6</v>
      </c>
      <c r="M86" s="73">
        <v>126.8</v>
      </c>
      <c r="N86" s="73">
        <v>127.5</v>
      </c>
      <c r="O86" s="73">
        <v>125.8</v>
      </c>
      <c r="P86" s="73">
        <v>127.8</v>
      </c>
      <c r="Q86" s="73">
        <v>126.4</v>
      </c>
      <c r="R86" s="73">
        <v>124.9</v>
      </c>
      <c r="S86" s="73">
        <v>125.2</v>
      </c>
      <c r="T86" s="73">
        <v>126.3</v>
      </c>
      <c r="U86" s="73">
        <v>127</v>
      </c>
      <c r="V86" s="212"/>
      <c r="W86" s="73">
        <v>127.5</v>
      </c>
      <c r="X86" s="73">
        <v>126.5</v>
      </c>
      <c r="Y86" s="100">
        <v>126.6</v>
      </c>
      <c r="Z86" s="73">
        <v>127.8</v>
      </c>
      <c r="AA86" s="73">
        <v>128.5</v>
      </c>
      <c r="AB86" s="73">
        <v>127.7</v>
      </c>
      <c r="AC86" s="73">
        <v>125.3</v>
      </c>
      <c r="AD86" s="73">
        <v>126.2</v>
      </c>
      <c r="AE86" s="73">
        <v>128.6</v>
      </c>
      <c r="AF86" s="73">
        <v>128.30000000000001</v>
      </c>
      <c r="AG86" s="101"/>
      <c r="AH86" s="54">
        <f t="shared" si="22"/>
        <v>131.9</v>
      </c>
      <c r="AI86" s="55">
        <f t="shared" si="23"/>
        <v>124.9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130.6</v>
      </c>
      <c r="C87" s="73">
        <v>130.30000000000001</v>
      </c>
      <c r="D87" s="73">
        <v>129</v>
      </c>
      <c r="E87" s="73">
        <v>129.80000000000001</v>
      </c>
      <c r="F87" s="73">
        <v>129.80000000000001</v>
      </c>
      <c r="G87" s="73">
        <v>129</v>
      </c>
      <c r="H87" s="73">
        <v>129.30000000000001</v>
      </c>
      <c r="I87" s="73">
        <v>129.5</v>
      </c>
      <c r="J87" s="73">
        <v>127.2</v>
      </c>
      <c r="K87" s="73">
        <v>129.5</v>
      </c>
      <c r="L87" s="73">
        <v>129.30000000000001</v>
      </c>
      <c r="M87" s="73">
        <v>129.80000000000001</v>
      </c>
      <c r="N87" s="73">
        <v>129.4</v>
      </c>
      <c r="O87" s="73">
        <v>127.4</v>
      </c>
      <c r="P87" s="73">
        <v>129.19999999999999</v>
      </c>
      <c r="Q87" s="73">
        <v>129.4</v>
      </c>
      <c r="R87" s="73">
        <v>129.80000000000001</v>
      </c>
      <c r="S87" s="73">
        <v>128.4</v>
      </c>
      <c r="T87" s="73">
        <v>130.4</v>
      </c>
      <c r="U87" s="73">
        <v>130.1</v>
      </c>
      <c r="V87" s="212"/>
      <c r="W87" s="73">
        <v>127.7</v>
      </c>
      <c r="X87" s="73">
        <v>126.5</v>
      </c>
      <c r="Y87" s="100">
        <v>126.6</v>
      </c>
      <c r="Z87" s="73">
        <v>130.5</v>
      </c>
      <c r="AA87" s="73">
        <v>131.4</v>
      </c>
      <c r="AB87" s="73">
        <v>130.30000000000001</v>
      </c>
      <c r="AC87" s="73">
        <v>130</v>
      </c>
      <c r="AD87" s="73">
        <v>130.19999999999999</v>
      </c>
      <c r="AE87" s="73">
        <v>131.6</v>
      </c>
      <c r="AF87" s="73">
        <v>132.6</v>
      </c>
      <c r="AG87" s="101"/>
      <c r="AH87" s="54">
        <f t="shared" si="22"/>
        <v>132.6</v>
      </c>
      <c r="AI87" s="55">
        <f t="shared" si="23"/>
        <v>126.5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133.6</v>
      </c>
      <c r="C88" s="73">
        <v>132.6</v>
      </c>
      <c r="D88" s="73">
        <v>131.30000000000001</v>
      </c>
      <c r="E88" s="73">
        <v>132.4</v>
      </c>
      <c r="F88" s="73">
        <v>132.4</v>
      </c>
      <c r="G88" s="73">
        <v>131.19999999999999</v>
      </c>
      <c r="H88" s="73">
        <v>132.80000000000001</v>
      </c>
      <c r="I88" s="73">
        <v>133.6</v>
      </c>
      <c r="J88" s="73">
        <v>130.6</v>
      </c>
      <c r="K88" s="73">
        <v>132.80000000000001</v>
      </c>
      <c r="L88" s="73">
        <v>131.1</v>
      </c>
      <c r="M88" s="73">
        <v>133.1</v>
      </c>
      <c r="N88" s="73">
        <v>132.69999999999999</v>
      </c>
      <c r="O88" s="73">
        <v>131.19999999999999</v>
      </c>
      <c r="P88" s="73">
        <v>132.80000000000001</v>
      </c>
      <c r="Q88" s="73">
        <v>133.19999999999999</v>
      </c>
      <c r="R88" s="73">
        <v>134.30000000000001</v>
      </c>
      <c r="S88" s="73">
        <v>131</v>
      </c>
      <c r="T88" s="73">
        <v>132.1</v>
      </c>
      <c r="U88" s="73">
        <v>130.1</v>
      </c>
      <c r="V88" s="212"/>
      <c r="W88" s="73">
        <v>130.4</v>
      </c>
      <c r="X88" s="73">
        <v>129.19999999999999</v>
      </c>
      <c r="Y88" s="100">
        <v>129.69999999999999</v>
      </c>
      <c r="Z88" s="73">
        <v>134.1</v>
      </c>
      <c r="AA88" s="73">
        <v>136.4</v>
      </c>
      <c r="AB88" s="73">
        <v>133.4</v>
      </c>
      <c r="AC88" s="73">
        <v>133.80000000000001</v>
      </c>
      <c r="AD88" s="73">
        <v>133.80000000000001</v>
      </c>
      <c r="AE88" s="73">
        <v>135.1</v>
      </c>
      <c r="AF88" s="73">
        <v>136.19999999999999</v>
      </c>
      <c r="AG88" s="101"/>
      <c r="AH88" s="54">
        <f t="shared" si="22"/>
        <v>136.4</v>
      </c>
      <c r="AI88" s="55">
        <f t="shared" si="23"/>
        <v>129.19999999999999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132.5</v>
      </c>
      <c r="C89" s="104">
        <v>130.6</v>
      </c>
      <c r="D89" s="104">
        <v>133.1</v>
      </c>
      <c r="E89" s="104">
        <v>130.6</v>
      </c>
      <c r="F89" s="104">
        <v>130.6</v>
      </c>
      <c r="G89" s="104">
        <v>132.5</v>
      </c>
      <c r="H89" s="104">
        <v>133.19999999999999</v>
      </c>
      <c r="I89" s="104">
        <v>132.6</v>
      </c>
      <c r="J89" s="104">
        <v>134</v>
      </c>
      <c r="K89" s="104">
        <v>134.80000000000001</v>
      </c>
      <c r="L89" s="104">
        <v>134.5</v>
      </c>
      <c r="M89" s="104">
        <v>133.1</v>
      </c>
      <c r="N89" s="104">
        <v>130.69999999999999</v>
      </c>
      <c r="O89" s="104">
        <v>132.30000000000001</v>
      </c>
      <c r="P89" s="104">
        <v>132.4</v>
      </c>
      <c r="Q89" s="104">
        <v>132.4</v>
      </c>
      <c r="R89" s="104">
        <v>130.9</v>
      </c>
      <c r="S89" s="104">
        <v>131.5</v>
      </c>
      <c r="T89" s="104">
        <v>131.4</v>
      </c>
      <c r="U89" s="104">
        <v>133.30000000000001</v>
      </c>
      <c r="V89" s="212"/>
      <c r="W89" s="104">
        <v>136</v>
      </c>
      <c r="X89" s="104">
        <v>135.80000000000001</v>
      </c>
      <c r="Y89" s="100">
        <v>133.6</v>
      </c>
      <c r="Z89" s="104">
        <v>134.5</v>
      </c>
      <c r="AA89" s="104">
        <v>136</v>
      </c>
      <c r="AB89" s="104">
        <v>135.69999999999999</v>
      </c>
      <c r="AC89" s="104">
        <v>132.9</v>
      </c>
      <c r="AD89" s="104">
        <v>133.69999999999999</v>
      </c>
      <c r="AE89" s="104">
        <v>131.19999999999999</v>
      </c>
      <c r="AF89" s="104">
        <v>127.4</v>
      </c>
      <c r="AG89" s="105"/>
      <c r="AH89" s="54">
        <f t="shared" si="22"/>
        <v>136</v>
      </c>
      <c r="AI89" s="55">
        <f t="shared" si="23"/>
        <v>127.4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135.80000000000001</v>
      </c>
      <c r="C90" s="73">
        <v>134</v>
      </c>
      <c r="D90" s="73">
        <v>130</v>
      </c>
      <c r="E90" s="73">
        <v>133.80000000000001</v>
      </c>
      <c r="F90" s="73">
        <v>133.80000000000001</v>
      </c>
      <c r="G90" s="73">
        <v>136.6</v>
      </c>
      <c r="H90" s="73">
        <v>138.1</v>
      </c>
      <c r="I90" s="73">
        <v>136.6</v>
      </c>
      <c r="J90" s="73">
        <v>135.80000000000001</v>
      </c>
      <c r="K90" s="73">
        <v>131.69999999999999</v>
      </c>
      <c r="L90" s="73">
        <v>130.1</v>
      </c>
      <c r="M90" s="73">
        <v>133.69999999999999</v>
      </c>
      <c r="N90" s="73">
        <v>134.5</v>
      </c>
      <c r="O90" s="73">
        <v>133.1</v>
      </c>
      <c r="P90" s="73">
        <v>132.9</v>
      </c>
      <c r="Q90" s="73">
        <v>135.69999999999999</v>
      </c>
      <c r="R90" s="73">
        <v>135.69999999999999</v>
      </c>
      <c r="S90" s="73">
        <v>134.4</v>
      </c>
      <c r="T90" s="73">
        <v>133.1</v>
      </c>
      <c r="U90" s="73">
        <v>133.5</v>
      </c>
      <c r="V90" s="212"/>
      <c r="W90" s="73">
        <v>133.80000000000001</v>
      </c>
      <c r="X90" s="73">
        <v>130.9</v>
      </c>
      <c r="Y90" s="100">
        <v>132</v>
      </c>
      <c r="Z90" s="73">
        <v>133</v>
      </c>
      <c r="AA90" s="73">
        <v>133.4</v>
      </c>
      <c r="AB90" s="73">
        <v>133.6</v>
      </c>
      <c r="AC90" s="73">
        <v>133.5</v>
      </c>
      <c r="AD90" s="73">
        <v>133</v>
      </c>
      <c r="AE90" s="73">
        <v>137.30000000000001</v>
      </c>
      <c r="AF90" s="73">
        <v>134.5</v>
      </c>
      <c r="AG90" s="101"/>
      <c r="AH90" s="54">
        <f t="shared" si="22"/>
        <v>138.1</v>
      </c>
      <c r="AI90" s="55">
        <f t="shared" si="23"/>
        <v>130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65.8</v>
      </c>
      <c r="C91" s="107">
        <v>65.900000000000006</v>
      </c>
      <c r="D91" s="107">
        <v>66.400000000000006</v>
      </c>
      <c r="E91" s="107">
        <v>65.7</v>
      </c>
      <c r="F91" s="107">
        <v>65.7</v>
      </c>
      <c r="G91" s="107">
        <v>66.099999999999994</v>
      </c>
      <c r="H91" s="107">
        <v>65.8</v>
      </c>
      <c r="I91" s="107">
        <v>65.3</v>
      </c>
      <c r="J91" s="107">
        <v>64.2</v>
      </c>
      <c r="K91" s="107">
        <v>63.9</v>
      </c>
      <c r="L91" s="107">
        <v>64.599999999999994</v>
      </c>
      <c r="M91" s="107">
        <v>64.400000000000006</v>
      </c>
      <c r="N91" s="107">
        <v>64.7</v>
      </c>
      <c r="O91" s="107">
        <v>64.900000000000006</v>
      </c>
      <c r="P91" s="107">
        <v>64.400000000000006</v>
      </c>
      <c r="Q91" s="107">
        <v>63.8</v>
      </c>
      <c r="R91" s="107">
        <v>63.3</v>
      </c>
      <c r="S91" s="107">
        <v>63.4</v>
      </c>
      <c r="T91" s="107">
        <v>63.9</v>
      </c>
      <c r="U91" s="107">
        <v>64.2</v>
      </c>
      <c r="V91" s="213"/>
      <c r="W91" s="107">
        <v>64.8</v>
      </c>
      <c r="X91" s="107">
        <v>64.099999999999994</v>
      </c>
      <c r="Y91" s="107">
        <v>64.099999999999994</v>
      </c>
      <c r="Z91" s="107">
        <v>64.8</v>
      </c>
      <c r="AA91" s="107">
        <v>65.099999999999994</v>
      </c>
      <c r="AB91" s="107">
        <v>64.7</v>
      </c>
      <c r="AC91" s="107">
        <v>63.3</v>
      </c>
      <c r="AD91" s="107">
        <v>63.9</v>
      </c>
      <c r="AE91" s="107">
        <v>65.8</v>
      </c>
      <c r="AF91" s="107">
        <v>65.400000000000006</v>
      </c>
      <c r="AG91" s="108"/>
      <c r="AH91" s="54">
        <f t="shared" si="22"/>
        <v>66.400000000000006</v>
      </c>
      <c r="AI91" s="55">
        <f t="shared" si="23"/>
        <v>63.3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176.13999999999996</v>
      </c>
      <c r="C93" s="114">
        <f>SUM(C15,C18,C21:C22,C42,C44:C45,C47,C49,C94:C97,C102,C108,C114,C123,C125,C137,C144,C147:C148,C155,C157,C159,C163:C165,C167:C169,C174,C180:C181,C183:C185,C193,C198)</f>
        <v>178.43999999999997</v>
      </c>
      <c r="D93" s="114">
        <f t="shared" ref="D93:AF93" si="37">SUM(D15,D18,D21:D22,D42,D44:D45,D47,D49,D94:D97,D102,D108,D114,D123,D125,D137,D144,D147:D148,D155,D157,D159,D163:D165,D167:D169,D174,D180:D181,D183:D185,D193,D198)</f>
        <v>162.13999999999999</v>
      </c>
      <c r="E93" s="114">
        <f t="shared" si="37"/>
        <v>162.94</v>
      </c>
      <c r="F93" s="114">
        <f t="shared" si="37"/>
        <v>166.83999999999997</v>
      </c>
      <c r="G93" s="113">
        <f t="shared" si="37"/>
        <v>196.73999999999998</v>
      </c>
      <c r="H93" s="113">
        <f t="shared" si="37"/>
        <v>220.64</v>
      </c>
      <c r="I93" s="113">
        <f t="shared" si="37"/>
        <v>256.53999999999996</v>
      </c>
      <c r="J93" s="113">
        <f t="shared" si="37"/>
        <v>314.04000000000002</v>
      </c>
      <c r="K93" s="113">
        <f t="shared" si="37"/>
        <v>369.34000000000003</v>
      </c>
      <c r="L93" s="113">
        <f t="shared" si="37"/>
        <v>393.04000000000008</v>
      </c>
      <c r="M93" s="113">
        <f t="shared" si="37"/>
        <v>394.14000000000004</v>
      </c>
      <c r="N93" s="113">
        <f t="shared" si="37"/>
        <v>360.44000000000005</v>
      </c>
      <c r="O93" s="113">
        <f t="shared" si="37"/>
        <v>357.04</v>
      </c>
      <c r="P93" s="113">
        <f t="shared" si="37"/>
        <v>341.74</v>
      </c>
      <c r="Q93" s="113">
        <f t="shared" si="37"/>
        <v>321.54000000000008</v>
      </c>
      <c r="R93" s="113">
        <f t="shared" si="37"/>
        <v>328.64000000000004</v>
      </c>
      <c r="S93" s="113">
        <f t="shared" si="37"/>
        <v>320.44000000000005</v>
      </c>
      <c r="T93" s="113">
        <f t="shared" si="37"/>
        <v>321.54000000000002</v>
      </c>
      <c r="U93" s="113">
        <f t="shared" si="37"/>
        <v>328.94000000000005</v>
      </c>
      <c r="V93" s="113">
        <f t="shared" si="37"/>
        <v>34.840000000000003</v>
      </c>
      <c r="W93" s="113">
        <f t="shared" si="37"/>
        <v>393.74</v>
      </c>
      <c r="X93" s="113">
        <f t="shared" si="37"/>
        <v>420.84000000000003</v>
      </c>
      <c r="Y93" s="113">
        <f t="shared" si="37"/>
        <v>418.04</v>
      </c>
      <c r="Z93" s="113">
        <f t="shared" si="37"/>
        <v>425.74000000000007</v>
      </c>
      <c r="AA93" s="113">
        <f t="shared" si="37"/>
        <v>157.13999999999999</v>
      </c>
      <c r="AB93" s="113">
        <f t="shared" si="37"/>
        <v>388.94000000000005</v>
      </c>
      <c r="AC93" s="113">
        <f t="shared" si="37"/>
        <v>349.14000000000004</v>
      </c>
      <c r="AD93" s="113">
        <f t="shared" si="37"/>
        <v>344.84000000000003</v>
      </c>
      <c r="AE93" s="113">
        <f t="shared" si="37"/>
        <v>266.54000000000002</v>
      </c>
      <c r="AF93" s="113">
        <f t="shared" si="37"/>
        <v>216.54</v>
      </c>
      <c r="AG93" s="115"/>
      <c r="AH93" s="54">
        <f>MAX(C93:AF93)</f>
        <v>425.74000000000007</v>
      </c>
      <c r="AI93" s="55">
        <f>MIN(C93:AF93)</f>
        <v>34.840000000000003</v>
      </c>
    </row>
    <row r="94" spans="1:88" x14ac:dyDescent="0.25">
      <c r="A94" s="116" t="s">
        <v>98</v>
      </c>
      <c r="B94" s="119">
        <v>-36</v>
      </c>
      <c r="C94" s="58">
        <v>-35.1</v>
      </c>
      <c r="D94" s="58">
        <v>-21.9</v>
      </c>
      <c r="E94" s="58">
        <v>-26.8</v>
      </c>
      <c r="F94" s="58">
        <v>-25.1</v>
      </c>
      <c r="G94" s="118">
        <v>-33.4</v>
      </c>
      <c r="H94" s="118">
        <v>-8.5</v>
      </c>
      <c r="I94" s="118">
        <v>-3.1</v>
      </c>
      <c r="J94" s="118">
        <v>42.5</v>
      </c>
      <c r="K94" s="118">
        <v>54.4</v>
      </c>
      <c r="L94" s="118">
        <v>61</v>
      </c>
      <c r="M94" s="119">
        <v>50.3</v>
      </c>
      <c r="N94" s="118">
        <v>39</v>
      </c>
      <c r="O94" s="118">
        <v>56.3</v>
      </c>
      <c r="P94" s="118">
        <v>50.3</v>
      </c>
      <c r="Q94" s="118">
        <v>35.799999999999997</v>
      </c>
      <c r="R94" s="118">
        <v>22.7</v>
      </c>
      <c r="S94" s="118">
        <v>20.100000000000001</v>
      </c>
      <c r="T94" s="118">
        <v>22.6</v>
      </c>
      <c r="U94" s="119">
        <v>39.6</v>
      </c>
      <c r="V94" s="119"/>
      <c r="W94" s="119">
        <v>43.4</v>
      </c>
      <c r="X94" s="118">
        <v>45.6</v>
      </c>
      <c r="Y94" s="118">
        <v>45.6</v>
      </c>
      <c r="Z94" s="118">
        <v>64.400000000000006</v>
      </c>
      <c r="AA94" s="118"/>
      <c r="AB94" s="119">
        <v>57.4</v>
      </c>
      <c r="AC94" s="119">
        <v>69.099999999999994</v>
      </c>
      <c r="AD94" s="119">
        <v>61.7</v>
      </c>
      <c r="AE94" s="119">
        <v>31.6</v>
      </c>
      <c r="AF94" s="119">
        <v>-14</v>
      </c>
      <c r="AG94" s="120">
        <v>75</v>
      </c>
      <c r="AH94" s="54">
        <f t="shared" ref="AH94:AH99" si="38">IF(ABS(MAX(C94:AF94))&gt;ABS(MIN(C94:AF94)),MAX(C94:AF94),MIN(C94:AF94))</f>
        <v>69.099999999999994</v>
      </c>
      <c r="AI94" s="121">
        <f t="shared" ref="AI94:AI99" si="39">INDEX($C$9:$AF$9,1,MATCH(AH94,C94:AF94,0))</f>
        <v>0.85416666666666663</v>
      </c>
    </row>
    <row r="95" spans="1:88" x14ac:dyDescent="0.25">
      <c r="A95" s="122" t="s">
        <v>99</v>
      </c>
      <c r="B95" s="73">
        <f>-23.1-25.8</f>
        <v>-48.900000000000006</v>
      </c>
      <c r="C95" s="60">
        <f>-18.8-21.5</f>
        <v>-40.299999999999997</v>
      </c>
      <c r="D95" s="60">
        <f>-27.1-30.5</f>
        <v>-57.6</v>
      </c>
      <c r="E95" s="60">
        <v>-57.8</v>
      </c>
      <c r="F95" s="60">
        <v>-37</v>
      </c>
      <c r="G95" s="60">
        <v>-24.8</v>
      </c>
      <c r="H95" s="60">
        <v>-20.100000000000001</v>
      </c>
      <c r="I95" s="60">
        <v>0</v>
      </c>
      <c r="J95" s="60">
        <v>11.7</v>
      </c>
      <c r="K95" s="60">
        <v>45.2</v>
      </c>
      <c r="L95" s="60">
        <v>37</v>
      </c>
      <c r="M95" s="60">
        <v>42.9</v>
      </c>
      <c r="N95" s="60">
        <v>30.8</v>
      </c>
      <c r="O95" s="60">
        <v>1.2</v>
      </c>
      <c r="P95" s="60">
        <v>1.9</v>
      </c>
      <c r="Q95" s="60">
        <v>24.9</v>
      </c>
      <c r="R95" s="60">
        <v>29.3</v>
      </c>
      <c r="S95" s="60">
        <v>26.4</v>
      </c>
      <c r="T95" s="60">
        <f>13.1+15.4</f>
        <v>28.5</v>
      </c>
      <c r="U95" s="60">
        <f>13.3+15.6</f>
        <v>28.9</v>
      </c>
      <c r="V95" s="60"/>
      <c r="W95" s="60">
        <f>35.2+30.9</f>
        <v>66.099999999999994</v>
      </c>
      <c r="X95" s="60">
        <f>37.4+37.9</f>
        <v>75.3</v>
      </c>
      <c r="Y95" s="60">
        <v>69.099999999999994</v>
      </c>
      <c r="Z95" s="60">
        <f>35.2+33.7</f>
        <v>68.900000000000006</v>
      </c>
      <c r="AA95" s="60"/>
      <c r="AB95" s="73">
        <v>60</v>
      </c>
      <c r="AC95" s="73">
        <v>13</v>
      </c>
      <c r="AD95" s="73">
        <v>11</v>
      </c>
      <c r="AE95" s="73">
        <v>-6.7</v>
      </c>
      <c r="AF95" s="73">
        <v>-18.600000000000001</v>
      </c>
      <c r="AG95" s="120">
        <v>240</v>
      </c>
      <c r="AH95" s="54">
        <f t="shared" si="38"/>
        <v>75.3</v>
      </c>
      <c r="AI95" s="121">
        <f t="shared" si="39"/>
        <v>0.75</v>
      </c>
    </row>
    <row r="96" spans="1:88" x14ac:dyDescent="0.25">
      <c r="A96" s="122" t="s">
        <v>100</v>
      </c>
      <c r="B96" s="73">
        <v>11.9</v>
      </c>
      <c r="C96" s="60">
        <v>11.9</v>
      </c>
      <c r="D96" s="60">
        <v>11.9</v>
      </c>
      <c r="E96" s="60">
        <v>9.6999999999999993</v>
      </c>
      <c r="F96" s="60">
        <v>9.6999999999999993</v>
      </c>
      <c r="G96" s="60">
        <v>9.9</v>
      </c>
      <c r="H96" s="60">
        <v>9.1999999999999993</v>
      </c>
      <c r="I96" s="60">
        <v>8.6</v>
      </c>
      <c r="J96" s="60">
        <v>8.1999999999999993</v>
      </c>
      <c r="K96" s="60">
        <v>7.4</v>
      </c>
      <c r="L96" s="60">
        <v>21.7</v>
      </c>
      <c r="M96" s="60">
        <v>27.5</v>
      </c>
      <c r="N96" s="60">
        <v>20.5</v>
      </c>
      <c r="O96" s="60">
        <v>36.5</v>
      </c>
      <c r="P96" s="60">
        <v>39.4</v>
      </c>
      <c r="Q96" s="60">
        <v>8.5</v>
      </c>
      <c r="R96" s="60">
        <v>7.8</v>
      </c>
      <c r="S96" s="60">
        <v>7.7</v>
      </c>
      <c r="T96" s="60">
        <v>7.8</v>
      </c>
      <c r="U96" s="60">
        <v>7.4</v>
      </c>
      <c r="V96" s="60"/>
      <c r="W96" s="60">
        <v>49.6</v>
      </c>
      <c r="X96" s="60">
        <v>50.8</v>
      </c>
      <c r="Y96" s="60">
        <v>49.4</v>
      </c>
      <c r="Z96" s="60">
        <v>46.1</v>
      </c>
      <c r="AA96" s="60"/>
      <c r="AB96" s="73">
        <v>42.6</v>
      </c>
      <c r="AC96" s="73">
        <v>12.6</v>
      </c>
      <c r="AD96" s="73">
        <v>12.2</v>
      </c>
      <c r="AE96" s="73">
        <v>4.7</v>
      </c>
      <c r="AF96" s="73">
        <v>-2.4</v>
      </c>
      <c r="AG96" s="120">
        <v>60</v>
      </c>
      <c r="AH96" s="54">
        <f t="shared" si="38"/>
        <v>50.8</v>
      </c>
      <c r="AI96" s="121">
        <f t="shared" si="39"/>
        <v>0.75</v>
      </c>
    </row>
    <row r="97" spans="1:37" x14ac:dyDescent="0.25">
      <c r="A97" s="124" t="s">
        <v>101</v>
      </c>
      <c r="B97" s="126">
        <v>87.7</v>
      </c>
      <c r="C97" s="63">
        <v>81</v>
      </c>
      <c r="D97" s="63">
        <v>67.599999999999994</v>
      </c>
      <c r="E97" s="63">
        <v>76.2</v>
      </c>
      <c r="F97" s="63">
        <v>60.9</v>
      </c>
      <c r="G97" s="63">
        <v>85.2</v>
      </c>
      <c r="H97" s="63">
        <v>80.8</v>
      </c>
      <c r="I97" s="63">
        <v>98.8</v>
      </c>
      <c r="J97" s="63">
        <v>97.2</v>
      </c>
      <c r="K97" s="63">
        <v>106.9</v>
      </c>
      <c r="L97" s="63">
        <v>117.9</v>
      </c>
      <c r="M97" s="63">
        <v>118</v>
      </c>
      <c r="N97" s="63">
        <v>109.7</v>
      </c>
      <c r="O97" s="63">
        <v>102.8</v>
      </c>
      <c r="P97" s="63">
        <v>89.9</v>
      </c>
      <c r="Q97" s="63">
        <v>99</v>
      </c>
      <c r="R97" s="63">
        <v>115.7</v>
      </c>
      <c r="S97" s="63">
        <v>113.1</v>
      </c>
      <c r="T97" s="63">
        <v>109.3</v>
      </c>
      <c r="U97" s="63">
        <v>98.6</v>
      </c>
      <c r="V97" s="63"/>
      <c r="W97" s="63">
        <v>76.7</v>
      </c>
      <c r="X97" s="63">
        <v>91.7</v>
      </c>
      <c r="Y97" s="63">
        <v>96.8</v>
      </c>
      <c r="Z97" s="63">
        <v>89.2</v>
      </c>
      <c r="AA97" s="63"/>
      <c r="AB97" s="126">
        <v>76.8</v>
      </c>
      <c r="AC97" s="126">
        <v>97.8</v>
      </c>
      <c r="AD97" s="126">
        <v>103.3</v>
      </c>
      <c r="AE97" s="126">
        <v>80</v>
      </c>
      <c r="AF97" s="126">
        <v>94.9</v>
      </c>
      <c r="AG97" s="127">
        <v>120</v>
      </c>
      <c r="AH97" s="54">
        <f t="shared" si="38"/>
        <v>118</v>
      </c>
      <c r="AI97" s="121">
        <f t="shared" si="39"/>
        <v>0.33333333333333331</v>
      </c>
    </row>
    <row r="98" spans="1:37" x14ac:dyDescent="0.25">
      <c r="A98" s="124" t="s">
        <v>102</v>
      </c>
      <c r="B98" s="126">
        <v>94.2</v>
      </c>
      <c r="C98" s="63">
        <v>96</v>
      </c>
      <c r="D98" s="63">
        <v>77</v>
      </c>
      <c r="E98" s="63">
        <v>85.3</v>
      </c>
      <c r="F98" s="63">
        <v>58.7</v>
      </c>
      <c r="G98" s="63">
        <v>80.7</v>
      </c>
      <c r="H98" s="63">
        <v>73.900000000000006</v>
      </c>
      <c r="I98" s="63">
        <v>87.6</v>
      </c>
      <c r="J98" s="63">
        <v>73.8</v>
      </c>
      <c r="K98" s="63">
        <v>90.7</v>
      </c>
      <c r="L98" s="63">
        <v>83.7</v>
      </c>
      <c r="M98" s="63">
        <v>92.3</v>
      </c>
      <c r="N98" s="63">
        <v>88.4</v>
      </c>
      <c r="O98" s="63">
        <v>55.1</v>
      </c>
      <c r="P98" s="63">
        <v>54.2</v>
      </c>
      <c r="Q98" s="63">
        <v>80.400000000000006</v>
      </c>
      <c r="R98" s="63">
        <v>97</v>
      </c>
      <c r="S98" s="63">
        <v>95</v>
      </c>
      <c r="T98" s="63">
        <v>94.5</v>
      </c>
      <c r="U98" s="63">
        <v>76.099999999999994</v>
      </c>
      <c r="V98" s="63"/>
      <c r="W98" s="63">
        <v>82.9</v>
      </c>
      <c r="X98" s="63">
        <v>96.4</v>
      </c>
      <c r="Y98" s="63">
        <v>85.2</v>
      </c>
      <c r="Z98" s="63">
        <v>83.2</v>
      </c>
      <c r="AA98" s="63"/>
      <c r="AB98" s="126">
        <v>76.900000000000006</v>
      </c>
      <c r="AC98" s="126">
        <v>89.7</v>
      </c>
      <c r="AD98" s="126">
        <v>96.2</v>
      </c>
      <c r="AE98" s="126">
        <v>71.2</v>
      </c>
      <c r="AF98" s="126">
        <v>95.5</v>
      </c>
      <c r="AG98" s="127"/>
      <c r="AH98" s="54">
        <f t="shared" si="38"/>
        <v>97</v>
      </c>
      <c r="AI98" s="121">
        <f t="shared" si="39"/>
        <v>0.54166666666666696</v>
      </c>
    </row>
    <row r="99" spans="1:37" ht="15.75" thickBot="1" x14ac:dyDescent="0.3">
      <c r="A99" s="124" t="s">
        <v>103</v>
      </c>
      <c r="B99" s="126">
        <v>76.2</v>
      </c>
      <c r="C99" s="63">
        <v>72.5</v>
      </c>
      <c r="D99" s="63">
        <v>56.9</v>
      </c>
      <c r="E99" s="63">
        <v>63.4</v>
      </c>
      <c r="F99" s="63">
        <v>63.5</v>
      </c>
      <c r="G99" s="63">
        <v>72.8</v>
      </c>
      <c r="H99" s="63">
        <v>66.5</v>
      </c>
      <c r="I99" s="63">
        <v>66.3</v>
      </c>
      <c r="J99" s="63">
        <v>21.4</v>
      </c>
      <c r="K99" s="63">
        <v>10</v>
      </c>
      <c r="L99" s="63">
        <v>11.6</v>
      </c>
      <c r="M99" s="63">
        <v>18.3</v>
      </c>
      <c r="N99" s="63">
        <v>23.4</v>
      </c>
      <c r="O99" s="63">
        <v>9.1</v>
      </c>
      <c r="P99" s="63">
        <v>5.4</v>
      </c>
      <c r="Q99" s="63">
        <v>11</v>
      </c>
      <c r="R99" s="63">
        <v>15.2</v>
      </c>
      <c r="S99" s="63">
        <v>12.6</v>
      </c>
      <c r="T99" s="63">
        <v>21.3</v>
      </c>
      <c r="U99" s="63">
        <v>27.5</v>
      </c>
      <c r="V99" s="63"/>
      <c r="W99" s="63">
        <v>27.7</v>
      </c>
      <c r="X99" s="63">
        <v>21.4</v>
      </c>
      <c r="Y99" s="63">
        <v>21.5</v>
      </c>
      <c r="Z99" s="63">
        <v>25.5</v>
      </c>
      <c r="AA99" s="63"/>
      <c r="AB99" s="126">
        <v>19.2</v>
      </c>
      <c r="AC99" s="126">
        <v>19.600000000000001</v>
      </c>
      <c r="AD99" s="126">
        <v>18.7</v>
      </c>
      <c r="AE99" s="126">
        <v>7.2</v>
      </c>
      <c r="AF99" s="126">
        <v>7.7</v>
      </c>
      <c r="AG99" s="128"/>
      <c r="AH99" s="54">
        <f t="shared" si="38"/>
        <v>72.8</v>
      </c>
      <c r="AI99" s="121">
        <f t="shared" si="39"/>
        <v>0.20833333333333301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1467.64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2078/11/8)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921.83999999999992</v>
      </c>
      <c r="U213" s="174">
        <f t="shared" si="76"/>
        <v>885.63999999999987</v>
      </c>
      <c r="V213" s="174">
        <f t="shared" si="76"/>
        <v>835.44</v>
      </c>
      <c r="W213" s="174">
        <f t="shared" si="76"/>
        <v>861.24</v>
      </c>
      <c r="X213" s="174">
        <f t="shared" si="76"/>
        <v>851.54</v>
      </c>
      <c r="Y213" s="174">
        <f t="shared" si="76"/>
        <v>949.74</v>
      </c>
      <c r="Z213" s="174">
        <f t="shared" si="76"/>
        <v>1012.64</v>
      </c>
      <c r="AA213" s="174">
        <f t="shared" si="76"/>
        <v>1101.1399999999999</v>
      </c>
      <c r="AB213" s="174">
        <f t="shared" si="76"/>
        <v>1234.24</v>
      </c>
      <c r="AC213" s="174">
        <f t="shared" si="76"/>
        <v>1364.8600000000001</v>
      </c>
      <c r="AD213" s="174">
        <f t="shared" si="76"/>
        <v>1434.74</v>
      </c>
      <c r="AE213" s="174">
        <f t="shared" si="76"/>
        <v>1467.64</v>
      </c>
      <c r="AF213" s="174">
        <f t="shared" si="76"/>
        <v>1370.64</v>
      </c>
      <c r="AG213" s="174">
        <f t="shared" si="76"/>
        <v>1305.29</v>
      </c>
      <c r="AH213" s="174">
        <f t="shared" si="76"/>
        <v>1246.1399999999999</v>
      </c>
      <c r="AI213" s="174">
        <f t="shared" si="76"/>
        <v>1222.27</v>
      </c>
      <c r="AJ213" s="174">
        <f t="shared" si="76"/>
        <v>1201.4000000000001</v>
      </c>
      <c r="AK213" s="174">
        <f t="shared" si="76"/>
        <v>1205.54</v>
      </c>
      <c r="AL213" s="174">
        <f t="shared" si="76"/>
        <v>1192.94</v>
      </c>
      <c r="AM213" s="174">
        <f t="shared" si="76"/>
        <v>1206.1399999999999</v>
      </c>
      <c r="AN213" s="174">
        <f t="shared" si="76"/>
        <v>0</v>
      </c>
      <c r="AO213" s="174">
        <f t="shared" si="76"/>
        <v>1247.04</v>
      </c>
      <c r="AP213" s="174">
        <f t="shared" si="76"/>
        <v>1421.46</v>
      </c>
      <c r="AQ213" s="174">
        <f t="shared" si="76"/>
        <v>1416.46</v>
      </c>
      <c r="AR213" s="174">
        <f t="shared" si="76"/>
        <v>1432.87</v>
      </c>
      <c r="AS213" s="174">
        <f t="shared" si="76"/>
        <v>1383.94</v>
      </c>
      <c r="AT213" s="174">
        <f t="shared" si="76"/>
        <v>1349.6399999999999</v>
      </c>
      <c r="AU213" s="174">
        <f t="shared" si="76"/>
        <v>1244.97</v>
      </c>
      <c r="AV213" s="174">
        <f t="shared" si="76"/>
        <v>1207.8699999999999</v>
      </c>
      <c r="AW213" s="174">
        <f t="shared" si="76"/>
        <v>973.54</v>
      </c>
      <c r="AX213" s="174">
        <f t="shared" si="76"/>
        <v>933.95999999999992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9">
    <mergeCell ref="A210:B210"/>
    <mergeCell ref="V11:V91"/>
    <mergeCell ref="AB9:AB10"/>
    <mergeCell ref="AC9:AC10"/>
    <mergeCell ref="AD9:AD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E9:AE10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6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62">
      <iconSet iconSet="3TrafficLights2" reverse="1">
        <cfvo type="percent" val="0"/>
        <cfvo type="num" val="1"/>
        <cfvo type="num" val="1"/>
      </iconSet>
    </cfRule>
  </conditionalFormatting>
  <conditionalFormatting sqref="C57:L59 D63:D67 C60:O60 P39:R39 M39:O41 C61:N61 P40:Q42 R42 Y85:Y91 AC11:AE11 AB40:AE43 AB81:AF81 C81:R81 C56:U56 C82:U83 D193:AF199 B193:B199 AB84:AF91 C68:U80 B9:AF10 B191:AF191 AF57:AF59 AG73 AB94:AF99 U212:AF212 N42:O42 N62:N67 O61:O67 M37:R37 P60:R67 M53:U55 M11:V11 R40:U41 M58:U59 Y11 Y36 Y18:Y30 Y40:Y42 W68:AF80 W82:AF83 W53:AF56">
    <cfRule type="expression" dxfId="6923" priority="558">
      <formula>B$9&gt;=20/24</formula>
    </cfRule>
    <cfRule type="expression" dxfId="6922" priority="559">
      <formula>AND(B$9&gt;=14/24,B$9&lt;20/24)</formula>
    </cfRule>
    <cfRule type="expression" dxfId="6921" priority="560">
      <formula>AND(B$9&gt;=8/24,B$9&lt;14/24)</formula>
    </cfRule>
    <cfRule type="expression" dxfId="6920" priority="561">
      <formula>B$9&lt;8/24</formula>
    </cfRule>
  </conditionalFormatting>
  <conditionalFormatting sqref="AL4:AL6">
    <cfRule type="iconSet" priority="55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919" priority="553">
      <formula>M$9&gt;=20/24</formula>
    </cfRule>
    <cfRule type="expression" dxfId="6918" priority="554">
      <formula>AND(M$9&gt;=14/24,M$9&lt;20/24)</formula>
    </cfRule>
    <cfRule type="expression" dxfId="6917" priority="555">
      <formula>AND(M$9&gt;=8/24,M$9&lt;14/24)</formula>
    </cfRule>
    <cfRule type="expression" dxfId="6916" priority="556">
      <formula>M$9&lt;8/24</formula>
    </cfRule>
  </conditionalFormatting>
  <conditionalFormatting sqref="N43:U43">
    <cfRule type="expression" dxfId="6915" priority="549">
      <formula>N$9&gt;=20/24</formula>
    </cfRule>
    <cfRule type="expression" dxfId="6914" priority="550">
      <formula>AND(N$9&gt;=14/24,N$9&lt;20/24)</formula>
    </cfRule>
    <cfRule type="expression" dxfId="6913" priority="551">
      <formula>AND(N$9&gt;=8/24,N$9&lt;14/24)</formula>
    </cfRule>
    <cfRule type="expression" dxfId="6912" priority="552">
      <formula>N$9&lt;8/24</formula>
    </cfRule>
  </conditionalFormatting>
  <conditionalFormatting sqref="S39:U39 Y39 AB39:AE39">
    <cfRule type="expression" dxfId="6911" priority="541">
      <formula>S$9&gt;=20/24</formula>
    </cfRule>
    <cfRule type="expression" dxfId="6910" priority="542">
      <formula>AND(S$9&gt;=14/24,S$9&lt;20/24)</formula>
    </cfRule>
    <cfRule type="expression" dxfId="6909" priority="543">
      <formula>AND(S$9&gt;=8/24,S$9&lt;14/24)</formula>
    </cfRule>
    <cfRule type="expression" dxfId="6908" priority="544">
      <formula>S$9&lt;8/24</formula>
    </cfRule>
  </conditionalFormatting>
  <conditionalFormatting sqref="S57:U57 Y57 AB57:AE57">
    <cfRule type="expression" dxfId="6907" priority="537">
      <formula>S$9&gt;=20/24</formula>
    </cfRule>
    <cfRule type="expression" dxfId="6906" priority="538">
      <formula>AND(S$9&gt;=14/24,S$9&lt;20/24)</formula>
    </cfRule>
    <cfRule type="expression" dxfId="6905" priority="539">
      <formula>AND(S$9&gt;=8/24,S$9&lt;14/24)</formula>
    </cfRule>
    <cfRule type="expression" dxfId="6904" priority="540">
      <formula>S$9&lt;8/24</formula>
    </cfRule>
  </conditionalFormatting>
  <conditionalFormatting sqref="S81:U81 W81:AA81">
    <cfRule type="expression" dxfId="6903" priority="533">
      <formula>S$9&gt;=20/24</formula>
    </cfRule>
    <cfRule type="expression" dxfId="6902" priority="534">
      <formula>AND(S$9&gt;=14/24,S$9&lt;20/24)</formula>
    </cfRule>
    <cfRule type="expression" dxfId="6901" priority="535">
      <formula>AND(S$9&gt;=8/24,S$9&lt;14/24)</formula>
    </cfRule>
    <cfRule type="expression" dxfId="6900" priority="536">
      <formula>S$9&lt;8/24</formula>
    </cfRule>
  </conditionalFormatting>
  <conditionalFormatting sqref="Y84">
    <cfRule type="expression" dxfId="6899" priority="529">
      <formula>Y$9&gt;=20/24</formula>
    </cfRule>
    <cfRule type="expression" dxfId="6898" priority="530">
      <formula>AND(Y$9&gt;=14/24,Y$9&lt;20/24)</formula>
    </cfRule>
    <cfRule type="expression" dxfId="6897" priority="531">
      <formula>AND(Y$9&gt;=8/24,Y$9&lt;14/24)</formula>
    </cfRule>
    <cfRule type="expression" dxfId="6896" priority="532">
      <formula>Y$9&lt;8/24</formula>
    </cfRule>
  </conditionalFormatting>
  <conditionalFormatting sqref="Q49:U49">
    <cfRule type="expression" dxfId="6895" priority="521">
      <formula>Q$9&gt;=20/24</formula>
    </cfRule>
    <cfRule type="expression" dxfId="6894" priority="522">
      <formula>AND(Q$9&gt;=14/24,Q$9&lt;20/24)</formula>
    </cfRule>
    <cfRule type="expression" dxfId="6893" priority="523">
      <formula>AND(Q$9&gt;=8/24,Q$9&lt;14/24)</formula>
    </cfRule>
    <cfRule type="expression" dxfId="6892" priority="524">
      <formula>Q$9&lt;8/24</formula>
    </cfRule>
  </conditionalFormatting>
  <conditionalFormatting sqref="S37:U37 Y37 AB37:AE37">
    <cfRule type="expression" dxfId="6891" priority="509">
      <formula>S$9&gt;=20/24</formula>
    </cfRule>
    <cfRule type="expression" dxfId="6890" priority="510">
      <formula>AND(S$9&gt;=14/24,S$9&lt;20/24)</formula>
    </cfRule>
    <cfRule type="expression" dxfId="6889" priority="511">
      <formula>AND(S$9&gt;=8/24,S$9&lt;14/24)</formula>
    </cfRule>
    <cfRule type="expression" dxfId="6888" priority="512">
      <formula>S$9&lt;8/24</formula>
    </cfRule>
  </conditionalFormatting>
  <conditionalFormatting sqref="Y35 Y31:Y32">
    <cfRule type="expression" dxfId="6887" priority="505">
      <formula>Y$9&gt;=20/24</formula>
    </cfRule>
    <cfRule type="expression" dxfId="6886" priority="506">
      <formula>AND(Y$9&gt;=14/24,Y$9&lt;20/24)</formula>
    </cfRule>
    <cfRule type="expression" dxfId="6885" priority="507">
      <formula>AND(Y$9&gt;=8/24,Y$9&lt;14/24)</formula>
    </cfRule>
    <cfRule type="expression" dxfId="6884" priority="508">
      <formula>Y$9&lt;8/24</formula>
    </cfRule>
  </conditionalFormatting>
  <conditionalFormatting sqref="S42:U42 Y43 Y45:Y48">
    <cfRule type="expression" dxfId="6883" priority="501">
      <formula>S$9&gt;=20/24</formula>
    </cfRule>
    <cfRule type="expression" dxfId="6882" priority="502">
      <formula>AND(S$9&gt;=14/24,S$9&lt;20/24)</formula>
    </cfRule>
    <cfRule type="expression" dxfId="6881" priority="503">
      <formula>AND(S$9&gt;=8/24,S$9&lt;14/24)</formula>
    </cfRule>
    <cfRule type="expression" dxfId="6880" priority="504">
      <formula>S$9&lt;8/24</formula>
    </cfRule>
  </conditionalFormatting>
  <conditionalFormatting sqref="Y50">
    <cfRule type="expression" dxfId="6879" priority="493">
      <formula>Y$9&gt;=20/24</formula>
    </cfRule>
    <cfRule type="expression" dxfId="6878" priority="494">
      <formula>AND(Y$9&gt;=14/24,Y$9&lt;20/24)</formula>
    </cfRule>
    <cfRule type="expression" dxfId="6877" priority="495">
      <formula>AND(Y$9&gt;=8/24,Y$9&lt;14/24)</formula>
    </cfRule>
    <cfRule type="expression" dxfId="6876" priority="496">
      <formula>Y$9&lt;8/24</formula>
    </cfRule>
  </conditionalFormatting>
  <conditionalFormatting sqref="Y60:Y67 S60:U67 AB60:AF67">
    <cfRule type="expression" dxfId="6875" priority="489">
      <formula>S$9&gt;=20/24</formula>
    </cfRule>
    <cfRule type="expression" dxfId="6874" priority="490">
      <formula>AND(S$9&gt;=14/24,S$9&lt;20/24)</formula>
    </cfRule>
    <cfRule type="expression" dxfId="6873" priority="491">
      <formula>AND(S$9&gt;=8/24,S$9&lt;14/24)</formula>
    </cfRule>
    <cfRule type="expression" dxfId="6872" priority="492">
      <formula>S$9&lt;8/24</formula>
    </cfRule>
  </conditionalFormatting>
  <conditionalFormatting sqref="I63:I67 J62:L67 C63:C67 C62:I62">
    <cfRule type="expression" dxfId="6871" priority="485">
      <formula>C$9&gt;=20/24</formula>
    </cfRule>
    <cfRule type="expression" dxfId="6870" priority="486">
      <formula>AND(C$9&gt;=14/24,C$9&lt;20/24)</formula>
    </cfRule>
    <cfRule type="expression" dxfId="6869" priority="487">
      <formula>AND(C$9&gt;=8/24,C$9&lt;14/24)</formula>
    </cfRule>
    <cfRule type="expression" dxfId="6868" priority="488">
      <formula>C$9&lt;8/24</formula>
    </cfRule>
  </conditionalFormatting>
  <conditionalFormatting sqref="U94:V97 X94:Y97 AA94:AA97">
    <cfRule type="expression" dxfId="6867" priority="481">
      <formula>U$9&gt;=20/24</formula>
    </cfRule>
    <cfRule type="expression" dxfId="6866" priority="482">
      <formula>AND(U$9&gt;=14/24,U$9&lt;20/24)</formula>
    </cfRule>
    <cfRule type="expression" dxfId="6865" priority="483">
      <formula>AND(U$9&gt;=8/24,U$9&lt;14/24)</formula>
    </cfRule>
    <cfRule type="expression" dxfId="6864" priority="484">
      <formula>U$9&lt;8/24</formula>
    </cfRule>
  </conditionalFormatting>
  <conditionalFormatting sqref="AG51 H12:L14 H16:L16 D50:L50 C42:L44 N42:S43 C51:U56 C39:S41 F37:U37 E11:V11 T39:U43 Y11 Y34:Y37 Y18:Y32 Y39:Y48 C38:U38 W38:AF38 AB37:AF37 AC11:AF11 AB39:AF43 W51:AF56 Q49:U49 Y50">
    <cfRule type="expression" dxfId="6863" priority="480">
      <formula>C11&gt;$AG11</formula>
    </cfRule>
  </conditionalFormatting>
  <conditionalFormatting sqref="A100:A156 A84:A97 A11:A14 A16:A32 A45:A72 A80:A82 A74:A78 A35:A43 A169:A199">
    <cfRule type="expression" dxfId="6862" priority="479">
      <formula>$AH11=0</formula>
    </cfRule>
  </conditionalFormatting>
  <conditionalFormatting sqref="U98:V98 X98:Y98 AA98">
    <cfRule type="expression" dxfId="6861" priority="475">
      <formula>U$9&gt;=20/24</formula>
    </cfRule>
    <cfRule type="expression" dxfId="6860" priority="476">
      <formula>AND(U$9&gt;=14/24,U$9&lt;20/24)</formula>
    </cfRule>
    <cfRule type="expression" dxfId="6859" priority="477">
      <formula>AND(U$9&gt;=8/24,U$9&lt;14/24)</formula>
    </cfRule>
    <cfRule type="expression" dxfId="6858" priority="478">
      <formula>U$9&lt;8/24</formula>
    </cfRule>
  </conditionalFormatting>
  <conditionalFormatting sqref="A98">
    <cfRule type="expression" dxfId="6857" priority="474">
      <formula>$AH98=0</formula>
    </cfRule>
  </conditionalFormatting>
  <conditionalFormatting sqref="E63:H67">
    <cfRule type="expression" dxfId="6856" priority="466">
      <formula>E$9&gt;=20/24</formula>
    </cfRule>
    <cfRule type="expression" dxfId="6855" priority="467">
      <formula>AND(E$9&gt;=14/24,E$9&lt;20/24)</formula>
    </cfRule>
    <cfRule type="expression" dxfId="6854" priority="468">
      <formula>AND(E$9&gt;=8/24,E$9&lt;14/24)</formula>
    </cfRule>
    <cfRule type="expression" dxfId="6853" priority="469">
      <formula>E$9&lt;8/24</formula>
    </cfRule>
  </conditionalFormatting>
  <conditionalFormatting sqref="M62:M67">
    <cfRule type="expression" dxfId="6852" priority="462">
      <formula>M$9&gt;=20/24</formula>
    </cfRule>
    <cfRule type="expression" dxfId="6851" priority="463">
      <formula>AND(M$9&gt;=14/24,M$9&lt;20/24)</formula>
    </cfRule>
    <cfRule type="expression" dxfId="6850" priority="464">
      <formula>AND(M$9&gt;=8/24,M$9&lt;14/24)</formula>
    </cfRule>
    <cfRule type="expression" dxfId="6849" priority="465">
      <formula>M$9&lt;8/24</formula>
    </cfRule>
  </conditionalFormatting>
  <conditionalFormatting sqref="AL32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Y34">
    <cfRule type="expression" dxfId="6848" priority="449">
      <formula>Y$9&gt;=20/24</formula>
    </cfRule>
    <cfRule type="expression" dxfId="6847" priority="450">
      <formula>AND(Y$9&gt;=14/24,Y$9&lt;20/24)</formula>
    </cfRule>
    <cfRule type="expression" dxfId="6846" priority="451">
      <formula>AND(Y$9&gt;=8/24,Y$9&lt;14/24)</formula>
    </cfRule>
    <cfRule type="expression" dxfId="6845" priority="452">
      <formula>Y$9&lt;8/24</formula>
    </cfRule>
  </conditionalFormatting>
  <conditionalFormatting sqref="A34">
    <cfRule type="expression" dxfId="6844" priority="448">
      <formula>$AH34=0</formula>
    </cfRule>
  </conditionalFormatting>
  <conditionalFormatting sqref="A83">
    <cfRule type="expression" dxfId="6843" priority="447">
      <formula>$AH83=0</formula>
    </cfRule>
  </conditionalFormatting>
  <conditionalFormatting sqref="H15:L15">
    <cfRule type="expression" dxfId="6842" priority="438">
      <formula>H15&gt;$AG15</formula>
    </cfRule>
  </conditionalFormatting>
  <conditionalFormatting sqref="A15">
    <cfRule type="expression" dxfId="6841" priority="437">
      <formula>$AH15=0</formula>
    </cfRule>
  </conditionalFormatting>
  <conditionalFormatting sqref="A163:A168">
    <cfRule type="expression" dxfId="6840" priority="436">
      <formula>$AH163=0</formula>
    </cfRule>
  </conditionalFormatting>
  <conditionalFormatting sqref="A157:A162">
    <cfRule type="expression" dxfId="6839" priority="435">
      <formula>$AH157=0</formula>
    </cfRule>
  </conditionalFormatting>
  <conditionalFormatting sqref="Y44">
    <cfRule type="expression" dxfId="6838" priority="423">
      <formula>Y$9&gt;=20/24</formula>
    </cfRule>
    <cfRule type="expression" dxfId="6837" priority="424">
      <formula>AND(Y$9&gt;=14/24,Y$9&lt;20/24)</formula>
    </cfRule>
    <cfRule type="expression" dxfId="6836" priority="425">
      <formula>AND(Y$9&gt;=8/24,Y$9&lt;14/24)</formula>
    </cfRule>
    <cfRule type="expression" dxfId="6835" priority="426">
      <formula>Y$9&lt;8/24</formula>
    </cfRule>
  </conditionalFormatting>
  <conditionalFormatting sqref="A44">
    <cfRule type="expression" dxfId="6834" priority="422">
      <formula>$AH44=0</formula>
    </cfRule>
  </conditionalFormatting>
  <conditionalFormatting sqref="A79">
    <cfRule type="expression" dxfId="6833" priority="421">
      <formula>$AH79=0</formula>
    </cfRule>
  </conditionalFormatting>
  <conditionalFormatting sqref="A73">
    <cfRule type="expression" dxfId="6832" priority="420">
      <formula>$AH73=0</formula>
    </cfRule>
  </conditionalFormatting>
  <conditionalFormatting sqref="AL34:AL35 AL7:AL31">
    <cfRule type="iconSet" priority="564">
      <iconSet iconSet="3TrafficLights2" reverse="1">
        <cfvo type="percent" val="0"/>
        <cfvo type="num" val="1"/>
        <cfvo type="num" val="1"/>
      </iconSet>
    </cfRule>
  </conditionalFormatting>
  <conditionalFormatting sqref="C84:R91 S85:U91">
    <cfRule type="expression" dxfId="6831" priority="408">
      <formula>C$9&gt;=20/24</formula>
    </cfRule>
    <cfRule type="expression" dxfId="6830" priority="409">
      <formula>AND(C$9&gt;=14/24,C$9&lt;20/24)</formula>
    </cfRule>
    <cfRule type="expression" dxfId="6829" priority="410">
      <formula>AND(C$9&gt;=8/24,C$9&lt;14/24)</formula>
    </cfRule>
    <cfRule type="expression" dxfId="6828" priority="411">
      <formula>C$9&lt;8/24</formula>
    </cfRule>
  </conditionalFormatting>
  <conditionalFormatting sqref="S84:U84">
    <cfRule type="expression" dxfId="6827" priority="404">
      <formula>S$9&gt;=20/24</formula>
    </cfRule>
    <cfRule type="expression" dxfId="6826" priority="405">
      <formula>AND(S$9&gt;=14/24,S$9&lt;20/24)</formula>
    </cfRule>
    <cfRule type="expression" dxfId="6825" priority="406">
      <formula>AND(S$9&gt;=8/24,S$9&lt;14/24)</formula>
    </cfRule>
    <cfRule type="expression" dxfId="6824" priority="407">
      <formula>S$9&lt;8/24</formula>
    </cfRule>
  </conditionalFormatting>
  <conditionalFormatting sqref="C95:M97 C94:F94">
    <cfRule type="expression" dxfId="6823" priority="400">
      <formula>C$9&gt;=20/24</formula>
    </cfRule>
    <cfRule type="expression" dxfId="6822" priority="401">
      <formula>AND(C$9&gt;=14/24,C$9&lt;20/24)</formula>
    </cfRule>
    <cfRule type="expression" dxfId="6821" priority="402">
      <formula>AND(C$9&gt;=8/24,C$9&lt;14/24)</formula>
    </cfRule>
    <cfRule type="expression" dxfId="6820" priority="403">
      <formula>C$9&lt;8/24</formula>
    </cfRule>
  </conditionalFormatting>
  <conditionalFormatting sqref="N95:R97 O94:R94">
    <cfRule type="expression" dxfId="6819" priority="396">
      <formula>N$9&gt;=20/24</formula>
    </cfRule>
    <cfRule type="expression" dxfId="6818" priority="397">
      <formula>AND(N$9&gt;=14/24,N$9&lt;20/24)</formula>
    </cfRule>
    <cfRule type="expression" dxfId="6817" priority="398">
      <formula>AND(N$9&gt;=8/24,N$9&lt;14/24)</formula>
    </cfRule>
    <cfRule type="expression" dxfId="6816" priority="399">
      <formula>N$9&lt;8/24</formula>
    </cfRule>
  </conditionalFormatting>
  <conditionalFormatting sqref="S94:T97">
    <cfRule type="expression" dxfId="6815" priority="392">
      <formula>S$9&gt;=20/24</formula>
    </cfRule>
    <cfRule type="expression" dxfId="6814" priority="393">
      <formula>AND(S$9&gt;=14/24,S$9&lt;20/24)</formula>
    </cfRule>
    <cfRule type="expression" dxfId="6813" priority="394">
      <formula>AND(S$9&gt;=8/24,S$9&lt;14/24)</formula>
    </cfRule>
    <cfRule type="expression" dxfId="6812" priority="395">
      <formula>S$9&lt;8/24</formula>
    </cfRule>
  </conditionalFormatting>
  <conditionalFormatting sqref="C98:M98">
    <cfRule type="expression" dxfId="6811" priority="388">
      <formula>C$9&gt;=20/24</formula>
    </cfRule>
    <cfRule type="expression" dxfId="6810" priority="389">
      <formula>AND(C$9&gt;=14/24,C$9&lt;20/24)</formula>
    </cfRule>
    <cfRule type="expression" dxfId="6809" priority="390">
      <formula>AND(C$9&gt;=8/24,C$9&lt;14/24)</formula>
    </cfRule>
    <cfRule type="expression" dxfId="6808" priority="391">
      <formula>C$9&lt;8/24</formula>
    </cfRule>
  </conditionalFormatting>
  <conditionalFormatting sqref="N98:R98">
    <cfRule type="expression" dxfId="6807" priority="384">
      <formula>N$9&gt;=20/24</formula>
    </cfRule>
    <cfRule type="expression" dxfId="6806" priority="385">
      <formula>AND(N$9&gt;=14/24,N$9&lt;20/24)</formula>
    </cfRule>
    <cfRule type="expression" dxfId="6805" priority="386">
      <formula>AND(N$9&gt;=8/24,N$9&lt;14/24)</formula>
    </cfRule>
    <cfRule type="expression" dxfId="6804" priority="387">
      <formula>N$9&lt;8/24</formula>
    </cfRule>
  </conditionalFormatting>
  <conditionalFormatting sqref="S98:T98">
    <cfRule type="expression" dxfId="6803" priority="380">
      <formula>S$9&gt;=20/24</formula>
    </cfRule>
    <cfRule type="expression" dxfId="6802" priority="381">
      <formula>AND(S$9&gt;=14/24,S$9&lt;20/24)</formula>
    </cfRule>
    <cfRule type="expression" dxfId="6801" priority="382">
      <formula>AND(S$9&gt;=8/24,S$9&lt;14/24)</formula>
    </cfRule>
    <cfRule type="expression" dxfId="6800" priority="383">
      <formula>S$9&lt;8/24</formula>
    </cfRule>
  </conditionalFormatting>
  <conditionalFormatting sqref="M94:N94">
    <cfRule type="expression" dxfId="6799" priority="376">
      <formula>M$9&gt;=20/24</formula>
    </cfRule>
    <cfRule type="expression" dxfId="6798" priority="377">
      <formula>AND(M$9&gt;=14/24,M$9&lt;20/24)</formula>
    </cfRule>
    <cfRule type="expression" dxfId="6797" priority="378">
      <formula>AND(M$9&gt;=8/24,M$9&lt;14/24)</formula>
    </cfRule>
    <cfRule type="expression" dxfId="6796" priority="379">
      <formula>M$9&lt;8/24</formula>
    </cfRule>
  </conditionalFormatting>
  <conditionalFormatting sqref="G94:L94">
    <cfRule type="expression" dxfId="6795" priority="372">
      <formula>G$9&gt;=20/24</formula>
    </cfRule>
    <cfRule type="expression" dxfId="6794" priority="373">
      <formula>AND(G$9&gt;=14/24,G$9&lt;20/24)</formula>
    </cfRule>
    <cfRule type="expression" dxfId="6793" priority="374">
      <formula>AND(G$9&gt;=8/24,G$9&lt;14/24)</formula>
    </cfRule>
    <cfRule type="expression" dxfId="6792" priority="375">
      <formula>G$9&lt;8/24</formula>
    </cfRule>
  </conditionalFormatting>
  <conditionalFormatting sqref="U94:V94">
    <cfRule type="expression" dxfId="6791" priority="368">
      <formula>U$9&gt;=20/24</formula>
    </cfRule>
    <cfRule type="expression" dxfId="6790" priority="369">
      <formula>AND(U$9&gt;=14/24,U$9&lt;20/24)</formula>
    </cfRule>
    <cfRule type="expression" dxfId="6789" priority="370">
      <formula>AND(U$9&gt;=8/24,U$9&lt;14/24)</formula>
    </cfRule>
    <cfRule type="expression" dxfId="6788" priority="371">
      <formula>U$9&lt;8/24</formula>
    </cfRule>
  </conditionalFormatting>
  <conditionalFormatting sqref="N94:T94">
    <cfRule type="expression" dxfId="6787" priority="364">
      <formula>N$9&gt;=20/24</formula>
    </cfRule>
    <cfRule type="expression" dxfId="6786" priority="365">
      <formula>AND(N$9&gt;=14/24,N$9&lt;20/24)</formula>
    </cfRule>
    <cfRule type="expression" dxfId="6785" priority="366">
      <formula>AND(N$9&gt;=8/24,N$9&lt;14/24)</formula>
    </cfRule>
    <cfRule type="expression" dxfId="6784" priority="367">
      <formula>N$9&lt;8/24</formula>
    </cfRule>
  </conditionalFormatting>
  <conditionalFormatting sqref="U99:V99 X99:Y99 AA99">
    <cfRule type="expression" dxfId="6783" priority="360">
      <formula>U$9&gt;=20/24</formula>
    </cfRule>
    <cfRule type="expression" dxfId="6782" priority="361">
      <formula>AND(U$9&gt;=14/24,U$9&lt;20/24)</formula>
    </cfRule>
    <cfRule type="expression" dxfId="6781" priority="362">
      <formula>AND(U$9&gt;=8/24,U$9&lt;14/24)</formula>
    </cfRule>
    <cfRule type="expression" dxfId="6780" priority="363">
      <formula>U$9&lt;8/24</formula>
    </cfRule>
  </conditionalFormatting>
  <conditionalFormatting sqref="C99:M99">
    <cfRule type="expression" dxfId="6779" priority="356">
      <formula>C$9&gt;=20/24</formula>
    </cfRule>
    <cfRule type="expression" dxfId="6778" priority="357">
      <formula>AND(C$9&gt;=14/24,C$9&lt;20/24)</formula>
    </cfRule>
    <cfRule type="expression" dxfId="6777" priority="358">
      <formula>AND(C$9&gt;=8/24,C$9&lt;14/24)</formula>
    </cfRule>
    <cfRule type="expression" dxfId="6776" priority="359">
      <formula>C$9&lt;8/24</formula>
    </cfRule>
  </conditionalFormatting>
  <conditionalFormatting sqref="N99:R99">
    <cfRule type="expression" dxfId="6775" priority="352">
      <formula>N$9&gt;=20/24</formula>
    </cfRule>
    <cfRule type="expression" dxfId="6774" priority="353">
      <formula>AND(N$9&gt;=14/24,N$9&lt;20/24)</formula>
    </cfRule>
    <cfRule type="expression" dxfId="6773" priority="354">
      <formula>AND(N$9&gt;=8/24,N$9&lt;14/24)</formula>
    </cfRule>
    <cfRule type="expression" dxfId="6772" priority="355">
      <formula>N$9&lt;8/24</formula>
    </cfRule>
  </conditionalFormatting>
  <conditionalFormatting sqref="S99:T99">
    <cfRule type="expression" dxfId="6771" priority="348">
      <formula>S$9&gt;=20/24</formula>
    </cfRule>
    <cfRule type="expression" dxfId="6770" priority="349">
      <formula>AND(S$9&gt;=14/24,S$9&lt;20/24)</formula>
    </cfRule>
    <cfRule type="expression" dxfId="6769" priority="350">
      <formula>AND(S$9&gt;=8/24,S$9&lt;14/24)</formula>
    </cfRule>
    <cfRule type="expression" dxfId="6768" priority="351">
      <formula>S$9&lt;8/24</formula>
    </cfRule>
  </conditionalFormatting>
  <conditionalFormatting sqref="Y12:Y16">
    <cfRule type="expression" dxfId="6767" priority="344">
      <formula>Y$9&gt;=20/24</formula>
    </cfRule>
    <cfRule type="expression" dxfId="6766" priority="345">
      <formula>AND(Y$9&gt;=14/24,Y$9&lt;20/24)</formula>
    </cfRule>
    <cfRule type="expression" dxfId="6765" priority="346">
      <formula>AND(Y$9&gt;=8/24,Y$9&lt;14/24)</formula>
    </cfRule>
    <cfRule type="expression" dxfId="6764" priority="347">
      <formula>Y$9&lt;8/24</formula>
    </cfRule>
  </conditionalFormatting>
  <conditionalFormatting sqref="Y17">
    <cfRule type="expression" dxfId="6763" priority="340">
      <formula>Y$9&gt;=20/24</formula>
    </cfRule>
    <cfRule type="expression" dxfId="6762" priority="341">
      <formula>AND(Y$9&gt;=14/24,Y$9&lt;20/24)</formula>
    </cfRule>
    <cfRule type="expression" dxfId="6761" priority="342">
      <formula>AND(Y$9&gt;=8/24,Y$9&lt;14/24)</formula>
    </cfRule>
    <cfRule type="expression" dxfId="6760" priority="343">
      <formula>Y$9&lt;8/24</formula>
    </cfRule>
  </conditionalFormatting>
  <conditionalFormatting sqref="Y12:Y13">
    <cfRule type="expression" dxfId="6759" priority="336">
      <formula>Y$9&gt;=20/24</formula>
    </cfRule>
    <cfRule type="expression" dxfId="6758" priority="337">
      <formula>AND(Y$9&gt;=14/24,Y$9&lt;20/24)</formula>
    </cfRule>
    <cfRule type="expression" dxfId="6757" priority="338">
      <formula>AND(Y$9&gt;=8/24,Y$9&lt;14/24)</formula>
    </cfRule>
    <cfRule type="expression" dxfId="6756" priority="339">
      <formula>Y$9&lt;8/24</formula>
    </cfRule>
  </conditionalFormatting>
  <conditionalFormatting sqref="AB58:AE59">
    <cfRule type="expression" dxfId="6755" priority="332">
      <formula>AB$9&gt;=20/24</formula>
    </cfRule>
    <cfRule type="expression" dxfId="6754" priority="333">
      <formula>AND(AB$9&gt;=14/24,AB$9&lt;20/24)</formula>
    </cfRule>
    <cfRule type="expression" dxfId="6753" priority="334">
      <formula>AND(AB$9&gt;=8/24,AB$9&lt;14/24)</formula>
    </cfRule>
    <cfRule type="expression" dxfId="6752" priority="335">
      <formula>AB$9&lt;8/24</formula>
    </cfRule>
  </conditionalFormatting>
  <conditionalFormatting sqref="AL33">
    <cfRule type="iconSet" priority="33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51" priority="565">
      <formula>C$9&gt;=20/24</formula>
    </cfRule>
    <cfRule type="expression" dxfId="6750" priority="566">
      <formula>AND(C$9&gt;=14/24,C$9&lt;20/24)</formula>
    </cfRule>
    <cfRule type="expression" dxfId="6749" priority="567">
      <formula>AND(C$9&gt;=8/24,C$9&lt;14/24)</formula>
    </cfRule>
    <cfRule type="expression" dxfId="6748" priority="568">
      <formula>C$9&lt;8/24</formula>
    </cfRule>
  </conditionalFormatting>
  <conditionalFormatting sqref="A200">
    <cfRule type="expression" dxfId="6747" priority="569">
      <formula>$AH200=0</formula>
    </cfRule>
  </conditionalFormatting>
  <conditionalFormatting sqref="AG212">
    <cfRule type="expression" dxfId="6746" priority="570">
      <formula>B$9&gt;=20/24</formula>
    </cfRule>
    <cfRule type="expression" dxfId="6745" priority="571">
      <formula>AND(B$9&gt;=14/24,B$9&lt;20/24)</formula>
    </cfRule>
    <cfRule type="expression" dxfId="6744" priority="572">
      <formula>AND(B$9&gt;=8/24,B$9&lt;14/24)</formula>
    </cfRule>
    <cfRule type="expression" dxfId="6743" priority="573">
      <formula>B$9&lt;8/24</formula>
    </cfRule>
  </conditionalFormatting>
  <conditionalFormatting sqref="S8">
    <cfRule type="expression" dxfId="6742" priority="326">
      <formula>U$9&gt;=20/24</formula>
    </cfRule>
    <cfRule type="expression" dxfId="6741" priority="327">
      <formula>AND(U$9&gt;=14/24,U$9&lt;20/24)</formula>
    </cfRule>
    <cfRule type="expression" dxfId="6740" priority="328">
      <formula>AND(U$9&gt;=8/24,U$9&lt;14/24)</formula>
    </cfRule>
    <cfRule type="expression" dxfId="6739" priority="329">
      <formula>U$9&lt;8/24</formula>
    </cfRule>
  </conditionalFormatting>
  <conditionalFormatting sqref="AB8">
    <cfRule type="expression" dxfId="6738" priority="322">
      <formula>AD$9&gt;=20/24</formula>
    </cfRule>
    <cfRule type="expression" dxfId="6737" priority="323">
      <formula>AND(AD$9&gt;=14/24,AD$9&lt;20/24)</formula>
    </cfRule>
    <cfRule type="expression" dxfId="6736" priority="324">
      <formula>AND(AD$9&gt;=8/24,AD$9&lt;14/24)</formula>
    </cfRule>
    <cfRule type="expression" dxfId="6735" priority="325">
      <formula>AD$9&lt;8/24</formula>
    </cfRule>
  </conditionalFormatting>
  <conditionalFormatting sqref="AH212:AX212">
    <cfRule type="expression" dxfId="6734" priority="574">
      <formula>AG$9&gt;=20/24</formula>
    </cfRule>
    <cfRule type="expression" dxfId="6733" priority="575">
      <formula>AND(AG$9&gt;=14/24,AG$9&lt;20/24)</formula>
    </cfRule>
    <cfRule type="expression" dxfId="6732" priority="576">
      <formula>AND(AG$9&gt;=8/24,AG$9&lt;14/24)</formula>
    </cfRule>
    <cfRule type="expression" dxfId="6731" priority="577">
      <formula>AG$9&lt;8/24</formula>
    </cfRule>
  </conditionalFormatting>
  <conditionalFormatting sqref="T212">
    <cfRule type="expression" dxfId="6730" priority="578">
      <formula>AX$9&gt;=20/24</formula>
    </cfRule>
    <cfRule type="expression" dxfId="6729" priority="579">
      <formula>AND(AX$9&gt;=14/24,AX$9&lt;20/24)</formula>
    </cfRule>
    <cfRule type="expression" dxfId="6728" priority="580">
      <formula>AND(AX$9&gt;=8/24,AX$9&lt;14/24)</formula>
    </cfRule>
    <cfRule type="expression" dxfId="6727" priority="581">
      <formula>AX$9&lt;8/24</formula>
    </cfRule>
  </conditionalFormatting>
  <conditionalFormatting sqref="A99">
    <cfRule type="expression" dxfId="6726" priority="321">
      <formula>$AH99=0</formula>
    </cfRule>
  </conditionalFormatting>
  <conditionalFormatting sqref="Y33">
    <cfRule type="expression" dxfId="6725" priority="309">
      <formula>Y$9&gt;=20/24</formula>
    </cfRule>
    <cfRule type="expression" dxfId="6724" priority="310">
      <formula>AND(Y$9&gt;=14/24,Y$9&lt;20/24)</formula>
    </cfRule>
    <cfRule type="expression" dxfId="6723" priority="311">
      <formula>AND(Y$9&gt;=8/24,Y$9&lt;14/24)</formula>
    </cfRule>
    <cfRule type="expression" dxfId="6722" priority="312">
      <formula>Y$9&lt;8/24</formula>
    </cfRule>
  </conditionalFormatting>
  <conditionalFormatting sqref="Y33">
    <cfRule type="expression" dxfId="6721" priority="308">
      <formula>Y33&gt;$AG33</formula>
    </cfRule>
  </conditionalFormatting>
  <conditionalFormatting sqref="B94:B99 B53:B91 B11:D14 B16:G31 E12:G14 H17:L20 H21:U31 B36:U36">
    <cfRule type="expression" dxfId="6720" priority="304">
      <formula>B$9&gt;=20/24</formula>
    </cfRule>
    <cfRule type="expression" dxfId="6719" priority="305">
      <formula>AND(B$9&gt;=14/24,B$9&lt;20/24)</formula>
    </cfRule>
    <cfRule type="expression" dxfId="6718" priority="306">
      <formula>AND(B$9&gt;=8/24,B$9&lt;14/24)</formula>
    </cfRule>
    <cfRule type="expression" dxfId="6717" priority="307">
      <formula>B$9&lt;8/24</formula>
    </cfRule>
  </conditionalFormatting>
  <conditionalFormatting sqref="B32:U32">
    <cfRule type="expression" dxfId="6716" priority="300">
      <formula>B$9&gt;=20/24</formula>
    </cfRule>
    <cfRule type="expression" dxfId="6715" priority="301">
      <formula>AND(B$9&gt;=14/24,B$9&lt;20/24)</formula>
    </cfRule>
    <cfRule type="expression" dxfId="6714" priority="302">
      <formula>AND(B$9&gt;=8/24,B$9&lt;14/24)</formula>
    </cfRule>
    <cfRule type="expression" dxfId="6713" priority="303">
      <formula>B$9&lt;8/24</formula>
    </cfRule>
  </conditionalFormatting>
  <conditionalFormatting sqref="B37:E37">
    <cfRule type="expression" dxfId="6712" priority="296">
      <formula>B$9&gt;=20/24</formula>
    </cfRule>
    <cfRule type="expression" dxfId="6711" priority="297">
      <formula>AND(B$9&gt;=14/24,B$9&lt;20/24)</formula>
    </cfRule>
    <cfRule type="expression" dxfId="6710" priority="298">
      <formula>AND(B$9&gt;=8/24,B$9&lt;14/24)</formula>
    </cfRule>
    <cfRule type="expression" dxfId="6709" priority="299">
      <formula>B$9&lt;8/24</formula>
    </cfRule>
  </conditionalFormatting>
  <conditionalFormatting sqref="B35:U35">
    <cfRule type="expression" dxfId="6708" priority="292">
      <formula>B$9&gt;=20/24</formula>
    </cfRule>
    <cfRule type="expression" dxfId="6707" priority="293">
      <formula>AND(B$9&gt;=14/24,B$9&lt;20/24)</formula>
    </cfRule>
    <cfRule type="expression" dxfId="6706" priority="294">
      <formula>AND(B$9&gt;=8/24,B$9&lt;14/24)</formula>
    </cfRule>
    <cfRule type="expression" dxfId="6705" priority="295">
      <formula>B$9&lt;8/24</formula>
    </cfRule>
  </conditionalFormatting>
  <conditionalFormatting sqref="B45:L48">
    <cfRule type="expression" dxfId="6704" priority="288">
      <formula>B$9&gt;=20/24</formula>
    </cfRule>
    <cfRule type="expression" dxfId="6703" priority="289">
      <formula>AND(B$9&gt;=14/24,B$9&lt;20/24)</formula>
    </cfRule>
    <cfRule type="expression" dxfId="6702" priority="290">
      <formula>AND(B$9&gt;=8/24,B$9&lt;14/24)</formula>
    </cfRule>
    <cfRule type="expression" dxfId="6701" priority="291">
      <formula>B$9&lt;8/24</formula>
    </cfRule>
  </conditionalFormatting>
  <conditionalFormatting sqref="B49:L49">
    <cfRule type="expression" dxfId="6700" priority="284">
      <formula>B$9&gt;=20/24</formula>
    </cfRule>
    <cfRule type="expression" dxfId="6699" priority="285">
      <formula>AND(B$9&gt;=14/24,B$9&lt;20/24)</formula>
    </cfRule>
    <cfRule type="expression" dxfId="6698" priority="286">
      <formula>AND(B$9&gt;=8/24,B$9&lt;14/24)</formula>
    </cfRule>
    <cfRule type="expression" dxfId="6697" priority="287">
      <formula>B$9&lt;8/24</formula>
    </cfRule>
  </conditionalFormatting>
  <conditionalFormatting sqref="B50:C50">
    <cfRule type="expression" dxfId="6696" priority="280">
      <formula>B$9&gt;=20/24</formula>
    </cfRule>
    <cfRule type="expression" dxfId="6695" priority="281">
      <formula>AND(B$9&gt;=14/24,B$9&lt;20/24)</formula>
    </cfRule>
    <cfRule type="expression" dxfId="6694" priority="282">
      <formula>AND(B$9&gt;=8/24,B$9&lt;14/24)</formula>
    </cfRule>
    <cfRule type="expression" dxfId="6693" priority="283">
      <formula>B$9&lt;8/24</formula>
    </cfRule>
  </conditionalFormatting>
  <conditionalFormatting sqref="B34:B56 C45:C50 B11:D32 C34:E37 E12:G32 H17:L20 D45:L49 H21:U32 F34:U36">
    <cfRule type="expression" dxfId="6692" priority="279">
      <formula>B11&gt;$AG11</formula>
    </cfRule>
  </conditionalFormatting>
  <conditionalFormatting sqref="B34:U34">
    <cfRule type="expression" dxfId="6691" priority="275">
      <formula>B$9&gt;=20/24</formula>
    </cfRule>
    <cfRule type="expression" dxfId="6690" priority="276">
      <formula>AND(B$9&gt;=14/24,B$9&lt;20/24)</formula>
    </cfRule>
    <cfRule type="expression" dxfId="6689" priority="277">
      <formula>AND(B$9&gt;=8/24,B$9&lt;14/24)</formula>
    </cfRule>
    <cfRule type="expression" dxfId="6688" priority="278">
      <formula>B$9&lt;8/24</formula>
    </cfRule>
  </conditionalFormatting>
  <conditionalFormatting sqref="B15:G15">
    <cfRule type="expression" dxfId="6687" priority="271">
      <formula>B$9&gt;=20/24</formula>
    </cfRule>
    <cfRule type="expression" dxfId="6686" priority="272">
      <formula>AND(B$9&gt;=14/24,B$9&lt;20/24)</formula>
    </cfRule>
    <cfRule type="expression" dxfId="6685" priority="273">
      <formula>AND(B$9&gt;=8/24,B$9&lt;14/24)</formula>
    </cfRule>
    <cfRule type="expression" dxfId="6684" priority="274">
      <formula>B$9&lt;8/24</formula>
    </cfRule>
  </conditionalFormatting>
  <conditionalFormatting sqref="B44">
    <cfRule type="expression" dxfId="6683" priority="267">
      <formula>B$9&gt;=20/24</formula>
    </cfRule>
    <cfRule type="expression" dxfId="6682" priority="268">
      <formula>AND(B$9&gt;=14/24,B$9&lt;20/24)</formula>
    </cfRule>
    <cfRule type="expression" dxfId="6681" priority="269">
      <formula>AND(B$9&gt;=8/24,B$9&lt;14/24)</formula>
    </cfRule>
    <cfRule type="expression" dxfId="6680" priority="270">
      <formula>B$9&lt;8/24</formula>
    </cfRule>
  </conditionalFormatting>
  <conditionalFormatting sqref="B33:U33">
    <cfRule type="expression" dxfId="6679" priority="263">
      <formula>B$9&gt;=20/24</formula>
    </cfRule>
    <cfRule type="expression" dxfId="6678" priority="264">
      <formula>AND(B$9&gt;=14/24,B$9&lt;20/24)</formula>
    </cfRule>
    <cfRule type="expression" dxfId="6677" priority="265">
      <formula>AND(B$9&gt;=8/24,B$9&lt;14/24)</formula>
    </cfRule>
    <cfRule type="expression" dxfId="6676" priority="266">
      <formula>B$9&lt;8/24</formula>
    </cfRule>
  </conditionalFormatting>
  <conditionalFormatting sqref="B33:U33">
    <cfRule type="expression" dxfId="6675" priority="262">
      <formula>B33&gt;$AG33</formula>
    </cfRule>
  </conditionalFormatting>
  <conditionalFormatting sqref="M12:U14 M16:U20">
    <cfRule type="expression" dxfId="6674" priority="258">
      <formula>M$9&gt;=20/24</formula>
    </cfRule>
    <cfRule type="expression" dxfId="6673" priority="259">
      <formula>AND(M$9&gt;=14/24,M$9&lt;20/24)</formula>
    </cfRule>
    <cfRule type="expression" dxfId="6672" priority="260">
      <formula>AND(M$9&gt;=8/24,M$9&lt;14/24)</formula>
    </cfRule>
    <cfRule type="expression" dxfId="6671" priority="261">
      <formula>M$9&lt;8/24</formula>
    </cfRule>
  </conditionalFormatting>
  <conditionalFormatting sqref="M16:U20 M12:U14">
    <cfRule type="expression" dxfId="6670" priority="257">
      <formula>M12&gt;$AG12</formula>
    </cfRule>
  </conditionalFormatting>
  <conditionalFormatting sqref="M15:U15">
    <cfRule type="expression" dxfId="6669" priority="253">
      <formula>M$9&gt;=20/24</formula>
    </cfRule>
    <cfRule type="expression" dxfId="6668" priority="254">
      <formula>AND(M$9&gt;=14/24,M$9&lt;20/24)</formula>
    </cfRule>
    <cfRule type="expression" dxfId="6667" priority="255">
      <formula>AND(M$9&gt;=8/24,M$9&lt;14/24)</formula>
    </cfRule>
    <cfRule type="expression" dxfId="6666" priority="256">
      <formula>M$9&lt;8/24</formula>
    </cfRule>
  </conditionalFormatting>
  <conditionalFormatting sqref="M15:U15">
    <cfRule type="expression" dxfId="6665" priority="252">
      <formula>M15&gt;$AG15</formula>
    </cfRule>
  </conditionalFormatting>
  <conditionalFormatting sqref="M42 M45:U48">
    <cfRule type="expression" dxfId="6664" priority="248">
      <formula>M$9&gt;=20/24</formula>
    </cfRule>
    <cfRule type="expression" dxfId="6663" priority="249">
      <formula>AND(M$9&gt;=14/24,M$9&lt;20/24)</formula>
    </cfRule>
    <cfRule type="expression" dxfId="6662" priority="250">
      <formula>AND(M$9&gt;=8/24,M$9&lt;14/24)</formula>
    </cfRule>
    <cfRule type="expression" dxfId="6661" priority="251">
      <formula>M$9&lt;8/24</formula>
    </cfRule>
  </conditionalFormatting>
  <conditionalFormatting sqref="M43">
    <cfRule type="expression" dxfId="6660" priority="244">
      <formula>M$9&gt;=20/24</formula>
    </cfRule>
    <cfRule type="expression" dxfId="6659" priority="245">
      <formula>AND(M$9&gt;=14/24,M$9&lt;20/24)</formula>
    </cfRule>
    <cfRule type="expression" dxfId="6658" priority="246">
      <formula>AND(M$9&gt;=8/24,M$9&lt;14/24)</formula>
    </cfRule>
    <cfRule type="expression" dxfId="6657" priority="247">
      <formula>M$9&lt;8/24</formula>
    </cfRule>
  </conditionalFormatting>
  <conditionalFormatting sqref="M49:P49">
    <cfRule type="expression" dxfId="6656" priority="240">
      <formula>M$9&gt;=20/24</formula>
    </cfRule>
    <cfRule type="expression" dxfId="6655" priority="241">
      <formula>AND(M$9&gt;=14/24,M$9&lt;20/24)</formula>
    </cfRule>
    <cfRule type="expression" dxfId="6654" priority="242">
      <formula>AND(M$9&gt;=8/24,M$9&lt;14/24)</formula>
    </cfRule>
    <cfRule type="expression" dxfId="6653" priority="243">
      <formula>M$9&lt;8/24</formula>
    </cfRule>
  </conditionalFormatting>
  <conditionalFormatting sqref="M50:U50">
    <cfRule type="expression" dxfId="6652" priority="236">
      <formula>M$9&gt;=20/24</formula>
    </cfRule>
    <cfRule type="expression" dxfId="6651" priority="237">
      <formula>AND(M$9&gt;=14/24,M$9&lt;20/24)</formula>
    </cfRule>
    <cfRule type="expression" dxfId="6650" priority="238">
      <formula>AND(M$9&gt;=8/24,M$9&lt;14/24)</formula>
    </cfRule>
    <cfRule type="expression" dxfId="6649" priority="239">
      <formula>M$9&lt;8/24</formula>
    </cfRule>
  </conditionalFormatting>
  <conditionalFormatting sqref="M45:U48">
    <cfRule type="expression" dxfId="6648" priority="232">
      <formula>M$9&gt;=20/24</formula>
    </cfRule>
    <cfRule type="expression" dxfId="6647" priority="233">
      <formula>AND(M$9&gt;=14/24,M$9&lt;20/24)</formula>
    </cfRule>
    <cfRule type="expression" dxfId="6646" priority="234">
      <formula>AND(M$9&gt;=8/24,M$9&lt;14/24)</formula>
    </cfRule>
    <cfRule type="expression" dxfId="6645" priority="235">
      <formula>M$9&lt;8/24</formula>
    </cfRule>
  </conditionalFormatting>
  <conditionalFormatting sqref="M42:M50 N44:P50 Q44:U48 Q50:U50">
    <cfRule type="expression" dxfId="6644" priority="231">
      <formula>M42&gt;$AG42</formula>
    </cfRule>
  </conditionalFormatting>
  <conditionalFormatting sqref="M44:U44">
    <cfRule type="expression" dxfId="6643" priority="227">
      <formula>M$9&gt;=20/24</formula>
    </cfRule>
    <cfRule type="expression" dxfId="6642" priority="228">
      <formula>AND(M$9&gt;=14/24,M$9&lt;20/24)</formula>
    </cfRule>
    <cfRule type="expression" dxfId="6641" priority="229">
      <formula>AND(M$9&gt;=8/24,M$9&lt;14/24)</formula>
    </cfRule>
    <cfRule type="expression" dxfId="6640" priority="230">
      <formula>M$9&lt;8/24</formula>
    </cfRule>
  </conditionalFormatting>
  <conditionalFormatting sqref="W11:X11">
    <cfRule type="expression" dxfId="6639" priority="223">
      <formula>W$9&gt;=20/24</formula>
    </cfRule>
    <cfRule type="expression" dxfId="6638" priority="224">
      <formula>AND(W$9&gt;=14/24,W$9&lt;20/24)</formula>
    </cfRule>
    <cfRule type="expression" dxfId="6637" priority="225">
      <formula>AND(W$9&gt;=8/24,W$9&lt;14/24)</formula>
    </cfRule>
    <cfRule type="expression" dxfId="6636" priority="226">
      <formula>W$9&lt;8/24</formula>
    </cfRule>
  </conditionalFormatting>
  <conditionalFormatting sqref="W37:X37">
    <cfRule type="expression" dxfId="6635" priority="219">
      <formula>W$9&gt;=20/24</formula>
    </cfRule>
    <cfRule type="expression" dxfId="6634" priority="220">
      <formula>AND(W$9&gt;=14/24,W$9&lt;20/24)</formula>
    </cfRule>
    <cfRule type="expression" dxfId="6633" priority="221">
      <formula>AND(W$9&gt;=8/24,W$9&lt;14/24)</formula>
    </cfRule>
    <cfRule type="expression" dxfId="6632" priority="222">
      <formula>W$9&lt;8/24</formula>
    </cfRule>
  </conditionalFormatting>
  <conditionalFormatting sqref="W37:X37 W11:X11">
    <cfRule type="expression" dxfId="6631" priority="218">
      <formula>W11&gt;$AG11</formula>
    </cfRule>
  </conditionalFormatting>
  <conditionalFormatting sqref="W21:X31 W36:X36">
    <cfRule type="expression" dxfId="6630" priority="214">
      <formula>W$9&gt;=20/24</formula>
    </cfRule>
    <cfRule type="expression" dxfId="6629" priority="215">
      <formula>AND(W$9&gt;=14/24,W$9&lt;20/24)</formula>
    </cfRule>
    <cfRule type="expression" dxfId="6628" priority="216">
      <formula>AND(W$9&gt;=8/24,W$9&lt;14/24)</formula>
    </cfRule>
    <cfRule type="expression" dxfId="6627" priority="217">
      <formula>W$9&lt;8/24</formula>
    </cfRule>
  </conditionalFormatting>
  <conditionalFormatting sqref="W32:X32">
    <cfRule type="expression" dxfId="6626" priority="210">
      <formula>W$9&gt;=20/24</formula>
    </cfRule>
    <cfRule type="expression" dxfId="6625" priority="211">
      <formula>AND(W$9&gt;=14/24,W$9&lt;20/24)</formula>
    </cfRule>
    <cfRule type="expression" dxfId="6624" priority="212">
      <formula>AND(W$9&gt;=8/24,W$9&lt;14/24)</formula>
    </cfRule>
    <cfRule type="expression" dxfId="6623" priority="213">
      <formula>W$9&lt;8/24</formula>
    </cfRule>
  </conditionalFormatting>
  <conditionalFormatting sqref="W35:X35">
    <cfRule type="expression" dxfId="6622" priority="206">
      <formula>W$9&gt;=20/24</formula>
    </cfRule>
    <cfRule type="expression" dxfId="6621" priority="207">
      <formula>AND(W$9&gt;=14/24,W$9&lt;20/24)</formula>
    </cfRule>
    <cfRule type="expression" dxfId="6620" priority="208">
      <formula>AND(W$9&gt;=8/24,W$9&lt;14/24)</formula>
    </cfRule>
    <cfRule type="expression" dxfId="6619" priority="209">
      <formula>W$9&lt;8/24</formula>
    </cfRule>
  </conditionalFormatting>
  <conditionalFormatting sqref="W21:X32 W34:X36">
    <cfRule type="expression" dxfId="6618" priority="205">
      <formula>W21&gt;$AG21</formula>
    </cfRule>
  </conditionalFormatting>
  <conditionalFormatting sqref="W34:X34">
    <cfRule type="expression" dxfId="6617" priority="201">
      <formula>W$9&gt;=20/24</formula>
    </cfRule>
    <cfRule type="expression" dxfId="6616" priority="202">
      <formula>AND(W$9&gt;=14/24,W$9&lt;20/24)</formula>
    </cfRule>
    <cfRule type="expression" dxfId="6615" priority="203">
      <formula>AND(W$9&gt;=8/24,W$9&lt;14/24)</formula>
    </cfRule>
    <cfRule type="expression" dxfId="6614" priority="204">
      <formula>W$9&lt;8/24</formula>
    </cfRule>
  </conditionalFormatting>
  <conditionalFormatting sqref="W33:X33">
    <cfRule type="expression" dxfId="6613" priority="197">
      <formula>W$9&gt;=20/24</formula>
    </cfRule>
    <cfRule type="expression" dxfId="6612" priority="198">
      <formula>AND(W$9&gt;=14/24,W$9&lt;20/24)</formula>
    </cfRule>
    <cfRule type="expression" dxfId="6611" priority="199">
      <formula>AND(W$9&gt;=8/24,W$9&lt;14/24)</formula>
    </cfRule>
    <cfRule type="expression" dxfId="6610" priority="200">
      <formula>W$9&lt;8/24</formula>
    </cfRule>
  </conditionalFormatting>
  <conditionalFormatting sqref="W33:X33">
    <cfRule type="expression" dxfId="6609" priority="196">
      <formula>W33&gt;$AG33</formula>
    </cfRule>
  </conditionalFormatting>
  <conditionalFormatting sqref="W12:X14 W16:X20">
    <cfRule type="expression" dxfId="6608" priority="192">
      <formula>W$9&gt;=20/24</formula>
    </cfRule>
    <cfRule type="expression" dxfId="6607" priority="193">
      <formula>AND(W$9&gt;=14/24,W$9&lt;20/24)</formula>
    </cfRule>
    <cfRule type="expression" dxfId="6606" priority="194">
      <formula>AND(W$9&gt;=8/24,W$9&lt;14/24)</formula>
    </cfRule>
    <cfRule type="expression" dxfId="6605" priority="195">
      <formula>W$9&lt;8/24</formula>
    </cfRule>
  </conditionalFormatting>
  <conditionalFormatting sqref="W16:X20 W12:X14">
    <cfRule type="expression" dxfId="6604" priority="191">
      <formula>W12&gt;$AG12</formula>
    </cfRule>
  </conditionalFormatting>
  <conditionalFormatting sqref="W15:X15">
    <cfRule type="expression" dxfId="6603" priority="187">
      <formula>W$9&gt;=20/24</formula>
    </cfRule>
    <cfRule type="expression" dxfId="6602" priority="188">
      <formula>AND(W$9&gt;=14/24,W$9&lt;20/24)</formula>
    </cfRule>
    <cfRule type="expression" dxfId="6601" priority="189">
      <formula>AND(W$9&gt;=8/24,W$9&lt;14/24)</formula>
    </cfRule>
    <cfRule type="expression" dxfId="6600" priority="190">
      <formula>W$9&lt;8/24</formula>
    </cfRule>
  </conditionalFormatting>
  <conditionalFormatting sqref="W15:X15">
    <cfRule type="expression" dxfId="6599" priority="186">
      <formula>W15&gt;$AG15</formula>
    </cfRule>
  </conditionalFormatting>
  <conditionalFormatting sqref="W40:X41">
    <cfRule type="expression" dxfId="6598" priority="182">
      <formula>W$9&gt;=20/24</formula>
    </cfRule>
    <cfRule type="expression" dxfId="6597" priority="183">
      <formula>AND(W$9&gt;=14/24,W$9&lt;20/24)</formula>
    </cfRule>
    <cfRule type="expression" dxfId="6596" priority="184">
      <formula>AND(W$9&gt;=8/24,W$9&lt;14/24)</formula>
    </cfRule>
    <cfRule type="expression" dxfId="6595" priority="185">
      <formula>W$9&lt;8/24</formula>
    </cfRule>
  </conditionalFormatting>
  <conditionalFormatting sqref="W43:X43">
    <cfRule type="expression" dxfId="6594" priority="178">
      <formula>W$9&gt;=20/24</formula>
    </cfRule>
    <cfRule type="expression" dxfId="6593" priority="179">
      <formula>AND(W$9&gt;=14/24,W$9&lt;20/24)</formula>
    </cfRule>
    <cfRule type="expression" dxfId="6592" priority="180">
      <formula>AND(W$9&gt;=8/24,W$9&lt;14/24)</formula>
    </cfRule>
    <cfRule type="expression" dxfId="6591" priority="181">
      <formula>W$9&lt;8/24</formula>
    </cfRule>
  </conditionalFormatting>
  <conditionalFormatting sqref="W39:X39">
    <cfRule type="expression" dxfId="6590" priority="174">
      <formula>W$9&gt;=20/24</formula>
    </cfRule>
    <cfRule type="expression" dxfId="6589" priority="175">
      <formula>AND(W$9&gt;=14/24,W$9&lt;20/24)</formula>
    </cfRule>
    <cfRule type="expression" dxfId="6588" priority="176">
      <formula>AND(W$9&gt;=8/24,W$9&lt;14/24)</formula>
    </cfRule>
    <cfRule type="expression" dxfId="6587" priority="177">
      <formula>W$9&lt;8/24</formula>
    </cfRule>
  </conditionalFormatting>
  <conditionalFormatting sqref="W49:AF49">
    <cfRule type="expression" dxfId="6586" priority="170">
      <formula>W$9&gt;=20/24</formula>
    </cfRule>
    <cfRule type="expression" dxfId="6585" priority="171">
      <formula>AND(W$9&gt;=14/24,W$9&lt;20/24)</formula>
    </cfRule>
    <cfRule type="expression" dxfId="6584" priority="172">
      <formula>AND(W$9&gt;=8/24,W$9&lt;14/24)</formula>
    </cfRule>
    <cfRule type="expression" dxfId="6583" priority="173">
      <formula>W$9&lt;8/24</formula>
    </cfRule>
  </conditionalFormatting>
  <conditionalFormatting sqref="W42:X42">
    <cfRule type="expression" dxfId="6582" priority="166">
      <formula>W$9&gt;=20/24</formula>
    </cfRule>
    <cfRule type="expression" dxfId="6581" priority="167">
      <formula>AND(W$9&gt;=14/24,W$9&lt;20/24)</formula>
    </cfRule>
    <cfRule type="expression" dxfId="6580" priority="168">
      <formula>AND(W$9&gt;=8/24,W$9&lt;14/24)</formula>
    </cfRule>
    <cfRule type="expression" dxfId="6579" priority="169">
      <formula>W$9&lt;8/24</formula>
    </cfRule>
  </conditionalFormatting>
  <conditionalFormatting sqref="W39:X43 W49:AF49">
    <cfRule type="expression" dxfId="6578" priority="165">
      <formula>W39&gt;$AG39</formula>
    </cfRule>
  </conditionalFormatting>
  <conditionalFormatting sqref="W45:X48">
    <cfRule type="expression" dxfId="6577" priority="161">
      <formula>W$9&gt;=20/24</formula>
    </cfRule>
    <cfRule type="expression" dxfId="6576" priority="162">
      <formula>AND(W$9&gt;=14/24,W$9&lt;20/24)</formula>
    </cfRule>
    <cfRule type="expression" dxfId="6575" priority="163">
      <formula>AND(W$9&gt;=8/24,W$9&lt;14/24)</formula>
    </cfRule>
    <cfRule type="expression" dxfId="6574" priority="164">
      <formula>W$9&lt;8/24</formula>
    </cfRule>
  </conditionalFormatting>
  <conditionalFormatting sqref="W50:X50">
    <cfRule type="expression" dxfId="6573" priority="157">
      <formula>W$9&gt;=20/24</formula>
    </cfRule>
    <cfRule type="expression" dxfId="6572" priority="158">
      <formula>AND(W$9&gt;=14/24,W$9&lt;20/24)</formula>
    </cfRule>
    <cfRule type="expression" dxfId="6571" priority="159">
      <formula>AND(W$9&gt;=8/24,W$9&lt;14/24)</formula>
    </cfRule>
    <cfRule type="expression" dxfId="6570" priority="160">
      <formula>W$9&lt;8/24</formula>
    </cfRule>
  </conditionalFormatting>
  <conditionalFormatting sqref="W45:X48">
    <cfRule type="expression" dxfId="6569" priority="153">
      <formula>W$9&gt;=20/24</formula>
    </cfRule>
    <cfRule type="expression" dxfId="6568" priority="154">
      <formula>AND(W$9&gt;=14/24,W$9&lt;20/24)</formula>
    </cfRule>
    <cfRule type="expression" dxfId="6567" priority="155">
      <formula>AND(W$9&gt;=8/24,W$9&lt;14/24)</formula>
    </cfRule>
    <cfRule type="expression" dxfId="6566" priority="156">
      <formula>W$9&lt;8/24</formula>
    </cfRule>
  </conditionalFormatting>
  <conditionalFormatting sqref="W44:X48 W50:X50">
    <cfRule type="expression" dxfId="6565" priority="152">
      <formula>W44&gt;$AG44</formula>
    </cfRule>
  </conditionalFormatting>
  <conditionalFormatting sqref="W44:X44">
    <cfRule type="expression" dxfId="6564" priority="148">
      <formula>W$9&gt;=20/24</formula>
    </cfRule>
    <cfRule type="expression" dxfId="6563" priority="149">
      <formula>AND(W$9&gt;=14/24,W$9&lt;20/24)</formula>
    </cfRule>
    <cfRule type="expression" dxfId="6562" priority="150">
      <formula>AND(W$9&gt;=8/24,W$9&lt;14/24)</formula>
    </cfRule>
    <cfRule type="expression" dxfId="6561" priority="151">
      <formula>W$9&lt;8/24</formula>
    </cfRule>
  </conditionalFormatting>
  <conditionalFormatting sqref="W58:X59">
    <cfRule type="expression" dxfId="6560" priority="144">
      <formula>W$9&gt;=20/24</formula>
    </cfRule>
    <cfRule type="expression" dxfId="6559" priority="145">
      <formula>AND(W$9&gt;=14/24,W$9&lt;20/24)</formula>
    </cfRule>
    <cfRule type="expression" dxfId="6558" priority="146">
      <formula>AND(W$9&gt;=8/24,W$9&lt;14/24)</formula>
    </cfRule>
    <cfRule type="expression" dxfId="6557" priority="147">
      <formula>W$9&lt;8/24</formula>
    </cfRule>
  </conditionalFormatting>
  <conditionalFormatting sqref="W57:X57">
    <cfRule type="expression" dxfId="6556" priority="140">
      <formula>W$9&gt;=20/24</formula>
    </cfRule>
    <cfRule type="expression" dxfId="6555" priority="141">
      <formula>AND(W$9&gt;=14/24,W$9&lt;20/24)</formula>
    </cfRule>
    <cfRule type="expression" dxfId="6554" priority="142">
      <formula>AND(W$9&gt;=8/24,W$9&lt;14/24)</formula>
    </cfRule>
    <cfRule type="expression" dxfId="6553" priority="143">
      <formula>W$9&lt;8/24</formula>
    </cfRule>
  </conditionalFormatting>
  <conditionalFormatting sqref="W60:X67">
    <cfRule type="expression" dxfId="6552" priority="136">
      <formula>W$9&gt;=20/24</formula>
    </cfRule>
    <cfRule type="expression" dxfId="6551" priority="137">
      <formula>AND(W$9&gt;=14/24,W$9&lt;20/24)</formula>
    </cfRule>
    <cfRule type="expression" dxfId="6550" priority="138">
      <formula>AND(W$9&gt;=8/24,W$9&lt;14/24)</formula>
    </cfRule>
    <cfRule type="expression" dxfId="6549" priority="139">
      <formula>W$9&lt;8/24</formula>
    </cfRule>
  </conditionalFormatting>
  <conditionalFormatting sqref="W85:X91">
    <cfRule type="expression" dxfId="6548" priority="132">
      <formula>W$9&gt;=20/24</formula>
    </cfRule>
    <cfRule type="expression" dxfId="6547" priority="133">
      <formula>AND(W$9&gt;=14/24,W$9&lt;20/24)</formula>
    </cfRule>
    <cfRule type="expression" dxfId="6546" priority="134">
      <formula>AND(W$9&gt;=8/24,W$9&lt;14/24)</formula>
    </cfRule>
    <cfRule type="expression" dxfId="6545" priority="135">
      <formula>W$9&lt;8/24</formula>
    </cfRule>
  </conditionalFormatting>
  <conditionalFormatting sqref="W84:X84">
    <cfRule type="expression" dxfId="6544" priority="128">
      <formula>W$9&gt;=20/24</formula>
    </cfRule>
    <cfRule type="expression" dxfId="6543" priority="129">
      <formula>AND(W$9&gt;=14/24,W$9&lt;20/24)</formula>
    </cfRule>
    <cfRule type="expression" dxfId="6542" priority="130">
      <formula>AND(W$9&gt;=8/24,W$9&lt;14/24)</formula>
    </cfRule>
    <cfRule type="expression" dxfId="6541" priority="131">
      <formula>W$9&lt;8/24</formula>
    </cfRule>
  </conditionalFormatting>
  <conditionalFormatting sqref="W94:W97">
    <cfRule type="expression" dxfId="6540" priority="124">
      <formula>W$9&gt;=20/24</formula>
    </cfRule>
    <cfRule type="expression" dxfId="6539" priority="125">
      <formula>AND(W$9&gt;=14/24,W$9&lt;20/24)</formula>
    </cfRule>
    <cfRule type="expression" dxfId="6538" priority="126">
      <formula>AND(W$9&gt;=8/24,W$9&lt;14/24)</formula>
    </cfRule>
    <cfRule type="expression" dxfId="6537" priority="127">
      <formula>W$9&lt;8/24</formula>
    </cfRule>
  </conditionalFormatting>
  <conditionalFormatting sqref="W98">
    <cfRule type="expression" dxfId="6536" priority="120">
      <formula>W$9&gt;=20/24</formula>
    </cfRule>
    <cfRule type="expression" dxfId="6535" priority="121">
      <formula>AND(W$9&gt;=14/24,W$9&lt;20/24)</formula>
    </cfRule>
    <cfRule type="expression" dxfId="6534" priority="122">
      <formula>AND(W$9&gt;=8/24,W$9&lt;14/24)</formula>
    </cfRule>
    <cfRule type="expression" dxfId="6533" priority="123">
      <formula>W$9&lt;8/24</formula>
    </cfRule>
  </conditionalFormatting>
  <conditionalFormatting sqref="W94">
    <cfRule type="expression" dxfId="6532" priority="116">
      <formula>W$9&gt;=20/24</formula>
    </cfRule>
    <cfRule type="expression" dxfId="6531" priority="117">
      <formula>AND(W$9&gt;=14/24,W$9&lt;20/24)</formula>
    </cfRule>
    <cfRule type="expression" dxfId="6530" priority="118">
      <formula>AND(W$9&gt;=8/24,W$9&lt;14/24)</formula>
    </cfRule>
    <cfRule type="expression" dxfId="6529" priority="119">
      <formula>W$9&lt;8/24</formula>
    </cfRule>
  </conditionalFormatting>
  <conditionalFormatting sqref="W99">
    <cfRule type="expression" dxfId="6528" priority="112">
      <formula>W$9&gt;=20/24</formula>
    </cfRule>
    <cfRule type="expression" dxfId="6527" priority="113">
      <formula>AND(W$9&gt;=14/24,W$9&lt;20/24)</formula>
    </cfRule>
    <cfRule type="expression" dxfId="6526" priority="114">
      <formula>AND(W$9&gt;=8/24,W$9&lt;14/24)</formula>
    </cfRule>
    <cfRule type="expression" dxfId="6525" priority="115">
      <formula>W$9&lt;8/24</formula>
    </cfRule>
  </conditionalFormatting>
  <conditionalFormatting sqref="Z11:AB11">
    <cfRule type="expression" dxfId="6524" priority="108">
      <formula>Z$9&gt;=20/24</formula>
    </cfRule>
    <cfRule type="expression" dxfId="6523" priority="109">
      <formula>AND(Z$9&gt;=14/24,Z$9&lt;20/24)</formula>
    </cfRule>
    <cfRule type="expression" dxfId="6522" priority="110">
      <formula>AND(Z$9&gt;=8/24,Z$9&lt;14/24)</formula>
    </cfRule>
    <cfRule type="expression" dxfId="6521" priority="111">
      <formula>Z$9&lt;8/24</formula>
    </cfRule>
  </conditionalFormatting>
  <conditionalFormatting sqref="Z37:AA37">
    <cfRule type="expression" dxfId="6520" priority="104">
      <formula>Z$9&gt;=20/24</formula>
    </cfRule>
    <cfRule type="expression" dxfId="6519" priority="105">
      <formula>AND(Z$9&gt;=14/24,Z$9&lt;20/24)</formula>
    </cfRule>
    <cfRule type="expression" dxfId="6518" priority="106">
      <formula>AND(Z$9&gt;=8/24,Z$9&lt;14/24)</formula>
    </cfRule>
    <cfRule type="expression" dxfId="6517" priority="107">
      <formula>Z$9&lt;8/24</formula>
    </cfRule>
  </conditionalFormatting>
  <conditionalFormatting sqref="Z37:AA37 Z11:AB11">
    <cfRule type="expression" dxfId="6516" priority="103">
      <formula>Z11&gt;$AG11</formula>
    </cfRule>
  </conditionalFormatting>
  <conditionalFormatting sqref="Z21:AF31 Z36:AF36">
    <cfRule type="expression" dxfId="6515" priority="99">
      <formula>Z$9&gt;=20/24</formula>
    </cfRule>
    <cfRule type="expression" dxfId="6514" priority="100">
      <formula>AND(Z$9&gt;=14/24,Z$9&lt;20/24)</formula>
    </cfRule>
    <cfRule type="expression" dxfId="6513" priority="101">
      <formula>AND(Z$9&gt;=8/24,Z$9&lt;14/24)</formula>
    </cfRule>
    <cfRule type="expression" dxfId="6512" priority="102">
      <formula>Z$9&lt;8/24</formula>
    </cfRule>
  </conditionalFormatting>
  <conditionalFormatting sqref="Z32:AF32">
    <cfRule type="expression" dxfId="6511" priority="95">
      <formula>Z$9&gt;=20/24</formula>
    </cfRule>
    <cfRule type="expression" dxfId="6510" priority="96">
      <formula>AND(Z$9&gt;=14/24,Z$9&lt;20/24)</formula>
    </cfRule>
    <cfRule type="expression" dxfId="6509" priority="97">
      <formula>AND(Z$9&gt;=8/24,Z$9&lt;14/24)</formula>
    </cfRule>
    <cfRule type="expression" dxfId="6508" priority="98">
      <formula>Z$9&lt;8/24</formula>
    </cfRule>
  </conditionalFormatting>
  <conditionalFormatting sqref="Z35:AF35">
    <cfRule type="expression" dxfId="6507" priority="91">
      <formula>Z$9&gt;=20/24</formula>
    </cfRule>
    <cfRule type="expression" dxfId="6506" priority="92">
      <formula>AND(Z$9&gt;=14/24,Z$9&lt;20/24)</formula>
    </cfRule>
    <cfRule type="expression" dxfId="6505" priority="93">
      <formula>AND(Z$9&gt;=8/24,Z$9&lt;14/24)</formula>
    </cfRule>
    <cfRule type="expression" dxfId="6504" priority="94">
      <formula>Z$9&lt;8/24</formula>
    </cfRule>
  </conditionalFormatting>
  <conditionalFormatting sqref="Z21:AF32 Z34:AF36">
    <cfRule type="expression" dxfId="6503" priority="90">
      <formula>Z21&gt;$AG21</formula>
    </cfRule>
  </conditionalFormatting>
  <conditionalFormatting sqref="Z34:AF34">
    <cfRule type="expression" dxfId="6502" priority="86">
      <formula>Z$9&gt;=20/24</formula>
    </cfRule>
    <cfRule type="expression" dxfId="6501" priority="87">
      <formula>AND(Z$9&gt;=14/24,Z$9&lt;20/24)</formula>
    </cfRule>
    <cfRule type="expression" dxfId="6500" priority="88">
      <formula>AND(Z$9&gt;=8/24,Z$9&lt;14/24)</formula>
    </cfRule>
    <cfRule type="expression" dxfId="6499" priority="89">
      <formula>Z$9&lt;8/24</formula>
    </cfRule>
  </conditionalFormatting>
  <conditionalFormatting sqref="Z33:AF33">
    <cfRule type="expression" dxfId="6498" priority="82">
      <formula>Z$9&gt;=20/24</formula>
    </cfRule>
    <cfRule type="expression" dxfId="6497" priority="83">
      <formula>AND(Z$9&gt;=14/24,Z$9&lt;20/24)</formula>
    </cfRule>
    <cfRule type="expression" dxfId="6496" priority="84">
      <formula>AND(Z$9&gt;=8/24,Z$9&lt;14/24)</formula>
    </cfRule>
    <cfRule type="expression" dxfId="6495" priority="85">
      <formula>Z$9&lt;8/24</formula>
    </cfRule>
  </conditionalFormatting>
  <conditionalFormatting sqref="Z33:AF33">
    <cfRule type="expression" dxfId="6494" priority="81">
      <formula>Z33&gt;$AG33</formula>
    </cfRule>
  </conditionalFormatting>
  <conditionalFormatting sqref="Z12:AF14 Z16:AF20">
    <cfRule type="expression" dxfId="6493" priority="77">
      <formula>Z$9&gt;=20/24</formula>
    </cfRule>
    <cfRule type="expression" dxfId="6492" priority="78">
      <formula>AND(Z$9&gt;=14/24,Z$9&lt;20/24)</formula>
    </cfRule>
    <cfRule type="expression" dxfId="6491" priority="79">
      <formula>AND(Z$9&gt;=8/24,Z$9&lt;14/24)</formula>
    </cfRule>
    <cfRule type="expression" dxfId="6490" priority="80">
      <formula>Z$9&lt;8/24</formula>
    </cfRule>
  </conditionalFormatting>
  <conditionalFormatting sqref="Z16:AF20 Z12:AF14">
    <cfRule type="expression" dxfId="6489" priority="76">
      <formula>Z12&gt;$AG12</formula>
    </cfRule>
  </conditionalFormatting>
  <conditionalFormatting sqref="Z15:AF15">
    <cfRule type="expression" dxfId="6488" priority="72">
      <formula>Z$9&gt;=20/24</formula>
    </cfRule>
    <cfRule type="expression" dxfId="6487" priority="73">
      <formula>AND(Z$9&gt;=14/24,Z$9&lt;20/24)</formula>
    </cfRule>
    <cfRule type="expression" dxfId="6486" priority="74">
      <formula>AND(Z$9&gt;=8/24,Z$9&lt;14/24)</formula>
    </cfRule>
    <cfRule type="expression" dxfId="6485" priority="75">
      <formula>Z$9&lt;8/24</formula>
    </cfRule>
  </conditionalFormatting>
  <conditionalFormatting sqref="Z15:AF15">
    <cfRule type="expression" dxfId="6484" priority="71">
      <formula>Z15&gt;$AG15</formula>
    </cfRule>
  </conditionalFormatting>
  <conditionalFormatting sqref="Z40:AA41">
    <cfRule type="expression" dxfId="6483" priority="67">
      <formula>Z$9&gt;=20/24</formula>
    </cfRule>
    <cfRule type="expression" dxfId="6482" priority="68">
      <formula>AND(Z$9&gt;=14/24,Z$9&lt;20/24)</formula>
    </cfRule>
    <cfRule type="expression" dxfId="6481" priority="69">
      <formula>AND(Z$9&gt;=8/24,Z$9&lt;14/24)</formula>
    </cfRule>
    <cfRule type="expression" dxfId="6480" priority="70">
      <formula>Z$9&lt;8/24</formula>
    </cfRule>
  </conditionalFormatting>
  <conditionalFormatting sqref="Z43:AA43">
    <cfRule type="expression" dxfId="6479" priority="63">
      <formula>Z$9&gt;=20/24</formula>
    </cfRule>
    <cfRule type="expression" dxfId="6478" priority="64">
      <formula>AND(Z$9&gt;=14/24,Z$9&lt;20/24)</formula>
    </cfRule>
    <cfRule type="expression" dxfId="6477" priority="65">
      <formula>AND(Z$9&gt;=8/24,Z$9&lt;14/24)</formula>
    </cfRule>
    <cfRule type="expression" dxfId="6476" priority="66">
      <formula>Z$9&lt;8/24</formula>
    </cfRule>
  </conditionalFormatting>
  <conditionalFormatting sqref="Z39:AA39">
    <cfRule type="expression" dxfId="6475" priority="59">
      <formula>Z$9&gt;=20/24</formula>
    </cfRule>
    <cfRule type="expression" dxfId="6474" priority="60">
      <formula>AND(Z$9&gt;=14/24,Z$9&lt;20/24)</formula>
    </cfRule>
    <cfRule type="expression" dxfId="6473" priority="61">
      <formula>AND(Z$9&gt;=8/24,Z$9&lt;14/24)</formula>
    </cfRule>
    <cfRule type="expression" dxfId="6472" priority="62">
      <formula>Z$9&lt;8/24</formula>
    </cfRule>
  </conditionalFormatting>
  <conditionalFormatting sqref="Z42:AA42">
    <cfRule type="expression" dxfId="6471" priority="51">
      <formula>Z$9&gt;=20/24</formula>
    </cfRule>
    <cfRule type="expression" dxfId="6470" priority="52">
      <formula>AND(Z$9&gt;=14/24,Z$9&lt;20/24)</formula>
    </cfRule>
    <cfRule type="expression" dxfId="6469" priority="53">
      <formula>AND(Z$9&gt;=8/24,Z$9&lt;14/24)</formula>
    </cfRule>
    <cfRule type="expression" dxfId="6468" priority="54">
      <formula>Z$9&lt;8/24</formula>
    </cfRule>
  </conditionalFormatting>
  <conditionalFormatting sqref="Z39:AA43">
    <cfRule type="expression" dxfId="6467" priority="50">
      <formula>Z39&gt;$AG39</formula>
    </cfRule>
  </conditionalFormatting>
  <conditionalFormatting sqref="Z45:AF48">
    <cfRule type="expression" dxfId="6466" priority="46">
      <formula>Z$9&gt;=20/24</formula>
    </cfRule>
    <cfRule type="expression" dxfId="6465" priority="47">
      <formula>AND(Z$9&gt;=14/24,Z$9&lt;20/24)</formula>
    </cfRule>
    <cfRule type="expression" dxfId="6464" priority="48">
      <formula>AND(Z$9&gt;=8/24,Z$9&lt;14/24)</formula>
    </cfRule>
    <cfRule type="expression" dxfId="6463" priority="49">
      <formula>Z$9&lt;8/24</formula>
    </cfRule>
  </conditionalFormatting>
  <conditionalFormatting sqref="Z50:AF50">
    <cfRule type="expression" dxfId="6462" priority="42">
      <formula>Z$9&gt;=20/24</formula>
    </cfRule>
    <cfRule type="expression" dxfId="6461" priority="43">
      <formula>AND(Z$9&gt;=14/24,Z$9&lt;20/24)</formula>
    </cfRule>
    <cfRule type="expression" dxfId="6460" priority="44">
      <formula>AND(Z$9&gt;=8/24,Z$9&lt;14/24)</formula>
    </cfRule>
    <cfRule type="expression" dxfId="6459" priority="45">
      <formula>Z$9&lt;8/24</formula>
    </cfRule>
  </conditionalFormatting>
  <conditionalFormatting sqref="Z45:AF48">
    <cfRule type="expression" dxfId="6458" priority="38">
      <formula>Z$9&gt;=20/24</formula>
    </cfRule>
    <cfRule type="expression" dxfId="6457" priority="39">
      <formula>AND(Z$9&gt;=14/24,Z$9&lt;20/24)</formula>
    </cfRule>
    <cfRule type="expression" dxfId="6456" priority="40">
      <formula>AND(Z$9&gt;=8/24,Z$9&lt;14/24)</formula>
    </cfRule>
    <cfRule type="expression" dxfId="6455" priority="41">
      <formula>Z$9&lt;8/24</formula>
    </cfRule>
  </conditionalFormatting>
  <conditionalFormatting sqref="Z44:AF48 Z50:AF50">
    <cfRule type="expression" dxfId="6454" priority="37">
      <formula>Z44&gt;$AG44</formula>
    </cfRule>
  </conditionalFormatting>
  <conditionalFormatting sqref="Z44:AF44">
    <cfRule type="expression" dxfId="6453" priority="33">
      <formula>Z$9&gt;=20/24</formula>
    </cfRule>
    <cfRule type="expression" dxfId="6452" priority="34">
      <formula>AND(Z$9&gt;=14/24,Z$9&lt;20/24)</formula>
    </cfRule>
    <cfRule type="expression" dxfId="6451" priority="35">
      <formula>AND(Z$9&gt;=8/24,Z$9&lt;14/24)</formula>
    </cfRule>
    <cfRule type="expression" dxfId="6450" priority="36">
      <formula>Z$9&lt;8/24</formula>
    </cfRule>
  </conditionalFormatting>
  <conditionalFormatting sqref="Z58:AA59">
    <cfRule type="expression" dxfId="6449" priority="29">
      <formula>Z$9&gt;=20/24</formula>
    </cfRule>
    <cfRule type="expression" dxfId="6448" priority="30">
      <formula>AND(Z$9&gt;=14/24,Z$9&lt;20/24)</formula>
    </cfRule>
    <cfRule type="expression" dxfId="6447" priority="31">
      <formula>AND(Z$9&gt;=8/24,Z$9&lt;14/24)</formula>
    </cfRule>
    <cfRule type="expression" dxfId="6446" priority="32">
      <formula>Z$9&lt;8/24</formula>
    </cfRule>
  </conditionalFormatting>
  <conditionalFormatting sqref="Z57:AA57">
    <cfRule type="expression" dxfId="6445" priority="25">
      <formula>Z$9&gt;=20/24</formula>
    </cfRule>
    <cfRule type="expression" dxfId="6444" priority="26">
      <formula>AND(Z$9&gt;=14/24,Z$9&lt;20/24)</formula>
    </cfRule>
    <cfRule type="expression" dxfId="6443" priority="27">
      <formula>AND(Z$9&gt;=8/24,Z$9&lt;14/24)</formula>
    </cfRule>
    <cfRule type="expression" dxfId="6442" priority="28">
      <formula>Z$9&lt;8/24</formula>
    </cfRule>
  </conditionalFormatting>
  <conditionalFormatting sqref="Z60:AA67">
    <cfRule type="expression" dxfId="6441" priority="21">
      <formula>Z$9&gt;=20/24</formula>
    </cfRule>
    <cfRule type="expression" dxfId="6440" priority="22">
      <formula>AND(Z$9&gt;=14/24,Z$9&lt;20/24)</formula>
    </cfRule>
    <cfRule type="expression" dxfId="6439" priority="23">
      <formula>AND(Z$9&gt;=8/24,Z$9&lt;14/24)</formula>
    </cfRule>
    <cfRule type="expression" dxfId="6438" priority="24">
      <formula>Z$9&lt;8/24</formula>
    </cfRule>
  </conditionalFormatting>
  <conditionalFormatting sqref="Z85:AA91">
    <cfRule type="expression" dxfId="6437" priority="17">
      <formula>Z$9&gt;=20/24</formula>
    </cfRule>
    <cfRule type="expression" dxfId="6436" priority="18">
      <formula>AND(Z$9&gt;=14/24,Z$9&lt;20/24)</formula>
    </cfRule>
    <cfRule type="expression" dxfId="6435" priority="19">
      <formula>AND(Z$9&gt;=8/24,Z$9&lt;14/24)</formula>
    </cfRule>
    <cfRule type="expression" dxfId="6434" priority="20">
      <formula>Z$9&lt;8/24</formula>
    </cfRule>
  </conditionalFormatting>
  <conditionalFormatting sqref="Z84:AA84">
    <cfRule type="expression" dxfId="6433" priority="13">
      <formula>Z$9&gt;=20/24</formula>
    </cfRule>
    <cfRule type="expression" dxfId="6432" priority="14">
      <formula>AND(Z$9&gt;=14/24,Z$9&lt;20/24)</formula>
    </cfRule>
    <cfRule type="expression" dxfId="6431" priority="15">
      <formula>AND(Z$9&gt;=8/24,Z$9&lt;14/24)</formula>
    </cfRule>
    <cfRule type="expression" dxfId="6430" priority="16">
      <formula>Z$9&lt;8/24</formula>
    </cfRule>
  </conditionalFormatting>
  <conditionalFormatting sqref="Z94:Z97">
    <cfRule type="expression" dxfId="6429" priority="9">
      <formula>Z$9&gt;=20/24</formula>
    </cfRule>
    <cfRule type="expression" dxfId="6428" priority="10">
      <formula>AND(Z$9&gt;=14/24,Z$9&lt;20/24)</formula>
    </cfRule>
    <cfRule type="expression" dxfId="6427" priority="11">
      <formula>AND(Z$9&gt;=8/24,Z$9&lt;14/24)</formula>
    </cfRule>
    <cfRule type="expression" dxfId="6426" priority="12">
      <formula>Z$9&lt;8/24</formula>
    </cfRule>
  </conditionalFormatting>
  <conditionalFormatting sqref="Z98">
    <cfRule type="expression" dxfId="6425" priority="5">
      <formula>Z$9&gt;=20/24</formula>
    </cfRule>
    <cfRule type="expression" dxfId="6424" priority="6">
      <formula>AND(Z$9&gt;=14/24,Z$9&lt;20/24)</formula>
    </cfRule>
    <cfRule type="expression" dxfId="6423" priority="7">
      <formula>AND(Z$9&gt;=8/24,Z$9&lt;14/24)</formula>
    </cfRule>
    <cfRule type="expression" dxfId="6422" priority="8">
      <formula>Z$9&lt;8/24</formula>
    </cfRule>
  </conditionalFormatting>
  <conditionalFormatting sqref="Z99">
    <cfRule type="expression" dxfId="6421" priority="1">
      <formula>Z$9&gt;=20/24</formula>
    </cfRule>
    <cfRule type="expression" dxfId="6420" priority="2">
      <formula>AND(Z$9&gt;=14/24,Z$9&lt;20/24)</formula>
    </cfRule>
    <cfRule type="expression" dxfId="6419" priority="3">
      <formula>AND(Z$9&gt;=8/24,Z$9&lt;14/24)</formula>
    </cfRule>
    <cfRule type="expression" dxfId="6418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1" id="{E0E88D44-D37A-4DB7-A2C9-C8FD6D688D3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L55" sqref="L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2078/11/9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355.42</v>
      </c>
      <c r="C5" s="32">
        <f t="shared" si="0"/>
        <v>339.88</v>
      </c>
      <c r="D5" s="32">
        <f t="shared" si="0"/>
        <v>298.87</v>
      </c>
      <c r="E5" s="32">
        <f t="shared" si="0"/>
        <v>322.04000000000002</v>
      </c>
      <c r="F5" s="32">
        <f t="shared" si="0"/>
        <v>348.40999999999997</v>
      </c>
      <c r="G5" s="32">
        <f t="shared" si="0"/>
        <v>394.15999999999997</v>
      </c>
      <c r="H5" s="32">
        <f t="shared" si="0"/>
        <v>457</v>
      </c>
      <c r="I5" s="32">
        <f t="shared" si="0"/>
        <v>445</v>
      </c>
      <c r="J5" s="32">
        <f t="shared" si="0"/>
        <v>378.5</v>
      </c>
      <c r="K5" s="32">
        <f t="shared" si="0"/>
        <v>254.48000000000002</v>
      </c>
      <c r="L5" s="32">
        <f t="shared" si="0"/>
        <v>269.60000000000002</v>
      </c>
      <c r="M5" s="32">
        <f t="shared" si="0"/>
        <v>239.39999999999998</v>
      </c>
      <c r="N5" s="32">
        <f t="shared" si="0"/>
        <v>439.70000000000005</v>
      </c>
      <c r="O5" s="32">
        <f t="shared" si="0"/>
        <v>233.81000000000003</v>
      </c>
      <c r="P5" s="32">
        <f t="shared" si="0"/>
        <v>500.53000000000003</v>
      </c>
      <c r="Q5" s="32">
        <f t="shared" si="0"/>
        <v>539.94000000000005</v>
      </c>
      <c r="R5" s="32">
        <f t="shared" si="0"/>
        <v>556.9</v>
      </c>
      <c r="S5" s="32">
        <f t="shared" si="0"/>
        <v>555.79999999999995</v>
      </c>
      <c r="T5" s="32">
        <f t="shared" si="0"/>
        <v>495</v>
      </c>
      <c r="U5" s="32">
        <f t="shared" si="0"/>
        <v>589</v>
      </c>
      <c r="V5" s="32">
        <f t="shared" si="0"/>
        <v>590.70000000000005</v>
      </c>
      <c r="W5" s="32">
        <f t="shared" si="0"/>
        <v>591</v>
      </c>
      <c r="X5" s="32">
        <f t="shared" si="0"/>
        <v>625.6</v>
      </c>
      <c r="Y5" s="32">
        <f t="shared" si="0"/>
        <v>580.9</v>
      </c>
      <c r="Z5" s="32">
        <f t="shared" si="0"/>
        <v>616</v>
      </c>
      <c r="AA5" s="32">
        <f t="shared" si="0"/>
        <v>582.4</v>
      </c>
      <c r="AB5" s="32">
        <f t="shared" si="0"/>
        <v>568.79</v>
      </c>
      <c r="AC5" s="32">
        <f t="shared" si="0"/>
        <v>563.4</v>
      </c>
      <c r="AD5" s="32">
        <f t="shared" si="0"/>
        <v>512</v>
      </c>
      <c r="AE5" s="32">
        <f t="shared" si="0"/>
        <v>424</v>
      </c>
      <c r="AF5" s="32">
        <f>B68</f>
        <v>366.4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1538MW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Load=868</v>
      </c>
      <c r="B7" s="37">
        <f>B75</f>
        <v>901.83999999999992</v>
      </c>
      <c r="C7" s="37">
        <f t="shared" ref="C7:AF7" si="1">C75</f>
        <v>890.8599999999999</v>
      </c>
      <c r="D7" s="37">
        <f t="shared" si="1"/>
        <v>868.31999999999994</v>
      </c>
      <c r="E7" s="37">
        <f t="shared" si="1"/>
        <v>884.21</v>
      </c>
      <c r="F7" s="37">
        <f t="shared" si="1"/>
        <v>888.37999999999988</v>
      </c>
      <c r="G7" s="37">
        <f t="shared" si="1"/>
        <v>958.64999999999986</v>
      </c>
      <c r="H7" s="37">
        <f t="shared" si="1"/>
        <v>1019.8</v>
      </c>
      <c r="I7" s="37">
        <f t="shared" si="1"/>
        <v>1098.94</v>
      </c>
      <c r="J7" s="37">
        <f t="shared" si="1"/>
        <v>1210.8399999999999</v>
      </c>
      <c r="K7" s="37">
        <f t="shared" si="1"/>
        <v>1326.94</v>
      </c>
      <c r="L7" s="37">
        <f t="shared" si="1"/>
        <v>1518.8200000000002</v>
      </c>
      <c r="M7" s="37">
        <f t="shared" si="1"/>
        <v>1538.1400000000003</v>
      </c>
      <c r="N7" s="37">
        <f t="shared" si="1"/>
        <v>1389.64</v>
      </c>
      <c r="O7" s="37">
        <f t="shared" si="1"/>
        <v>1375.24</v>
      </c>
      <c r="P7" s="37">
        <f t="shared" si="1"/>
        <v>1339.0500000000002</v>
      </c>
      <c r="Q7" s="37">
        <f t="shared" si="1"/>
        <v>1257.3699999999999</v>
      </c>
      <c r="R7" s="37">
        <f t="shared" si="1"/>
        <v>1209.98</v>
      </c>
      <c r="S7" s="37">
        <f t="shared" si="1"/>
        <v>1207.24</v>
      </c>
      <c r="T7" s="37">
        <f t="shared" si="1"/>
        <v>1185.9399999999998</v>
      </c>
      <c r="U7" s="37">
        <f t="shared" si="1"/>
        <v>1158.8399999999999</v>
      </c>
      <c r="V7" s="37">
        <f t="shared" si="1"/>
        <v>1257.3399999999999</v>
      </c>
      <c r="W7" s="37">
        <f t="shared" si="1"/>
        <v>1302.54</v>
      </c>
      <c r="X7" s="37">
        <f t="shared" si="1"/>
        <v>1408.84</v>
      </c>
      <c r="Y7" s="37">
        <f t="shared" si="1"/>
        <v>1594.54</v>
      </c>
      <c r="Z7" s="37">
        <f t="shared" si="1"/>
        <v>1592.6399999999999</v>
      </c>
      <c r="AA7" s="37">
        <f t="shared" si="1"/>
        <v>1498.44</v>
      </c>
      <c r="AB7" s="37">
        <f t="shared" si="1"/>
        <v>1412.4399999999998</v>
      </c>
      <c r="AC7" s="37">
        <f t="shared" si="1"/>
        <v>1360.4299999999998</v>
      </c>
      <c r="AD7" s="37">
        <f t="shared" si="1"/>
        <v>1246.44</v>
      </c>
      <c r="AE7" s="37">
        <f t="shared" si="1"/>
        <v>1085.24</v>
      </c>
      <c r="AF7" s="37">
        <f t="shared" si="1"/>
        <v>997.24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15</v>
      </c>
      <c r="C11" s="49">
        <v>15</v>
      </c>
      <c r="D11" s="49">
        <v>15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72.599999999999994</v>
      </c>
      <c r="K11" s="49">
        <v>210</v>
      </c>
      <c r="L11" s="49">
        <v>456</v>
      </c>
      <c r="M11" s="50">
        <v>456</v>
      </c>
      <c r="N11" s="50">
        <v>390</v>
      </c>
      <c r="O11" s="50">
        <v>170</v>
      </c>
      <c r="P11" s="50">
        <v>340</v>
      </c>
      <c r="Q11" s="50">
        <v>45</v>
      </c>
      <c r="R11" s="51">
        <v>15</v>
      </c>
      <c r="S11" s="50">
        <v>15</v>
      </c>
      <c r="T11" s="50">
        <v>12</v>
      </c>
      <c r="U11" s="50">
        <v>12</v>
      </c>
      <c r="V11" s="50">
        <v>12</v>
      </c>
      <c r="W11" s="50">
        <v>35</v>
      </c>
      <c r="X11" s="50">
        <v>35</v>
      </c>
      <c r="Y11" s="50">
        <v>100</v>
      </c>
      <c r="Z11" s="52">
        <v>130</v>
      </c>
      <c r="AA11" s="50">
        <v>40</v>
      </c>
      <c r="AB11" s="50">
        <v>40</v>
      </c>
      <c r="AC11" s="50">
        <v>50</v>
      </c>
      <c r="AD11" s="50">
        <v>25</v>
      </c>
      <c r="AE11" s="50">
        <v>15</v>
      </c>
      <c r="AF11" s="50">
        <v>15</v>
      </c>
      <c r="AG11" s="53">
        <v>456</v>
      </c>
      <c r="AH11" s="54">
        <f>MAX(B11:AF11)</f>
        <v>456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8">
        <v>31</v>
      </c>
      <c r="AA12" s="58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18.600000000000001</v>
      </c>
      <c r="C13" s="49">
        <v>18.600000000000001</v>
      </c>
      <c r="D13" s="49">
        <v>18.600000000000001</v>
      </c>
      <c r="E13" s="49">
        <v>18.600000000000001</v>
      </c>
      <c r="F13" s="49">
        <v>18.600000000000001</v>
      </c>
      <c r="G13" s="49">
        <v>18.600000000000001</v>
      </c>
      <c r="H13" s="49">
        <v>18.600000000000001</v>
      </c>
      <c r="I13" s="49">
        <v>18.600000000000001</v>
      </c>
      <c r="J13" s="49">
        <v>18.600000000000001</v>
      </c>
      <c r="K13" s="49">
        <v>18.600000000000001</v>
      </c>
      <c r="L13" s="49">
        <v>18.600000000000001</v>
      </c>
      <c r="M13" s="49">
        <v>18.600000000000001</v>
      </c>
      <c r="N13" s="49">
        <v>18.600000000000001</v>
      </c>
      <c r="O13" s="49">
        <v>18.600000000000001</v>
      </c>
      <c r="P13" s="49">
        <v>18.600000000000001</v>
      </c>
      <c r="Q13" s="49">
        <v>19.5</v>
      </c>
      <c r="R13" s="49">
        <v>19.5</v>
      </c>
      <c r="S13" s="58">
        <v>19.5</v>
      </c>
      <c r="T13" s="58">
        <v>19.5</v>
      </c>
      <c r="U13" s="58">
        <v>19.5</v>
      </c>
      <c r="V13" s="58">
        <v>19.5</v>
      </c>
      <c r="W13" s="58">
        <v>19.5</v>
      </c>
      <c r="X13" s="58">
        <v>19.5</v>
      </c>
      <c r="Y13" s="58">
        <v>18</v>
      </c>
      <c r="Z13" s="58">
        <v>18</v>
      </c>
      <c r="AA13" s="58">
        <v>18</v>
      </c>
      <c r="AB13" s="50">
        <v>18</v>
      </c>
      <c r="AC13" s="50">
        <v>18</v>
      </c>
      <c r="AD13" s="50">
        <v>18</v>
      </c>
      <c r="AE13" s="50">
        <v>18</v>
      </c>
      <c r="AF13" s="50">
        <v>18</v>
      </c>
      <c r="AG13" s="59">
        <v>52.4</v>
      </c>
      <c r="AH13" s="54">
        <f t="shared" si="2"/>
        <v>19.5</v>
      </c>
      <c r="AI13" s="55">
        <f t="shared" si="3"/>
        <v>18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34.6</v>
      </c>
      <c r="C14" s="49">
        <v>34.6</v>
      </c>
      <c r="D14" s="49">
        <v>34.6</v>
      </c>
      <c r="E14" s="49">
        <v>34.6</v>
      </c>
      <c r="F14" s="49">
        <v>34.6</v>
      </c>
      <c r="G14" s="49">
        <v>34.6</v>
      </c>
      <c r="H14" s="49">
        <v>34.6</v>
      </c>
      <c r="I14" s="49">
        <v>34.6</v>
      </c>
      <c r="J14" s="49">
        <v>34.6</v>
      </c>
      <c r="K14" s="49">
        <v>34.6</v>
      </c>
      <c r="L14" s="49">
        <v>34.6</v>
      </c>
      <c r="M14" s="50">
        <v>34.6</v>
      </c>
      <c r="N14" s="50">
        <v>34.6</v>
      </c>
      <c r="O14" s="50">
        <v>34.6</v>
      </c>
      <c r="P14" s="50">
        <v>34.6</v>
      </c>
      <c r="Q14" s="50">
        <v>34.6</v>
      </c>
      <c r="R14" s="50">
        <v>34.6</v>
      </c>
      <c r="S14" s="60">
        <v>34.6</v>
      </c>
      <c r="T14" s="60">
        <v>34.6</v>
      </c>
      <c r="U14" s="60">
        <v>34.6</v>
      </c>
      <c r="V14" s="60">
        <v>34.6</v>
      </c>
      <c r="W14" s="60">
        <v>34.6</v>
      </c>
      <c r="X14" s="60">
        <v>34.6</v>
      </c>
      <c r="Y14" s="60">
        <v>33.700000000000003</v>
      </c>
      <c r="Z14" s="60">
        <v>33.700000000000003</v>
      </c>
      <c r="AA14" s="60">
        <v>33.700000000000003</v>
      </c>
      <c r="AB14" s="50">
        <v>33.200000000000003</v>
      </c>
      <c r="AC14" s="50">
        <v>33.200000000000003</v>
      </c>
      <c r="AD14" s="50">
        <v>33.200000000000003</v>
      </c>
      <c r="AE14" s="50">
        <v>33.200000000000003</v>
      </c>
      <c r="AF14" s="50">
        <v>33.200000000000003</v>
      </c>
      <c r="AG14" s="59">
        <v>50</v>
      </c>
      <c r="AH14" s="54">
        <f t="shared" si="2"/>
        <v>34.6</v>
      </c>
      <c r="AI14" s="55">
        <f t="shared" si="3"/>
        <v>33.200000000000003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19.399999999999999</v>
      </c>
      <c r="C15" s="61">
        <v>19.399999999999999</v>
      </c>
      <c r="D15" s="61">
        <v>19.399999999999999</v>
      </c>
      <c r="E15" s="61">
        <v>19.399999999999999</v>
      </c>
      <c r="F15" s="61">
        <v>19.399999999999999</v>
      </c>
      <c r="G15" s="61">
        <v>19.399999999999999</v>
      </c>
      <c r="H15" s="61">
        <v>19.399999999999999</v>
      </c>
      <c r="I15" s="61">
        <v>19.399999999999999</v>
      </c>
      <c r="J15" s="61">
        <v>19.399999999999999</v>
      </c>
      <c r="K15" s="61">
        <v>19.399999999999999</v>
      </c>
      <c r="L15" s="61">
        <v>19.399999999999999</v>
      </c>
      <c r="M15" s="50">
        <v>19.399999999999999</v>
      </c>
      <c r="N15" s="50">
        <v>19.399999999999999</v>
      </c>
      <c r="O15" s="50">
        <v>19.399999999999999</v>
      </c>
      <c r="P15" s="50">
        <v>19.399999999999999</v>
      </c>
      <c r="Q15" s="50">
        <v>19.399999999999999</v>
      </c>
      <c r="R15" s="50">
        <v>19.399999999999999</v>
      </c>
      <c r="S15" s="60">
        <v>19.399999999999999</v>
      </c>
      <c r="T15" s="60">
        <v>19.399999999999999</v>
      </c>
      <c r="U15" s="60">
        <v>19.399999999999999</v>
      </c>
      <c r="V15" s="60">
        <v>19.399999999999999</v>
      </c>
      <c r="W15" s="60">
        <v>19.399999999999999</v>
      </c>
      <c r="X15" s="60">
        <v>19.399999999999999</v>
      </c>
      <c r="Y15" s="60">
        <v>22.6</v>
      </c>
      <c r="Z15" s="60">
        <v>22.6</v>
      </c>
      <c r="AA15" s="60">
        <v>22.6</v>
      </c>
      <c r="AB15" s="50">
        <v>22.6</v>
      </c>
      <c r="AC15" s="50">
        <v>22.6</v>
      </c>
      <c r="AD15" s="50">
        <v>22.6</v>
      </c>
      <c r="AE15" s="50">
        <v>22.6</v>
      </c>
      <c r="AF15" s="50">
        <v>22.6</v>
      </c>
      <c r="AG15" s="62">
        <v>45</v>
      </c>
      <c r="AH15" s="54">
        <f t="shared" si="2"/>
        <v>22.6</v>
      </c>
      <c r="AI15" s="55">
        <f t="shared" si="3"/>
        <v>19.399999999999999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63">
        <v>10</v>
      </c>
      <c r="T16" s="63">
        <v>10</v>
      </c>
      <c r="U16" s="63">
        <v>10</v>
      </c>
      <c r="V16" s="63">
        <v>10</v>
      </c>
      <c r="W16" s="63">
        <v>10</v>
      </c>
      <c r="X16" s="63">
        <v>10</v>
      </c>
      <c r="Y16" s="63">
        <v>10</v>
      </c>
      <c r="Z16" s="63">
        <v>10</v>
      </c>
      <c r="AA16" s="63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7.6</v>
      </c>
      <c r="C17" s="49">
        <v>7.6</v>
      </c>
      <c r="D17" s="49">
        <v>7.6</v>
      </c>
      <c r="E17" s="49">
        <v>7.6</v>
      </c>
      <c r="F17" s="49">
        <v>7.6</v>
      </c>
      <c r="G17" s="49">
        <v>7.6</v>
      </c>
      <c r="H17" s="49">
        <v>7.6</v>
      </c>
      <c r="I17" s="49">
        <v>7.6</v>
      </c>
      <c r="J17" s="49">
        <v>7.6</v>
      </c>
      <c r="K17" s="49">
        <v>7.6</v>
      </c>
      <c r="L17" s="49">
        <v>7.6</v>
      </c>
      <c r="M17" s="49">
        <v>7.6</v>
      </c>
      <c r="N17" s="49">
        <v>7.6</v>
      </c>
      <c r="O17" s="49">
        <v>7.6</v>
      </c>
      <c r="P17" s="49">
        <v>7.6</v>
      </c>
      <c r="Q17" s="49">
        <v>7.6</v>
      </c>
      <c r="R17" s="49">
        <v>7.6</v>
      </c>
      <c r="S17" s="49">
        <v>7.6</v>
      </c>
      <c r="T17" s="49">
        <v>7.6</v>
      </c>
      <c r="U17" s="49">
        <v>7.6</v>
      </c>
      <c r="V17" s="49">
        <v>7.6</v>
      </c>
      <c r="W17" s="49">
        <v>7.6</v>
      </c>
      <c r="X17" s="49">
        <v>7.6</v>
      </c>
      <c r="Y17" s="49">
        <v>7.6</v>
      </c>
      <c r="Z17" s="49">
        <v>7.6</v>
      </c>
      <c r="AA17" s="49">
        <v>7.6</v>
      </c>
      <c r="AB17" s="49">
        <v>7.6</v>
      </c>
      <c r="AC17" s="49">
        <v>7.6</v>
      </c>
      <c r="AD17" s="49">
        <v>7.6</v>
      </c>
      <c r="AE17" s="49">
        <v>7.6</v>
      </c>
      <c r="AF17" s="49">
        <v>7.6</v>
      </c>
      <c r="AG17" s="59">
        <v>42</v>
      </c>
      <c r="AH17" s="54">
        <f t="shared" si="2"/>
        <v>7.6</v>
      </c>
      <c r="AI17" s="55">
        <f t="shared" si="3"/>
        <v>7.6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9</v>
      </c>
      <c r="C18" s="49">
        <v>9</v>
      </c>
      <c r="D18" s="49">
        <v>9</v>
      </c>
      <c r="E18" s="49">
        <v>9</v>
      </c>
      <c r="F18" s="49">
        <v>9</v>
      </c>
      <c r="G18" s="49">
        <v>9</v>
      </c>
      <c r="H18" s="49">
        <v>9</v>
      </c>
      <c r="I18" s="49">
        <v>9</v>
      </c>
      <c r="J18" s="49">
        <v>9</v>
      </c>
      <c r="K18" s="49">
        <v>9</v>
      </c>
      <c r="L18" s="49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9.1999999999999993</v>
      </c>
      <c r="C19" s="49">
        <v>9.1999999999999993</v>
      </c>
      <c r="D19" s="49">
        <v>9.1999999999999993</v>
      </c>
      <c r="E19" s="49">
        <v>9.1999999999999993</v>
      </c>
      <c r="F19" s="49">
        <v>9.1999999999999993</v>
      </c>
      <c r="G19" s="49">
        <v>9.1999999999999993</v>
      </c>
      <c r="H19" s="49">
        <v>9.1999999999999993</v>
      </c>
      <c r="I19" s="49">
        <v>9.1999999999999993</v>
      </c>
      <c r="J19" s="49">
        <v>9.1999999999999993</v>
      </c>
      <c r="K19" s="49">
        <v>9.1999999999999993</v>
      </c>
      <c r="L19" s="49">
        <v>9.1999999999999993</v>
      </c>
      <c r="M19" s="50">
        <v>9.1999999999999993</v>
      </c>
      <c r="N19" s="50">
        <v>9.1999999999999993</v>
      </c>
      <c r="O19" s="50">
        <v>9.1999999999999993</v>
      </c>
      <c r="P19" s="50">
        <v>9.1999999999999993</v>
      </c>
      <c r="Q19" s="50">
        <v>9.1999999999999993</v>
      </c>
      <c r="R19" s="50">
        <v>9.1999999999999993</v>
      </c>
      <c r="S19" s="50">
        <v>9.1999999999999993</v>
      </c>
      <c r="T19" s="50">
        <v>9.1999999999999993</v>
      </c>
      <c r="U19" s="50">
        <v>9.1999999999999993</v>
      </c>
      <c r="V19" s="50">
        <v>9.1999999999999993</v>
      </c>
      <c r="W19" s="50">
        <v>9.1999999999999993</v>
      </c>
      <c r="X19" s="50">
        <v>9.1999999999999993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9">
        <v>30</v>
      </c>
      <c r="AH19" s="54">
        <f t="shared" si="2"/>
        <v>10.3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6.2</v>
      </c>
      <c r="C20" s="49">
        <v>6.2</v>
      </c>
      <c r="D20" s="49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11.8</v>
      </c>
      <c r="C22" s="49">
        <v>11.8</v>
      </c>
      <c r="D22" s="49">
        <v>11.8</v>
      </c>
      <c r="E22" s="49">
        <v>11.8</v>
      </c>
      <c r="F22" s="49">
        <v>11.8</v>
      </c>
      <c r="G22" s="49">
        <v>11.8</v>
      </c>
      <c r="H22" s="49">
        <v>11.8</v>
      </c>
      <c r="I22" s="49">
        <v>11.8</v>
      </c>
      <c r="J22" s="49">
        <v>11.8</v>
      </c>
      <c r="K22" s="49">
        <v>11.8</v>
      </c>
      <c r="L22" s="49">
        <v>11.8</v>
      </c>
      <c r="M22" s="50">
        <v>11.8</v>
      </c>
      <c r="N22" s="50">
        <v>11.8</v>
      </c>
      <c r="O22" s="50">
        <v>11.8</v>
      </c>
      <c r="P22" s="50">
        <v>11.8</v>
      </c>
      <c r="Q22" s="50">
        <v>11.8</v>
      </c>
      <c r="R22" s="50">
        <v>11.8</v>
      </c>
      <c r="S22" s="50">
        <v>11.8</v>
      </c>
      <c r="T22" s="50">
        <v>11.8</v>
      </c>
      <c r="U22" s="50">
        <v>11.8</v>
      </c>
      <c r="V22" s="50">
        <v>11.8</v>
      </c>
      <c r="W22" s="50">
        <v>11.8</v>
      </c>
      <c r="X22" s="50">
        <v>11.8</v>
      </c>
      <c r="Y22" s="50">
        <v>17.3</v>
      </c>
      <c r="Z22" s="50">
        <v>17.3</v>
      </c>
      <c r="AA22" s="50">
        <v>17.3</v>
      </c>
      <c r="AB22" s="50">
        <v>17.3</v>
      </c>
      <c r="AC22" s="50">
        <v>17.3</v>
      </c>
      <c r="AD22" s="50">
        <v>17.3</v>
      </c>
      <c r="AE22" s="50">
        <v>17.3</v>
      </c>
      <c r="AF22" s="50">
        <v>17.3</v>
      </c>
      <c r="AG22" s="59">
        <v>25</v>
      </c>
      <c r="AH22" s="54">
        <f t="shared" si="2"/>
        <v>17.3</v>
      </c>
      <c r="AI22" s="55">
        <f t="shared" si="3"/>
        <v>11.8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12</v>
      </c>
      <c r="C24" s="49">
        <v>12</v>
      </c>
      <c r="D24" s="49">
        <v>12</v>
      </c>
      <c r="E24" s="49">
        <v>12</v>
      </c>
      <c r="F24" s="49">
        <v>12</v>
      </c>
      <c r="G24" s="49">
        <v>12</v>
      </c>
      <c r="H24" s="49">
        <v>12</v>
      </c>
      <c r="I24" s="49">
        <v>13.1</v>
      </c>
      <c r="J24" s="49">
        <v>13.1</v>
      </c>
      <c r="K24" s="49">
        <v>13.1</v>
      </c>
      <c r="L24" s="49">
        <v>13.1</v>
      </c>
      <c r="M24" s="50">
        <v>13.1</v>
      </c>
      <c r="N24" s="50">
        <v>13.1</v>
      </c>
      <c r="O24" s="50">
        <v>13.1</v>
      </c>
      <c r="P24" s="50">
        <v>13.1</v>
      </c>
      <c r="Q24" s="50">
        <v>13.1</v>
      </c>
      <c r="R24" s="50">
        <v>13.1</v>
      </c>
      <c r="S24" s="50">
        <v>13.1</v>
      </c>
      <c r="T24" s="50">
        <v>13.1</v>
      </c>
      <c r="U24" s="50">
        <v>13.1</v>
      </c>
      <c r="V24" s="50">
        <v>13.1</v>
      </c>
      <c r="W24" s="50">
        <v>13.1</v>
      </c>
      <c r="X24" s="50">
        <v>13.1</v>
      </c>
      <c r="Y24" s="50">
        <v>13.1</v>
      </c>
      <c r="Z24" s="50">
        <v>13.1</v>
      </c>
      <c r="AA24" s="50">
        <v>13.1</v>
      </c>
      <c r="AB24" s="50">
        <v>12.6</v>
      </c>
      <c r="AC24" s="50">
        <v>12.6</v>
      </c>
      <c r="AD24" s="50">
        <v>12.6</v>
      </c>
      <c r="AE24" s="50">
        <v>12.6</v>
      </c>
      <c r="AF24" s="50">
        <v>12.6</v>
      </c>
      <c r="AG24" s="59">
        <v>25</v>
      </c>
      <c r="AH24" s="54">
        <f t="shared" si="2"/>
        <v>13.1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49">
        <v>2.5</v>
      </c>
      <c r="AC27" s="49">
        <v>2.5</v>
      </c>
      <c r="AD27" s="49">
        <v>2.5</v>
      </c>
      <c r="AE27" s="49">
        <v>2.5</v>
      </c>
      <c r="AF27" s="49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12</v>
      </c>
      <c r="C30" s="49">
        <v>12</v>
      </c>
      <c r="D30" s="49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161</v>
      </c>
      <c r="O36" s="61">
        <v>161</v>
      </c>
      <c r="P36" s="61">
        <v>161</v>
      </c>
      <c r="Q36" s="61">
        <v>161</v>
      </c>
      <c r="R36" s="61">
        <v>161</v>
      </c>
      <c r="S36" s="61">
        <v>161</v>
      </c>
      <c r="T36" s="61">
        <v>161</v>
      </c>
      <c r="U36" s="61">
        <v>161</v>
      </c>
      <c r="V36" s="61">
        <v>161</v>
      </c>
      <c r="W36" s="61">
        <v>161</v>
      </c>
      <c r="X36" s="61">
        <v>161</v>
      </c>
      <c r="Y36" s="61">
        <v>161</v>
      </c>
      <c r="Z36" s="61">
        <v>161</v>
      </c>
      <c r="AA36" s="61">
        <v>161</v>
      </c>
      <c r="AB36" s="61">
        <v>161</v>
      </c>
      <c r="AC36" s="61">
        <v>161</v>
      </c>
      <c r="AD36" s="61">
        <v>161</v>
      </c>
      <c r="AE36" s="61">
        <v>161</v>
      </c>
      <c r="AF36" s="61">
        <v>161</v>
      </c>
      <c r="AG36" s="67">
        <v>85</v>
      </c>
      <c r="AH36" s="54">
        <f t="shared" si="2"/>
        <v>161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38.700000000000003</v>
      </c>
      <c r="C37" s="61">
        <v>40</v>
      </c>
      <c r="D37" s="61">
        <v>39.9</v>
      </c>
      <c r="E37" s="61">
        <f>13.2+26.3</f>
        <v>39.5</v>
      </c>
      <c r="F37" s="61">
        <f>12.8+25.5</f>
        <v>38.299999999999997</v>
      </c>
      <c r="G37" s="61">
        <f>12.7+25.8</f>
        <v>38.5</v>
      </c>
      <c r="H37" s="61">
        <f>12.7+25.7</f>
        <v>38.4</v>
      </c>
      <c r="I37" s="61">
        <f>12.7+25.5</f>
        <v>38.200000000000003</v>
      </c>
      <c r="J37" s="61">
        <f>12.7+25.5</f>
        <v>38.200000000000003</v>
      </c>
      <c r="K37" s="61">
        <f>12.7+25.5</f>
        <v>38.200000000000003</v>
      </c>
      <c r="L37" s="61">
        <f>12.2+24.6</f>
        <v>36.799999999999997</v>
      </c>
      <c r="M37" s="70">
        <f>12.1+24.4</f>
        <v>36.5</v>
      </c>
      <c r="N37" s="70">
        <v>38</v>
      </c>
      <c r="O37" s="70">
        <v>38</v>
      </c>
      <c r="P37" s="70">
        <v>38.6</v>
      </c>
      <c r="Q37" s="70">
        <v>37.200000000000003</v>
      </c>
      <c r="R37" s="70">
        <v>38.5</v>
      </c>
      <c r="S37" s="70">
        <v>38.5</v>
      </c>
      <c r="T37" s="70">
        <v>38.5</v>
      </c>
      <c r="U37" s="70">
        <v>38.5</v>
      </c>
      <c r="V37" s="70">
        <v>38.5</v>
      </c>
      <c r="W37" s="70">
        <v>38.5</v>
      </c>
      <c r="X37" s="70">
        <v>38.5</v>
      </c>
      <c r="Y37" s="70">
        <v>35</v>
      </c>
      <c r="Z37" s="70">
        <v>35</v>
      </c>
      <c r="AA37" s="70">
        <v>35</v>
      </c>
      <c r="AB37" s="70">
        <f>25+12.2</f>
        <v>37.200000000000003</v>
      </c>
      <c r="AC37" s="70">
        <f>25+12.2</f>
        <v>37.200000000000003</v>
      </c>
      <c r="AD37" s="70">
        <f>12.9+26.3</f>
        <v>39.200000000000003</v>
      </c>
      <c r="AE37" s="70">
        <f>12.9+26.2</f>
        <v>39.1</v>
      </c>
      <c r="AF37" s="70">
        <f>12.9+26.2</f>
        <v>39.1</v>
      </c>
      <c r="AG37" s="67">
        <v>240</v>
      </c>
      <c r="AH37" s="54">
        <f t="shared" si="2"/>
        <v>40</v>
      </c>
      <c r="AI37" s="55">
        <f t="shared" si="3"/>
        <v>35</v>
      </c>
      <c r="AK37" s="56"/>
    </row>
    <row r="38" spans="1:88" ht="15.75" thickBot="1" x14ac:dyDescent="0.3">
      <c r="A38" s="71" t="s">
        <v>46</v>
      </c>
      <c r="B38" s="72">
        <f>SUM(B11:B36)</f>
        <v>393.59999999999997</v>
      </c>
      <c r="C38" s="72">
        <f t="shared" ref="C38:AF38" si="4">SUM(C11:C36)</f>
        <v>393.59999999999997</v>
      </c>
      <c r="D38" s="72">
        <f t="shared" si="4"/>
        <v>393.59999999999997</v>
      </c>
      <c r="E38" s="72">
        <f t="shared" si="4"/>
        <v>390.59999999999997</v>
      </c>
      <c r="F38" s="72">
        <f t="shared" si="4"/>
        <v>390.59999999999997</v>
      </c>
      <c r="G38" s="72">
        <f t="shared" si="4"/>
        <v>390.59999999999997</v>
      </c>
      <c r="H38" s="72">
        <f t="shared" si="4"/>
        <v>390.59999999999997</v>
      </c>
      <c r="I38" s="72">
        <f t="shared" si="4"/>
        <v>391.69999999999993</v>
      </c>
      <c r="J38" s="72">
        <f t="shared" si="4"/>
        <v>452.29999999999995</v>
      </c>
      <c r="K38" s="72">
        <f t="shared" si="4"/>
        <v>589.70000000000005</v>
      </c>
      <c r="L38" s="72">
        <f t="shared" si="4"/>
        <v>835.70000000000016</v>
      </c>
      <c r="M38" s="72">
        <f t="shared" si="4"/>
        <v>835.70000000000016</v>
      </c>
      <c r="N38" s="72">
        <f t="shared" si="4"/>
        <v>770.70000000000016</v>
      </c>
      <c r="O38" s="72">
        <f t="shared" si="4"/>
        <v>550.70000000000005</v>
      </c>
      <c r="P38" s="72">
        <f t="shared" si="4"/>
        <v>720.70000000000016</v>
      </c>
      <c r="Q38" s="72">
        <f t="shared" si="4"/>
        <v>426.59999999999997</v>
      </c>
      <c r="R38" s="72">
        <f t="shared" si="4"/>
        <v>396.59999999999997</v>
      </c>
      <c r="S38" s="72">
        <f t="shared" si="4"/>
        <v>396.59999999999997</v>
      </c>
      <c r="T38" s="72">
        <f t="shared" si="4"/>
        <v>393.59999999999997</v>
      </c>
      <c r="U38" s="72">
        <f t="shared" si="4"/>
        <v>393.59999999999997</v>
      </c>
      <c r="V38" s="72">
        <f t="shared" si="4"/>
        <v>393.59999999999997</v>
      </c>
      <c r="W38" s="72">
        <f t="shared" si="4"/>
        <v>416.59999999999997</v>
      </c>
      <c r="X38" s="72">
        <f t="shared" si="4"/>
        <v>416.59999999999997</v>
      </c>
      <c r="Y38" s="72">
        <f t="shared" si="4"/>
        <v>489</v>
      </c>
      <c r="Z38" s="72">
        <f t="shared" si="4"/>
        <v>519</v>
      </c>
      <c r="AA38" s="72">
        <f t="shared" si="4"/>
        <v>429</v>
      </c>
      <c r="AB38" s="72">
        <f t="shared" si="4"/>
        <v>428</v>
      </c>
      <c r="AC38" s="72">
        <f t="shared" si="4"/>
        <v>437.99999999999994</v>
      </c>
      <c r="AD38" s="72">
        <f t="shared" si="4"/>
        <v>413</v>
      </c>
      <c r="AE38" s="72">
        <f t="shared" si="4"/>
        <v>403</v>
      </c>
      <c r="AF38" s="72">
        <f t="shared" si="4"/>
        <v>403</v>
      </c>
      <c r="AG38" s="67">
        <f>SUM(AG11:AG37)</f>
        <v>1492.8299999999997</v>
      </c>
      <c r="AH38" s="54">
        <f t="shared" si="2"/>
        <v>835.70000000000016</v>
      </c>
      <c r="AI38" s="55">
        <f t="shared" si="3"/>
        <v>390.59999999999997</v>
      </c>
      <c r="AK38" s="56"/>
    </row>
    <row r="39" spans="1:88" x14ac:dyDescent="0.25">
      <c r="A39" s="57" t="s">
        <v>47</v>
      </c>
      <c r="B39" s="49">
        <v>48.6</v>
      </c>
      <c r="C39" s="49">
        <v>48.6</v>
      </c>
      <c r="D39" s="61">
        <v>40.6</v>
      </c>
      <c r="E39" s="61">
        <v>40.5</v>
      </c>
      <c r="F39" s="61">
        <v>40.5</v>
      </c>
      <c r="G39" s="61">
        <v>45.1</v>
      </c>
      <c r="H39" s="61">
        <v>60.9</v>
      </c>
      <c r="I39" s="61">
        <v>62</v>
      </c>
      <c r="J39" s="61">
        <v>93.1</v>
      </c>
      <c r="K39" s="61">
        <v>125</v>
      </c>
      <c r="L39" s="61">
        <v>145.80000000000001</v>
      </c>
      <c r="M39" s="61">
        <v>145.80000000000001</v>
      </c>
      <c r="N39" s="50">
        <v>111.9</v>
      </c>
      <c r="O39" s="50">
        <v>104.3</v>
      </c>
      <c r="P39" s="50">
        <v>106.7</v>
      </c>
      <c r="Q39" s="50">
        <v>91.1</v>
      </c>
      <c r="R39" s="50">
        <v>71.900000000000006</v>
      </c>
      <c r="S39" s="50">
        <v>61</v>
      </c>
      <c r="T39" s="50">
        <v>47.5</v>
      </c>
      <c r="U39" s="50">
        <v>48</v>
      </c>
      <c r="V39" s="50">
        <v>65</v>
      </c>
      <c r="W39" s="50">
        <v>79</v>
      </c>
      <c r="X39" s="50">
        <v>143</v>
      </c>
      <c r="Y39" s="50">
        <v>145</v>
      </c>
      <c r="Z39" s="50">
        <v>145</v>
      </c>
      <c r="AA39" s="50">
        <v>145</v>
      </c>
      <c r="AB39" s="50">
        <v>125</v>
      </c>
      <c r="AC39" s="50">
        <v>96.9</v>
      </c>
      <c r="AD39" s="50">
        <v>71</v>
      </c>
      <c r="AE39" s="50">
        <v>30.1</v>
      </c>
      <c r="AF39" s="50">
        <v>30.1</v>
      </c>
      <c r="AG39" s="62">
        <v>144</v>
      </c>
      <c r="AH39" s="54">
        <f t="shared" si="2"/>
        <v>145.80000000000001</v>
      </c>
      <c r="AI39" s="55">
        <f t="shared" si="3"/>
        <v>30.1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35.9</v>
      </c>
      <c r="H40" s="61">
        <v>35.700000000000003</v>
      </c>
      <c r="I40" s="61">
        <v>45</v>
      </c>
      <c r="J40" s="61">
        <v>55.9</v>
      </c>
      <c r="K40" s="61">
        <v>61.5</v>
      </c>
      <c r="L40" s="61">
        <v>71.400000000000006</v>
      </c>
      <c r="M40" s="61">
        <v>71.400000000000006</v>
      </c>
      <c r="N40" s="73">
        <v>70.599999999999994</v>
      </c>
      <c r="O40" s="73">
        <v>71.400000000000006</v>
      </c>
      <c r="P40" s="73">
        <v>59.9</v>
      </c>
      <c r="Q40" s="73">
        <v>45.7</v>
      </c>
      <c r="R40" s="73">
        <v>23.7</v>
      </c>
      <c r="S40" s="73">
        <v>24</v>
      </c>
      <c r="T40" s="73">
        <v>24</v>
      </c>
      <c r="U40" s="73">
        <v>24</v>
      </c>
      <c r="V40" s="73">
        <v>25</v>
      </c>
      <c r="W40" s="73">
        <v>35</v>
      </c>
      <c r="X40" s="73">
        <v>51</v>
      </c>
      <c r="Y40" s="73">
        <v>69</v>
      </c>
      <c r="Z40" s="73">
        <v>69</v>
      </c>
      <c r="AA40" s="73">
        <v>69</v>
      </c>
      <c r="AB40" s="73">
        <v>70.099999999999994</v>
      </c>
      <c r="AC40" s="73">
        <v>49.8</v>
      </c>
      <c r="AD40" s="73">
        <v>34.799999999999997</v>
      </c>
      <c r="AE40" s="73">
        <v>0</v>
      </c>
      <c r="AF40" s="73">
        <v>0</v>
      </c>
      <c r="AG40" s="67">
        <v>70</v>
      </c>
      <c r="AH40" s="54">
        <f t="shared" si="2"/>
        <v>71.400000000000006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0</v>
      </c>
      <c r="C41" s="61">
        <v>0</v>
      </c>
      <c r="D41" s="61">
        <v>0</v>
      </c>
      <c r="E41" s="61">
        <v>60</v>
      </c>
      <c r="F41" s="61">
        <v>41</v>
      </c>
      <c r="G41" s="61">
        <v>34.4</v>
      </c>
      <c r="H41" s="61">
        <v>34.200000000000003</v>
      </c>
      <c r="I41" s="61">
        <v>34</v>
      </c>
      <c r="J41" s="61">
        <v>60.3</v>
      </c>
      <c r="K41" s="61">
        <v>64.5</v>
      </c>
      <c r="L41" s="61">
        <v>69</v>
      </c>
      <c r="M41" s="61">
        <v>69</v>
      </c>
      <c r="N41" s="73">
        <v>52.1</v>
      </c>
      <c r="O41" s="73">
        <v>52.3</v>
      </c>
      <c r="P41" s="73">
        <v>54.7</v>
      </c>
      <c r="Q41" s="73">
        <v>44.7</v>
      </c>
      <c r="R41" s="73">
        <v>32.200000000000003</v>
      </c>
      <c r="S41" s="73">
        <v>32.6</v>
      </c>
      <c r="T41" s="73">
        <v>23</v>
      </c>
      <c r="U41" s="73">
        <v>47</v>
      </c>
      <c r="V41" s="73">
        <v>32</v>
      </c>
      <c r="W41" s="73">
        <v>44</v>
      </c>
      <c r="X41" s="73">
        <v>55</v>
      </c>
      <c r="Y41" s="73">
        <v>68</v>
      </c>
      <c r="Z41" s="73">
        <v>68</v>
      </c>
      <c r="AA41" s="73">
        <v>67.5</v>
      </c>
      <c r="AB41" s="73">
        <v>67.099999999999994</v>
      </c>
      <c r="AC41" s="73">
        <v>67.900000000000006</v>
      </c>
      <c r="AD41" s="73">
        <v>50</v>
      </c>
      <c r="AE41" s="73">
        <v>45.9</v>
      </c>
      <c r="AF41" s="73">
        <v>45.9</v>
      </c>
      <c r="AG41" s="67">
        <v>69</v>
      </c>
      <c r="AH41" s="54">
        <f t="shared" si="2"/>
        <v>69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46.6</v>
      </c>
      <c r="C42" s="61">
        <v>46.6</v>
      </c>
      <c r="D42" s="61">
        <v>47.6</v>
      </c>
      <c r="E42" s="61">
        <v>47.6</v>
      </c>
      <c r="F42" s="61">
        <v>47.6</v>
      </c>
      <c r="G42" s="61">
        <v>47.6</v>
      </c>
      <c r="H42" s="61">
        <v>47.6</v>
      </c>
      <c r="I42" s="61">
        <v>47.6</v>
      </c>
      <c r="J42" s="61">
        <v>47.6</v>
      </c>
      <c r="K42" s="61">
        <v>46.1</v>
      </c>
      <c r="L42" s="61">
        <v>46.1</v>
      </c>
      <c r="M42" s="61">
        <v>46.1</v>
      </c>
      <c r="N42" s="73">
        <v>45.3</v>
      </c>
      <c r="O42" s="73">
        <v>45.3</v>
      </c>
      <c r="P42" s="73">
        <v>45.3</v>
      </c>
      <c r="Q42" s="73">
        <v>44.7</v>
      </c>
      <c r="R42" s="73">
        <v>45.6</v>
      </c>
      <c r="S42" s="73">
        <v>45.3</v>
      </c>
      <c r="T42" s="73">
        <v>44.3</v>
      </c>
      <c r="U42" s="73">
        <v>44.6</v>
      </c>
      <c r="V42" s="73">
        <v>44.6</v>
      </c>
      <c r="W42" s="73">
        <v>44.6</v>
      </c>
      <c r="X42" s="73">
        <v>44.6</v>
      </c>
      <c r="Y42" s="73">
        <v>48</v>
      </c>
      <c r="Z42" s="73">
        <v>48</v>
      </c>
      <c r="AA42" s="73">
        <v>48</v>
      </c>
      <c r="AB42" s="73">
        <v>44.9</v>
      </c>
      <c r="AC42" s="73">
        <v>44.3</v>
      </c>
      <c r="AD42" s="73">
        <v>46.6</v>
      </c>
      <c r="AE42" s="73">
        <v>46.6</v>
      </c>
      <c r="AF42" s="73">
        <v>46.6</v>
      </c>
      <c r="AG42" s="67">
        <v>60</v>
      </c>
      <c r="AH42" s="54">
        <f t="shared" si="2"/>
        <v>48</v>
      </c>
      <c r="AI42" s="55">
        <f t="shared" si="3"/>
        <v>44.3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10</v>
      </c>
      <c r="H43" s="61">
        <v>10</v>
      </c>
      <c r="I43" s="61">
        <v>15</v>
      </c>
      <c r="J43" s="61">
        <v>10</v>
      </c>
      <c r="K43" s="61">
        <v>15</v>
      </c>
      <c r="L43" s="61">
        <v>15</v>
      </c>
      <c r="M43" s="61">
        <v>15</v>
      </c>
      <c r="N43" s="61">
        <v>15</v>
      </c>
      <c r="O43" s="61">
        <v>15</v>
      </c>
      <c r="P43" s="50">
        <v>10</v>
      </c>
      <c r="Q43" s="50">
        <v>10</v>
      </c>
      <c r="R43" s="50">
        <v>10</v>
      </c>
      <c r="S43" s="50">
        <v>10</v>
      </c>
      <c r="T43" s="50">
        <v>0</v>
      </c>
      <c r="U43" s="50">
        <v>10</v>
      </c>
      <c r="V43" s="50">
        <v>10</v>
      </c>
      <c r="W43" s="50">
        <v>10</v>
      </c>
      <c r="X43" s="50">
        <v>15</v>
      </c>
      <c r="Y43" s="50">
        <v>15</v>
      </c>
      <c r="Z43" s="50">
        <v>15</v>
      </c>
      <c r="AA43" s="50">
        <v>15</v>
      </c>
      <c r="AB43" s="73">
        <v>15</v>
      </c>
      <c r="AC43" s="73">
        <v>15</v>
      </c>
      <c r="AD43" s="73">
        <v>0</v>
      </c>
      <c r="AE43" s="73">
        <v>0</v>
      </c>
      <c r="AF43" s="73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4</v>
      </c>
      <c r="N44" s="61">
        <v>4.5</v>
      </c>
      <c r="O44" s="61">
        <v>9</v>
      </c>
      <c r="P44" s="61">
        <v>10</v>
      </c>
      <c r="Q44" s="61">
        <v>11.5</v>
      </c>
      <c r="R44" s="50">
        <v>11</v>
      </c>
      <c r="S44" s="50">
        <v>11</v>
      </c>
      <c r="T44" s="50">
        <v>11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11.5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61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61">
        <v>4</v>
      </c>
      <c r="Q46" s="61">
        <v>4</v>
      </c>
      <c r="R46" s="61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50">
        <v>4.9000000000000004</v>
      </c>
      <c r="Z49" s="50">
        <v>4.9000000000000004</v>
      </c>
      <c r="AA49" s="50">
        <v>4.9000000000000004</v>
      </c>
      <c r="AB49" s="50">
        <v>4.9000000000000004</v>
      </c>
      <c r="AC49" s="50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61">
        <v>3.2</v>
      </c>
      <c r="C50" s="61">
        <v>3.2</v>
      </c>
      <c r="D50" s="61">
        <v>3.2</v>
      </c>
      <c r="E50" s="61">
        <v>3.2</v>
      </c>
      <c r="F50" s="61">
        <v>3.2</v>
      </c>
      <c r="G50" s="61">
        <v>3.2</v>
      </c>
      <c r="H50" s="61">
        <v>3.2</v>
      </c>
      <c r="I50" s="61">
        <v>3.2</v>
      </c>
      <c r="J50" s="61">
        <v>3.2</v>
      </c>
      <c r="K50" s="61">
        <v>3.2</v>
      </c>
      <c r="L50" s="61">
        <v>3.2</v>
      </c>
      <c r="M50" s="61">
        <v>3.2</v>
      </c>
      <c r="N50" s="61">
        <v>3.2</v>
      </c>
      <c r="O50" s="61">
        <v>3.2</v>
      </c>
      <c r="P50" s="61">
        <v>3.2</v>
      </c>
      <c r="Q50" s="61">
        <v>3.2</v>
      </c>
      <c r="R50" s="61">
        <v>3.2</v>
      </c>
      <c r="S50" s="50">
        <v>3.2</v>
      </c>
      <c r="T50" s="50">
        <v>3.2</v>
      </c>
      <c r="U50" s="50">
        <v>3.2</v>
      </c>
      <c r="V50" s="50">
        <v>3.2</v>
      </c>
      <c r="W50" s="50">
        <v>3.2</v>
      </c>
      <c r="X50" s="50">
        <v>3.2</v>
      </c>
      <c r="Y50" s="50">
        <v>3.2</v>
      </c>
      <c r="Z50" s="50">
        <v>3.2</v>
      </c>
      <c r="AA50" s="50">
        <v>3.2</v>
      </c>
      <c r="AB50" s="50">
        <v>3.2</v>
      </c>
      <c r="AC50" s="50">
        <v>3.2</v>
      </c>
      <c r="AD50" s="50">
        <v>3.2</v>
      </c>
      <c r="AE50" s="50">
        <v>3.2</v>
      </c>
      <c r="AF50" s="50">
        <v>3.2</v>
      </c>
      <c r="AG50" s="67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141.83999999999997</v>
      </c>
      <c r="C52" s="72">
        <f t="shared" ref="C52:AF52" si="6">SUM(C39:C51)</f>
        <v>141.83999999999997</v>
      </c>
      <c r="D52" s="72">
        <f t="shared" si="6"/>
        <v>134.83999999999997</v>
      </c>
      <c r="E52" s="72">
        <f t="shared" si="6"/>
        <v>194.73999999999998</v>
      </c>
      <c r="F52" s="72">
        <f t="shared" si="6"/>
        <v>175.73999999999998</v>
      </c>
      <c r="G52" s="72">
        <f t="shared" si="6"/>
        <v>219.64</v>
      </c>
      <c r="H52" s="72">
        <f t="shared" si="6"/>
        <v>235.04</v>
      </c>
      <c r="I52" s="72">
        <f t="shared" si="6"/>
        <v>250.23999999999998</v>
      </c>
      <c r="J52" s="72">
        <f t="shared" si="6"/>
        <v>313.54000000000002</v>
      </c>
      <c r="K52" s="72">
        <f t="shared" si="6"/>
        <v>358.74</v>
      </c>
      <c r="L52" s="72">
        <f t="shared" si="6"/>
        <v>393.94000000000005</v>
      </c>
      <c r="M52" s="72">
        <f t="shared" si="6"/>
        <v>397.94000000000005</v>
      </c>
      <c r="N52" s="72">
        <f t="shared" si="6"/>
        <v>346.03999999999996</v>
      </c>
      <c r="O52" s="72">
        <f t="shared" si="6"/>
        <v>343.94</v>
      </c>
      <c r="P52" s="72">
        <f t="shared" si="6"/>
        <v>333.24</v>
      </c>
      <c r="Q52" s="72">
        <f t="shared" si="6"/>
        <v>294.33999999999997</v>
      </c>
      <c r="R52" s="72">
        <f t="shared" si="6"/>
        <v>241.04</v>
      </c>
      <c r="S52" s="72">
        <f t="shared" si="6"/>
        <v>231.53999999999996</v>
      </c>
      <c r="T52" s="72">
        <f t="shared" si="6"/>
        <v>197.44</v>
      </c>
      <c r="U52" s="72">
        <f t="shared" si="6"/>
        <v>221.23999999999998</v>
      </c>
      <c r="V52" s="72">
        <f t="shared" si="6"/>
        <v>224.23999999999998</v>
      </c>
      <c r="W52" s="72">
        <f t="shared" si="6"/>
        <v>260.24</v>
      </c>
      <c r="X52" s="72">
        <f t="shared" si="6"/>
        <v>356.24</v>
      </c>
      <c r="Y52" s="72">
        <f t="shared" si="6"/>
        <v>392.64</v>
      </c>
      <c r="Z52" s="72">
        <f t="shared" si="6"/>
        <v>392.64</v>
      </c>
      <c r="AA52" s="72">
        <f t="shared" si="6"/>
        <v>392.14</v>
      </c>
      <c r="AB52" s="72">
        <f t="shared" si="6"/>
        <v>369.73999999999995</v>
      </c>
      <c r="AC52" s="72">
        <f t="shared" si="6"/>
        <v>321.53999999999996</v>
      </c>
      <c r="AD52" s="72">
        <f t="shared" si="6"/>
        <v>250.04</v>
      </c>
      <c r="AE52" s="72">
        <f t="shared" si="6"/>
        <v>170.23999999999998</v>
      </c>
      <c r="AF52" s="72">
        <f t="shared" si="6"/>
        <v>170.23999999999998</v>
      </c>
      <c r="AG52" s="78">
        <f>SUM(AG39:AG51)</f>
        <v>489.91</v>
      </c>
      <c r="AH52" s="54">
        <f t="shared" si="2"/>
        <v>397.94000000000005</v>
      </c>
      <c r="AI52" s="55">
        <f t="shared" si="3"/>
        <v>134.83999999999997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14</v>
      </c>
      <c r="M53" s="79">
        <v>25.9</v>
      </c>
      <c r="N53" s="79">
        <v>24.3</v>
      </c>
      <c r="O53" s="79">
        <v>25.5</v>
      </c>
      <c r="P53" s="79">
        <v>30.7</v>
      </c>
      <c r="Q53" s="50">
        <v>20.5</v>
      </c>
      <c r="R53" s="50">
        <v>20.7</v>
      </c>
      <c r="S53" s="50">
        <v>14.3</v>
      </c>
      <c r="T53" s="50">
        <v>20</v>
      </c>
      <c r="U53" s="50">
        <v>30</v>
      </c>
      <c r="V53" s="50">
        <v>30</v>
      </c>
      <c r="W53" s="50">
        <v>20</v>
      </c>
      <c r="X53" s="50">
        <v>30</v>
      </c>
      <c r="Y53" s="50">
        <v>60</v>
      </c>
      <c r="Z53" s="50">
        <v>60</v>
      </c>
      <c r="AA53" s="50">
        <v>35</v>
      </c>
      <c r="AB53" s="50">
        <v>19.600000000000001</v>
      </c>
      <c r="AC53" s="50">
        <v>20.100000000000001</v>
      </c>
      <c r="AD53" s="50">
        <v>13.5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15.2</v>
      </c>
      <c r="M54" s="79">
        <v>6.6</v>
      </c>
      <c r="N54" s="79">
        <v>6.8</v>
      </c>
      <c r="O54" s="79">
        <v>11.3</v>
      </c>
      <c r="P54" s="79">
        <v>15.1</v>
      </c>
      <c r="Q54" s="73">
        <v>11.3</v>
      </c>
      <c r="R54" s="73">
        <v>8.6</v>
      </c>
      <c r="S54" s="50">
        <v>5.8</v>
      </c>
      <c r="T54" s="50">
        <v>14</v>
      </c>
      <c r="U54" s="50">
        <v>14</v>
      </c>
      <c r="V54" s="73">
        <v>15</v>
      </c>
      <c r="W54" s="73">
        <v>10</v>
      </c>
      <c r="X54" s="73">
        <v>10</v>
      </c>
      <c r="Y54" s="73">
        <v>20</v>
      </c>
      <c r="Z54" s="73">
        <v>29.4</v>
      </c>
      <c r="AA54" s="73">
        <v>19.399999999999999</v>
      </c>
      <c r="AB54" s="73">
        <v>9.3000000000000007</v>
      </c>
      <c r="AC54" s="73">
        <v>8.8000000000000007</v>
      </c>
      <c r="AD54" s="73">
        <v>4.8</v>
      </c>
      <c r="AE54" s="73">
        <v>0</v>
      </c>
      <c r="AF54" s="73">
        <v>0</v>
      </c>
      <c r="AG54" s="67">
        <v>32</v>
      </c>
      <c r="AH54" s="54">
        <f t="shared" si="2"/>
        <v>29.4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5.5</v>
      </c>
      <c r="M55" s="81">
        <v>2.4</v>
      </c>
      <c r="N55" s="81">
        <v>2.4</v>
      </c>
      <c r="O55" s="81">
        <v>4.0999999999999996</v>
      </c>
      <c r="P55" s="81">
        <v>5.5</v>
      </c>
      <c r="Q55" s="80">
        <v>4.0999999999999996</v>
      </c>
      <c r="R55" s="80">
        <v>3.1</v>
      </c>
      <c r="S55" s="50">
        <v>2.1</v>
      </c>
      <c r="T55" s="50">
        <v>5.0999999999999996</v>
      </c>
      <c r="U55" s="50">
        <v>5</v>
      </c>
      <c r="V55" s="80">
        <v>5.5</v>
      </c>
      <c r="W55" s="80">
        <v>5</v>
      </c>
      <c r="X55" s="80">
        <v>5</v>
      </c>
      <c r="Y55" s="80">
        <v>7.3</v>
      </c>
      <c r="Z55" s="80">
        <v>10.7</v>
      </c>
      <c r="AA55" s="80">
        <v>6.9</v>
      </c>
      <c r="AB55" s="80">
        <v>3.4</v>
      </c>
      <c r="AC55" s="80">
        <v>3.2</v>
      </c>
      <c r="AD55" s="80">
        <v>1.7</v>
      </c>
      <c r="AE55" s="80">
        <v>0</v>
      </c>
      <c r="AF55" s="80">
        <v>0</v>
      </c>
      <c r="AG55" s="82">
        <v>14</v>
      </c>
      <c r="AH55" s="54">
        <f t="shared" si="2"/>
        <v>10.7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34.700000000000003</v>
      </c>
      <c r="M56" s="72">
        <f t="shared" si="7"/>
        <v>34.9</v>
      </c>
      <c r="N56" s="72">
        <f t="shared" si="7"/>
        <v>33.5</v>
      </c>
      <c r="O56" s="72">
        <f t="shared" si="7"/>
        <v>40.9</v>
      </c>
      <c r="P56" s="72">
        <f t="shared" si="7"/>
        <v>51.3</v>
      </c>
      <c r="Q56" s="72">
        <f t="shared" si="7"/>
        <v>35.9</v>
      </c>
      <c r="R56" s="72">
        <f t="shared" si="7"/>
        <v>32.4</v>
      </c>
      <c r="S56" s="72">
        <f t="shared" si="7"/>
        <v>22.200000000000003</v>
      </c>
      <c r="T56" s="72">
        <f t="shared" si="7"/>
        <v>39.1</v>
      </c>
      <c r="U56" s="72">
        <f t="shared" si="7"/>
        <v>49</v>
      </c>
      <c r="V56" s="72">
        <f t="shared" si="7"/>
        <v>50.5</v>
      </c>
      <c r="W56" s="72">
        <f t="shared" si="7"/>
        <v>35</v>
      </c>
      <c r="X56" s="72">
        <f t="shared" si="7"/>
        <v>45</v>
      </c>
      <c r="Y56" s="72">
        <f t="shared" si="7"/>
        <v>87.3</v>
      </c>
      <c r="Z56" s="72">
        <f t="shared" si="7"/>
        <v>100.10000000000001</v>
      </c>
      <c r="AA56" s="72">
        <f t="shared" si="7"/>
        <v>61.3</v>
      </c>
      <c r="AB56" s="72">
        <f t="shared" si="7"/>
        <v>32.300000000000004</v>
      </c>
      <c r="AC56" s="72">
        <f t="shared" si="7"/>
        <v>32.1</v>
      </c>
      <c r="AD56" s="72">
        <f t="shared" si="7"/>
        <v>20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100.10000000000001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73.400000000000006</v>
      </c>
      <c r="C57" s="50">
        <v>71.12</v>
      </c>
      <c r="D57" s="50">
        <v>70.88</v>
      </c>
      <c r="E57" s="50">
        <v>68.87</v>
      </c>
      <c r="F57" s="50">
        <v>71.040000000000006</v>
      </c>
      <c r="G57" s="50">
        <v>68.41</v>
      </c>
      <c r="H57" s="50">
        <v>74.16</v>
      </c>
      <c r="I57" s="50">
        <v>77</v>
      </c>
      <c r="J57" s="50">
        <v>65</v>
      </c>
      <c r="K57" s="50">
        <v>68</v>
      </c>
      <c r="L57" s="50">
        <v>73.180000000000007</v>
      </c>
      <c r="M57" s="50">
        <v>71.599999999999994</v>
      </c>
      <c r="N57" s="50">
        <v>68.2</v>
      </c>
      <c r="O57" s="50">
        <v>57.1</v>
      </c>
      <c r="P57" s="50">
        <v>63.21</v>
      </c>
      <c r="Q57" s="50">
        <v>68.13</v>
      </c>
      <c r="R57" s="50">
        <v>62.74</v>
      </c>
      <c r="S57" s="50">
        <v>64</v>
      </c>
      <c r="T57" s="50">
        <v>73</v>
      </c>
      <c r="U57" s="50">
        <v>67</v>
      </c>
      <c r="V57" s="50">
        <v>68</v>
      </c>
      <c r="W57" s="50">
        <v>72</v>
      </c>
      <c r="X57" s="50">
        <v>71</v>
      </c>
      <c r="Y57" s="50">
        <v>75</v>
      </c>
      <c r="Z57" s="50">
        <v>69</v>
      </c>
      <c r="AA57" s="50">
        <v>77</v>
      </c>
      <c r="AB57" s="50">
        <v>73</v>
      </c>
      <c r="AC57" s="50">
        <v>68.790000000000006</v>
      </c>
      <c r="AD57" s="50">
        <v>66</v>
      </c>
      <c r="AE57" s="50">
        <v>66</v>
      </c>
      <c r="AF57" s="50">
        <v>69</v>
      </c>
      <c r="AG57" s="62"/>
      <c r="AH57" s="54">
        <f t="shared" si="2"/>
        <v>77</v>
      </c>
      <c r="AI57" s="55">
        <f t="shared" si="3"/>
        <v>57.1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293</v>
      </c>
      <c r="C59" s="73">
        <v>284.3</v>
      </c>
      <c r="D59" s="73">
        <v>269</v>
      </c>
      <c r="E59" s="73">
        <v>230</v>
      </c>
      <c r="F59" s="73">
        <v>251</v>
      </c>
      <c r="G59" s="73">
        <v>280</v>
      </c>
      <c r="H59" s="50">
        <v>320</v>
      </c>
      <c r="I59" s="50">
        <v>380</v>
      </c>
      <c r="J59" s="50">
        <v>332</v>
      </c>
      <c r="K59" s="50">
        <v>180</v>
      </c>
      <c r="L59" s="50">
        <v>38.4</v>
      </c>
      <c r="M59" s="73">
        <v>60</v>
      </c>
      <c r="N59" s="73">
        <v>35</v>
      </c>
      <c r="O59" s="73">
        <v>261</v>
      </c>
      <c r="P59" s="73">
        <v>40</v>
      </c>
      <c r="Q59" s="73">
        <v>307.10000000000002</v>
      </c>
      <c r="R59" s="73">
        <v>345.5</v>
      </c>
      <c r="S59" s="73">
        <v>366</v>
      </c>
      <c r="T59" s="73">
        <v>366</v>
      </c>
      <c r="U59" s="73">
        <v>390</v>
      </c>
      <c r="V59" s="73">
        <v>398</v>
      </c>
      <c r="W59" s="73">
        <v>393</v>
      </c>
      <c r="X59" s="84">
        <v>380</v>
      </c>
      <c r="Y59" s="84">
        <v>400</v>
      </c>
      <c r="Z59" s="84">
        <v>368</v>
      </c>
      <c r="AA59" s="84">
        <v>396</v>
      </c>
      <c r="AB59" s="73">
        <v>380</v>
      </c>
      <c r="AC59" s="73">
        <v>378</v>
      </c>
      <c r="AD59" s="73">
        <v>368</v>
      </c>
      <c r="AE59" s="73">
        <v>368</v>
      </c>
      <c r="AF59" s="73">
        <v>355</v>
      </c>
      <c r="AG59" s="85"/>
      <c r="AH59" s="54">
        <f t="shared" si="2"/>
        <v>400</v>
      </c>
      <c r="AI59" s="55">
        <f t="shared" si="3"/>
        <v>35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48</v>
      </c>
      <c r="K60" s="58">
        <v>51.4</v>
      </c>
      <c r="L60" s="58">
        <v>61</v>
      </c>
      <c r="M60" s="73">
        <v>61</v>
      </c>
      <c r="N60" s="73">
        <v>50.4</v>
      </c>
      <c r="O60" s="73">
        <v>46.6</v>
      </c>
      <c r="P60" s="73">
        <v>46.7</v>
      </c>
      <c r="Q60" s="73">
        <v>50</v>
      </c>
      <c r="R60" s="73">
        <v>48.2</v>
      </c>
      <c r="S60" s="73">
        <v>43</v>
      </c>
      <c r="T60" s="73">
        <v>34</v>
      </c>
      <c r="U60" s="73">
        <v>38</v>
      </c>
      <c r="V60" s="73">
        <v>45</v>
      </c>
      <c r="W60" s="73">
        <v>45</v>
      </c>
      <c r="X60" s="73">
        <v>58</v>
      </c>
      <c r="Y60" s="73">
        <v>63.6</v>
      </c>
      <c r="Z60" s="73">
        <v>60.4</v>
      </c>
      <c r="AA60" s="73">
        <v>60</v>
      </c>
      <c r="AB60" s="73">
        <v>57.4</v>
      </c>
      <c r="AC60" s="73">
        <v>48.7</v>
      </c>
      <c r="AD60" s="73">
        <v>54.9</v>
      </c>
      <c r="AE60" s="73">
        <v>0</v>
      </c>
      <c r="AF60" s="73">
        <v>0</v>
      </c>
      <c r="AG60" s="85"/>
      <c r="AH60" s="54">
        <f t="shared" si="2"/>
        <v>63.6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8">
        <v>79.099999999999994</v>
      </c>
      <c r="L61" s="58">
        <v>81.900000000000006</v>
      </c>
      <c r="M61" s="50">
        <v>77</v>
      </c>
      <c r="N61" s="50">
        <v>85.8</v>
      </c>
      <c r="O61" s="50">
        <v>75</v>
      </c>
      <c r="P61" s="50">
        <v>83.9</v>
      </c>
      <c r="Q61" s="50">
        <v>75.3</v>
      </c>
      <c r="R61" s="50">
        <v>83.5</v>
      </c>
      <c r="S61" s="50">
        <v>83.9</v>
      </c>
      <c r="T61" s="50">
        <v>82.8</v>
      </c>
      <c r="U61" s="50">
        <v>0</v>
      </c>
      <c r="V61" s="50">
        <v>78</v>
      </c>
      <c r="W61" s="50">
        <v>80.7</v>
      </c>
      <c r="X61" s="50">
        <v>82</v>
      </c>
      <c r="Y61" s="50">
        <v>87</v>
      </c>
      <c r="Z61" s="50">
        <v>83.5</v>
      </c>
      <c r="AA61" s="50">
        <v>83</v>
      </c>
      <c r="AB61" s="50">
        <v>72</v>
      </c>
      <c r="AC61" s="50">
        <v>73.3</v>
      </c>
      <c r="AD61" s="50">
        <v>74.5</v>
      </c>
      <c r="AE61" s="50">
        <v>78</v>
      </c>
      <c r="AF61" s="50">
        <v>0</v>
      </c>
      <c r="AG61" s="85"/>
      <c r="AH61" s="54">
        <f t="shared" si="2"/>
        <v>87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60">
        <v>0</v>
      </c>
      <c r="Q64" s="60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60">
        <v>0</v>
      </c>
      <c r="Q65" s="60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0">
        <v>0</v>
      </c>
      <c r="Q66" s="60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0">
        <v>0</v>
      </c>
      <c r="Q67" s="60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366.4</v>
      </c>
      <c r="C68" s="72">
        <f>SUM(C57:C67)</f>
        <v>355.42</v>
      </c>
      <c r="D68" s="72">
        <f t="shared" ref="D68:AF68" si="8">SUM(D57:D67)</f>
        <v>339.88</v>
      </c>
      <c r="E68" s="72">
        <f t="shared" si="8"/>
        <v>298.87</v>
      </c>
      <c r="F68" s="72">
        <f t="shared" si="8"/>
        <v>322.04000000000002</v>
      </c>
      <c r="G68" s="72">
        <f t="shared" si="8"/>
        <v>348.40999999999997</v>
      </c>
      <c r="H68" s="72">
        <f t="shared" si="8"/>
        <v>394.15999999999997</v>
      </c>
      <c r="I68" s="72">
        <f t="shared" si="8"/>
        <v>457</v>
      </c>
      <c r="J68" s="72">
        <f t="shared" si="8"/>
        <v>445</v>
      </c>
      <c r="K68" s="72">
        <f t="shared" si="8"/>
        <v>378.5</v>
      </c>
      <c r="L68" s="72">
        <f t="shared" si="8"/>
        <v>254.48000000000002</v>
      </c>
      <c r="M68" s="72">
        <f t="shared" si="8"/>
        <v>269.60000000000002</v>
      </c>
      <c r="N68" s="72">
        <f t="shared" si="8"/>
        <v>239.39999999999998</v>
      </c>
      <c r="O68" s="72">
        <f t="shared" si="8"/>
        <v>439.70000000000005</v>
      </c>
      <c r="P68" s="72">
        <f t="shared" si="8"/>
        <v>233.81000000000003</v>
      </c>
      <c r="Q68" s="72">
        <f t="shared" si="8"/>
        <v>500.53000000000003</v>
      </c>
      <c r="R68" s="72">
        <f t="shared" si="8"/>
        <v>539.94000000000005</v>
      </c>
      <c r="S68" s="72">
        <f t="shared" si="8"/>
        <v>556.9</v>
      </c>
      <c r="T68" s="72">
        <f t="shared" si="8"/>
        <v>555.79999999999995</v>
      </c>
      <c r="U68" s="72">
        <f t="shared" si="8"/>
        <v>495</v>
      </c>
      <c r="V68" s="72">
        <f t="shared" si="8"/>
        <v>589</v>
      </c>
      <c r="W68" s="72">
        <f t="shared" si="8"/>
        <v>590.70000000000005</v>
      </c>
      <c r="X68" s="72">
        <f t="shared" si="8"/>
        <v>591</v>
      </c>
      <c r="Y68" s="72">
        <f t="shared" si="8"/>
        <v>625.6</v>
      </c>
      <c r="Z68" s="72">
        <f t="shared" si="8"/>
        <v>580.9</v>
      </c>
      <c r="AA68" s="72">
        <f t="shared" si="8"/>
        <v>616</v>
      </c>
      <c r="AB68" s="72">
        <f t="shared" si="8"/>
        <v>582.4</v>
      </c>
      <c r="AC68" s="72">
        <f t="shared" si="8"/>
        <v>568.79</v>
      </c>
      <c r="AD68" s="72">
        <f t="shared" si="8"/>
        <v>563.4</v>
      </c>
      <c r="AE68" s="72">
        <f t="shared" si="8"/>
        <v>512</v>
      </c>
      <c r="AF68" s="72">
        <f t="shared" si="8"/>
        <v>424</v>
      </c>
      <c r="AG68" s="78">
        <f>SUM(AG57:AG67)</f>
        <v>0</v>
      </c>
      <c r="AH68" s="54">
        <f t="shared" si="2"/>
        <v>625.6</v>
      </c>
      <c r="AI68" s="55">
        <f t="shared" si="3"/>
        <v>233.81000000000003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901.83999999999992</v>
      </c>
      <c r="C73" s="89">
        <f>C68+C56+C52+C38+C72</f>
        <v>890.8599999999999</v>
      </c>
      <c r="D73" s="89">
        <f t="shared" ref="D73:AG73" si="10">D68+D56+D52+D38+D72</f>
        <v>868.31999999999994</v>
      </c>
      <c r="E73" s="89">
        <f t="shared" si="10"/>
        <v>884.21</v>
      </c>
      <c r="F73" s="89">
        <f t="shared" si="10"/>
        <v>888.37999999999988</v>
      </c>
      <c r="G73" s="89">
        <f t="shared" si="10"/>
        <v>958.64999999999986</v>
      </c>
      <c r="H73" s="89">
        <f t="shared" si="10"/>
        <v>1019.8</v>
      </c>
      <c r="I73" s="89">
        <f t="shared" si="10"/>
        <v>1098.94</v>
      </c>
      <c r="J73" s="89">
        <f t="shared" si="10"/>
        <v>1210.8399999999999</v>
      </c>
      <c r="K73" s="89">
        <f t="shared" si="10"/>
        <v>1326.94</v>
      </c>
      <c r="L73" s="89">
        <f t="shared" si="10"/>
        <v>1518.8200000000002</v>
      </c>
      <c r="M73" s="89">
        <f t="shared" si="10"/>
        <v>1538.1400000000003</v>
      </c>
      <c r="N73" s="89">
        <f t="shared" si="10"/>
        <v>1389.64</v>
      </c>
      <c r="O73" s="89">
        <f t="shared" si="10"/>
        <v>1375.24</v>
      </c>
      <c r="P73" s="89">
        <f t="shared" si="10"/>
        <v>1339.0500000000002</v>
      </c>
      <c r="Q73" s="89">
        <f t="shared" si="10"/>
        <v>1257.3699999999999</v>
      </c>
      <c r="R73" s="89">
        <f t="shared" si="10"/>
        <v>1209.98</v>
      </c>
      <c r="S73" s="89">
        <f t="shared" si="10"/>
        <v>1207.24</v>
      </c>
      <c r="T73" s="89">
        <f t="shared" si="10"/>
        <v>1185.9399999999998</v>
      </c>
      <c r="U73" s="89">
        <f t="shared" si="10"/>
        <v>1158.8399999999999</v>
      </c>
      <c r="V73" s="89">
        <f t="shared" si="10"/>
        <v>1257.3399999999999</v>
      </c>
      <c r="W73" s="89">
        <f t="shared" si="10"/>
        <v>1302.54</v>
      </c>
      <c r="X73" s="89">
        <f t="shared" si="10"/>
        <v>1408.84</v>
      </c>
      <c r="Y73" s="89">
        <f t="shared" si="10"/>
        <v>1594.54</v>
      </c>
      <c r="Z73" s="89">
        <f t="shared" si="10"/>
        <v>1592.6399999999999</v>
      </c>
      <c r="AA73" s="89">
        <f t="shared" si="10"/>
        <v>1498.44</v>
      </c>
      <c r="AB73" s="89">
        <f t="shared" si="10"/>
        <v>1412.4399999999998</v>
      </c>
      <c r="AC73" s="89">
        <f t="shared" si="10"/>
        <v>1360.4299999999998</v>
      </c>
      <c r="AD73" s="89">
        <f t="shared" si="10"/>
        <v>1246.44</v>
      </c>
      <c r="AE73" s="89">
        <f t="shared" si="10"/>
        <v>1085.24</v>
      </c>
      <c r="AF73" s="89">
        <f t="shared" si="10"/>
        <v>997.24</v>
      </c>
      <c r="AG73" s="89">
        <f t="shared" si="10"/>
        <v>2144.14</v>
      </c>
      <c r="AH73" s="54">
        <f t="shared" si="2"/>
        <v>1594.54</v>
      </c>
      <c r="AI73" s="55">
        <f t="shared" si="3"/>
        <v>868.31999999999994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901.83999999999992</v>
      </c>
      <c r="C75" s="89">
        <f>C73+C74</f>
        <v>890.8599999999999</v>
      </c>
      <c r="D75" s="89">
        <f t="shared" ref="D75:AF75" si="11">D72+D68+D56+D52+D38+D74</f>
        <v>868.31999999999994</v>
      </c>
      <c r="E75" s="89">
        <f t="shared" si="11"/>
        <v>884.21</v>
      </c>
      <c r="F75" s="89">
        <f t="shared" si="11"/>
        <v>888.37999999999988</v>
      </c>
      <c r="G75" s="89">
        <f t="shared" si="11"/>
        <v>958.64999999999986</v>
      </c>
      <c r="H75" s="89">
        <f t="shared" si="11"/>
        <v>1019.8</v>
      </c>
      <c r="I75" s="89">
        <f t="shared" si="11"/>
        <v>1098.94</v>
      </c>
      <c r="J75" s="89">
        <f t="shared" si="11"/>
        <v>1210.8399999999999</v>
      </c>
      <c r="K75" s="89">
        <f t="shared" si="11"/>
        <v>1326.94</v>
      </c>
      <c r="L75" s="89">
        <f t="shared" si="11"/>
        <v>1518.8200000000002</v>
      </c>
      <c r="M75" s="89">
        <f t="shared" si="11"/>
        <v>1538.1400000000003</v>
      </c>
      <c r="N75" s="89">
        <f t="shared" si="11"/>
        <v>1389.64</v>
      </c>
      <c r="O75" s="89">
        <f t="shared" si="11"/>
        <v>1375.24</v>
      </c>
      <c r="P75" s="89">
        <f t="shared" si="11"/>
        <v>1339.0500000000002</v>
      </c>
      <c r="Q75" s="89">
        <f t="shared" si="11"/>
        <v>1257.3699999999999</v>
      </c>
      <c r="R75" s="89">
        <f t="shared" si="11"/>
        <v>1209.98</v>
      </c>
      <c r="S75" s="89">
        <f t="shared" si="11"/>
        <v>1207.24</v>
      </c>
      <c r="T75" s="89">
        <f t="shared" si="11"/>
        <v>1185.9399999999998</v>
      </c>
      <c r="U75" s="89">
        <f t="shared" si="11"/>
        <v>1158.8399999999999</v>
      </c>
      <c r="V75" s="89">
        <f t="shared" si="11"/>
        <v>1257.3399999999999</v>
      </c>
      <c r="W75" s="89">
        <f t="shared" si="11"/>
        <v>1302.54</v>
      </c>
      <c r="X75" s="89">
        <f t="shared" si="11"/>
        <v>1408.84</v>
      </c>
      <c r="Y75" s="89">
        <f t="shared" si="11"/>
        <v>1594.54</v>
      </c>
      <c r="Z75" s="89">
        <f t="shared" si="11"/>
        <v>1592.6399999999999</v>
      </c>
      <c r="AA75" s="89">
        <f t="shared" si="11"/>
        <v>1498.44</v>
      </c>
      <c r="AB75" s="89">
        <f t="shared" si="11"/>
        <v>1412.4399999999998</v>
      </c>
      <c r="AC75" s="89">
        <f t="shared" si="11"/>
        <v>1360.4299999999998</v>
      </c>
      <c r="AD75" s="89">
        <f t="shared" si="11"/>
        <v>1246.44</v>
      </c>
      <c r="AE75" s="89">
        <f t="shared" si="11"/>
        <v>1085.24</v>
      </c>
      <c r="AF75" s="89">
        <f t="shared" si="11"/>
        <v>997.24</v>
      </c>
      <c r="AG75" s="78">
        <f>AG72+AG68+AG56+AG52+AG38+AG74</f>
        <v>2144.14</v>
      </c>
      <c r="AH75" s="54">
        <f t="shared" si="2"/>
        <v>1594.54</v>
      </c>
      <c r="AI75" s="55">
        <f t="shared" si="3"/>
        <v>868.31999999999994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1803.6799999999998</v>
      </c>
      <c r="C83" s="72">
        <f t="shared" ref="C83:AG83" si="20">SUM(C70:C82)</f>
        <v>1781.7199999999998</v>
      </c>
      <c r="D83" s="72">
        <f t="shared" si="20"/>
        <v>1736.6399999999999</v>
      </c>
      <c r="E83" s="72">
        <f t="shared" si="20"/>
        <v>1768.42</v>
      </c>
      <c r="F83" s="72">
        <f t="shared" si="20"/>
        <v>1776.7599999999998</v>
      </c>
      <c r="G83" s="72">
        <f t="shared" si="20"/>
        <v>1917.2999999999997</v>
      </c>
      <c r="H83" s="72">
        <f t="shared" si="20"/>
        <v>2039.6</v>
      </c>
      <c r="I83" s="72">
        <f t="shared" si="20"/>
        <v>2197.88</v>
      </c>
      <c r="J83" s="72">
        <f t="shared" si="20"/>
        <v>2421.6799999999998</v>
      </c>
      <c r="K83" s="72">
        <f t="shared" si="20"/>
        <v>2653.88</v>
      </c>
      <c r="L83" s="72">
        <f t="shared" si="20"/>
        <v>3037.6400000000003</v>
      </c>
      <c r="M83" s="72">
        <f t="shared" si="20"/>
        <v>3076.2800000000007</v>
      </c>
      <c r="N83" s="72">
        <f t="shared" si="20"/>
        <v>2779.28</v>
      </c>
      <c r="O83" s="72">
        <f t="shared" si="20"/>
        <v>2750.48</v>
      </c>
      <c r="P83" s="72">
        <f t="shared" si="20"/>
        <v>2678.1000000000004</v>
      </c>
      <c r="Q83" s="72">
        <f t="shared" si="20"/>
        <v>2514.7399999999998</v>
      </c>
      <c r="R83" s="72">
        <f t="shared" si="20"/>
        <v>2419.96</v>
      </c>
      <c r="S83" s="72">
        <f t="shared" si="20"/>
        <v>2414.48</v>
      </c>
      <c r="T83" s="72">
        <f t="shared" si="20"/>
        <v>2371.8799999999997</v>
      </c>
      <c r="U83" s="72">
        <f t="shared" si="20"/>
        <v>2317.6799999999998</v>
      </c>
      <c r="V83" s="72">
        <f t="shared" si="20"/>
        <v>2514.6799999999998</v>
      </c>
      <c r="W83" s="72">
        <f t="shared" si="20"/>
        <v>2605.08</v>
      </c>
      <c r="X83" s="72">
        <f t="shared" si="20"/>
        <v>2817.68</v>
      </c>
      <c r="Y83" s="72">
        <f t="shared" si="20"/>
        <v>3189.08</v>
      </c>
      <c r="Z83" s="72">
        <f t="shared" si="20"/>
        <v>3185.2799999999997</v>
      </c>
      <c r="AA83" s="72">
        <f t="shared" si="20"/>
        <v>2996.88</v>
      </c>
      <c r="AB83" s="72">
        <f t="shared" si="20"/>
        <v>2824.8799999999997</v>
      </c>
      <c r="AC83" s="72">
        <f t="shared" si="20"/>
        <v>2720.8599999999997</v>
      </c>
      <c r="AD83" s="72">
        <f t="shared" si="20"/>
        <v>2492.88</v>
      </c>
      <c r="AE83" s="72">
        <f t="shared" si="20"/>
        <v>2170.48</v>
      </c>
      <c r="AF83" s="72">
        <f t="shared" si="20"/>
        <v>1994.48</v>
      </c>
      <c r="AG83" s="78">
        <f t="shared" si="20"/>
        <v>4360.08</v>
      </c>
      <c r="AH83" s="54">
        <f t="shared" si="13"/>
        <v>3189.08</v>
      </c>
      <c r="AI83" s="55">
        <f t="shared" si="14"/>
        <v>1736.6399999999999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50.026000000000003</v>
      </c>
      <c r="C84" s="96">
        <v>49.978000000000002</v>
      </c>
      <c r="D84" s="96">
        <v>50.031999999999996</v>
      </c>
      <c r="E84" s="96">
        <v>50.01</v>
      </c>
      <c r="F84" s="96">
        <v>50.042999999999999</v>
      </c>
      <c r="G84" s="96">
        <v>50.024000000000001</v>
      </c>
      <c r="H84" s="96">
        <v>49.993000000000002</v>
      </c>
      <c r="I84" s="96">
        <v>49.927999999999997</v>
      </c>
      <c r="J84" s="96">
        <v>49.957999999999998</v>
      </c>
      <c r="K84" s="96">
        <v>49.935000000000002</v>
      </c>
      <c r="L84" s="96">
        <v>49.835000000000001</v>
      </c>
      <c r="M84" s="96">
        <v>49.902999999999999</v>
      </c>
      <c r="N84" s="96">
        <v>49.947000000000003</v>
      </c>
      <c r="O84" s="96">
        <v>50.009</v>
      </c>
      <c r="P84" s="96">
        <v>50.029000000000003</v>
      </c>
      <c r="Q84" s="96">
        <v>49.898000000000003</v>
      </c>
      <c r="R84" s="96">
        <v>49.805</v>
      </c>
      <c r="S84" s="96">
        <v>49.972999999999999</v>
      </c>
      <c r="T84" s="96">
        <v>49.84</v>
      </c>
      <c r="U84" s="96">
        <v>50.07</v>
      </c>
      <c r="V84" s="96">
        <v>49.89</v>
      </c>
      <c r="W84" s="96">
        <v>49.997999999999998</v>
      </c>
      <c r="X84" s="96">
        <v>49.95</v>
      </c>
      <c r="Y84" s="96">
        <v>50.07</v>
      </c>
      <c r="Z84" s="96">
        <v>49.92</v>
      </c>
      <c r="AA84" s="96">
        <v>49.87</v>
      </c>
      <c r="AB84" s="96">
        <v>50.106999999999999</v>
      </c>
      <c r="AC84" s="96">
        <v>50</v>
      </c>
      <c r="AD84" s="96">
        <v>50.03</v>
      </c>
      <c r="AE84" s="96">
        <v>50.04</v>
      </c>
      <c r="AF84" s="96">
        <v>50.02</v>
      </c>
      <c r="AG84" s="97"/>
      <c r="AH84" s="54">
        <f t="shared" si="13"/>
        <v>50.106999999999999</v>
      </c>
      <c r="AI84" s="55">
        <f t="shared" si="14"/>
        <v>49.805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125.4</v>
      </c>
      <c r="C85" s="73">
        <v>126.3</v>
      </c>
      <c r="D85" s="73">
        <v>126.1</v>
      </c>
      <c r="E85" s="73">
        <v>127</v>
      </c>
      <c r="F85" s="73">
        <v>126.1</v>
      </c>
      <c r="G85" s="73">
        <v>125.9</v>
      </c>
      <c r="H85" s="73">
        <v>123.1</v>
      </c>
      <c r="I85" s="73">
        <v>122.8</v>
      </c>
      <c r="J85" s="73">
        <v>121.6</v>
      </c>
      <c r="K85" s="73">
        <v>122.6</v>
      </c>
      <c r="L85" s="73">
        <v>121</v>
      </c>
      <c r="M85" s="73">
        <v>122</v>
      </c>
      <c r="N85" s="73">
        <v>124.1</v>
      </c>
      <c r="O85" s="73">
        <v>124.9</v>
      </c>
      <c r="P85" s="73">
        <v>125.8</v>
      </c>
      <c r="Q85" s="73">
        <v>127</v>
      </c>
      <c r="R85" s="73">
        <v>126.3</v>
      </c>
      <c r="S85" s="73">
        <v>125</v>
      </c>
      <c r="T85" s="73">
        <v>126</v>
      </c>
      <c r="U85" s="100">
        <v>125</v>
      </c>
      <c r="V85" s="100">
        <v>126</v>
      </c>
      <c r="W85" s="100">
        <v>125</v>
      </c>
      <c r="X85" s="100">
        <v>125</v>
      </c>
      <c r="Y85" s="100">
        <v>124</v>
      </c>
      <c r="Z85" s="100">
        <v>124.6</v>
      </c>
      <c r="AA85" s="100">
        <v>125</v>
      </c>
      <c r="AB85" s="73">
        <v>125.6</v>
      </c>
      <c r="AC85" s="73">
        <v>125.6</v>
      </c>
      <c r="AD85" s="73">
        <v>127.2</v>
      </c>
      <c r="AE85" s="73">
        <v>127.2</v>
      </c>
      <c r="AF85" s="73">
        <v>124.7</v>
      </c>
      <c r="AG85" s="101"/>
      <c r="AH85" s="54">
        <f t="shared" si="13"/>
        <v>127.2</v>
      </c>
      <c r="AI85" s="55">
        <f t="shared" si="14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129.80000000000001</v>
      </c>
      <c r="C86" s="73">
        <v>130.30000000000001</v>
      </c>
      <c r="D86" s="73">
        <v>130.30000000000001</v>
      </c>
      <c r="E86" s="73">
        <v>131.1</v>
      </c>
      <c r="F86" s="73">
        <v>130.5</v>
      </c>
      <c r="G86" s="73">
        <v>130</v>
      </c>
      <c r="H86" s="73">
        <v>127.4</v>
      </c>
      <c r="I86" s="73">
        <v>126.9</v>
      </c>
      <c r="J86" s="73">
        <v>125.6</v>
      </c>
      <c r="K86" s="73">
        <v>125.3</v>
      </c>
      <c r="L86" s="73">
        <v>124.4</v>
      </c>
      <c r="M86" s="73">
        <v>124.9</v>
      </c>
      <c r="N86" s="73">
        <v>126.1</v>
      </c>
      <c r="O86" s="73">
        <v>127.1</v>
      </c>
      <c r="P86" s="73">
        <v>127.7</v>
      </c>
      <c r="Q86" s="73">
        <v>128.9</v>
      </c>
      <c r="R86" s="73">
        <v>128.5</v>
      </c>
      <c r="S86" s="73">
        <v>127</v>
      </c>
      <c r="T86" s="73">
        <v>128</v>
      </c>
      <c r="U86" s="100">
        <v>127.5</v>
      </c>
      <c r="V86" s="100">
        <v>128</v>
      </c>
      <c r="W86" s="100">
        <v>128</v>
      </c>
      <c r="X86" s="100">
        <v>127</v>
      </c>
      <c r="Y86" s="100">
        <v>126</v>
      </c>
      <c r="Z86" s="100">
        <v>126.5</v>
      </c>
      <c r="AA86" s="100">
        <v>127</v>
      </c>
      <c r="AB86" s="73">
        <v>127.6</v>
      </c>
      <c r="AC86" s="73">
        <v>127.5</v>
      </c>
      <c r="AD86" s="73">
        <v>129.69999999999999</v>
      </c>
      <c r="AE86" s="73">
        <v>129.69999999999999</v>
      </c>
      <c r="AF86" s="73">
        <v>129</v>
      </c>
      <c r="AG86" s="101"/>
      <c r="AH86" s="54">
        <f t="shared" si="13"/>
        <v>131.1</v>
      </c>
      <c r="AI86" s="55">
        <f t="shared" si="14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132.1</v>
      </c>
      <c r="C87" s="73">
        <v>129.4</v>
      </c>
      <c r="D87" s="73">
        <v>130.6</v>
      </c>
      <c r="E87" s="73">
        <v>131.4</v>
      </c>
      <c r="F87" s="73">
        <v>130.5</v>
      </c>
      <c r="G87" s="73">
        <v>129.6</v>
      </c>
      <c r="H87" s="73">
        <v>127.2</v>
      </c>
      <c r="I87" s="73">
        <v>131.5</v>
      </c>
      <c r="J87" s="73">
        <v>126.9</v>
      </c>
      <c r="K87" s="73">
        <v>125.3</v>
      </c>
      <c r="L87" s="73">
        <v>121.7</v>
      </c>
      <c r="M87" s="73">
        <v>124.1</v>
      </c>
      <c r="N87" s="73">
        <v>125.8</v>
      </c>
      <c r="O87" s="73">
        <v>127</v>
      </c>
      <c r="P87" s="73">
        <v>129.80000000000001</v>
      </c>
      <c r="Q87" s="73">
        <v>130.6</v>
      </c>
      <c r="R87" s="73">
        <v>132.4</v>
      </c>
      <c r="S87" s="73">
        <v>129</v>
      </c>
      <c r="T87" s="73">
        <v>130</v>
      </c>
      <c r="U87" s="73">
        <v>130</v>
      </c>
      <c r="V87" s="73">
        <v>132</v>
      </c>
      <c r="W87" s="73">
        <v>129</v>
      </c>
      <c r="X87" s="100">
        <v>129</v>
      </c>
      <c r="Y87" s="100">
        <v>128</v>
      </c>
      <c r="Z87" s="100">
        <v>130.69999999999999</v>
      </c>
      <c r="AA87" s="100">
        <v>131</v>
      </c>
      <c r="AB87" s="73">
        <v>131.69999999999999</v>
      </c>
      <c r="AC87" s="73">
        <v>132.6</v>
      </c>
      <c r="AD87" s="73">
        <v>130.4</v>
      </c>
      <c r="AE87" s="73">
        <v>130.4</v>
      </c>
      <c r="AF87" s="73">
        <v>131.19999999999999</v>
      </c>
      <c r="AG87" s="101"/>
      <c r="AH87" s="54">
        <f t="shared" si="13"/>
        <v>132.6</v>
      </c>
      <c r="AI87" s="55">
        <f t="shared" si="14"/>
        <v>121.7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135.5</v>
      </c>
      <c r="C88" s="73">
        <v>133.30000000000001</v>
      </c>
      <c r="D88" s="73">
        <v>134.19999999999999</v>
      </c>
      <c r="E88" s="73">
        <v>134.9</v>
      </c>
      <c r="F88" s="73">
        <v>134.5</v>
      </c>
      <c r="G88" s="73">
        <v>133.4</v>
      </c>
      <c r="H88" s="73">
        <v>131</v>
      </c>
      <c r="I88" s="73">
        <v>135.80000000000001</v>
      </c>
      <c r="J88" s="73">
        <v>130.9</v>
      </c>
      <c r="K88" s="73">
        <v>128</v>
      </c>
      <c r="L88" s="73">
        <v>126.6</v>
      </c>
      <c r="M88" s="73">
        <v>128</v>
      </c>
      <c r="N88" s="73">
        <v>129</v>
      </c>
      <c r="O88" s="73">
        <v>130.19999999999999</v>
      </c>
      <c r="P88" s="73">
        <v>132.5</v>
      </c>
      <c r="Q88" s="73">
        <v>133.69999999999999</v>
      </c>
      <c r="R88" s="73">
        <v>136.30000000000001</v>
      </c>
      <c r="S88" s="73">
        <v>131</v>
      </c>
      <c r="T88" s="73">
        <v>132</v>
      </c>
      <c r="U88" s="73">
        <v>131</v>
      </c>
      <c r="V88" s="73">
        <v>133</v>
      </c>
      <c r="W88" s="73">
        <v>131</v>
      </c>
      <c r="X88" s="100">
        <v>132</v>
      </c>
      <c r="Y88" s="100">
        <v>132</v>
      </c>
      <c r="Z88" s="100">
        <v>134.69999999999999</v>
      </c>
      <c r="AA88" s="100">
        <v>134</v>
      </c>
      <c r="AB88" s="73">
        <v>135.19999999999999</v>
      </c>
      <c r="AC88" s="73">
        <v>136.1</v>
      </c>
      <c r="AD88" s="73">
        <v>134.69999999999999</v>
      </c>
      <c r="AE88" s="73">
        <v>134.69999999999999</v>
      </c>
      <c r="AF88" s="73">
        <v>134.30000000000001</v>
      </c>
      <c r="AG88" s="101"/>
      <c r="AH88" s="54">
        <f t="shared" si="13"/>
        <v>136.30000000000001</v>
      </c>
      <c r="AI88" s="55">
        <f t="shared" si="14"/>
        <v>126.6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130.4</v>
      </c>
      <c r="C89" s="104">
        <v>134.30000000000001</v>
      </c>
      <c r="D89" s="104">
        <v>129.4</v>
      </c>
      <c r="E89" s="104">
        <v>129.9</v>
      </c>
      <c r="F89" s="104">
        <v>130.19999999999999</v>
      </c>
      <c r="G89" s="104">
        <v>136.19999999999999</v>
      </c>
      <c r="H89" s="104">
        <v>130.4</v>
      </c>
      <c r="I89" s="104">
        <v>136.6</v>
      </c>
      <c r="J89" s="104">
        <v>134.4</v>
      </c>
      <c r="K89" s="104">
        <v>130.19999999999999</v>
      </c>
      <c r="L89" s="104">
        <v>130.6</v>
      </c>
      <c r="M89" s="104">
        <v>131.4</v>
      </c>
      <c r="N89" s="104">
        <v>133.19999999999999</v>
      </c>
      <c r="O89" s="104">
        <v>135.4</v>
      </c>
      <c r="P89" s="104">
        <v>136.9</v>
      </c>
      <c r="Q89" s="104">
        <v>136</v>
      </c>
      <c r="R89" s="104">
        <v>132.9</v>
      </c>
      <c r="S89" s="104">
        <v>133</v>
      </c>
      <c r="T89" s="104">
        <v>136</v>
      </c>
      <c r="U89" s="104">
        <v>130</v>
      </c>
      <c r="V89" s="104">
        <v>132</v>
      </c>
      <c r="W89" s="104">
        <v>134</v>
      </c>
      <c r="X89" s="100">
        <v>136</v>
      </c>
      <c r="Y89" s="100">
        <v>133</v>
      </c>
      <c r="Z89" s="100">
        <v>135.19999999999999</v>
      </c>
      <c r="AA89" s="100">
        <v>132.4</v>
      </c>
      <c r="AB89" s="104">
        <v>135.1</v>
      </c>
      <c r="AC89" s="104">
        <v>134.9</v>
      </c>
      <c r="AD89" s="104">
        <v>135.69999999999999</v>
      </c>
      <c r="AE89" s="104">
        <v>135.69999999999999</v>
      </c>
      <c r="AF89" s="104">
        <v>131.4</v>
      </c>
      <c r="AG89" s="105"/>
      <c r="AH89" s="54">
        <f t="shared" si="13"/>
        <v>136.9</v>
      </c>
      <c r="AI89" s="55">
        <f t="shared" si="14"/>
        <v>129.4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132.19999999999999</v>
      </c>
      <c r="C90" s="73">
        <v>133.1</v>
      </c>
      <c r="D90" s="73">
        <v>134.4</v>
      </c>
      <c r="E90" s="73">
        <v>134.69999999999999</v>
      </c>
      <c r="F90" s="73">
        <v>134</v>
      </c>
      <c r="G90" s="73">
        <v>132.19999999999999</v>
      </c>
      <c r="H90" s="73">
        <v>129.80000000000001</v>
      </c>
      <c r="I90" s="73"/>
      <c r="J90" s="73">
        <v>132.9</v>
      </c>
      <c r="K90" s="73">
        <v>128.80000000000001</v>
      </c>
      <c r="L90" s="73">
        <v>134.1</v>
      </c>
      <c r="M90" s="73">
        <v>133.30000000000001</v>
      </c>
      <c r="N90" s="73">
        <v>131.19999999999999</v>
      </c>
      <c r="O90" s="73">
        <v>132.4</v>
      </c>
      <c r="P90" s="73">
        <v>130.69999999999999</v>
      </c>
      <c r="Q90" s="73">
        <v>130.6</v>
      </c>
      <c r="R90" s="73">
        <v>133.5</v>
      </c>
      <c r="S90" s="73">
        <v>132</v>
      </c>
      <c r="T90" s="73"/>
      <c r="U90" s="73"/>
      <c r="V90" s="73">
        <v>134</v>
      </c>
      <c r="W90" s="73">
        <v>134</v>
      </c>
      <c r="X90" s="100">
        <v>133</v>
      </c>
      <c r="Y90" s="100">
        <v>131</v>
      </c>
      <c r="Z90" s="100">
        <v>132.4</v>
      </c>
      <c r="AA90" s="100">
        <v>132</v>
      </c>
      <c r="AB90" s="73">
        <v>135.30000000000001</v>
      </c>
      <c r="AC90" s="73">
        <v>134.69999999999999</v>
      </c>
      <c r="AD90" s="73">
        <v>135.80000000000001</v>
      </c>
      <c r="AE90" s="73">
        <v>135.80000000000001</v>
      </c>
      <c r="AF90" s="73">
        <v>138.69999999999999</v>
      </c>
      <c r="AG90" s="101"/>
      <c r="AH90" s="54">
        <f t="shared" si="13"/>
        <v>138.69999999999999</v>
      </c>
      <c r="AI90" s="55">
        <f t="shared" si="14"/>
        <v>128.80000000000001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66.2</v>
      </c>
      <c r="C91" s="107">
        <v>66</v>
      </c>
      <c r="D91" s="107">
        <v>66.2</v>
      </c>
      <c r="E91" s="107">
        <v>66.599999999999994</v>
      </c>
      <c r="F91" s="107">
        <v>66.400000000000006</v>
      </c>
      <c r="G91" s="107">
        <v>66</v>
      </c>
      <c r="H91" s="107">
        <v>64.7</v>
      </c>
      <c r="I91" s="107"/>
      <c r="J91" s="107">
        <v>63.9</v>
      </c>
      <c r="K91" s="107">
        <v>63.5</v>
      </c>
      <c r="L91" s="107">
        <v>63.2</v>
      </c>
      <c r="M91" s="107">
        <v>63.3</v>
      </c>
      <c r="N91" s="107">
        <v>63.8</v>
      </c>
      <c r="O91" s="107">
        <v>64.2</v>
      </c>
      <c r="P91" s="107">
        <v>64.3</v>
      </c>
      <c r="Q91" s="107">
        <v>64.900000000000006</v>
      </c>
      <c r="R91" s="107">
        <v>64.7</v>
      </c>
      <c r="S91" s="107">
        <v>64.400000000000006</v>
      </c>
      <c r="T91" s="107">
        <v>65</v>
      </c>
      <c r="U91" s="107">
        <v>64.599999999999994</v>
      </c>
      <c r="V91" s="107">
        <v>65.400000000000006</v>
      </c>
      <c r="W91" s="107">
        <v>64.900000000000006</v>
      </c>
      <c r="X91" s="107">
        <v>64.2</v>
      </c>
      <c r="Y91" s="107">
        <v>63.6</v>
      </c>
      <c r="Z91" s="107">
        <v>64.099999999999994</v>
      </c>
      <c r="AA91" s="107">
        <v>64.5</v>
      </c>
      <c r="AB91" s="107">
        <v>65.2</v>
      </c>
      <c r="AC91" s="107">
        <v>64.8</v>
      </c>
      <c r="AD91" s="107">
        <v>65.599999999999994</v>
      </c>
      <c r="AE91" s="107">
        <v>65.599999999999994</v>
      </c>
      <c r="AF91" s="107">
        <v>65.5</v>
      </c>
      <c r="AG91" s="108"/>
      <c r="AH91" s="54">
        <f t="shared" si="13"/>
        <v>66.599999999999994</v>
      </c>
      <c r="AI91" s="55">
        <f t="shared" si="14"/>
        <v>63.2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187.24</v>
      </c>
      <c r="C93" s="114">
        <f>SUM(C15,C18,C21:C22,C42,C44:C45,C47,C49,C94:C97,C102,C108,C114,C123,C125,C137,C144,C147:C148,C155,C157,C159,C163:C165,C167:C169,C174,C180:C181,C183:C185,C193,C198)</f>
        <v>172.24</v>
      </c>
      <c r="D93" s="114">
        <f t="shared" ref="D93:AF93" si="21">SUM(D15,D18,D21:D22,D42,D44:D45,D47,D49,D94:D97,D102,D108,D114,D123,D125,D137,D144,D147:D148,D155,D157,D159,D163:D165,D167:D169,D174,D180:D181,D183:D185,D193,D198)</f>
        <v>170.64</v>
      </c>
      <c r="E93" s="114">
        <f t="shared" si="21"/>
        <v>166.14</v>
      </c>
      <c r="F93" s="114">
        <f t="shared" si="21"/>
        <v>175.14</v>
      </c>
      <c r="G93" s="113">
        <f t="shared" si="21"/>
        <v>198.14000000000001</v>
      </c>
      <c r="H93" s="113">
        <f t="shared" si="21"/>
        <v>225.33999999999997</v>
      </c>
      <c r="I93" s="113">
        <f t="shared" si="21"/>
        <v>157.54</v>
      </c>
      <c r="J93" s="113">
        <f t="shared" si="21"/>
        <v>311.84000000000003</v>
      </c>
      <c r="K93" s="113">
        <f t="shared" si="21"/>
        <v>359.54000000000008</v>
      </c>
      <c r="L93" s="113">
        <f t="shared" si="21"/>
        <v>402.74000000000007</v>
      </c>
      <c r="M93" s="113">
        <f t="shared" si="21"/>
        <v>416.24000000000007</v>
      </c>
      <c r="N93" s="113">
        <f t="shared" si="21"/>
        <v>380.94000000000005</v>
      </c>
      <c r="O93" s="113">
        <f t="shared" si="21"/>
        <v>386.44000000000005</v>
      </c>
      <c r="P93" s="113">
        <f t="shared" si="21"/>
        <v>371.74</v>
      </c>
      <c r="Q93" s="113">
        <f t="shared" si="21"/>
        <v>347.34000000000003</v>
      </c>
      <c r="R93" s="113">
        <f t="shared" si="21"/>
        <v>338.44000000000005</v>
      </c>
      <c r="S93" s="113">
        <f t="shared" si="21"/>
        <v>336.24</v>
      </c>
      <c r="T93" s="113">
        <f t="shared" si="21"/>
        <v>348.74</v>
      </c>
      <c r="U93" s="113">
        <f t="shared" si="21"/>
        <v>348.04000000000008</v>
      </c>
      <c r="V93" s="113">
        <f t="shared" si="21"/>
        <v>357.04000000000008</v>
      </c>
      <c r="W93" s="113">
        <f t="shared" si="21"/>
        <v>365.34000000000003</v>
      </c>
      <c r="X93" s="113">
        <f t="shared" si="21"/>
        <v>402.54000000000008</v>
      </c>
      <c r="Y93" s="113">
        <f t="shared" si="21"/>
        <v>456.64000000000004</v>
      </c>
      <c r="Z93" s="113">
        <f t="shared" si="21"/>
        <v>454.64000000000004</v>
      </c>
      <c r="AA93" s="113">
        <f t="shared" si="21"/>
        <v>449.24</v>
      </c>
      <c r="AB93" s="113">
        <f t="shared" si="21"/>
        <v>421.74000000000007</v>
      </c>
      <c r="AC93" s="113">
        <f t="shared" si="21"/>
        <v>402.84000000000003</v>
      </c>
      <c r="AD93" s="113">
        <f t="shared" si="21"/>
        <v>355.24</v>
      </c>
      <c r="AE93" s="113">
        <f t="shared" si="21"/>
        <v>356.24</v>
      </c>
      <c r="AF93" s="113">
        <f t="shared" si="21"/>
        <v>218.74</v>
      </c>
      <c r="AG93" s="115"/>
      <c r="AH93" s="54">
        <f>MAX(C93:AF93)</f>
        <v>456.64000000000004</v>
      </c>
      <c r="AI93" s="55">
        <f>MIN(C93:AF93)</f>
        <v>157.54</v>
      </c>
    </row>
    <row r="94" spans="1:88" x14ac:dyDescent="0.25">
      <c r="A94" s="116" t="s">
        <v>98</v>
      </c>
      <c r="B94" s="117">
        <v>-22.6</v>
      </c>
      <c r="C94" s="58">
        <v>-25.2</v>
      </c>
      <c r="D94" s="58">
        <v>-25.2</v>
      </c>
      <c r="E94" s="58">
        <v>7.9</v>
      </c>
      <c r="F94" s="58">
        <v>1.1000000000000001</v>
      </c>
      <c r="G94" s="118">
        <v>5.8</v>
      </c>
      <c r="H94" s="118">
        <v>14.1</v>
      </c>
      <c r="I94" s="118"/>
      <c r="J94" s="118">
        <v>52.7</v>
      </c>
      <c r="K94" s="118">
        <v>57.5</v>
      </c>
      <c r="L94" s="118">
        <v>54</v>
      </c>
      <c r="M94" s="119">
        <v>49.4</v>
      </c>
      <c r="N94" s="118">
        <v>38.4</v>
      </c>
      <c r="O94" s="118">
        <v>35</v>
      </c>
      <c r="P94" s="118">
        <v>36.9</v>
      </c>
      <c r="Q94" s="118">
        <v>33.299999999999997</v>
      </c>
      <c r="R94" s="118">
        <v>16.399999999999999</v>
      </c>
      <c r="S94" s="118">
        <v>22.4</v>
      </c>
      <c r="T94" s="118">
        <v>16.899999999999999</v>
      </c>
      <c r="U94" s="119">
        <v>12.5</v>
      </c>
      <c r="V94" s="119">
        <v>11</v>
      </c>
      <c r="W94" s="119">
        <v>24.3</v>
      </c>
      <c r="X94" s="118">
        <v>55</v>
      </c>
      <c r="Y94" s="118">
        <v>48</v>
      </c>
      <c r="Z94" s="118">
        <v>48.5</v>
      </c>
      <c r="AA94" s="118">
        <v>63.6</v>
      </c>
      <c r="AB94" s="119">
        <v>52.5</v>
      </c>
      <c r="AC94" s="119">
        <v>41.7</v>
      </c>
      <c r="AD94" s="119">
        <v>29.5</v>
      </c>
      <c r="AE94" s="119">
        <v>30.5</v>
      </c>
      <c r="AF94" s="119">
        <v>-12.5</v>
      </c>
      <c r="AG94" s="120">
        <v>75</v>
      </c>
      <c r="AH94" s="54">
        <f t="shared" ref="AH94:AH99" si="22">IF(ABS(MAX(C94:AF94))&gt;ABS(MIN(C94:AF94)),MAX(C94:AF94),MIN(C94:AF94))</f>
        <v>63.6</v>
      </c>
      <c r="AI94" s="121">
        <f t="shared" ref="AI94:AI99" si="23">INDEX($C$9:$AF$9,1,MATCH(AH94,C94:AF94,0))</f>
        <v>0.8125</v>
      </c>
    </row>
    <row r="95" spans="1:88" x14ac:dyDescent="0.25">
      <c r="A95" s="122" t="s">
        <v>99</v>
      </c>
      <c r="B95" s="123">
        <v>-26</v>
      </c>
      <c r="C95" s="60">
        <v>-33</v>
      </c>
      <c r="D95" s="60">
        <v>-33.4</v>
      </c>
      <c r="E95" s="60">
        <v>-45</v>
      </c>
      <c r="F95" s="60">
        <v>-40</v>
      </c>
      <c r="G95" s="60">
        <v>-32</v>
      </c>
      <c r="H95" s="60">
        <v>-25</v>
      </c>
      <c r="I95" s="60"/>
      <c r="J95" s="60">
        <v>-3.8</v>
      </c>
      <c r="K95" s="60">
        <v>36</v>
      </c>
      <c r="L95" s="60">
        <v>34</v>
      </c>
      <c r="M95" s="60">
        <v>46</v>
      </c>
      <c r="N95" s="60">
        <v>54</v>
      </c>
      <c r="O95" s="60">
        <v>50</v>
      </c>
      <c r="P95" s="60">
        <v>41.7</v>
      </c>
      <c r="Q95" s="60">
        <v>34.700000000000003</v>
      </c>
      <c r="R95" s="60">
        <v>52.7</v>
      </c>
      <c r="S95" s="60">
        <v>44</v>
      </c>
      <c r="T95" s="60">
        <v>40.4</v>
      </c>
      <c r="U95" s="60">
        <v>46</v>
      </c>
      <c r="V95" s="60">
        <v>61</v>
      </c>
      <c r="W95" s="60">
        <v>54</v>
      </c>
      <c r="X95" s="60">
        <v>72</v>
      </c>
      <c r="Y95" s="60">
        <v>88</v>
      </c>
      <c r="Z95" s="60">
        <v>89</v>
      </c>
      <c r="AA95" s="60">
        <v>80</v>
      </c>
      <c r="AB95" s="73">
        <v>61</v>
      </c>
      <c r="AC95" s="73">
        <f>27.1+28.1</f>
        <v>55.2</v>
      </c>
      <c r="AD95" s="73">
        <f>19+19.6</f>
        <v>38.6</v>
      </c>
      <c r="AE95" s="73">
        <f t="shared" ref="AE95" si="24">19+19.6</f>
        <v>38.6</v>
      </c>
      <c r="AF95" s="73">
        <f>-11.2-12.6</f>
        <v>-23.799999999999997</v>
      </c>
      <c r="AG95" s="120">
        <v>240</v>
      </c>
      <c r="AH95" s="54">
        <f t="shared" si="22"/>
        <v>89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-3.2</v>
      </c>
      <c r="C96" s="60">
        <v>-4.3</v>
      </c>
      <c r="D96" s="60">
        <v>-4.7</v>
      </c>
      <c r="E96" s="60">
        <v>-8.5</v>
      </c>
      <c r="F96" s="60">
        <v>-9.1</v>
      </c>
      <c r="G96" s="60">
        <v>-4.5999999999999996</v>
      </c>
      <c r="H96" s="60">
        <v>-2.6</v>
      </c>
      <c r="I96" s="60"/>
      <c r="J96" s="60">
        <v>3.4</v>
      </c>
      <c r="K96" s="60">
        <v>11.9</v>
      </c>
      <c r="L96" s="60">
        <v>36.5</v>
      </c>
      <c r="M96" s="60">
        <v>37.799999999999997</v>
      </c>
      <c r="N96" s="60">
        <v>26.2</v>
      </c>
      <c r="O96" s="60">
        <v>37.299999999999997</v>
      </c>
      <c r="P96" s="60">
        <v>40.5</v>
      </c>
      <c r="Q96" s="60">
        <v>29.3</v>
      </c>
      <c r="R96" s="60">
        <v>23.3</v>
      </c>
      <c r="S96" s="60">
        <v>22.6</v>
      </c>
      <c r="T96" s="60">
        <v>23.6</v>
      </c>
      <c r="U96" s="60">
        <v>30</v>
      </c>
      <c r="V96" s="60">
        <v>33.5</v>
      </c>
      <c r="W96" s="60">
        <v>26.5</v>
      </c>
      <c r="X96" s="60">
        <v>45</v>
      </c>
      <c r="Y96" s="60">
        <v>59</v>
      </c>
      <c r="Z96" s="60">
        <v>57.5</v>
      </c>
      <c r="AA96" s="60">
        <v>43</v>
      </c>
      <c r="AB96" s="73">
        <v>30.5</v>
      </c>
      <c r="AC96" s="73">
        <v>28.4</v>
      </c>
      <c r="AD96" s="73">
        <v>21.5</v>
      </c>
      <c r="AE96" s="73">
        <v>21.5</v>
      </c>
      <c r="AF96" s="73">
        <v>-5.6</v>
      </c>
      <c r="AG96" s="120">
        <v>60</v>
      </c>
      <c r="AH96" s="54">
        <f t="shared" si="22"/>
        <v>59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82.5</v>
      </c>
      <c r="C97" s="63">
        <v>78.2</v>
      </c>
      <c r="D97" s="63">
        <v>76.400000000000006</v>
      </c>
      <c r="E97" s="63">
        <v>54.2</v>
      </c>
      <c r="F97" s="63">
        <v>65.599999999999994</v>
      </c>
      <c r="G97" s="63">
        <v>71.400000000000006</v>
      </c>
      <c r="H97" s="63">
        <v>81.3</v>
      </c>
      <c r="I97" s="63"/>
      <c r="J97" s="63">
        <v>102</v>
      </c>
      <c r="K97" s="63">
        <v>98.1</v>
      </c>
      <c r="L97" s="63">
        <v>122.2</v>
      </c>
      <c r="M97" s="63">
        <v>123</v>
      </c>
      <c r="N97" s="63">
        <v>102.6</v>
      </c>
      <c r="O97" s="63">
        <v>99.9</v>
      </c>
      <c r="P97" s="63">
        <v>87.4</v>
      </c>
      <c r="Q97" s="63">
        <v>83.9</v>
      </c>
      <c r="R97" s="63">
        <v>79.5</v>
      </c>
      <c r="S97" s="63">
        <v>80</v>
      </c>
      <c r="T97" s="63">
        <v>101.6</v>
      </c>
      <c r="U97" s="63">
        <v>104</v>
      </c>
      <c r="V97" s="63">
        <v>96</v>
      </c>
      <c r="W97" s="63">
        <v>105</v>
      </c>
      <c r="X97" s="63">
        <v>75</v>
      </c>
      <c r="Y97" s="63">
        <v>94</v>
      </c>
      <c r="Z97" s="63">
        <v>92</v>
      </c>
      <c r="AA97" s="63">
        <v>95</v>
      </c>
      <c r="AB97" s="126">
        <v>113.2</v>
      </c>
      <c r="AC97" s="126">
        <v>113.6</v>
      </c>
      <c r="AD97" s="126">
        <v>99.4</v>
      </c>
      <c r="AE97" s="126">
        <v>99.4</v>
      </c>
      <c r="AF97" s="126">
        <v>94.4</v>
      </c>
      <c r="AG97" s="127">
        <v>120</v>
      </c>
      <c r="AH97" s="54">
        <f t="shared" si="22"/>
        <v>123</v>
      </c>
      <c r="AI97" s="121">
        <f t="shared" si="23"/>
        <v>0.33333333333333331</v>
      </c>
    </row>
    <row r="98" spans="1:37" x14ac:dyDescent="0.25">
      <c r="A98" s="124" t="s">
        <v>102</v>
      </c>
      <c r="B98" s="125">
        <v>83.5</v>
      </c>
      <c r="C98" s="63">
        <v>82</v>
      </c>
      <c r="D98" s="63">
        <v>81.099999999999994</v>
      </c>
      <c r="E98" s="63">
        <v>62.1</v>
      </c>
      <c r="F98" s="63">
        <v>70.2</v>
      </c>
      <c r="G98" s="63">
        <v>75</v>
      </c>
      <c r="H98" s="63">
        <v>83.5</v>
      </c>
      <c r="I98" s="63"/>
      <c r="J98" s="63">
        <v>91.5</v>
      </c>
      <c r="K98" s="63">
        <v>80</v>
      </c>
      <c r="L98" s="63">
        <v>94.8</v>
      </c>
      <c r="M98" s="63">
        <v>122</v>
      </c>
      <c r="N98" s="63">
        <v>93</v>
      </c>
      <c r="O98" s="63">
        <v>91.2</v>
      </c>
      <c r="P98" s="63">
        <v>79.7</v>
      </c>
      <c r="Q98" s="63">
        <v>75.2</v>
      </c>
      <c r="R98" s="63">
        <v>103</v>
      </c>
      <c r="S98" s="63">
        <v>94</v>
      </c>
      <c r="T98" s="63">
        <v>82.6</v>
      </c>
      <c r="U98" s="63">
        <v>88</v>
      </c>
      <c r="V98" s="63">
        <v>102</v>
      </c>
      <c r="W98" s="63">
        <v>89</v>
      </c>
      <c r="X98" s="63">
        <v>87</v>
      </c>
      <c r="Y98" s="63">
        <v>101</v>
      </c>
      <c r="Z98" s="63">
        <v>93</v>
      </c>
      <c r="AA98" s="63">
        <v>90</v>
      </c>
      <c r="AB98" s="126">
        <v>83.3</v>
      </c>
      <c r="AC98" s="126">
        <v>88.1</v>
      </c>
      <c r="AD98" s="126">
        <v>78.599999999999994</v>
      </c>
      <c r="AE98" s="126">
        <v>78.599999999999994</v>
      </c>
      <c r="AF98" s="126">
        <v>101.4</v>
      </c>
      <c r="AG98" s="127"/>
      <c r="AH98" s="54">
        <f t="shared" si="22"/>
        <v>122</v>
      </c>
      <c r="AI98" s="121">
        <f t="shared" si="23"/>
        <v>0.33333333333333331</v>
      </c>
    </row>
    <row r="99" spans="1:37" ht="15.75" thickBot="1" x14ac:dyDescent="0.3">
      <c r="A99" s="124" t="s">
        <v>103</v>
      </c>
      <c r="B99" s="125">
        <v>7.7</v>
      </c>
      <c r="C99" s="63">
        <v>7.4</v>
      </c>
      <c r="D99" s="63">
        <v>7.4</v>
      </c>
      <c r="E99" s="63">
        <v>7.6</v>
      </c>
      <c r="F99" s="63">
        <v>8</v>
      </c>
      <c r="G99" s="63">
        <v>9.4</v>
      </c>
      <c r="H99" s="63">
        <v>10.7</v>
      </c>
      <c r="I99" s="63"/>
      <c r="J99" s="63">
        <v>14.1</v>
      </c>
      <c r="K99" s="63">
        <v>15.9</v>
      </c>
      <c r="L99" s="63">
        <v>17.7</v>
      </c>
      <c r="M99" s="63">
        <v>17</v>
      </c>
      <c r="N99" s="63">
        <v>14.7</v>
      </c>
      <c r="O99" s="63">
        <v>14.8</v>
      </c>
      <c r="P99" s="63">
        <v>13.4</v>
      </c>
      <c r="Q99" s="63">
        <v>11.7</v>
      </c>
      <c r="R99" s="63">
        <v>12.7</v>
      </c>
      <c r="S99" s="63">
        <v>13</v>
      </c>
      <c r="T99" s="63">
        <v>13.2</v>
      </c>
      <c r="U99" s="63">
        <v>14.6</v>
      </c>
      <c r="V99" s="63">
        <v>35.5</v>
      </c>
      <c r="W99" s="63">
        <v>26.7</v>
      </c>
      <c r="X99" s="63">
        <v>9</v>
      </c>
      <c r="Y99" s="63">
        <v>30</v>
      </c>
      <c r="Z99" s="63">
        <v>32</v>
      </c>
      <c r="AA99" s="63">
        <v>17</v>
      </c>
      <c r="AB99" s="126">
        <v>29.9</v>
      </c>
      <c r="AC99" s="126">
        <v>32.299999999999997</v>
      </c>
      <c r="AD99" s="126">
        <v>33</v>
      </c>
      <c r="AE99" s="126">
        <v>33</v>
      </c>
      <c r="AF99" s="126">
        <v>64.7</v>
      </c>
      <c r="AG99" s="128"/>
      <c r="AH99" s="54">
        <f t="shared" si="22"/>
        <v>64.7</v>
      </c>
      <c r="AI99" s="121">
        <f t="shared" si="23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5">AF101</f>
        <v>9.9</v>
      </c>
      <c r="C101" s="53">
        <v>9.9</v>
      </c>
      <c r="D101" s="134">
        <f t="shared" ref="D101:S106" si="26">C101</f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si="26"/>
        <v>9.9</v>
      </c>
      <c r="T101" s="134">
        <f t="shared" ref="T101:AF106" si="27">S101</f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5"/>
        <v>9.6</v>
      </c>
      <c r="C102" s="137">
        <v>9.6</v>
      </c>
      <c r="D102" s="136">
        <f t="shared" si="26"/>
        <v>9.6</v>
      </c>
      <c r="E102" s="136">
        <f t="shared" si="26"/>
        <v>9.6</v>
      </c>
      <c r="F102" s="136">
        <f t="shared" si="26"/>
        <v>9.6</v>
      </c>
      <c r="G102" s="136">
        <f t="shared" si="26"/>
        <v>9.6</v>
      </c>
      <c r="H102" s="136">
        <f t="shared" si="26"/>
        <v>9.6</v>
      </c>
      <c r="I102" s="136">
        <f t="shared" si="26"/>
        <v>9.6</v>
      </c>
      <c r="J102" s="136">
        <f t="shared" si="26"/>
        <v>9.6</v>
      </c>
      <c r="K102" s="136">
        <f t="shared" si="26"/>
        <v>9.6</v>
      </c>
      <c r="L102" s="136">
        <f t="shared" si="26"/>
        <v>9.6</v>
      </c>
      <c r="M102" s="136">
        <f t="shared" si="26"/>
        <v>9.6</v>
      </c>
      <c r="N102" s="136">
        <f t="shared" si="26"/>
        <v>9.6</v>
      </c>
      <c r="O102" s="136">
        <f t="shared" si="26"/>
        <v>9.6</v>
      </c>
      <c r="P102" s="136">
        <f t="shared" si="26"/>
        <v>9.6</v>
      </c>
      <c r="Q102" s="136">
        <f t="shared" si="26"/>
        <v>9.6</v>
      </c>
      <c r="R102" s="136">
        <f t="shared" si="26"/>
        <v>9.6</v>
      </c>
      <c r="S102" s="136">
        <f t="shared" si="26"/>
        <v>9.6</v>
      </c>
      <c r="T102" s="136">
        <f t="shared" si="27"/>
        <v>9.6</v>
      </c>
      <c r="U102" s="136">
        <f t="shared" si="27"/>
        <v>9.6</v>
      </c>
      <c r="V102" s="136">
        <f t="shared" si="27"/>
        <v>9.6</v>
      </c>
      <c r="W102" s="136">
        <f t="shared" si="27"/>
        <v>9.6</v>
      </c>
      <c r="X102" s="136">
        <f t="shared" si="27"/>
        <v>9.6</v>
      </c>
      <c r="Y102" s="136">
        <f t="shared" si="27"/>
        <v>9.6</v>
      </c>
      <c r="Z102" s="136">
        <f t="shared" si="27"/>
        <v>9.6</v>
      </c>
      <c r="AA102" s="136">
        <f t="shared" si="27"/>
        <v>9.6</v>
      </c>
      <c r="AB102" s="136">
        <f t="shared" si="27"/>
        <v>9.6</v>
      </c>
      <c r="AC102" s="136">
        <f t="shared" si="27"/>
        <v>9.6</v>
      </c>
      <c r="AD102" s="136">
        <f t="shared" si="27"/>
        <v>9.6</v>
      </c>
      <c r="AE102" s="136">
        <f t="shared" si="27"/>
        <v>9.6</v>
      </c>
      <c r="AF102" s="136">
        <f t="shared" si="27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5"/>
        <v>9.98</v>
      </c>
      <c r="C103" s="137">
        <v>9.98</v>
      </c>
      <c r="D103" s="136">
        <f t="shared" si="26"/>
        <v>9.98</v>
      </c>
      <c r="E103" s="136">
        <f t="shared" si="26"/>
        <v>9.98</v>
      </c>
      <c r="F103" s="136">
        <f t="shared" si="26"/>
        <v>9.98</v>
      </c>
      <c r="G103" s="136">
        <f t="shared" si="26"/>
        <v>9.98</v>
      </c>
      <c r="H103" s="136">
        <f t="shared" si="26"/>
        <v>9.98</v>
      </c>
      <c r="I103" s="136">
        <f t="shared" si="26"/>
        <v>9.98</v>
      </c>
      <c r="J103" s="136">
        <f t="shared" si="26"/>
        <v>9.98</v>
      </c>
      <c r="K103" s="136">
        <f t="shared" si="26"/>
        <v>9.98</v>
      </c>
      <c r="L103" s="136">
        <f t="shared" si="26"/>
        <v>9.98</v>
      </c>
      <c r="M103" s="136">
        <f t="shared" si="26"/>
        <v>9.98</v>
      </c>
      <c r="N103" s="136">
        <f t="shared" si="26"/>
        <v>9.98</v>
      </c>
      <c r="O103" s="136">
        <f t="shared" si="26"/>
        <v>9.98</v>
      </c>
      <c r="P103" s="136">
        <f t="shared" si="26"/>
        <v>9.98</v>
      </c>
      <c r="Q103" s="136">
        <f t="shared" si="26"/>
        <v>9.98</v>
      </c>
      <c r="R103" s="136">
        <f t="shared" si="26"/>
        <v>9.98</v>
      </c>
      <c r="S103" s="136">
        <f t="shared" si="26"/>
        <v>9.98</v>
      </c>
      <c r="T103" s="136">
        <f t="shared" si="27"/>
        <v>9.98</v>
      </c>
      <c r="U103" s="136">
        <f t="shared" si="27"/>
        <v>9.98</v>
      </c>
      <c r="V103" s="136">
        <f t="shared" si="27"/>
        <v>9.98</v>
      </c>
      <c r="W103" s="136">
        <f t="shared" si="27"/>
        <v>9.98</v>
      </c>
      <c r="X103" s="136">
        <f t="shared" si="27"/>
        <v>9.98</v>
      </c>
      <c r="Y103" s="136">
        <f t="shared" si="27"/>
        <v>9.98</v>
      </c>
      <c r="Z103" s="136">
        <f t="shared" si="27"/>
        <v>9.98</v>
      </c>
      <c r="AA103" s="136">
        <f t="shared" si="27"/>
        <v>9.98</v>
      </c>
      <c r="AB103" s="136">
        <f t="shared" si="27"/>
        <v>9.98</v>
      </c>
      <c r="AC103" s="136">
        <f t="shared" si="27"/>
        <v>9.98</v>
      </c>
      <c r="AD103" s="136">
        <f t="shared" si="27"/>
        <v>9.98</v>
      </c>
      <c r="AE103" s="136">
        <f t="shared" si="27"/>
        <v>9.98</v>
      </c>
      <c r="AF103" s="136">
        <f t="shared" si="27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5"/>
        <v>9.1</v>
      </c>
      <c r="C104" s="137">
        <v>9.1</v>
      </c>
      <c r="D104" s="136">
        <f t="shared" si="26"/>
        <v>9.1</v>
      </c>
      <c r="E104" s="136">
        <f t="shared" si="26"/>
        <v>9.1</v>
      </c>
      <c r="F104" s="136">
        <f t="shared" si="26"/>
        <v>9.1</v>
      </c>
      <c r="G104" s="136">
        <f t="shared" si="26"/>
        <v>9.1</v>
      </c>
      <c r="H104" s="136">
        <f t="shared" si="26"/>
        <v>9.1</v>
      </c>
      <c r="I104" s="136">
        <f t="shared" si="26"/>
        <v>9.1</v>
      </c>
      <c r="J104" s="136">
        <f t="shared" si="26"/>
        <v>9.1</v>
      </c>
      <c r="K104" s="136">
        <f t="shared" si="26"/>
        <v>9.1</v>
      </c>
      <c r="L104" s="136">
        <f t="shared" si="26"/>
        <v>9.1</v>
      </c>
      <c r="M104" s="136">
        <f t="shared" si="26"/>
        <v>9.1</v>
      </c>
      <c r="N104" s="136">
        <f t="shared" si="26"/>
        <v>9.1</v>
      </c>
      <c r="O104" s="136">
        <f t="shared" si="26"/>
        <v>9.1</v>
      </c>
      <c r="P104" s="136">
        <f t="shared" si="26"/>
        <v>9.1</v>
      </c>
      <c r="Q104" s="136">
        <f t="shared" si="26"/>
        <v>9.1</v>
      </c>
      <c r="R104" s="136">
        <f t="shared" si="26"/>
        <v>9.1</v>
      </c>
      <c r="S104" s="136">
        <f t="shared" si="26"/>
        <v>9.1</v>
      </c>
      <c r="T104" s="136">
        <f t="shared" si="27"/>
        <v>9.1</v>
      </c>
      <c r="U104" s="136">
        <f t="shared" si="27"/>
        <v>9.1</v>
      </c>
      <c r="V104" s="136">
        <f t="shared" si="27"/>
        <v>9.1</v>
      </c>
      <c r="W104" s="136">
        <f t="shared" si="27"/>
        <v>9.1</v>
      </c>
      <c r="X104" s="136">
        <f t="shared" si="27"/>
        <v>9.1</v>
      </c>
      <c r="Y104" s="136">
        <f t="shared" si="27"/>
        <v>9.1</v>
      </c>
      <c r="Z104" s="136">
        <f t="shared" si="27"/>
        <v>9.1</v>
      </c>
      <c r="AA104" s="136">
        <f t="shared" si="27"/>
        <v>9.1</v>
      </c>
      <c r="AB104" s="136">
        <f t="shared" si="27"/>
        <v>9.1</v>
      </c>
      <c r="AC104" s="136">
        <f t="shared" si="27"/>
        <v>9.1</v>
      </c>
      <c r="AD104" s="136">
        <f t="shared" si="27"/>
        <v>9.1</v>
      </c>
      <c r="AE104" s="136">
        <f t="shared" si="27"/>
        <v>9.1</v>
      </c>
      <c r="AF104" s="136">
        <f t="shared" si="27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5"/>
        <v>9.18</v>
      </c>
      <c r="C105" s="137">
        <v>9.18</v>
      </c>
      <c r="D105" s="136">
        <f t="shared" si="26"/>
        <v>9.18</v>
      </c>
      <c r="E105" s="136">
        <f t="shared" si="26"/>
        <v>9.18</v>
      </c>
      <c r="F105" s="136">
        <f t="shared" si="26"/>
        <v>9.18</v>
      </c>
      <c r="G105" s="136">
        <f t="shared" si="26"/>
        <v>9.18</v>
      </c>
      <c r="H105" s="136">
        <f t="shared" si="26"/>
        <v>9.18</v>
      </c>
      <c r="I105" s="136">
        <f t="shared" si="26"/>
        <v>9.18</v>
      </c>
      <c r="J105" s="136">
        <f t="shared" si="26"/>
        <v>9.18</v>
      </c>
      <c r="K105" s="136">
        <f t="shared" si="26"/>
        <v>9.18</v>
      </c>
      <c r="L105" s="136">
        <f t="shared" si="26"/>
        <v>9.18</v>
      </c>
      <c r="M105" s="136">
        <f t="shared" si="26"/>
        <v>9.18</v>
      </c>
      <c r="N105" s="136">
        <f t="shared" si="26"/>
        <v>9.18</v>
      </c>
      <c r="O105" s="136">
        <f t="shared" si="26"/>
        <v>9.18</v>
      </c>
      <c r="P105" s="136">
        <f t="shared" si="26"/>
        <v>9.18</v>
      </c>
      <c r="Q105" s="136">
        <f t="shared" si="26"/>
        <v>9.18</v>
      </c>
      <c r="R105" s="136">
        <f t="shared" si="26"/>
        <v>9.18</v>
      </c>
      <c r="S105" s="136">
        <f t="shared" si="26"/>
        <v>9.18</v>
      </c>
      <c r="T105" s="136">
        <f t="shared" si="27"/>
        <v>9.18</v>
      </c>
      <c r="U105" s="136">
        <f t="shared" si="27"/>
        <v>9.18</v>
      </c>
      <c r="V105" s="136">
        <f t="shared" si="27"/>
        <v>9.18</v>
      </c>
      <c r="W105" s="136">
        <f t="shared" si="27"/>
        <v>9.18</v>
      </c>
      <c r="X105" s="136">
        <f t="shared" si="27"/>
        <v>9.18</v>
      </c>
      <c r="Y105" s="136">
        <f t="shared" si="27"/>
        <v>9.18</v>
      </c>
      <c r="Z105" s="136">
        <f t="shared" si="27"/>
        <v>9.18</v>
      </c>
      <c r="AA105" s="136">
        <f t="shared" si="27"/>
        <v>9.18</v>
      </c>
      <c r="AB105" s="136">
        <f t="shared" si="27"/>
        <v>9.18</v>
      </c>
      <c r="AC105" s="136">
        <f t="shared" si="27"/>
        <v>9.18</v>
      </c>
      <c r="AD105" s="136">
        <f t="shared" si="27"/>
        <v>9.18</v>
      </c>
      <c r="AE105" s="136">
        <f t="shared" si="27"/>
        <v>9.18</v>
      </c>
      <c r="AF105" s="136">
        <f t="shared" si="27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5"/>
        <v>7</v>
      </c>
      <c r="C106" s="137">
        <v>7</v>
      </c>
      <c r="D106" s="136">
        <f t="shared" si="26"/>
        <v>7</v>
      </c>
      <c r="E106" s="136">
        <f t="shared" si="26"/>
        <v>7</v>
      </c>
      <c r="F106" s="136">
        <f t="shared" si="26"/>
        <v>7</v>
      </c>
      <c r="G106" s="136">
        <f t="shared" si="26"/>
        <v>7</v>
      </c>
      <c r="H106" s="136">
        <f t="shared" si="26"/>
        <v>7</v>
      </c>
      <c r="I106" s="136">
        <f t="shared" si="26"/>
        <v>7</v>
      </c>
      <c r="J106" s="136">
        <f t="shared" si="26"/>
        <v>7</v>
      </c>
      <c r="K106" s="136">
        <f t="shared" si="26"/>
        <v>7</v>
      </c>
      <c r="L106" s="136">
        <f t="shared" si="26"/>
        <v>7</v>
      </c>
      <c r="M106" s="136">
        <f t="shared" si="26"/>
        <v>7</v>
      </c>
      <c r="N106" s="136">
        <f t="shared" si="26"/>
        <v>7</v>
      </c>
      <c r="O106" s="136">
        <f t="shared" si="26"/>
        <v>7</v>
      </c>
      <c r="P106" s="136">
        <f t="shared" si="26"/>
        <v>7</v>
      </c>
      <c r="Q106" s="136">
        <f t="shared" si="26"/>
        <v>7</v>
      </c>
      <c r="R106" s="136">
        <f t="shared" si="26"/>
        <v>7</v>
      </c>
      <c r="S106" s="136">
        <f t="shared" si="26"/>
        <v>7</v>
      </c>
      <c r="T106" s="136">
        <f t="shared" si="27"/>
        <v>7</v>
      </c>
      <c r="U106" s="136">
        <f t="shared" si="27"/>
        <v>7</v>
      </c>
      <c r="V106" s="136">
        <f t="shared" si="27"/>
        <v>7</v>
      </c>
      <c r="W106" s="136">
        <f t="shared" si="27"/>
        <v>7</v>
      </c>
      <c r="X106" s="136">
        <f t="shared" si="27"/>
        <v>7</v>
      </c>
      <c r="Y106" s="136">
        <f t="shared" si="27"/>
        <v>7</v>
      </c>
      <c r="Z106" s="136">
        <f t="shared" si="27"/>
        <v>7</v>
      </c>
      <c r="AA106" s="136">
        <f t="shared" si="27"/>
        <v>7</v>
      </c>
      <c r="AB106" s="136">
        <f t="shared" si="27"/>
        <v>7</v>
      </c>
      <c r="AC106" s="136">
        <f t="shared" si="27"/>
        <v>7</v>
      </c>
      <c r="AD106" s="136">
        <f t="shared" si="27"/>
        <v>7</v>
      </c>
      <c r="AE106" s="136">
        <f t="shared" si="27"/>
        <v>7</v>
      </c>
      <c r="AF106" s="136">
        <f t="shared" si="27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8">C108</f>
        <v>2.25</v>
      </c>
      <c r="E108" s="136">
        <f t="shared" si="28"/>
        <v>2.25</v>
      </c>
      <c r="F108" s="136">
        <f t="shared" si="28"/>
        <v>2.25</v>
      </c>
      <c r="G108" s="136">
        <f t="shared" si="28"/>
        <v>2.25</v>
      </c>
      <c r="H108" s="136">
        <f t="shared" si="28"/>
        <v>2.25</v>
      </c>
      <c r="I108" s="136">
        <f t="shared" si="28"/>
        <v>2.25</v>
      </c>
      <c r="J108" s="136">
        <f t="shared" si="28"/>
        <v>2.25</v>
      </c>
      <c r="K108" s="136">
        <f t="shared" si="28"/>
        <v>2.25</v>
      </c>
      <c r="L108" s="136">
        <f t="shared" si="28"/>
        <v>2.25</v>
      </c>
      <c r="M108" s="136">
        <f t="shared" si="28"/>
        <v>2.25</v>
      </c>
      <c r="N108" s="136">
        <f t="shared" si="28"/>
        <v>2.25</v>
      </c>
      <c r="O108" s="136">
        <f t="shared" si="28"/>
        <v>2.25</v>
      </c>
      <c r="P108" s="136">
        <f t="shared" si="28"/>
        <v>2.25</v>
      </c>
      <c r="Q108" s="136">
        <f t="shared" si="28"/>
        <v>2.25</v>
      </c>
      <c r="R108" s="136">
        <f t="shared" si="28"/>
        <v>2.25</v>
      </c>
      <c r="S108" s="136">
        <f t="shared" si="28"/>
        <v>2.25</v>
      </c>
      <c r="T108" s="136">
        <f t="shared" ref="T108:AF109" si="29">S108</f>
        <v>2.25</v>
      </c>
      <c r="U108" s="136">
        <f t="shared" si="29"/>
        <v>2.25</v>
      </c>
      <c r="V108" s="136">
        <f t="shared" si="29"/>
        <v>2.25</v>
      </c>
      <c r="W108" s="136">
        <f t="shared" si="29"/>
        <v>2.25</v>
      </c>
      <c r="X108" s="136">
        <f t="shared" si="29"/>
        <v>2.25</v>
      </c>
      <c r="Y108" s="136">
        <f t="shared" si="29"/>
        <v>2.25</v>
      </c>
      <c r="Z108" s="136">
        <f t="shared" si="29"/>
        <v>2.25</v>
      </c>
      <c r="AA108" s="136">
        <f t="shared" si="29"/>
        <v>2.25</v>
      </c>
      <c r="AB108" s="136">
        <f t="shared" si="29"/>
        <v>2.25</v>
      </c>
      <c r="AC108" s="136">
        <f t="shared" si="29"/>
        <v>2.25</v>
      </c>
      <c r="AD108" s="136">
        <f t="shared" si="29"/>
        <v>2.25</v>
      </c>
      <c r="AE108" s="136">
        <f t="shared" si="29"/>
        <v>2.25</v>
      </c>
      <c r="AF108" s="136">
        <f t="shared" si="29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8"/>
        <v>1.64</v>
      </c>
      <c r="E109" s="136">
        <f t="shared" si="28"/>
        <v>1.64</v>
      </c>
      <c r="F109" s="136">
        <f t="shared" si="28"/>
        <v>1.64</v>
      </c>
      <c r="G109" s="136">
        <f t="shared" si="28"/>
        <v>1.64</v>
      </c>
      <c r="H109" s="136">
        <f t="shared" si="28"/>
        <v>1.64</v>
      </c>
      <c r="I109" s="136">
        <f t="shared" si="28"/>
        <v>1.64</v>
      </c>
      <c r="J109" s="136">
        <f t="shared" si="28"/>
        <v>1.64</v>
      </c>
      <c r="K109" s="136">
        <f t="shared" si="28"/>
        <v>1.64</v>
      </c>
      <c r="L109" s="136">
        <f t="shared" si="28"/>
        <v>1.64</v>
      </c>
      <c r="M109" s="136">
        <f t="shared" si="28"/>
        <v>1.64</v>
      </c>
      <c r="N109" s="136">
        <f t="shared" si="28"/>
        <v>1.64</v>
      </c>
      <c r="O109" s="136">
        <f t="shared" si="28"/>
        <v>1.64</v>
      </c>
      <c r="P109" s="136">
        <f t="shared" si="28"/>
        <v>1.64</v>
      </c>
      <c r="Q109" s="136">
        <f t="shared" si="28"/>
        <v>1.64</v>
      </c>
      <c r="R109" s="136">
        <f t="shared" si="28"/>
        <v>1.64</v>
      </c>
      <c r="S109" s="136">
        <f t="shared" si="28"/>
        <v>1.64</v>
      </c>
      <c r="T109" s="136">
        <f t="shared" si="29"/>
        <v>1.64</v>
      </c>
      <c r="U109" s="136">
        <f t="shared" si="29"/>
        <v>1.64</v>
      </c>
      <c r="V109" s="136">
        <f t="shared" si="29"/>
        <v>1.64</v>
      </c>
      <c r="W109" s="136">
        <f t="shared" si="29"/>
        <v>1.64</v>
      </c>
      <c r="X109" s="136">
        <f t="shared" si="29"/>
        <v>1.64</v>
      </c>
      <c r="Y109" s="136">
        <f t="shared" si="29"/>
        <v>1.64</v>
      </c>
      <c r="Z109" s="136">
        <f t="shared" si="29"/>
        <v>1.64</v>
      </c>
      <c r="AA109" s="136">
        <f t="shared" si="29"/>
        <v>1.64</v>
      </c>
      <c r="AB109" s="136">
        <f t="shared" si="29"/>
        <v>1.64</v>
      </c>
      <c r="AC109" s="136">
        <f t="shared" si="29"/>
        <v>1.64</v>
      </c>
      <c r="AD109" s="136">
        <f t="shared" si="29"/>
        <v>1.64</v>
      </c>
      <c r="AE109" s="136">
        <f t="shared" si="29"/>
        <v>1.64</v>
      </c>
      <c r="AF109" s="136">
        <f t="shared" si="29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30">AF111</f>
        <v>1.62</v>
      </c>
      <c r="C111" s="137">
        <v>1.62</v>
      </c>
      <c r="D111" s="136">
        <f t="shared" ref="D111:S118" si="31">C111</f>
        <v>1.62</v>
      </c>
      <c r="E111" s="136">
        <f t="shared" si="31"/>
        <v>1.62</v>
      </c>
      <c r="F111" s="136">
        <f t="shared" si="31"/>
        <v>1.62</v>
      </c>
      <c r="G111" s="136">
        <f t="shared" si="31"/>
        <v>1.62</v>
      </c>
      <c r="H111" s="136">
        <f t="shared" si="31"/>
        <v>1.62</v>
      </c>
      <c r="I111" s="136">
        <f t="shared" si="31"/>
        <v>1.62</v>
      </c>
      <c r="J111" s="136">
        <f t="shared" si="31"/>
        <v>1.62</v>
      </c>
      <c r="K111" s="136">
        <f t="shared" si="31"/>
        <v>1.62</v>
      </c>
      <c r="L111" s="136">
        <f t="shared" si="31"/>
        <v>1.62</v>
      </c>
      <c r="M111" s="136">
        <f t="shared" si="31"/>
        <v>1.62</v>
      </c>
      <c r="N111" s="136">
        <f t="shared" si="31"/>
        <v>1.62</v>
      </c>
      <c r="O111" s="136">
        <f t="shared" si="31"/>
        <v>1.62</v>
      </c>
      <c r="P111" s="136">
        <f t="shared" si="31"/>
        <v>1.62</v>
      </c>
      <c r="Q111" s="136">
        <f t="shared" si="31"/>
        <v>1.62</v>
      </c>
      <c r="R111" s="136">
        <f t="shared" si="31"/>
        <v>1.62</v>
      </c>
      <c r="S111" s="136">
        <f t="shared" si="31"/>
        <v>1.62</v>
      </c>
      <c r="T111" s="136">
        <f t="shared" ref="T111:AF126" si="32">S111</f>
        <v>1.62</v>
      </c>
      <c r="U111" s="136">
        <f t="shared" si="32"/>
        <v>1.62</v>
      </c>
      <c r="V111" s="136">
        <f t="shared" si="32"/>
        <v>1.62</v>
      </c>
      <c r="W111" s="136">
        <f t="shared" si="32"/>
        <v>1.62</v>
      </c>
      <c r="X111" s="136">
        <f t="shared" si="32"/>
        <v>1.62</v>
      </c>
      <c r="Y111" s="136">
        <f t="shared" si="32"/>
        <v>1.62</v>
      </c>
      <c r="Z111" s="136">
        <f t="shared" si="32"/>
        <v>1.62</v>
      </c>
      <c r="AA111" s="136">
        <f t="shared" si="32"/>
        <v>1.62</v>
      </c>
      <c r="AB111" s="136">
        <f t="shared" si="32"/>
        <v>1.62</v>
      </c>
      <c r="AC111" s="136">
        <f t="shared" si="32"/>
        <v>1.62</v>
      </c>
      <c r="AD111" s="136">
        <f t="shared" si="32"/>
        <v>1.62</v>
      </c>
      <c r="AE111" s="136">
        <f t="shared" si="32"/>
        <v>1.62</v>
      </c>
      <c r="AF111" s="136">
        <f t="shared" si="32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30"/>
        <v>8.36</v>
      </c>
      <c r="C112" s="137">
        <v>8.36</v>
      </c>
      <c r="D112" s="136">
        <f t="shared" si="31"/>
        <v>8.36</v>
      </c>
      <c r="E112" s="136">
        <f t="shared" si="31"/>
        <v>8.36</v>
      </c>
      <c r="F112" s="136">
        <f t="shared" si="31"/>
        <v>8.36</v>
      </c>
      <c r="G112" s="136">
        <f t="shared" si="31"/>
        <v>8.36</v>
      </c>
      <c r="H112" s="136">
        <f t="shared" si="31"/>
        <v>8.36</v>
      </c>
      <c r="I112" s="136">
        <f t="shared" si="31"/>
        <v>8.36</v>
      </c>
      <c r="J112" s="136">
        <f t="shared" si="31"/>
        <v>8.36</v>
      </c>
      <c r="K112" s="136">
        <f t="shared" si="31"/>
        <v>8.36</v>
      </c>
      <c r="L112" s="136">
        <f t="shared" si="31"/>
        <v>8.36</v>
      </c>
      <c r="M112" s="136">
        <f t="shared" si="31"/>
        <v>8.36</v>
      </c>
      <c r="N112" s="136">
        <f t="shared" si="31"/>
        <v>8.36</v>
      </c>
      <c r="O112" s="136">
        <f t="shared" si="31"/>
        <v>8.36</v>
      </c>
      <c r="P112" s="136">
        <f t="shared" si="31"/>
        <v>8.36</v>
      </c>
      <c r="Q112" s="136">
        <f t="shared" si="31"/>
        <v>8.36</v>
      </c>
      <c r="R112" s="136">
        <f t="shared" si="31"/>
        <v>8.36</v>
      </c>
      <c r="S112" s="136">
        <f t="shared" si="31"/>
        <v>8.36</v>
      </c>
      <c r="T112" s="136">
        <f t="shared" si="32"/>
        <v>8.36</v>
      </c>
      <c r="U112" s="136">
        <f t="shared" si="32"/>
        <v>8.36</v>
      </c>
      <c r="V112" s="136">
        <f t="shared" si="32"/>
        <v>8.36</v>
      </c>
      <c r="W112" s="136">
        <f t="shared" si="32"/>
        <v>8.36</v>
      </c>
      <c r="X112" s="136">
        <f t="shared" si="32"/>
        <v>8.36</v>
      </c>
      <c r="Y112" s="136">
        <f t="shared" si="32"/>
        <v>8.36</v>
      </c>
      <c r="Z112" s="136">
        <f t="shared" si="32"/>
        <v>8.36</v>
      </c>
      <c r="AA112" s="136">
        <f t="shared" si="32"/>
        <v>8.36</v>
      </c>
      <c r="AB112" s="136">
        <f t="shared" si="32"/>
        <v>8.36</v>
      </c>
      <c r="AC112" s="136">
        <f t="shared" si="32"/>
        <v>8.36</v>
      </c>
      <c r="AD112" s="136">
        <f t="shared" si="32"/>
        <v>8.36</v>
      </c>
      <c r="AE112" s="136">
        <f t="shared" si="32"/>
        <v>8.36</v>
      </c>
      <c r="AF112" s="136">
        <f t="shared" si="32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30"/>
        <v>5.4</v>
      </c>
      <c r="C113" s="137">
        <v>8</v>
      </c>
      <c r="D113" s="136">
        <f t="shared" si="31"/>
        <v>8</v>
      </c>
      <c r="E113" s="136">
        <f t="shared" si="31"/>
        <v>8</v>
      </c>
      <c r="F113" s="136">
        <f t="shared" si="31"/>
        <v>8</v>
      </c>
      <c r="G113" s="136">
        <f t="shared" si="31"/>
        <v>8</v>
      </c>
      <c r="H113" s="136">
        <f t="shared" si="31"/>
        <v>8</v>
      </c>
      <c r="I113" s="136">
        <f t="shared" si="31"/>
        <v>8</v>
      </c>
      <c r="J113" s="136">
        <v>5.4</v>
      </c>
      <c r="K113" s="136">
        <f t="shared" si="31"/>
        <v>5.4</v>
      </c>
      <c r="L113" s="136">
        <f t="shared" si="31"/>
        <v>5.4</v>
      </c>
      <c r="M113" s="136">
        <f t="shared" si="31"/>
        <v>5.4</v>
      </c>
      <c r="N113" s="136">
        <f t="shared" si="31"/>
        <v>5.4</v>
      </c>
      <c r="O113" s="136">
        <f t="shared" si="31"/>
        <v>5.4</v>
      </c>
      <c r="P113" s="136">
        <f t="shared" si="31"/>
        <v>5.4</v>
      </c>
      <c r="Q113" s="136">
        <f t="shared" si="31"/>
        <v>5.4</v>
      </c>
      <c r="R113" s="136">
        <f t="shared" si="31"/>
        <v>5.4</v>
      </c>
      <c r="S113" s="136">
        <f t="shared" si="31"/>
        <v>5.4</v>
      </c>
      <c r="T113" s="136">
        <f t="shared" si="32"/>
        <v>5.4</v>
      </c>
      <c r="U113" s="136">
        <f t="shared" si="32"/>
        <v>5.4</v>
      </c>
      <c r="V113" s="136">
        <f t="shared" si="32"/>
        <v>5.4</v>
      </c>
      <c r="W113" s="136">
        <f t="shared" si="32"/>
        <v>5.4</v>
      </c>
      <c r="X113" s="136">
        <f t="shared" si="32"/>
        <v>5.4</v>
      </c>
      <c r="Y113" s="136">
        <f t="shared" si="32"/>
        <v>5.4</v>
      </c>
      <c r="Z113" s="136">
        <f t="shared" si="32"/>
        <v>5.4</v>
      </c>
      <c r="AA113" s="136">
        <f t="shared" si="32"/>
        <v>5.4</v>
      </c>
      <c r="AB113" s="136">
        <f t="shared" si="32"/>
        <v>5.4</v>
      </c>
      <c r="AC113" s="136">
        <f t="shared" si="32"/>
        <v>5.4</v>
      </c>
      <c r="AD113" s="136">
        <f t="shared" si="32"/>
        <v>5.4</v>
      </c>
      <c r="AE113" s="136">
        <f t="shared" si="32"/>
        <v>5.4</v>
      </c>
      <c r="AF113" s="136">
        <f t="shared" si="32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30"/>
        <v>6.57</v>
      </c>
      <c r="C114" s="137">
        <v>6.57</v>
      </c>
      <c r="D114" s="136">
        <f t="shared" si="31"/>
        <v>6.57</v>
      </c>
      <c r="E114" s="136">
        <f t="shared" si="31"/>
        <v>6.57</v>
      </c>
      <c r="F114" s="136">
        <f t="shared" si="31"/>
        <v>6.57</v>
      </c>
      <c r="G114" s="136">
        <f t="shared" si="31"/>
        <v>6.57</v>
      </c>
      <c r="H114" s="136">
        <f t="shared" si="31"/>
        <v>6.57</v>
      </c>
      <c r="I114" s="136">
        <f t="shared" si="31"/>
        <v>6.57</v>
      </c>
      <c r="J114" s="136">
        <f t="shared" si="31"/>
        <v>6.57</v>
      </c>
      <c r="K114" s="136">
        <f t="shared" si="31"/>
        <v>6.57</v>
      </c>
      <c r="L114" s="136">
        <f t="shared" si="31"/>
        <v>6.57</v>
      </c>
      <c r="M114" s="136">
        <f t="shared" si="31"/>
        <v>6.57</v>
      </c>
      <c r="N114" s="136">
        <f t="shared" si="31"/>
        <v>6.57</v>
      </c>
      <c r="O114" s="136">
        <f t="shared" si="31"/>
        <v>6.57</v>
      </c>
      <c r="P114" s="136">
        <f t="shared" si="31"/>
        <v>6.57</v>
      </c>
      <c r="Q114" s="136">
        <f t="shared" si="31"/>
        <v>6.57</v>
      </c>
      <c r="R114" s="136">
        <f t="shared" si="31"/>
        <v>6.57</v>
      </c>
      <c r="S114" s="136">
        <f t="shared" si="31"/>
        <v>6.57</v>
      </c>
      <c r="T114" s="136">
        <f t="shared" si="32"/>
        <v>6.57</v>
      </c>
      <c r="U114" s="136">
        <f t="shared" si="32"/>
        <v>6.57</v>
      </c>
      <c r="V114" s="136">
        <f t="shared" si="32"/>
        <v>6.57</v>
      </c>
      <c r="W114" s="136">
        <f t="shared" si="32"/>
        <v>6.57</v>
      </c>
      <c r="X114" s="136">
        <f t="shared" si="32"/>
        <v>6.57</v>
      </c>
      <c r="Y114" s="136">
        <f t="shared" si="32"/>
        <v>6.57</v>
      </c>
      <c r="Z114" s="136">
        <f t="shared" si="32"/>
        <v>6.57</v>
      </c>
      <c r="AA114" s="136">
        <f t="shared" si="32"/>
        <v>6.57</v>
      </c>
      <c r="AB114" s="136">
        <f t="shared" si="32"/>
        <v>6.57</v>
      </c>
      <c r="AC114" s="136">
        <f t="shared" si="32"/>
        <v>6.57</v>
      </c>
      <c r="AD114" s="136">
        <f t="shared" si="32"/>
        <v>6.57</v>
      </c>
      <c r="AE114" s="136">
        <f t="shared" si="32"/>
        <v>6.57</v>
      </c>
      <c r="AF114" s="136">
        <f t="shared" si="32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30"/>
        <v>3.43</v>
      </c>
      <c r="C115" s="137">
        <v>3.43</v>
      </c>
      <c r="D115" s="136">
        <f t="shared" si="31"/>
        <v>3.43</v>
      </c>
      <c r="E115" s="136">
        <f t="shared" si="31"/>
        <v>3.43</v>
      </c>
      <c r="F115" s="136">
        <f t="shared" si="31"/>
        <v>3.43</v>
      </c>
      <c r="G115" s="136">
        <f t="shared" si="31"/>
        <v>3.43</v>
      </c>
      <c r="H115" s="136">
        <f t="shared" si="31"/>
        <v>3.43</v>
      </c>
      <c r="I115" s="136">
        <f t="shared" si="31"/>
        <v>3.43</v>
      </c>
      <c r="J115" s="136">
        <f t="shared" si="31"/>
        <v>3.43</v>
      </c>
      <c r="K115" s="136">
        <f t="shared" si="31"/>
        <v>3.43</v>
      </c>
      <c r="L115" s="136">
        <f t="shared" si="31"/>
        <v>3.43</v>
      </c>
      <c r="M115" s="136">
        <f t="shared" si="31"/>
        <v>3.43</v>
      </c>
      <c r="N115" s="136">
        <f t="shared" si="31"/>
        <v>3.43</v>
      </c>
      <c r="O115" s="136">
        <f t="shared" si="31"/>
        <v>3.43</v>
      </c>
      <c r="P115" s="136">
        <f t="shared" si="31"/>
        <v>3.43</v>
      </c>
      <c r="Q115" s="136">
        <f t="shared" si="31"/>
        <v>3.43</v>
      </c>
      <c r="R115" s="136">
        <f t="shared" si="31"/>
        <v>3.43</v>
      </c>
      <c r="S115" s="136">
        <f t="shared" si="31"/>
        <v>3.43</v>
      </c>
      <c r="T115" s="136">
        <f t="shared" si="32"/>
        <v>3.43</v>
      </c>
      <c r="U115" s="136">
        <f t="shared" si="32"/>
        <v>3.43</v>
      </c>
      <c r="V115" s="136">
        <f t="shared" si="32"/>
        <v>3.43</v>
      </c>
      <c r="W115" s="136">
        <f t="shared" si="32"/>
        <v>3.43</v>
      </c>
      <c r="X115" s="136">
        <f t="shared" si="32"/>
        <v>3.43</v>
      </c>
      <c r="Y115" s="136">
        <f t="shared" si="32"/>
        <v>3.43</v>
      </c>
      <c r="Z115" s="136">
        <f t="shared" si="32"/>
        <v>3.43</v>
      </c>
      <c r="AA115" s="136">
        <f t="shared" si="32"/>
        <v>3.43</v>
      </c>
      <c r="AB115" s="136">
        <f t="shared" si="32"/>
        <v>3.43</v>
      </c>
      <c r="AC115" s="136">
        <f t="shared" si="32"/>
        <v>3.43</v>
      </c>
      <c r="AD115" s="136">
        <f t="shared" si="32"/>
        <v>3.43</v>
      </c>
      <c r="AE115" s="136">
        <f t="shared" si="32"/>
        <v>3.43</v>
      </c>
      <c r="AF115" s="136">
        <f t="shared" si="32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30"/>
        <v>2.96</v>
      </c>
      <c r="C116" s="137">
        <v>2.96</v>
      </c>
      <c r="D116" s="136">
        <f t="shared" si="31"/>
        <v>2.96</v>
      </c>
      <c r="E116" s="136">
        <f t="shared" si="31"/>
        <v>2.96</v>
      </c>
      <c r="F116" s="136">
        <f t="shared" si="31"/>
        <v>2.96</v>
      </c>
      <c r="G116" s="136">
        <f t="shared" si="31"/>
        <v>2.96</v>
      </c>
      <c r="H116" s="136">
        <f t="shared" si="31"/>
        <v>2.96</v>
      </c>
      <c r="I116" s="136">
        <f t="shared" si="31"/>
        <v>2.96</v>
      </c>
      <c r="J116" s="136">
        <f t="shared" si="31"/>
        <v>2.96</v>
      </c>
      <c r="K116" s="136">
        <f t="shared" si="31"/>
        <v>2.96</v>
      </c>
      <c r="L116" s="136">
        <f t="shared" si="31"/>
        <v>2.96</v>
      </c>
      <c r="M116" s="136">
        <f t="shared" si="31"/>
        <v>2.96</v>
      </c>
      <c r="N116" s="136">
        <f t="shared" si="31"/>
        <v>2.96</v>
      </c>
      <c r="O116" s="136">
        <f t="shared" si="31"/>
        <v>2.96</v>
      </c>
      <c r="P116" s="136">
        <f t="shared" si="31"/>
        <v>2.96</v>
      </c>
      <c r="Q116" s="136">
        <f t="shared" si="31"/>
        <v>2.96</v>
      </c>
      <c r="R116" s="136">
        <f t="shared" si="31"/>
        <v>2.96</v>
      </c>
      <c r="S116" s="136">
        <f t="shared" si="31"/>
        <v>2.96</v>
      </c>
      <c r="T116" s="136">
        <f t="shared" si="32"/>
        <v>2.96</v>
      </c>
      <c r="U116" s="136">
        <f t="shared" si="32"/>
        <v>2.96</v>
      </c>
      <c r="V116" s="136">
        <f t="shared" si="32"/>
        <v>2.96</v>
      </c>
      <c r="W116" s="136">
        <f t="shared" si="32"/>
        <v>2.96</v>
      </c>
      <c r="X116" s="136">
        <f t="shared" si="32"/>
        <v>2.96</v>
      </c>
      <c r="Y116" s="136">
        <f t="shared" si="32"/>
        <v>2.96</v>
      </c>
      <c r="Z116" s="136">
        <f t="shared" si="32"/>
        <v>2.96</v>
      </c>
      <c r="AA116" s="136">
        <f t="shared" si="32"/>
        <v>2.96</v>
      </c>
      <c r="AB116" s="136">
        <f t="shared" si="32"/>
        <v>2.96</v>
      </c>
      <c r="AC116" s="136">
        <f t="shared" si="32"/>
        <v>2.96</v>
      </c>
      <c r="AD116" s="136">
        <f t="shared" si="32"/>
        <v>2.96</v>
      </c>
      <c r="AE116" s="136">
        <f t="shared" si="32"/>
        <v>2.96</v>
      </c>
      <c r="AF116" s="136">
        <f t="shared" si="32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30"/>
        <v>8</v>
      </c>
      <c r="C117" s="137">
        <v>8</v>
      </c>
      <c r="D117" s="136">
        <f t="shared" si="31"/>
        <v>8</v>
      </c>
      <c r="E117" s="136">
        <f t="shared" si="31"/>
        <v>8</v>
      </c>
      <c r="F117" s="136">
        <f t="shared" si="31"/>
        <v>8</v>
      </c>
      <c r="G117" s="136">
        <f t="shared" si="31"/>
        <v>8</v>
      </c>
      <c r="H117" s="136">
        <f t="shared" si="31"/>
        <v>8</v>
      </c>
      <c r="I117" s="136">
        <f t="shared" si="31"/>
        <v>8</v>
      </c>
      <c r="J117" s="136">
        <f t="shared" si="31"/>
        <v>8</v>
      </c>
      <c r="K117" s="136">
        <f t="shared" si="31"/>
        <v>8</v>
      </c>
      <c r="L117" s="136">
        <f t="shared" si="31"/>
        <v>8</v>
      </c>
      <c r="M117" s="136">
        <f t="shared" si="31"/>
        <v>8</v>
      </c>
      <c r="N117" s="136">
        <f t="shared" si="31"/>
        <v>8</v>
      </c>
      <c r="O117" s="136">
        <f t="shared" si="31"/>
        <v>8</v>
      </c>
      <c r="P117" s="136">
        <f t="shared" si="31"/>
        <v>8</v>
      </c>
      <c r="Q117" s="136">
        <f t="shared" si="31"/>
        <v>8</v>
      </c>
      <c r="R117" s="136">
        <f t="shared" si="31"/>
        <v>8</v>
      </c>
      <c r="S117" s="136">
        <f t="shared" si="31"/>
        <v>8</v>
      </c>
      <c r="T117" s="136">
        <f t="shared" si="32"/>
        <v>8</v>
      </c>
      <c r="U117" s="136">
        <f t="shared" si="32"/>
        <v>8</v>
      </c>
      <c r="V117" s="136">
        <f t="shared" si="32"/>
        <v>8</v>
      </c>
      <c r="W117" s="136">
        <f t="shared" si="32"/>
        <v>8</v>
      </c>
      <c r="X117" s="136">
        <f t="shared" si="32"/>
        <v>8</v>
      </c>
      <c r="Y117" s="136">
        <f t="shared" si="32"/>
        <v>8</v>
      </c>
      <c r="Z117" s="136">
        <f t="shared" si="32"/>
        <v>8</v>
      </c>
      <c r="AA117" s="136">
        <f t="shared" si="32"/>
        <v>8</v>
      </c>
      <c r="AB117" s="136">
        <f t="shared" si="32"/>
        <v>8</v>
      </c>
      <c r="AC117" s="136">
        <f t="shared" si="32"/>
        <v>8</v>
      </c>
      <c r="AD117" s="136">
        <f t="shared" si="32"/>
        <v>8</v>
      </c>
      <c r="AE117" s="136">
        <f t="shared" si="32"/>
        <v>8</v>
      </c>
      <c r="AF117" s="136">
        <f t="shared" si="32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30"/>
        <v>7</v>
      </c>
      <c r="C118" s="137">
        <v>7</v>
      </c>
      <c r="D118" s="136">
        <f>C118</f>
        <v>7</v>
      </c>
      <c r="E118" s="136">
        <f t="shared" si="31"/>
        <v>7</v>
      </c>
      <c r="F118" s="136">
        <f t="shared" si="31"/>
        <v>7</v>
      </c>
      <c r="G118" s="136">
        <f t="shared" si="31"/>
        <v>7</v>
      </c>
      <c r="H118" s="136">
        <f t="shared" si="31"/>
        <v>7</v>
      </c>
      <c r="I118" s="136">
        <f t="shared" si="31"/>
        <v>7</v>
      </c>
      <c r="J118" s="136">
        <f t="shared" si="31"/>
        <v>7</v>
      </c>
      <c r="K118" s="136">
        <f t="shared" si="31"/>
        <v>7</v>
      </c>
      <c r="L118" s="136">
        <f t="shared" si="31"/>
        <v>7</v>
      </c>
      <c r="M118" s="136">
        <f t="shared" si="31"/>
        <v>7</v>
      </c>
      <c r="N118" s="136">
        <f t="shared" si="31"/>
        <v>7</v>
      </c>
      <c r="O118" s="136">
        <f t="shared" si="31"/>
        <v>7</v>
      </c>
      <c r="P118" s="136">
        <f t="shared" si="31"/>
        <v>7</v>
      </c>
      <c r="Q118" s="136">
        <f t="shared" si="31"/>
        <v>7</v>
      </c>
      <c r="R118" s="136">
        <f t="shared" si="31"/>
        <v>7</v>
      </c>
      <c r="S118" s="136">
        <f t="shared" si="31"/>
        <v>7</v>
      </c>
      <c r="T118" s="136">
        <f t="shared" si="32"/>
        <v>7</v>
      </c>
      <c r="U118" s="136">
        <f t="shared" si="32"/>
        <v>7</v>
      </c>
      <c r="V118" s="136">
        <f t="shared" si="32"/>
        <v>7</v>
      </c>
      <c r="W118" s="136">
        <f t="shared" si="32"/>
        <v>7</v>
      </c>
      <c r="X118" s="136">
        <f t="shared" si="32"/>
        <v>7</v>
      </c>
      <c r="Y118" s="136">
        <f t="shared" si="32"/>
        <v>7</v>
      </c>
      <c r="Z118" s="136">
        <f t="shared" si="32"/>
        <v>7</v>
      </c>
      <c r="AA118" s="136">
        <f t="shared" si="32"/>
        <v>7</v>
      </c>
      <c r="AB118" s="136">
        <f t="shared" si="32"/>
        <v>7</v>
      </c>
      <c r="AC118" s="136">
        <f t="shared" si="32"/>
        <v>7</v>
      </c>
      <c r="AD118" s="136">
        <f t="shared" si="32"/>
        <v>7</v>
      </c>
      <c r="AE118" s="136">
        <f t="shared" si="32"/>
        <v>7</v>
      </c>
      <c r="AF118" s="136">
        <f t="shared" si="32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30"/>
        <v>3.47</v>
      </c>
      <c r="C119" s="137">
        <v>3.47</v>
      </c>
      <c r="D119" s="136">
        <f t="shared" ref="D119:S128" si="33">C119</f>
        <v>3.47</v>
      </c>
      <c r="E119" s="136">
        <f t="shared" si="33"/>
        <v>3.47</v>
      </c>
      <c r="F119" s="136">
        <f t="shared" si="33"/>
        <v>3.47</v>
      </c>
      <c r="G119" s="136">
        <f t="shared" si="33"/>
        <v>3.47</v>
      </c>
      <c r="H119" s="136">
        <f t="shared" si="33"/>
        <v>3.47</v>
      </c>
      <c r="I119" s="136">
        <f t="shared" si="33"/>
        <v>3.47</v>
      </c>
      <c r="J119" s="136">
        <f t="shared" si="33"/>
        <v>3.47</v>
      </c>
      <c r="K119" s="136">
        <f t="shared" si="33"/>
        <v>3.47</v>
      </c>
      <c r="L119" s="136">
        <f t="shared" si="33"/>
        <v>3.47</v>
      </c>
      <c r="M119" s="136">
        <f t="shared" si="33"/>
        <v>3.47</v>
      </c>
      <c r="N119" s="136">
        <f t="shared" si="33"/>
        <v>3.47</v>
      </c>
      <c r="O119" s="136">
        <f t="shared" si="33"/>
        <v>3.47</v>
      </c>
      <c r="P119" s="136">
        <f t="shared" si="33"/>
        <v>3.47</v>
      </c>
      <c r="Q119" s="136">
        <f t="shared" si="33"/>
        <v>3.47</v>
      </c>
      <c r="R119" s="136">
        <f t="shared" si="33"/>
        <v>3.47</v>
      </c>
      <c r="S119" s="136">
        <f t="shared" si="33"/>
        <v>3.47</v>
      </c>
      <c r="T119" s="136">
        <f t="shared" si="32"/>
        <v>3.47</v>
      </c>
      <c r="U119" s="136">
        <f t="shared" si="32"/>
        <v>3.47</v>
      </c>
      <c r="V119" s="136">
        <f t="shared" si="32"/>
        <v>3.47</v>
      </c>
      <c r="W119" s="136">
        <f t="shared" si="32"/>
        <v>3.47</v>
      </c>
      <c r="X119" s="136">
        <f t="shared" si="32"/>
        <v>3.47</v>
      </c>
      <c r="Y119" s="136">
        <f t="shared" si="32"/>
        <v>3.47</v>
      </c>
      <c r="Z119" s="136">
        <f t="shared" si="32"/>
        <v>3.47</v>
      </c>
      <c r="AA119" s="136">
        <f t="shared" si="32"/>
        <v>3.47</v>
      </c>
      <c r="AB119" s="136">
        <f t="shared" si="32"/>
        <v>3.47</v>
      </c>
      <c r="AC119" s="136">
        <f t="shared" si="32"/>
        <v>3.47</v>
      </c>
      <c r="AD119" s="136">
        <f t="shared" si="32"/>
        <v>3.47</v>
      </c>
      <c r="AE119" s="136">
        <f t="shared" si="32"/>
        <v>3.47</v>
      </c>
      <c r="AF119" s="136">
        <f t="shared" si="32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30"/>
        <v>2.1</v>
      </c>
      <c r="C120" s="137">
        <v>2.1</v>
      </c>
      <c r="D120" s="136">
        <f t="shared" si="33"/>
        <v>2.1</v>
      </c>
      <c r="E120" s="136">
        <f t="shared" si="33"/>
        <v>2.1</v>
      </c>
      <c r="F120" s="136">
        <f t="shared" si="33"/>
        <v>2.1</v>
      </c>
      <c r="G120" s="136">
        <f t="shared" si="33"/>
        <v>2.1</v>
      </c>
      <c r="H120" s="136">
        <f t="shared" si="33"/>
        <v>2.1</v>
      </c>
      <c r="I120" s="136">
        <f t="shared" si="33"/>
        <v>2.1</v>
      </c>
      <c r="J120" s="136">
        <f t="shared" si="33"/>
        <v>2.1</v>
      </c>
      <c r="K120" s="136">
        <f t="shared" si="33"/>
        <v>2.1</v>
      </c>
      <c r="L120" s="136">
        <f t="shared" si="33"/>
        <v>2.1</v>
      </c>
      <c r="M120" s="136">
        <f t="shared" si="33"/>
        <v>2.1</v>
      </c>
      <c r="N120" s="136">
        <f t="shared" si="33"/>
        <v>2.1</v>
      </c>
      <c r="O120" s="136">
        <f t="shared" si="33"/>
        <v>2.1</v>
      </c>
      <c r="P120" s="136">
        <f t="shared" si="33"/>
        <v>2.1</v>
      </c>
      <c r="Q120" s="136">
        <f t="shared" si="33"/>
        <v>2.1</v>
      </c>
      <c r="R120" s="136">
        <f t="shared" si="33"/>
        <v>2.1</v>
      </c>
      <c r="S120" s="136">
        <f t="shared" si="33"/>
        <v>2.1</v>
      </c>
      <c r="T120" s="136">
        <f t="shared" si="32"/>
        <v>2.1</v>
      </c>
      <c r="U120" s="136">
        <f t="shared" si="32"/>
        <v>2.1</v>
      </c>
      <c r="V120" s="136">
        <f t="shared" si="32"/>
        <v>2.1</v>
      </c>
      <c r="W120" s="136">
        <f t="shared" si="32"/>
        <v>2.1</v>
      </c>
      <c r="X120" s="136">
        <f t="shared" si="32"/>
        <v>2.1</v>
      </c>
      <c r="Y120" s="136">
        <f t="shared" si="32"/>
        <v>2.1</v>
      </c>
      <c r="Z120" s="136">
        <f t="shared" si="32"/>
        <v>2.1</v>
      </c>
      <c r="AA120" s="136">
        <f t="shared" si="32"/>
        <v>2.1</v>
      </c>
      <c r="AB120" s="136">
        <f t="shared" si="32"/>
        <v>2.1</v>
      </c>
      <c r="AC120" s="136">
        <f t="shared" si="32"/>
        <v>2.1</v>
      </c>
      <c r="AD120" s="136">
        <f t="shared" si="32"/>
        <v>2.1</v>
      </c>
      <c r="AE120" s="136">
        <f t="shared" si="32"/>
        <v>2.1</v>
      </c>
      <c r="AF120" s="136">
        <f t="shared" si="32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30"/>
        <v>9.3000000000000007</v>
      </c>
      <c r="C121" s="137">
        <v>9.3000000000000007</v>
      </c>
      <c r="D121" s="136">
        <f t="shared" si="33"/>
        <v>9.3000000000000007</v>
      </c>
      <c r="E121" s="136">
        <f t="shared" si="33"/>
        <v>9.3000000000000007</v>
      </c>
      <c r="F121" s="136">
        <f t="shared" si="33"/>
        <v>9.3000000000000007</v>
      </c>
      <c r="G121" s="136">
        <f t="shared" si="33"/>
        <v>9.3000000000000007</v>
      </c>
      <c r="H121" s="136">
        <f t="shared" si="33"/>
        <v>9.3000000000000007</v>
      </c>
      <c r="I121" s="136">
        <f t="shared" si="33"/>
        <v>9.3000000000000007</v>
      </c>
      <c r="J121" s="136">
        <f t="shared" si="33"/>
        <v>9.3000000000000007</v>
      </c>
      <c r="K121" s="136">
        <f t="shared" si="33"/>
        <v>9.3000000000000007</v>
      </c>
      <c r="L121" s="136">
        <f t="shared" si="33"/>
        <v>9.3000000000000007</v>
      </c>
      <c r="M121" s="136">
        <f t="shared" si="33"/>
        <v>9.3000000000000007</v>
      </c>
      <c r="N121" s="136">
        <f t="shared" si="33"/>
        <v>9.3000000000000007</v>
      </c>
      <c r="O121" s="136">
        <f t="shared" si="33"/>
        <v>9.3000000000000007</v>
      </c>
      <c r="P121" s="136">
        <f t="shared" si="33"/>
        <v>9.3000000000000007</v>
      </c>
      <c r="Q121" s="136">
        <f t="shared" si="33"/>
        <v>9.3000000000000007</v>
      </c>
      <c r="R121" s="136">
        <f t="shared" si="33"/>
        <v>9.3000000000000007</v>
      </c>
      <c r="S121" s="136">
        <f t="shared" si="33"/>
        <v>9.3000000000000007</v>
      </c>
      <c r="T121" s="136">
        <f t="shared" si="32"/>
        <v>9.3000000000000007</v>
      </c>
      <c r="U121" s="136">
        <f t="shared" si="32"/>
        <v>9.3000000000000007</v>
      </c>
      <c r="V121" s="136">
        <f t="shared" si="32"/>
        <v>9.3000000000000007</v>
      </c>
      <c r="W121" s="136">
        <f t="shared" si="32"/>
        <v>9.3000000000000007</v>
      </c>
      <c r="X121" s="136">
        <f t="shared" si="32"/>
        <v>9.3000000000000007</v>
      </c>
      <c r="Y121" s="136">
        <f t="shared" si="32"/>
        <v>9.3000000000000007</v>
      </c>
      <c r="Z121" s="136">
        <f t="shared" si="32"/>
        <v>9.3000000000000007</v>
      </c>
      <c r="AA121" s="136">
        <f t="shared" si="32"/>
        <v>9.3000000000000007</v>
      </c>
      <c r="AB121" s="136">
        <f t="shared" si="32"/>
        <v>9.3000000000000007</v>
      </c>
      <c r="AC121" s="136">
        <f t="shared" si="32"/>
        <v>9.3000000000000007</v>
      </c>
      <c r="AD121" s="136">
        <f t="shared" si="32"/>
        <v>9.3000000000000007</v>
      </c>
      <c r="AE121" s="136">
        <f t="shared" si="32"/>
        <v>9.3000000000000007</v>
      </c>
      <c r="AF121" s="136">
        <f t="shared" si="32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30"/>
        <v>0</v>
      </c>
      <c r="C122" s="137">
        <v>0</v>
      </c>
      <c r="D122" s="136">
        <f t="shared" si="33"/>
        <v>0</v>
      </c>
      <c r="E122" s="136">
        <f t="shared" si="33"/>
        <v>0</v>
      </c>
      <c r="F122" s="136">
        <f t="shared" si="33"/>
        <v>0</v>
      </c>
      <c r="G122" s="136">
        <f t="shared" si="33"/>
        <v>0</v>
      </c>
      <c r="H122" s="136">
        <f t="shared" si="33"/>
        <v>0</v>
      </c>
      <c r="I122" s="136">
        <f t="shared" si="33"/>
        <v>0</v>
      </c>
      <c r="J122" s="136">
        <f t="shared" si="33"/>
        <v>0</v>
      </c>
      <c r="K122" s="136">
        <f t="shared" si="33"/>
        <v>0</v>
      </c>
      <c r="L122" s="136">
        <f t="shared" si="33"/>
        <v>0</v>
      </c>
      <c r="M122" s="136">
        <f t="shared" si="33"/>
        <v>0</v>
      </c>
      <c r="N122" s="136">
        <f t="shared" si="33"/>
        <v>0</v>
      </c>
      <c r="O122" s="136">
        <f t="shared" si="33"/>
        <v>0</v>
      </c>
      <c r="P122" s="136">
        <f t="shared" si="33"/>
        <v>0</v>
      </c>
      <c r="Q122" s="136">
        <f t="shared" si="33"/>
        <v>0</v>
      </c>
      <c r="R122" s="136">
        <f t="shared" si="33"/>
        <v>0</v>
      </c>
      <c r="S122" s="136">
        <f t="shared" si="33"/>
        <v>0</v>
      </c>
      <c r="T122" s="136">
        <f t="shared" si="32"/>
        <v>0</v>
      </c>
      <c r="U122" s="136">
        <f t="shared" si="32"/>
        <v>0</v>
      </c>
      <c r="V122" s="136">
        <f t="shared" si="32"/>
        <v>0</v>
      </c>
      <c r="W122" s="136">
        <f t="shared" si="32"/>
        <v>0</v>
      </c>
      <c r="X122" s="136">
        <f t="shared" si="32"/>
        <v>0</v>
      </c>
      <c r="Y122" s="136">
        <f t="shared" si="32"/>
        <v>0</v>
      </c>
      <c r="Z122" s="136">
        <f t="shared" si="32"/>
        <v>0</v>
      </c>
      <c r="AA122" s="136">
        <f t="shared" si="32"/>
        <v>0</v>
      </c>
      <c r="AB122" s="136">
        <f t="shared" si="32"/>
        <v>0</v>
      </c>
      <c r="AC122" s="136">
        <f t="shared" si="32"/>
        <v>0</v>
      </c>
      <c r="AD122" s="136">
        <f t="shared" si="32"/>
        <v>0</v>
      </c>
      <c r="AE122" s="136">
        <f t="shared" si="32"/>
        <v>0</v>
      </c>
      <c r="AF122" s="136">
        <f t="shared" si="32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30"/>
        <v>0</v>
      </c>
      <c r="C123" s="137">
        <v>0</v>
      </c>
      <c r="D123" s="136">
        <f t="shared" si="33"/>
        <v>0</v>
      </c>
      <c r="E123" s="136">
        <f t="shared" si="33"/>
        <v>0</v>
      </c>
      <c r="F123" s="136">
        <f t="shared" si="33"/>
        <v>0</v>
      </c>
      <c r="G123" s="136">
        <f t="shared" si="33"/>
        <v>0</v>
      </c>
      <c r="H123" s="136">
        <f t="shared" si="33"/>
        <v>0</v>
      </c>
      <c r="I123" s="136">
        <f t="shared" si="33"/>
        <v>0</v>
      </c>
      <c r="J123" s="136">
        <f t="shared" si="33"/>
        <v>0</v>
      </c>
      <c r="K123" s="136">
        <f t="shared" si="33"/>
        <v>0</v>
      </c>
      <c r="L123" s="136">
        <f t="shared" si="33"/>
        <v>0</v>
      </c>
      <c r="M123" s="136">
        <f t="shared" si="33"/>
        <v>0</v>
      </c>
      <c r="N123" s="136">
        <f t="shared" si="33"/>
        <v>0</v>
      </c>
      <c r="O123" s="136">
        <f t="shared" si="33"/>
        <v>0</v>
      </c>
      <c r="P123" s="136">
        <f t="shared" si="33"/>
        <v>0</v>
      </c>
      <c r="Q123" s="136">
        <f t="shared" si="33"/>
        <v>0</v>
      </c>
      <c r="R123" s="136">
        <f t="shared" si="33"/>
        <v>0</v>
      </c>
      <c r="S123" s="136">
        <f t="shared" si="33"/>
        <v>0</v>
      </c>
      <c r="T123" s="136">
        <f t="shared" si="32"/>
        <v>0</v>
      </c>
      <c r="U123" s="136">
        <f t="shared" si="32"/>
        <v>0</v>
      </c>
      <c r="V123" s="136">
        <f t="shared" si="32"/>
        <v>0</v>
      </c>
      <c r="W123" s="136">
        <f t="shared" si="32"/>
        <v>0</v>
      </c>
      <c r="X123" s="136">
        <f t="shared" si="32"/>
        <v>0</v>
      </c>
      <c r="Y123" s="136">
        <f t="shared" si="32"/>
        <v>0</v>
      </c>
      <c r="Z123" s="136">
        <f t="shared" si="32"/>
        <v>0</v>
      </c>
      <c r="AA123" s="136">
        <f t="shared" si="32"/>
        <v>0</v>
      </c>
      <c r="AB123" s="136">
        <f t="shared" si="32"/>
        <v>0</v>
      </c>
      <c r="AC123" s="136">
        <f t="shared" si="32"/>
        <v>0</v>
      </c>
      <c r="AD123" s="136">
        <f t="shared" si="32"/>
        <v>0</v>
      </c>
      <c r="AE123" s="136">
        <f t="shared" si="32"/>
        <v>0</v>
      </c>
      <c r="AF123" s="136">
        <f t="shared" si="32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30"/>
        <v>5</v>
      </c>
      <c r="C124" s="137">
        <v>5</v>
      </c>
      <c r="D124" s="136">
        <f t="shared" si="33"/>
        <v>5</v>
      </c>
      <c r="E124" s="136">
        <f t="shared" si="33"/>
        <v>5</v>
      </c>
      <c r="F124" s="136">
        <f t="shared" si="33"/>
        <v>5</v>
      </c>
      <c r="G124" s="136">
        <f t="shared" si="33"/>
        <v>5</v>
      </c>
      <c r="H124" s="136">
        <f t="shared" si="33"/>
        <v>5</v>
      </c>
      <c r="I124" s="136">
        <f t="shared" si="33"/>
        <v>5</v>
      </c>
      <c r="J124" s="136">
        <f t="shared" si="33"/>
        <v>5</v>
      </c>
      <c r="K124" s="136">
        <f t="shared" si="33"/>
        <v>5</v>
      </c>
      <c r="L124" s="136">
        <f t="shared" si="33"/>
        <v>5</v>
      </c>
      <c r="M124" s="136">
        <f t="shared" si="33"/>
        <v>5</v>
      </c>
      <c r="N124" s="136">
        <f t="shared" si="33"/>
        <v>5</v>
      </c>
      <c r="O124" s="136">
        <f t="shared" si="33"/>
        <v>5</v>
      </c>
      <c r="P124" s="136">
        <f t="shared" si="33"/>
        <v>5</v>
      </c>
      <c r="Q124" s="136">
        <f t="shared" si="33"/>
        <v>5</v>
      </c>
      <c r="R124" s="136">
        <f t="shared" si="33"/>
        <v>5</v>
      </c>
      <c r="S124" s="136">
        <f t="shared" si="33"/>
        <v>5</v>
      </c>
      <c r="T124" s="136">
        <f t="shared" si="32"/>
        <v>5</v>
      </c>
      <c r="U124" s="136">
        <f t="shared" si="32"/>
        <v>5</v>
      </c>
      <c r="V124" s="136">
        <f t="shared" si="32"/>
        <v>5</v>
      </c>
      <c r="W124" s="136">
        <f t="shared" si="32"/>
        <v>5</v>
      </c>
      <c r="X124" s="136">
        <f t="shared" si="32"/>
        <v>5</v>
      </c>
      <c r="Y124" s="136">
        <f t="shared" si="32"/>
        <v>5</v>
      </c>
      <c r="Z124" s="136">
        <f t="shared" si="32"/>
        <v>5</v>
      </c>
      <c r="AA124" s="136">
        <f t="shared" si="32"/>
        <v>5</v>
      </c>
      <c r="AB124" s="136">
        <f t="shared" si="32"/>
        <v>5</v>
      </c>
      <c r="AC124" s="136">
        <f t="shared" si="32"/>
        <v>5</v>
      </c>
      <c r="AD124" s="136">
        <f t="shared" si="32"/>
        <v>5</v>
      </c>
      <c r="AE124" s="136">
        <f t="shared" si="32"/>
        <v>5</v>
      </c>
      <c r="AF124" s="136">
        <f t="shared" si="32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30"/>
        <v>1</v>
      </c>
      <c r="C125" s="137">
        <v>1</v>
      </c>
      <c r="D125" s="136">
        <f t="shared" si="33"/>
        <v>1</v>
      </c>
      <c r="E125" s="136">
        <f t="shared" si="33"/>
        <v>1</v>
      </c>
      <c r="F125" s="136">
        <f t="shared" si="33"/>
        <v>1</v>
      </c>
      <c r="G125" s="136">
        <f t="shared" si="33"/>
        <v>1</v>
      </c>
      <c r="H125" s="136">
        <f t="shared" si="33"/>
        <v>1</v>
      </c>
      <c r="I125" s="136">
        <f t="shared" si="33"/>
        <v>1</v>
      </c>
      <c r="J125" s="136">
        <f t="shared" si="33"/>
        <v>1</v>
      </c>
      <c r="K125" s="136">
        <f t="shared" si="33"/>
        <v>1</v>
      </c>
      <c r="L125" s="136">
        <f t="shared" si="33"/>
        <v>1</v>
      </c>
      <c r="M125" s="136">
        <f t="shared" si="33"/>
        <v>1</v>
      </c>
      <c r="N125" s="136">
        <f t="shared" si="33"/>
        <v>1</v>
      </c>
      <c r="O125" s="136">
        <f t="shared" si="33"/>
        <v>1</v>
      </c>
      <c r="P125" s="136">
        <f t="shared" si="33"/>
        <v>1</v>
      </c>
      <c r="Q125" s="136">
        <f t="shared" si="33"/>
        <v>1</v>
      </c>
      <c r="R125" s="136">
        <f t="shared" si="33"/>
        <v>1</v>
      </c>
      <c r="S125" s="136">
        <f t="shared" si="33"/>
        <v>1</v>
      </c>
      <c r="T125" s="136">
        <f t="shared" si="32"/>
        <v>1</v>
      </c>
      <c r="U125" s="136">
        <f t="shared" si="32"/>
        <v>1</v>
      </c>
      <c r="V125" s="136">
        <f t="shared" si="32"/>
        <v>1</v>
      </c>
      <c r="W125" s="136">
        <f t="shared" si="32"/>
        <v>1</v>
      </c>
      <c r="X125" s="136">
        <f t="shared" si="32"/>
        <v>1</v>
      </c>
      <c r="Y125" s="136">
        <f t="shared" si="32"/>
        <v>1</v>
      </c>
      <c r="Z125" s="136">
        <f t="shared" si="32"/>
        <v>1</v>
      </c>
      <c r="AA125" s="136">
        <f t="shared" si="32"/>
        <v>1</v>
      </c>
      <c r="AB125" s="136">
        <f t="shared" si="32"/>
        <v>1</v>
      </c>
      <c r="AC125" s="136">
        <f t="shared" si="32"/>
        <v>1</v>
      </c>
      <c r="AD125" s="136">
        <f t="shared" si="32"/>
        <v>1</v>
      </c>
      <c r="AE125" s="136">
        <f t="shared" si="32"/>
        <v>1</v>
      </c>
      <c r="AF125" s="136">
        <f t="shared" si="32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30"/>
        <v>1.58</v>
      </c>
      <c r="C126" s="137">
        <v>1.58</v>
      </c>
      <c r="D126" s="136">
        <f t="shared" si="33"/>
        <v>1.58</v>
      </c>
      <c r="E126" s="136">
        <f t="shared" si="33"/>
        <v>1.58</v>
      </c>
      <c r="F126" s="136">
        <f t="shared" si="33"/>
        <v>1.58</v>
      </c>
      <c r="G126" s="136">
        <f t="shared" si="33"/>
        <v>1.58</v>
      </c>
      <c r="H126" s="136">
        <f t="shared" si="33"/>
        <v>1.58</v>
      </c>
      <c r="I126" s="136">
        <f t="shared" si="33"/>
        <v>1.58</v>
      </c>
      <c r="J126" s="136">
        <f t="shared" si="33"/>
        <v>1.58</v>
      </c>
      <c r="K126" s="136">
        <f t="shared" si="33"/>
        <v>1.58</v>
      </c>
      <c r="L126" s="136">
        <f t="shared" si="33"/>
        <v>1.58</v>
      </c>
      <c r="M126" s="136">
        <f t="shared" si="33"/>
        <v>1.58</v>
      </c>
      <c r="N126" s="136">
        <f t="shared" si="33"/>
        <v>1.58</v>
      </c>
      <c r="O126" s="136">
        <f t="shared" si="33"/>
        <v>1.58</v>
      </c>
      <c r="P126" s="136">
        <f t="shared" si="33"/>
        <v>1.58</v>
      </c>
      <c r="Q126" s="136">
        <f t="shared" si="33"/>
        <v>1.58</v>
      </c>
      <c r="R126" s="136">
        <f t="shared" si="33"/>
        <v>1.58</v>
      </c>
      <c r="S126" s="136">
        <f t="shared" si="33"/>
        <v>1.58</v>
      </c>
      <c r="T126" s="136">
        <f t="shared" si="32"/>
        <v>1.58</v>
      </c>
      <c r="U126" s="136">
        <f t="shared" si="32"/>
        <v>1.58</v>
      </c>
      <c r="V126" s="136">
        <f t="shared" si="32"/>
        <v>1.58</v>
      </c>
      <c r="W126" s="136">
        <f t="shared" si="32"/>
        <v>1.58</v>
      </c>
      <c r="X126" s="136">
        <f t="shared" si="32"/>
        <v>1.58</v>
      </c>
      <c r="Y126" s="136">
        <f t="shared" si="32"/>
        <v>1.58</v>
      </c>
      <c r="Z126" s="136">
        <f t="shared" si="32"/>
        <v>1.58</v>
      </c>
      <c r="AA126" s="136">
        <f t="shared" si="32"/>
        <v>1.58</v>
      </c>
      <c r="AB126" s="136">
        <f t="shared" si="32"/>
        <v>1.58</v>
      </c>
      <c r="AC126" s="136">
        <f t="shared" si="32"/>
        <v>1.58</v>
      </c>
      <c r="AD126" s="136">
        <f t="shared" si="32"/>
        <v>1.58</v>
      </c>
      <c r="AE126" s="136">
        <f t="shared" si="32"/>
        <v>1.58</v>
      </c>
      <c r="AF126" s="136">
        <f t="shared" si="32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30"/>
        <v>1.46</v>
      </c>
      <c r="C127" s="137">
        <v>1.46</v>
      </c>
      <c r="D127" s="136">
        <f t="shared" si="33"/>
        <v>1.46</v>
      </c>
      <c r="E127" s="136">
        <f t="shared" si="33"/>
        <v>1.46</v>
      </c>
      <c r="F127" s="136">
        <f t="shared" si="33"/>
        <v>1.46</v>
      </c>
      <c r="G127" s="136">
        <f t="shared" si="33"/>
        <v>1.46</v>
      </c>
      <c r="H127" s="136">
        <f t="shared" si="33"/>
        <v>1.46</v>
      </c>
      <c r="I127" s="136">
        <f t="shared" si="33"/>
        <v>1.46</v>
      </c>
      <c r="J127" s="136">
        <f t="shared" si="33"/>
        <v>1.46</v>
      </c>
      <c r="K127" s="136">
        <f t="shared" si="33"/>
        <v>1.46</v>
      </c>
      <c r="L127" s="136">
        <f t="shared" si="33"/>
        <v>1.46</v>
      </c>
      <c r="M127" s="136">
        <f t="shared" si="33"/>
        <v>1.46</v>
      </c>
      <c r="N127" s="136">
        <f t="shared" si="33"/>
        <v>1.46</v>
      </c>
      <c r="O127" s="136">
        <f t="shared" si="33"/>
        <v>1.46</v>
      </c>
      <c r="P127" s="136">
        <f t="shared" si="33"/>
        <v>1.46</v>
      </c>
      <c r="Q127" s="136">
        <f t="shared" si="33"/>
        <v>1.46</v>
      </c>
      <c r="R127" s="136">
        <f t="shared" si="33"/>
        <v>1.46</v>
      </c>
      <c r="S127" s="136">
        <f t="shared" si="33"/>
        <v>1.46</v>
      </c>
      <c r="T127" s="136">
        <f t="shared" ref="T127:AF128" si="34">S127</f>
        <v>1.46</v>
      </c>
      <c r="U127" s="136">
        <f t="shared" si="34"/>
        <v>1.46</v>
      </c>
      <c r="V127" s="136">
        <f t="shared" si="34"/>
        <v>1.46</v>
      </c>
      <c r="W127" s="136">
        <f t="shared" si="34"/>
        <v>1.46</v>
      </c>
      <c r="X127" s="136">
        <f t="shared" si="34"/>
        <v>1.46</v>
      </c>
      <c r="Y127" s="136">
        <f t="shared" si="34"/>
        <v>1.46</v>
      </c>
      <c r="Z127" s="136">
        <f t="shared" si="34"/>
        <v>1.46</v>
      </c>
      <c r="AA127" s="136">
        <f t="shared" si="34"/>
        <v>1.46</v>
      </c>
      <c r="AB127" s="136">
        <f t="shared" si="34"/>
        <v>1.46</v>
      </c>
      <c r="AC127" s="136">
        <f t="shared" si="34"/>
        <v>1.46</v>
      </c>
      <c r="AD127" s="136">
        <f t="shared" si="34"/>
        <v>1.46</v>
      </c>
      <c r="AE127" s="136">
        <f t="shared" si="34"/>
        <v>1.46</v>
      </c>
      <c r="AF127" s="136">
        <f t="shared" si="34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30"/>
        <v>1.48</v>
      </c>
      <c r="C128" s="137">
        <v>1.48</v>
      </c>
      <c r="D128" s="136">
        <f t="shared" si="33"/>
        <v>1.48</v>
      </c>
      <c r="E128" s="136">
        <f t="shared" si="33"/>
        <v>1.48</v>
      </c>
      <c r="F128" s="136">
        <f t="shared" si="33"/>
        <v>1.48</v>
      </c>
      <c r="G128" s="136">
        <f t="shared" si="33"/>
        <v>1.48</v>
      </c>
      <c r="H128" s="136">
        <f t="shared" si="33"/>
        <v>1.48</v>
      </c>
      <c r="I128" s="136">
        <f t="shared" si="33"/>
        <v>1.48</v>
      </c>
      <c r="J128" s="136">
        <f t="shared" si="33"/>
        <v>1.48</v>
      </c>
      <c r="K128" s="136">
        <f t="shared" si="33"/>
        <v>1.48</v>
      </c>
      <c r="L128" s="136">
        <f t="shared" si="33"/>
        <v>1.48</v>
      </c>
      <c r="M128" s="136">
        <f t="shared" si="33"/>
        <v>1.48</v>
      </c>
      <c r="N128" s="136">
        <f t="shared" si="33"/>
        <v>1.48</v>
      </c>
      <c r="O128" s="136">
        <f t="shared" si="33"/>
        <v>1.48</v>
      </c>
      <c r="P128" s="136">
        <f t="shared" si="33"/>
        <v>1.48</v>
      </c>
      <c r="Q128" s="136">
        <f t="shared" si="33"/>
        <v>1.48</v>
      </c>
      <c r="R128" s="136">
        <f t="shared" si="33"/>
        <v>1.48</v>
      </c>
      <c r="S128" s="136">
        <f t="shared" si="33"/>
        <v>1.48</v>
      </c>
      <c r="T128" s="136">
        <f t="shared" si="34"/>
        <v>1.48</v>
      </c>
      <c r="U128" s="136">
        <f t="shared" si="34"/>
        <v>1.48</v>
      </c>
      <c r="V128" s="136">
        <f t="shared" si="34"/>
        <v>1.48</v>
      </c>
      <c r="W128" s="136">
        <f t="shared" si="34"/>
        <v>1.48</v>
      </c>
      <c r="X128" s="136">
        <f t="shared" si="34"/>
        <v>1.48</v>
      </c>
      <c r="Y128" s="136">
        <f t="shared" si="34"/>
        <v>1.48</v>
      </c>
      <c r="Z128" s="136">
        <f t="shared" si="34"/>
        <v>1.48</v>
      </c>
      <c r="AA128" s="136">
        <f t="shared" si="34"/>
        <v>1.48</v>
      </c>
      <c r="AB128" s="136">
        <f t="shared" si="34"/>
        <v>1.48</v>
      </c>
      <c r="AC128" s="136">
        <f t="shared" si="34"/>
        <v>1.48</v>
      </c>
      <c r="AD128" s="136">
        <f t="shared" si="34"/>
        <v>1.48</v>
      </c>
      <c r="AE128" s="136">
        <f t="shared" si="34"/>
        <v>1.48</v>
      </c>
      <c r="AF128" s="136">
        <f t="shared" si="34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5">AF130</f>
        <v>2.2000000000000002</v>
      </c>
      <c r="C130" s="137">
        <v>2.2000000000000002</v>
      </c>
      <c r="D130" s="136">
        <f t="shared" ref="D130:S137" si="36">C130</f>
        <v>2.2000000000000002</v>
      </c>
      <c r="E130" s="136">
        <f t="shared" si="36"/>
        <v>2.2000000000000002</v>
      </c>
      <c r="F130" s="136">
        <f t="shared" si="36"/>
        <v>2.2000000000000002</v>
      </c>
      <c r="G130" s="136">
        <f t="shared" si="36"/>
        <v>2.2000000000000002</v>
      </c>
      <c r="H130" s="136">
        <f t="shared" si="36"/>
        <v>2.2000000000000002</v>
      </c>
      <c r="I130" s="136">
        <f t="shared" si="36"/>
        <v>2.2000000000000002</v>
      </c>
      <c r="J130" s="136">
        <f t="shared" si="36"/>
        <v>2.2000000000000002</v>
      </c>
      <c r="K130" s="136">
        <f t="shared" si="36"/>
        <v>2.2000000000000002</v>
      </c>
      <c r="L130" s="136">
        <f t="shared" si="36"/>
        <v>2.2000000000000002</v>
      </c>
      <c r="M130" s="136">
        <f t="shared" si="36"/>
        <v>2.2000000000000002</v>
      </c>
      <c r="N130" s="136">
        <f t="shared" si="36"/>
        <v>2.2000000000000002</v>
      </c>
      <c r="O130" s="136">
        <f t="shared" si="36"/>
        <v>2.2000000000000002</v>
      </c>
      <c r="P130" s="136">
        <f t="shared" si="36"/>
        <v>2.2000000000000002</v>
      </c>
      <c r="Q130" s="136">
        <f t="shared" si="36"/>
        <v>2.2000000000000002</v>
      </c>
      <c r="R130" s="136">
        <f t="shared" si="36"/>
        <v>2.2000000000000002</v>
      </c>
      <c r="S130" s="136">
        <f t="shared" si="36"/>
        <v>2.2000000000000002</v>
      </c>
      <c r="T130" s="136">
        <f t="shared" ref="T130:AF137" si="37">S130</f>
        <v>2.2000000000000002</v>
      </c>
      <c r="U130" s="136">
        <f t="shared" si="37"/>
        <v>2.2000000000000002</v>
      </c>
      <c r="V130" s="136">
        <f t="shared" si="37"/>
        <v>2.2000000000000002</v>
      </c>
      <c r="W130" s="136">
        <f t="shared" si="37"/>
        <v>2.2000000000000002</v>
      </c>
      <c r="X130" s="136">
        <f t="shared" si="37"/>
        <v>2.2000000000000002</v>
      </c>
      <c r="Y130" s="136">
        <f t="shared" si="37"/>
        <v>2.2000000000000002</v>
      </c>
      <c r="Z130" s="136">
        <f t="shared" si="37"/>
        <v>2.2000000000000002</v>
      </c>
      <c r="AA130" s="136">
        <f t="shared" si="37"/>
        <v>2.2000000000000002</v>
      </c>
      <c r="AB130" s="136">
        <f t="shared" si="37"/>
        <v>2.2000000000000002</v>
      </c>
      <c r="AC130" s="136">
        <f t="shared" si="37"/>
        <v>2.2000000000000002</v>
      </c>
      <c r="AD130" s="136">
        <f t="shared" si="37"/>
        <v>2.2000000000000002</v>
      </c>
      <c r="AE130" s="136">
        <f t="shared" si="37"/>
        <v>2.2000000000000002</v>
      </c>
      <c r="AF130" s="136">
        <f t="shared" si="37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5"/>
        <v>2</v>
      </c>
      <c r="C131" s="137">
        <v>2</v>
      </c>
      <c r="D131" s="136">
        <f t="shared" si="36"/>
        <v>2</v>
      </c>
      <c r="E131" s="136">
        <f t="shared" si="36"/>
        <v>2</v>
      </c>
      <c r="F131" s="136">
        <f t="shared" si="36"/>
        <v>2</v>
      </c>
      <c r="G131" s="136">
        <f t="shared" si="36"/>
        <v>2</v>
      </c>
      <c r="H131" s="136">
        <f t="shared" si="36"/>
        <v>2</v>
      </c>
      <c r="I131" s="136">
        <f t="shared" si="36"/>
        <v>2</v>
      </c>
      <c r="J131" s="136">
        <f t="shared" si="36"/>
        <v>2</v>
      </c>
      <c r="K131" s="136">
        <f t="shared" si="36"/>
        <v>2</v>
      </c>
      <c r="L131" s="136">
        <f t="shared" si="36"/>
        <v>2</v>
      </c>
      <c r="M131" s="136">
        <f t="shared" si="36"/>
        <v>2</v>
      </c>
      <c r="N131" s="136">
        <f t="shared" si="36"/>
        <v>2</v>
      </c>
      <c r="O131" s="136">
        <f t="shared" si="36"/>
        <v>2</v>
      </c>
      <c r="P131" s="136">
        <f t="shared" si="36"/>
        <v>2</v>
      </c>
      <c r="Q131" s="136">
        <f t="shared" si="36"/>
        <v>2</v>
      </c>
      <c r="R131" s="136">
        <f t="shared" si="36"/>
        <v>2</v>
      </c>
      <c r="S131" s="136">
        <f t="shared" si="36"/>
        <v>2</v>
      </c>
      <c r="T131" s="136">
        <f t="shared" si="37"/>
        <v>2</v>
      </c>
      <c r="U131" s="136">
        <f t="shared" si="37"/>
        <v>2</v>
      </c>
      <c r="V131" s="136">
        <f t="shared" si="37"/>
        <v>2</v>
      </c>
      <c r="W131" s="136">
        <f t="shared" si="37"/>
        <v>2</v>
      </c>
      <c r="X131" s="136">
        <f t="shared" si="37"/>
        <v>2</v>
      </c>
      <c r="Y131" s="136">
        <f t="shared" si="37"/>
        <v>2</v>
      </c>
      <c r="Z131" s="136">
        <f t="shared" si="37"/>
        <v>2</v>
      </c>
      <c r="AA131" s="136">
        <f t="shared" si="37"/>
        <v>2</v>
      </c>
      <c r="AB131" s="136">
        <f t="shared" si="37"/>
        <v>2</v>
      </c>
      <c r="AC131" s="136">
        <f t="shared" si="37"/>
        <v>2</v>
      </c>
      <c r="AD131" s="136">
        <f t="shared" si="37"/>
        <v>2</v>
      </c>
      <c r="AE131" s="136">
        <f t="shared" si="37"/>
        <v>2</v>
      </c>
      <c r="AF131" s="136">
        <f t="shared" si="37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5"/>
        <v>1.25</v>
      </c>
      <c r="C132" s="137">
        <v>1.25</v>
      </c>
      <c r="D132" s="136">
        <f t="shared" si="36"/>
        <v>1.25</v>
      </c>
      <c r="E132" s="136">
        <f t="shared" si="36"/>
        <v>1.25</v>
      </c>
      <c r="F132" s="136">
        <f t="shared" si="36"/>
        <v>1.25</v>
      </c>
      <c r="G132" s="136">
        <f t="shared" si="36"/>
        <v>1.25</v>
      </c>
      <c r="H132" s="136">
        <f t="shared" si="36"/>
        <v>1.25</v>
      </c>
      <c r="I132" s="136">
        <f t="shared" si="36"/>
        <v>1.25</v>
      </c>
      <c r="J132" s="136">
        <f t="shared" si="36"/>
        <v>1.25</v>
      </c>
      <c r="K132" s="136">
        <f t="shared" si="36"/>
        <v>1.25</v>
      </c>
      <c r="L132" s="136">
        <f t="shared" si="36"/>
        <v>1.25</v>
      </c>
      <c r="M132" s="136">
        <f t="shared" si="36"/>
        <v>1.25</v>
      </c>
      <c r="N132" s="136">
        <f t="shared" si="36"/>
        <v>1.25</v>
      </c>
      <c r="O132" s="136">
        <f t="shared" si="36"/>
        <v>1.25</v>
      </c>
      <c r="P132" s="136">
        <f t="shared" si="36"/>
        <v>1.25</v>
      </c>
      <c r="Q132" s="136">
        <f t="shared" si="36"/>
        <v>1.25</v>
      </c>
      <c r="R132" s="136">
        <f t="shared" si="36"/>
        <v>1.25</v>
      </c>
      <c r="S132" s="136">
        <f t="shared" si="36"/>
        <v>1.25</v>
      </c>
      <c r="T132" s="136">
        <f t="shared" si="37"/>
        <v>1.25</v>
      </c>
      <c r="U132" s="136">
        <f t="shared" si="37"/>
        <v>1.25</v>
      </c>
      <c r="V132" s="136">
        <f t="shared" si="37"/>
        <v>1.25</v>
      </c>
      <c r="W132" s="136">
        <f t="shared" si="37"/>
        <v>1.25</v>
      </c>
      <c r="X132" s="136">
        <f t="shared" si="37"/>
        <v>1.25</v>
      </c>
      <c r="Y132" s="136">
        <f t="shared" si="37"/>
        <v>1.25</v>
      </c>
      <c r="Z132" s="136">
        <f t="shared" si="37"/>
        <v>1.25</v>
      </c>
      <c r="AA132" s="136">
        <f t="shared" si="37"/>
        <v>1.25</v>
      </c>
      <c r="AB132" s="136">
        <f t="shared" si="37"/>
        <v>1.25</v>
      </c>
      <c r="AC132" s="136">
        <f t="shared" si="37"/>
        <v>1.25</v>
      </c>
      <c r="AD132" s="136">
        <f t="shared" si="37"/>
        <v>1.25</v>
      </c>
      <c r="AE132" s="136">
        <f t="shared" si="37"/>
        <v>1.25</v>
      </c>
      <c r="AF132" s="136">
        <f t="shared" si="37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5"/>
        <v>1.1499999999999999</v>
      </c>
      <c r="C133" s="137">
        <v>1.1499999999999999</v>
      </c>
      <c r="D133" s="136">
        <f t="shared" si="36"/>
        <v>1.1499999999999999</v>
      </c>
      <c r="E133" s="136">
        <f t="shared" si="36"/>
        <v>1.1499999999999999</v>
      </c>
      <c r="F133" s="136">
        <f t="shared" si="36"/>
        <v>1.1499999999999999</v>
      </c>
      <c r="G133" s="136">
        <f t="shared" si="36"/>
        <v>1.1499999999999999</v>
      </c>
      <c r="H133" s="136">
        <f t="shared" si="36"/>
        <v>1.1499999999999999</v>
      </c>
      <c r="I133" s="136">
        <f t="shared" si="36"/>
        <v>1.1499999999999999</v>
      </c>
      <c r="J133" s="136">
        <f t="shared" si="36"/>
        <v>1.1499999999999999</v>
      </c>
      <c r="K133" s="136">
        <f t="shared" si="36"/>
        <v>1.1499999999999999</v>
      </c>
      <c r="L133" s="136">
        <f t="shared" si="36"/>
        <v>1.1499999999999999</v>
      </c>
      <c r="M133" s="136">
        <f t="shared" si="36"/>
        <v>1.1499999999999999</v>
      </c>
      <c r="N133" s="136">
        <f t="shared" si="36"/>
        <v>1.1499999999999999</v>
      </c>
      <c r="O133" s="136">
        <f t="shared" si="36"/>
        <v>1.1499999999999999</v>
      </c>
      <c r="P133" s="136">
        <f t="shared" si="36"/>
        <v>1.1499999999999999</v>
      </c>
      <c r="Q133" s="136">
        <f t="shared" si="36"/>
        <v>1.1499999999999999</v>
      </c>
      <c r="R133" s="136">
        <f t="shared" si="36"/>
        <v>1.1499999999999999</v>
      </c>
      <c r="S133" s="136">
        <f t="shared" si="36"/>
        <v>1.1499999999999999</v>
      </c>
      <c r="T133" s="136">
        <f t="shared" si="37"/>
        <v>1.1499999999999999</v>
      </c>
      <c r="U133" s="136">
        <f t="shared" si="37"/>
        <v>1.1499999999999999</v>
      </c>
      <c r="V133" s="136">
        <f t="shared" si="37"/>
        <v>1.1499999999999999</v>
      </c>
      <c r="W133" s="136">
        <f t="shared" si="37"/>
        <v>1.1499999999999999</v>
      </c>
      <c r="X133" s="136">
        <f t="shared" si="37"/>
        <v>1.1499999999999999</v>
      </c>
      <c r="Y133" s="136">
        <f t="shared" si="37"/>
        <v>1.1499999999999999</v>
      </c>
      <c r="Z133" s="136">
        <f t="shared" si="37"/>
        <v>1.1499999999999999</v>
      </c>
      <c r="AA133" s="136">
        <f t="shared" si="37"/>
        <v>1.1499999999999999</v>
      </c>
      <c r="AB133" s="136">
        <f t="shared" si="37"/>
        <v>1.1499999999999999</v>
      </c>
      <c r="AC133" s="136">
        <f t="shared" si="37"/>
        <v>1.1499999999999999</v>
      </c>
      <c r="AD133" s="136">
        <f t="shared" si="37"/>
        <v>1.1499999999999999</v>
      </c>
      <c r="AE133" s="136">
        <f t="shared" si="37"/>
        <v>1.1499999999999999</v>
      </c>
      <c r="AF133" s="136">
        <f t="shared" si="37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5"/>
        <v>2.133</v>
      </c>
      <c r="C134" s="137">
        <v>2.133</v>
      </c>
      <c r="D134" s="136">
        <f t="shared" si="36"/>
        <v>2.133</v>
      </c>
      <c r="E134" s="136">
        <f t="shared" si="36"/>
        <v>2.133</v>
      </c>
      <c r="F134" s="136">
        <f t="shared" si="36"/>
        <v>2.133</v>
      </c>
      <c r="G134" s="136">
        <f t="shared" si="36"/>
        <v>2.133</v>
      </c>
      <c r="H134" s="136">
        <f t="shared" si="36"/>
        <v>2.133</v>
      </c>
      <c r="I134" s="136">
        <f t="shared" si="36"/>
        <v>2.133</v>
      </c>
      <c r="J134" s="136">
        <f t="shared" si="36"/>
        <v>2.133</v>
      </c>
      <c r="K134" s="136">
        <f t="shared" si="36"/>
        <v>2.133</v>
      </c>
      <c r="L134" s="136">
        <f t="shared" si="36"/>
        <v>2.133</v>
      </c>
      <c r="M134" s="136">
        <f t="shared" si="36"/>
        <v>2.133</v>
      </c>
      <c r="N134" s="136">
        <f t="shared" si="36"/>
        <v>2.133</v>
      </c>
      <c r="O134" s="136">
        <f t="shared" si="36"/>
        <v>2.133</v>
      </c>
      <c r="P134" s="136">
        <f t="shared" si="36"/>
        <v>2.133</v>
      </c>
      <c r="Q134" s="136">
        <f t="shared" si="36"/>
        <v>2.133</v>
      </c>
      <c r="R134" s="136">
        <f t="shared" si="36"/>
        <v>2.133</v>
      </c>
      <c r="S134" s="136">
        <f t="shared" si="36"/>
        <v>2.133</v>
      </c>
      <c r="T134" s="136">
        <f t="shared" si="37"/>
        <v>2.133</v>
      </c>
      <c r="U134" s="136">
        <f t="shared" si="37"/>
        <v>2.133</v>
      </c>
      <c r="V134" s="136">
        <f t="shared" si="37"/>
        <v>2.133</v>
      </c>
      <c r="W134" s="136">
        <f t="shared" si="37"/>
        <v>2.133</v>
      </c>
      <c r="X134" s="136">
        <f t="shared" si="37"/>
        <v>2.133</v>
      </c>
      <c r="Y134" s="136">
        <f t="shared" si="37"/>
        <v>2.133</v>
      </c>
      <c r="Z134" s="136">
        <f t="shared" si="37"/>
        <v>2.133</v>
      </c>
      <c r="AA134" s="136">
        <f t="shared" si="37"/>
        <v>2.133</v>
      </c>
      <c r="AB134" s="136">
        <f t="shared" si="37"/>
        <v>2.133</v>
      </c>
      <c r="AC134" s="136">
        <f t="shared" si="37"/>
        <v>2.133</v>
      </c>
      <c r="AD134" s="136">
        <f t="shared" si="37"/>
        <v>2.133</v>
      </c>
      <c r="AE134" s="136">
        <f t="shared" si="37"/>
        <v>2.133</v>
      </c>
      <c r="AF134" s="136">
        <f t="shared" si="37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5"/>
        <v>2.09</v>
      </c>
      <c r="C135" s="137">
        <v>2.09</v>
      </c>
      <c r="D135" s="136">
        <f t="shared" si="36"/>
        <v>2.09</v>
      </c>
      <c r="E135" s="136">
        <f t="shared" si="36"/>
        <v>2.09</v>
      </c>
      <c r="F135" s="136">
        <f t="shared" si="36"/>
        <v>2.09</v>
      </c>
      <c r="G135" s="136">
        <f t="shared" si="36"/>
        <v>2.09</v>
      </c>
      <c r="H135" s="136">
        <f t="shared" si="36"/>
        <v>2.09</v>
      </c>
      <c r="I135" s="136">
        <f t="shared" si="36"/>
        <v>2.09</v>
      </c>
      <c r="J135" s="136">
        <f t="shared" si="36"/>
        <v>2.09</v>
      </c>
      <c r="K135" s="136">
        <f t="shared" si="36"/>
        <v>2.09</v>
      </c>
      <c r="L135" s="136">
        <f t="shared" si="36"/>
        <v>2.09</v>
      </c>
      <c r="M135" s="136">
        <f t="shared" si="36"/>
        <v>2.09</v>
      </c>
      <c r="N135" s="136">
        <f t="shared" si="36"/>
        <v>2.09</v>
      </c>
      <c r="O135" s="136">
        <f t="shared" si="36"/>
        <v>2.09</v>
      </c>
      <c r="P135" s="136">
        <f t="shared" si="36"/>
        <v>2.09</v>
      </c>
      <c r="Q135" s="136">
        <f t="shared" si="36"/>
        <v>2.09</v>
      </c>
      <c r="R135" s="136">
        <f t="shared" si="36"/>
        <v>2.09</v>
      </c>
      <c r="S135" s="136">
        <f t="shared" si="36"/>
        <v>2.09</v>
      </c>
      <c r="T135" s="136">
        <f t="shared" si="37"/>
        <v>2.09</v>
      </c>
      <c r="U135" s="136">
        <f t="shared" si="37"/>
        <v>2.09</v>
      </c>
      <c r="V135" s="136">
        <f t="shared" si="37"/>
        <v>2.09</v>
      </c>
      <c r="W135" s="136">
        <f t="shared" si="37"/>
        <v>2.09</v>
      </c>
      <c r="X135" s="136">
        <f t="shared" si="37"/>
        <v>2.09</v>
      </c>
      <c r="Y135" s="136">
        <f t="shared" si="37"/>
        <v>2.09</v>
      </c>
      <c r="Z135" s="136">
        <f t="shared" si="37"/>
        <v>2.09</v>
      </c>
      <c r="AA135" s="136">
        <f t="shared" si="37"/>
        <v>2.09</v>
      </c>
      <c r="AB135" s="136">
        <f t="shared" si="37"/>
        <v>2.09</v>
      </c>
      <c r="AC135" s="136">
        <f t="shared" si="37"/>
        <v>2.09</v>
      </c>
      <c r="AD135" s="136">
        <f t="shared" si="37"/>
        <v>2.09</v>
      </c>
      <c r="AE135" s="136">
        <f t="shared" si="37"/>
        <v>2.09</v>
      </c>
      <c r="AF135" s="136">
        <f t="shared" si="37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5"/>
        <v>1.1399999999999999</v>
      </c>
      <c r="C136" s="137">
        <v>1.1399999999999999</v>
      </c>
      <c r="D136" s="136">
        <f t="shared" si="36"/>
        <v>1.1399999999999999</v>
      </c>
      <c r="E136" s="136">
        <f t="shared" si="36"/>
        <v>1.1399999999999999</v>
      </c>
      <c r="F136" s="136">
        <f t="shared" si="36"/>
        <v>1.1399999999999999</v>
      </c>
      <c r="G136" s="136">
        <f t="shared" si="36"/>
        <v>1.1399999999999999</v>
      </c>
      <c r="H136" s="136">
        <f t="shared" si="36"/>
        <v>1.1399999999999999</v>
      </c>
      <c r="I136" s="136">
        <f t="shared" si="36"/>
        <v>1.1399999999999999</v>
      </c>
      <c r="J136" s="136">
        <f t="shared" si="36"/>
        <v>1.1399999999999999</v>
      </c>
      <c r="K136" s="136">
        <f t="shared" si="36"/>
        <v>1.1399999999999999</v>
      </c>
      <c r="L136" s="136">
        <f t="shared" si="36"/>
        <v>1.1399999999999999</v>
      </c>
      <c r="M136" s="136">
        <f t="shared" si="36"/>
        <v>1.1399999999999999</v>
      </c>
      <c r="N136" s="136">
        <f t="shared" si="36"/>
        <v>1.1399999999999999</v>
      </c>
      <c r="O136" s="136">
        <f t="shared" si="36"/>
        <v>1.1399999999999999</v>
      </c>
      <c r="P136" s="136">
        <f t="shared" si="36"/>
        <v>1.1399999999999999</v>
      </c>
      <c r="Q136" s="136">
        <f t="shared" si="36"/>
        <v>1.1399999999999999</v>
      </c>
      <c r="R136" s="136">
        <f t="shared" si="36"/>
        <v>1.1399999999999999</v>
      </c>
      <c r="S136" s="136">
        <f t="shared" si="36"/>
        <v>1.1399999999999999</v>
      </c>
      <c r="T136" s="136">
        <f t="shared" si="37"/>
        <v>1.1399999999999999</v>
      </c>
      <c r="U136" s="136">
        <f t="shared" si="37"/>
        <v>1.1399999999999999</v>
      </c>
      <c r="V136" s="136">
        <f t="shared" si="37"/>
        <v>1.1399999999999999</v>
      </c>
      <c r="W136" s="136">
        <f t="shared" si="37"/>
        <v>1.1399999999999999</v>
      </c>
      <c r="X136" s="136">
        <f t="shared" si="37"/>
        <v>1.1399999999999999</v>
      </c>
      <c r="Y136" s="136">
        <f t="shared" si="37"/>
        <v>1.1399999999999999</v>
      </c>
      <c r="Z136" s="136">
        <f t="shared" si="37"/>
        <v>1.1399999999999999</v>
      </c>
      <c r="AA136" s="136">
        <f t="shared" si="37"/>
        <v>1.1399999999999999</v>
      </c>
      <c r="AB136" s="136">
        <f t="shared" si="37"/>
        <v>1.1399999999999999</v>
      </c>
      <c r="AC136" s="136">
        <f t="shared" si="37"/>
        <v>1.1399999999999999</v>
      </c>
      <c r="AD136" s="136">
        <f t="shared" si="37"/>
        <v>1.1399999999999999</v>
      </c>
      <c r="AE136" s="136">
        <f t="shared" si="37"/>
        <v>1.1399999999999999</v>
      </c>
      <c r="AF136" s="136">
        <f t="shared" si="37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5"/>
        <v>0.82</v>
      </c>
      <c r="C137" s="137">
        <v>0.82</v>
      </c>
      <c r="D137" s="136">
        <f t="shared" si="36"/>
        <v>0.82</v>
      </c>
      <c r="E137" s="136">
        <f t="shared" si="36"/>
        <v>0.82</v>
      </c>
      <c r="F137" s="136">
        <f t="shared" si="36"/>
        <v>0.82</v>
      </c>
      <c r="G137" s="136">
        <f t="shared" si="36"/>
        <v>0.82</v>
      </c>
      <c r="H137" s="136">
        <f t="shared" si="36"/>
        <v>0.82</v>
      </c>
      <c r="I137" s="136">
        <f t="shared" si="36"/>
        <v>0.82</v>
      </c>
      <c r="J137" s="136">
        <f t="shared" si="36"/>
        <v>0.82</v>
      </c>
      <c r="K137" s="136">
        <f t="shared" si="36"/>
        <v>0.82</v>
      </c>
      <c r="L137" s="136">
        <f t="shared" si="36"/>
        <v>0.82</v>
      </c>
      <c r="M137" s="136">
        <f t="shared" si="36"/>
        <v>0.82</v>
      </c>
      <c r="N137" s="136">
        <f t="shared" si="36"/>
        <v>0.82</v>
      </c>
      <c r="O137" s="136">
        <f t="shared" si="36"/>
        <v>0.82</v>
      </c>
      <c r="P137" s="136">
        <f t="shared" si="36"/>
        <v>0.82</v>
      </c>
      <c r="Q137" s="136">
        <f t="shared" si="36"/>
        <v>0.82</v>
      </c>
      <c r="R137" s="136">
        <f t="shared" si="36"/>
        <v>0.82</v>
      </c>
      <c r="S137" s="136">
        <f t="shared" si="36"/>
        <v>0.82</v>
      </c>
      <c r="T137" s="136">
        <f t="shared" si="37"/>
        <v>0.82</v>
      </c>
      <c r="U137" s="136">
        <f t="shared" si="37"/>
        <v>0.82</v>
      </c>
      <c r="V137" s="136">
        <f t="shared" si="37"/>
        <v>0.82</v>
      </c>
      <c r="W137" s="136">
        <f t="shared" si="37"/>
        <v>0.82</v>
      </c>
      <c r="X137" s="136">
        <f t="shared" si="37"/>
        <v>0.82</v>
      </c>
      <c r="Y137" s="136">
        <f t="shared" si="37"/>
        <v>0.82</v>
      </c>
      <c r="Z137" s="136">
        <f t="shared" si="37"/>
        <v>0.82</v>
      </c>
      <c r="AA137" s="136">
        <f t="shared" si="37"/>
        <v>0.82</v>
      </c>
      <c r="AB137" s="136">
        <f t="shared" si="37"/>
        <v>0.82</v>
      </c>
      <c r="AC137" s="136">
        <f t="shared" si="37"/>
        <v>0.82</v>
      </c>
      <c r="AD137" s="136">
        <f t="shared" si="37"/>
        <v>0.82</v>
      </c>
      <c r="AE137" s="136">
        <f t="shared" si="37"/>
        <v>0.82</v>
      </c>
      <c r="AF137" s="136">
        <f t="shared" si="37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8">AF139</f>
        <v>2</v>
      </c>
      <c r="C139" s="137">
        <v>2</v>
      </c>
      <c r="D139" s="136">
        <f t="shared" ref="D139:S145" si="39">C139</f>
        <v>2</v>
      </c>
      <c r="E139" s="136">
        <f t="shared" si="39"/>
        <v>2</v>
      </c>
      <c r="F139" s="136">
        <f t="shared" si="39"/>
        <v>2</v>
      </c>
      <c r="G139" s="136">
        <f t="shared" si="39"/>
        <v>2</v>
      </c>
      <c r="H139" s="136">
        <f t="shared" si="39"/>
        <v>2</v>
      </c>
      <c r="I139" s="136">
        <f t="shared" si="39"/>
        <v>2</v>
      </c>
      <c r="J139" s="136">
        <f t="shared" si="39"/>
        <v>2</v>
      </c>
      <c r="K139" s="136">
        <f t="shared" si="39"/>
        <v>2</v>
      </c>
      <c r="L139" s="136">
        <f t="shared" si="39"/>
        <v>2</v>
      </c>
      <c r="M139" s="136">
        <f t="shared" si="39"/>
        <v>2</v>
      </c>
      <c r="N139" s="136">
        <f t="shared" si="39"/>
        <v>2</v>
      </c>
      <c r="O139" s="136">
        <f t="shared" si="39"/>
        <v>2</v>
      </c>
      <c r="P139" s="136">
        <f t="shared" si="39"/>
        <v>2</v>
      </c>
      <c r="Q139" s="136">
        <f t="shared" si="39"/>
        <v>2</v>
      </c>
      <c r="R139" s="136">
        <f t="shared" si="39"/>
        <v>2</v>
      </c>
      <c r="S139" s="136">
        <f t="shared" si="39"/>
        <v>2</v>
      </c>
      <c r="T139" s="136">
        <f t="shared" ref="T139:AF145" si="40">S139</f>
        <v>2</v>
      </c>
      <c r="U139" s="136">
        <f t="shared" si="40"/>
        <v>2</v>
      </c>
      <c r="V139" s="136">
        <f t="shared" si="40"/>
        <v>2</v>
      </c>
      <c r="W139" s="136">
        <f t="shared" si="40"/>
        <v>2</v>
      </c>
      <c r="X139" s="136">
        <f t="shared" si="40"/>
        <v>2</v>
      </c>
      <c r="Y139" s="136">
        <f t="shared" si="40"/>
        <v>2</v>
      </c>
      <c r="Z139" s="136">
        <f t="shared" si="40"/>
        <v>2</v>
      </c>
      <c r="AA139" s="136">
        <f t="shared" si="40"/>
        <v>2</v>
      </c>
      <c r="AB139" s="136">
        <f t="shared" si="40"/>
        <v>2</v>
      </c>
      <c r="AC139" s="136">
        <f t="shared" si="40"/>
        <v>2</v>
      </c>
      <c r="AD139" s="136">
        <f t="shared" si="40"/>
        <v>2</v>
      </c>
      <c r="AE139" s="136">
        <f t="shared" si="40"/>
        <v>2</v>
      </c>
      <c r="AF139" s="136">
        <f t="shared" si="40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8"/>
        <v>5.61</v>
      </c>
      <c r="C140" s="137">
        <v>5.61</v>
      </c>
      <c r="D140" s="136">
        <f t="shared" si="39"/>
        <v>5.61</v>
      </c>
      <c r="E140" s="136">
        <f t="shared" si="39"/>
        <v>5.61</v>
      </c>
      <c r="F140" s="136">
        <f t="shared" si="39"/>
        <v>5.61</v>
      </c>
      <c r="G140" s="136">
        <f t="shared" si="39"/>
        <v>5.61</v>
      </c>
      <c r="H140" s="136">
        <f t="shared" si="39"/>
        <v>5.61</v>
      </c>
      <c r="I140" s="136">
        <f t="shared" si="39"/>
        <v>5.61</v>
      </c>
      <c r="J140" s="136">
        <f t="shared" si="39"/>
        <v>5.61</v>
      </c>
      <c r="K140" s="136">
        <f t="shared" si="39"/>
        <v>5.61</v>
      </c>
      <c r="L140" s="136">
        <f t="shared" si="39"/>
        <v>5.61</v>
      </c>
      <c r="M140" s="136">
        <f t="shared" si="39"/>
        <v>5.61</v>
      </c>
      <c r="N140" s="136">
        <f t="shared" si="39"/>
        <v>5.61</v>
      </c>
      <c r="O140" s="136">
        <f t="shared" si="39"/>
        <v>5.61</v>
      </c>
      <c r="P140" s="136">
        <f t="shared" si="39"/>
        <v>5.61</v>
      </c>
      <c r="Q140" s="136">
        <f t="shared" si="39"/>
        <v>5.61</v>
      </c>
      <c r="R140" s="136">
        <f t="shared" si="39"/>
        <v>5.61</v>
      </c>
      <c r="S140" s="136">
        <f t="shared" si="39"/>
        <v>5.61</v>
      </c>
      <c r="T140" s="136">
        <f t="shared" si="40"/>
        <v>5.61</v>
      </c>
      <c r="U140" s="136">
        <f t="shared" si="40"/>
        <v>5.61</v>
      </c>
      <c r="V140" s="136">
        <f t="shared" si="40"/>
        <v>5.61</v>
      </c>
      <c r="W140" s="136">
        <f t="shared" si="40"/>
        <v>5.61</v>
      </c>
      <c r="X140" s="136">
        <f t="shared" si="40"/>
        <v>5.61</v>
      </c>
      <c r="Y140" s="136">
        <f t="shared" si="40"/>
        <v>5.61</v>
      </c>
      <c r="Z140" s="136">
        <f t="shared" si="40"/>
        <v>5.61</v>
      </c>
      <c r="AA140" s="136">
        <f t="shared" si="40"/>
        <v>5.61</v>
      </c>
      <c r="AB140" s="136">
        <f t="shared" si="40"/>
        <v>5.61</v>
      </c>
      <c r="AC140" s="136">
        <f t="shared" si="40"/>
        <v>5.61</v>
      </c>
      <c r="AD140" s="136">
        <f t="shared" si="40"/>
        <v>5.61</v>
      </c>
      <c r="AE140" s="136">
        <f t="shared" si="40"/>
        <v>5.61</v>
      </c>
      <c r="AF140" s="136">
        <f t="shared" si="40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8"/>
        <v>1.25</v>
      </c>
      <c r="C141" s="137">
        <v>1.25</v>
      </c>
      <c r="D141" s="136">
        <f t="shared" si="39"/>
        <v>1.25</v>
      </c>
      <c r="E141" s="136">
        <f t="shared" si="39"/>
        <v>1.25</v>
      </c>
      <c r="F141" s="136">
        <f t="shared" si="39"/>
        <v>1.25</v>
      </c>
      <c r="G141" s="136">
        <f t="shared" si="39"/>
        <v>1.25</v>
      </c>
      <c r="H141" s="136">
        <f t="shared" si="39"/>
        <v>1.25</v>
      </c>
      <c r="I141" s="136">
        <f t="shared" si="39"/>
        <v>1.25</v>
      </c>
      <c r="J141" s="136">
        <f t="shared" si="39"/>
        <v>1.25</v>
      </c>
      <c r="K141" s="136">
        <f t="shared" si="39"/>
        <v>1.25</v>
      </c>
      <c r="L141" s="136">
        <f t="shared" si="39"/>
        <v>1.25</v>
      </c>
      <c r="M141" s="136">
        <f t="shared" si="39"/>
        <v>1.25</v>
      </c>
      <c r="N141" s="136">
        <f t="shared" si="39"/>
        <v>1.25</v>
      </c>
      <c r="O141" s="136">
        <f t="shared" si="39"/>
        <v>1.25</v>
      </c>
      <c r="P141" s="136">
        <f t="shared" si="39"/>
        <v>1.25</v>
      </c>
      <c r="Q141" s="136">
        <f t="shared" si="39"/>
        <v>1.25</v>
      </c>
      <c r="R141" s="136">
        <f t="shared" si="39"/>
        <v>1.25</v>
      </c>
      <c r="S141" s="136">
        <f t="shared" si="39"/>
        <v>1.25</v>
      </c>
      <c r="T141" s="136">
        <f t="shared" si="40"/>
        <v>1.25</v>
      </c>
      <c r="U141" s="136">
        <f t="shared" si="40"/>
        <v>1.25</v>
      </c>
      <c r="V141" s="136">
        <f t="shared" si="40"/>
        <v>1.25</v>
      </c>
      <c r="W141" s="136">
        <f t="shared" si="40"/>
        <v>1.25</v>
      </c>
      <c r="X141" s="136">
        <f t="shared" si="40"/>
        <v>1.25</v>
      </c>
      <c r="Y141" s="136">
        <f t="shared" si="40"/>
        <v>1.25</v>
      </c>
      <c r="Z141" s="136">
        <f t="shared" si="40"/>
        <v>1.25</v>
      </c>
      <c r="AA141" s="136">
        <f t="shared" si="40"/>
        <v>1.25</v>
      </c>
      <c r="AB141" s="136">
        <f t="shared" si="40"/>
        <v>1.25</v>
      </c>
      <c r="AC141" s="136">
        <f t="shared" si="40"/>
        <v>1.25</v>
      </c>
      <c r="AD141" s="136">
        <f t="shared" si="40"/>
        <v>1.25</v>
      </c>
      <c r="AE141" s="136">
        <f t="shared" si="40"/>
        <v>1.25</v>
      </c>
      <c r="AF141" s="136">
        <f t="shared" si="40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8"/>
        <v>1.25</v>
      </c>
      <c r="C142" s="137">
        <v>1.25</v>
      </c>
      <c r="D142" s="136">
        <f t="shared" si="39"/>
        <v>1.25</v>
      </c>
      <c r="E142" s="136">
        <f t="shared" si="39"/>
        <v>1.25</v>
      </c>
      <c r="F142" s="136">
        <f t="shared" si="39"/>
        <v>1.25</v>
      </c>
      <c r="G142" s="136">
        <f t="shared" si="39"/>
        <v>1.25</v>
      </c>
      <c r="H142" s="136">
        <f t="shared" si="39"/>
        <v>1.25</v>
      </c>
      <c r="I142" s="136">
        <f t="shared" si="39"/>
        <v>1.25</v>
      </c>
      <c r="J142" s="136">
        <f t="shared" si="39"/>
        <v>1.25</v>
      </c>
      <c r="K142" s="136">
        <f t="shared" si="39"/>
        <v>1.25</v>
      </c>
      <c r="L142" s="136">
        <f t="shared" si="39"/>
        <v>1.25</v>
      </c>
      <c r="M142" s="136">
        <f t="shared" si="39"/>
        <v>1.25</v>
      </c>
      <c r="N142" s="136">
        <f t="shared" si="39"/>
        <v>1.25</v>
      </c>
      <c r="O142" s="136">
        <f t="shared" si="39"/>
        <v>1.25</v>
      </c>
      <c r="P142" s="136">
        <f t="shared" si="39"/>
        <v>1.25</v>
      </c>
      <c r="Q142" s="136">
        <f t="shared" si="39"/>
        <v>1.25</v>
      </c>
      <c r="R142" s="136">
        <f t="shared" si="39"/>
        <v>1.25</v>
      </c>
      <c r="S142" s="136">
        <f t="shared" si="39"/>
        <v>1.25</v>
      </c>
      <c r="T142" s="136">
        <f t="shared" si="40"/>
        <v>1.25</v>
      </c>
      <c r="U142" s="136">
        <f t="shared" si="40"/>
        <v>1.25</v>
      </c>
      <c r="V142" s="136">
        <f t="shared" si="40"/>
        <v>1.25</v>
      </c>
      <c r="W142" s="136">
        <f t="shared" si="40"/>
        <v>1.25</v>
      </c>
      <c r="X142" s="136">
        <f t="shared" si="40"/>
        <v>1.25</v>
      </c>
      <c r="Y142" s="136">
        <f t="shared" si="40"/>
        <v>1.25</v>
      </c>
      <c r="Z142" s="136">
        <f t="shared" si="40"/>
        <v>1.25</v>
      </c>
      <c r="AA142" s="136">
        <f t="shared" si="40"/>
        <v>1.25</v>
      </c>
      <c r="AB142" s="136">
        <f t="shared" si="40"/>
        <v>1.25</v>
      </c>
      <c r="AC142" s="136">
        <f t="shared" si="40"/>
        <v>1.25</v>
      </c>
      <c r="AD142" s="136">
        <f t="shared" si="40"/>
        <v>1.25</v>
      </c>
      <c r="AE142" s="136">
        <f t="shared" si="40"/>
        <v>1.25</v>
      </c>
      <c r="AF142" s="136">
        <f t="shared" si="40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8"/>
        <v>1.46</v>
      </c>
      <c r="C143" s="137">
        <v>1.46</v>
      </c>
      <c r="D143" s="136">
        <f t="shared" si="39"/>
        <v>1.46</v>
      </c>
      <c r="E143" s="136">
        <f t="shared" si="39"/>
        <v>1.46</v>
      </c>
      <c r="F143" s="136">
        <f t="shared" si="39"/>
        <v>1.46</v>
      </c>
      <c r="G143" s="136">
        <f t="shared" si="39"/>
        <v>1.46</v>
      </c>
      <c r="H143" s="136">
        <f t="shared" si="39"/>
        <v>1.46</v>
      </c>
      <c r="I143" s="136">
        <f t="shared" si="39"/>
        <v>1.46</v>
      </c>
      <c r="J143" s="136">
        <f t="shared" si="39"/>
        <v>1.46</v>
      </c>
      <c r="K143" s="136">
        <f t="shared" si="39"/>
        <v>1.46</v>
      </c>
      <c r="L143" s="136">
        <f t="shared" si="39"/>
        <v>1.46</v>
      </c>
      <c r="M143" s="136">
        <f t="shared" si="39"/>
        <v>1.46</v>
      </c>
      <c r="N143" s="136">
        <f t="shared" si="39"/>
        <v>1.46</v>
      </c>
      <c r="O143" s="136">
        <f t="shared" si="39"/>
        <v>1.46</v>
      </c>
      <c r="P143" s="136">
        <f t="shared" si="39"/>
        <v>1.46</v>
      </c>
      <c r="Q143" s="136">
        <f t="shared" si="39"/>
        <v>1.46</v>
      </c>
      <c r="R143" s="136">
        <f t="shared" si="39"/>
        <v>1.46</v>
      </c>
      <c r="S143" s="136">
        <f t="shared" si="39"/>
        <v>1.46</v>
      </c>
      <c r="T143" s="136">
        <f t="shared" si="40"/>
        <v>1.46</v>
      </c>
      <c r="U143" s="136">
        <f t="shared" si="40"/>
        <v>1.46</v>
      </c>
      <c r="V143" s="136">
        <f t="shared" si="40"/>
        <v>1.46</v>
      </c>
      <c r="W143" s="136">
        <f t="shared" si="40"/>
        <v>1.46</v>
      </c>
      <c r="X143" s="136">
        <f t="shared" si="40"/>
        <v>1.46</v>
      </c>
      <c r="Y143" s="136">
        <f t="shared" si="40"/>
        <v>1.46</v>
      </c>
      <c r="Z143" s="136">
        <f t="shared" si="40"/>
        <v>1.46</v>
      </c>
      <c r="AA143" s="136">
        <f t="shared" si="40"/>
        <v>1.46</v>
      </c>
      <c r="AB143" s="136">
        <f t="shared" si="40"/>
        <v>1.46</v>
      </c>
      <c r="AC143" s="136">
        <f t="shared" si="40"/>
        <v>1.46</v>
      </c>
      <c r="AD143" s="136">
        <f t="shared" si="40"/>
        <v>1.46</v>
      </c>
      <c r="AE143" s="136">
        <f t="shared" si="40"/>
        <v>1.46</v>
      </c>
      <c r="AF143" s="136">
        <f t="shared" si="40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8"/>
        <v>3</v>
      </c>
      <c r="C144" s="137">
        <v>3</v>
      </c>
      <c r="D144" s="136">
        <f t="shared" si="39"/>
        <v>3</v>
      </c>
      <c r="E144" s="136">
        <f t="shared" si="39"/>
        <v>3</v>
      </c>
      <c r="F144" s="136">
        <f t="shared" si="39"/>
        <v>3</v>
      </c>
      <c r="G144" s="136">
        <f t="shared" si="39"/>
        <v>3</v>
      </c>
      <c r="H144" s="136">
        <f t="shared" si="39"/>
        <v>3</v>
      </c>
      <c r="I144" s="136">
        <f t="shared" si="39"/>
        <v>3</v>
      </c>
      <c r="J144" s="136">
        <f t="shared" si="39"/>
        <v>3</v>
      </c>
      <c r="K144" s="136">
        <f t="shared" si="39"/>
        <v>3</v>
      </c>
      <c r="L144" s="136">
        <f t="shared" si="39"/>
        <v>3</v>
      </c>
      <c r="M144" s="136">
        <f t="shared" si="39"/>
        <v>3</v>
      </c>
      <c r="N144" s="136">
        <f t="shared" si="39"/>
        <v>3</v>
      </c>
      <c r="O144" s="136">
        <f t="shared" si="39"/>
        <v>3</v>
      </c>
      <c r="P144" s="136">
        <f t="shared" si="39"/>
        <v>3</v>
      </c>
      <c r="Q144" s="136">
        <f t="shared" si="39"/>
        <v>3</v>
      </c>
      <c r="R144" s="136">
        <f t="shared" si="39"/>
        <v>3</v>
      </c>
      <c r="S144" s="136">
        <f t="shared" si="39"/>
        <v>3</v>
      </c>
      <c r="T144" s="136">
        <f t="shared" si="40"/>
        <v>3</v>
      </c>
      <c r="U144" s="136">
        <f t="shared" si="40"/>
        <v>3</v>
      </c>
      <c r="V144" s="136">
        <f t="shared" si="40"/>
        <v>3</v>
      </c>
      <c r="W144" s="136">
        <f t="shared" si="40"/>
        <v>3</v>
      </c>
      <c r="X144" s="136">
        <f t="shared" si="40"/>
        <v>3</v>
      </c>
      <c r="Y144" s="136">
        <f t="shared" si="40"/>
        <v>3</v>
      </c>
      <c r="Z144" s="136">
        <f t="shared" si="40"/>
        <v>3</v>
      </c>
      <c r="AA144" s="136">
        <f t="shared" si="40"/>
        <v>3</v>
      </c>
      <c r="AB144" s="136">
        <f t="shared" si="40"/>
        <v>3</v>
      </c>
      <c r="AC144" s="136">
        <f t="shared" si="40"/>
        <v>3</v>
      </c>
      <c r="AD144" s="136">
        <f t="shared" si="40"/>
        <v>3</v>
      </c>
      <c r="AE144" s="136">
        <f t="shared" si="40"/>
        <v>3</v>
      </c>
      <c r="AF144" s="136">
        <f t="shared" si="40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8"/>
        <v>3.3</v>
      </c>
      <c r="C145" s="137">
        <v>3.3</v>
      </c>
      <c r="D145" s="136">
        <f t="shared" si="39"/>
        <v>3.3</v>
      </c>
      <c r="E145" s="136">
        <f t="shared" si="39"/>
        <v>3.3</v>
      </c>
      <c r="F145" s="136">
        <f t="shared" si="39"/>
        <v>3.3</v>
      </c>
      <c r="G145" s="136">
        <f t="shared" si="39"/>
        <v>3.3</v>
      </c>
      <c r="H145" s="136">
        <f t="shared" si="39"/>
        <v>3.3</v>
      </c>
      <c r="I145" s="136">
        <f t="shared" si="39"/>
        <v>3.3</v>
      </c>
      <c r="J145" s="136">
        <f t="shared" si="39"/>
        <v>3.3</v>
      </c>
      <c r="K145" s="136">
        <f t="shared" si="39"/>
        <v>3.3</v>
      </c>
      <c r="L145" s="136">
        <f t="shared" si="39"/>
        <v>3.3</v>
      </c>
      <c r="M145" s="136">
        <f t="shared" si="39"/>
        <v>3.3</v>
      </c>
      <c r="N145" s="136">
        <f t="shared" si="39"/>
        <v>3.3</v>
      </c>
      <c r="O145" s="136">
        <f t="shared" si="39"/>
        <v>3.3</v>
      </c>
      <c r="P145" s="136">
        <f t="shared" si="39"/>
        <v>3.3</v>
      </c>
      <c r="Q145" s="136">
        <f t="shared" si="39"/>
        <v>3.3</v>
      </c>
      <c r="R145" s="136">
        <f t="shared" si="39"/>
        <v>3.3</v>
      </c>
      <c r="S145" s="136">
        <f t="shared" si="39"/>
        <v>3.3</v>
      </c>
      <c r="T145" s="136">
        <f t="shared" si="40"/>
        <v>3.3</v>
      </c>
      <c r="U145" s="136">
        <f t="shared" si="40"/>
        <v>3.3</v>
      </c>
      <c r="V145" s="136">
        <f t="shared" si="40"/>
        <v>3.3</v>
      </c>
      <c r="W145" s="136">
        <f t="shared" si="40"/>
        <v>3.3</v>
      </c>
      <c r="X145" s="136">
        <f t="shared" si="40"/>
        <v>3.3</v>
      </c>
      <c r="Y145" s="136">
        <f t="shared" si="40"/>
        <v>3.3</v>
      </c>
      <c r="Z145" s="136">
        <f t="shared" si="40"/>
        <v>3.3</v>
      </c>
      <c r="AA145" s="136">
        <f t="shared" si="40"/>
        <v>3.3</v>
      </c>
      <c r="AB145" s="136">
        <f t="shared" si="40"/>
        <v>3.3</v>
      </c>
      <c r="AC145" s="136">
        <f t="shared" si="40"/>
        <v>3.3</v>
      </c>
      <c r="AD145" s="136">
        <f t="shared" si="40"/>
        <v>3.3</v>
      </c>
      <c r="AE145" s="136">
        <f t="shared" si="40"/>
        <v>3.3</v>
      </c>
      <c r="AF145" s="136">
        <f t="shared" si="40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1">C147</f>
        <v>1.76</v>
      </c>
      <c r="E147" s="136">
        <f t="shared" si="41"/>
        <v>1.76</v>
      </c>
      <c r="F147" s="136">
        <f t="shared" si="41"/>
        <v>1.76</v>
      </c>
      <c r="G147" s="136">
        <f t="shared" si="41"/>
        <v>1.76</v>
      </c>
      <c r="H147" s="136">
        <f t="shared" si="41"/>
        <v>1.76</v>
      </c>
      <c r="I147" s="136">
        <f t="shared" si="41"/>
        <v>1.76</v>
      </c>
      <c r="J147" s="136">
        <f t="shared" si="41"/>
        <v>1.76</v>
      </c>
      <c r="K147" s="136">
        <f t="shared" si="41"/>
        <v>1.76</v>
      </c>
      <c r="L147" s="136">
        <f t="shared" si="41"/>
        <v>1.76</v>
      </c>
      <c r="M147" s="136">
        <f t="shared" si="41"/>
        <v>1.76</v>
      </c>
      <c r="N147" s="136">
        <f t="shared" si="41"/>
        <v>1.76</v>
      </c>
      <c r="O147" s="136">
        <f t="shared" si="41"/>
        <v>1.76</v>
      </c>
      <c r="P147" s="136">
        <f t="shared" si="41"/>
        <v>1.76</v>
      </c>
      <c r="Q147" s="136">
        <f t="shared" si="41"/>
        <v>1.76</v>
      </c>
      <c r="R147" s="136">
        <f t="shared" si="41"/>
        <v>1.76</v>
      </c>
      <c r="S147" s="136">
        <f t="shared" si="41"/>
        <v>1.76</v>
      </c>
      <c r="T147" s="136">
        <f t="shared" ref="T147:AF148" si="42">S147</f>
        <v>1.76</v>
      </c>
      <c r="U147" s="136">
        <f t="shared" si="42"/>
        <v>1.76</v>
      </c>
      <c r="V147" s="136">
        <f t="shared" si="42"/>
        <v>1.76</v>
      </c>
      <c r="W147" s="136">
        <f t="shared" si="42"/>
        <v>1.76</v>
      </c>
      <c r="X147" s="136">
        <f t="shared" si="42"/>
        <v>1.76</v>
      </c>
      <c r="Y147" s="136">
        <f t="shared" si="42"/>
        <v>1.76</v>
      </c>
      <c r="Z147" s="136">
        <f t="shared" si="42"/>
        <v>1.76</v>
      </c>
      <c r="AA147" s="136">
        <f t="shared" si="42"/>
        <v>1.76</v>
      </c>
      <c r="AB147" s="136">
        <f t="shared" si="42"/>
        <v>1.76</v>
      </c>
      <c r="AC147" s="136">
        <f t="shared" si="42"/>
        <v>1.76</v>
      </c>
      <c r="AD147" s="136">
        <f t="shared" si="42"/>
        <v>1.76</v>
      </c>
      <c r="AE147" s="136">
        <f t="shared" si="42"/>
        <v>1.76</v>
      </c>
      <c r="AF147" s="136">
        <f t="shared" si="42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1"/>
        <v>0</v>
      </c>
      <c r="E148" s="136">
        <f t="shared" si="41"/>
        <v>0</v>
      </c>
      <c r="F148" s="136">
        <f t="shared" si="41"/>
        <v>0</v>
      </c>
      <c r="G148" s="136">
        <f t="shared" si="41"/>
        <v>0</v>
      </c>
      <c r="H148" s="136">
        <f t="shared" si="41"/>
        <v>0</v>
      </c>
      <c r="I148" s="136">
        <f t="shared" si="41"/>
        <v>0</v>
      </c>
      <c r="J148" s="136">
        <f t="shared" si="41"/>
        <v>0</v>
      </c>
      <c r="K148" s="136">
        <f t="shared" si="41"/>
        <v>0</v>
      </c>
      <c r="L148" s="136">
        <f t="shared" si="41"/>
        <v>0</v>
      </c>
      <c r="M148" s="136">
        <f t="shared" si="41"/>
        <v>0</v>
      </c>
      <c r="N148" s="136">
        <f t="shared" si="41"/>
        <v>0</v>
      </c>
      <c r="O148" s="136">
        <f t="shared" si="41"/>
        <v>0</v>
      </c>
      <c r="P148" s="136">
        <f t="shared" si="41"/>
        <v>0</v>
      </c>
      <c r="Q148" s="136">
        <f t="shared" si="41"/>
        <v>0</v>
      </c>
      <c r="R148" s="136">
        <f t="shared" si="41"/>
        <v>0</v>
      </c>
      <c r="S148" s="136">
        <f t="shared" si="41"/>
        <v>0</v>
      </c>
      <c r="T148" s="136">
        <f t="shared" si="42"/>
        <v>0</v>
      </c>
      <c r="U148" s="136">
        <f t="shared" si="42"/>
        <v>0</v>
      </c>
      <c r="V148" s="136">
        <f t="shared" si="42"/>
        <v>0</v>
      </c>
      <c r="W148" s="136">
        <f t="shared" si="42"/>
        <v>0</v>
      </c>
      <c r="X148" s="136">
        <f t="shared" si="42"/>
        <v>0</v>
      </c>
      <c r="Y148" s="136">
        <f t="shared" si="42"/>
        <v>0</v>
      </c>
      <c r="Z148" s="136">
        <f t="shared" si="42"/>
        <v>0</v>
      </c>
      <c r="AA148" s="136">
        <f t="shared" si="42"/>
        <v>0</v>
      </c>
      <c r="AB148" s="136">
        <f t="shared" si="42"/>
        <v>0</v>
      </c>
      <c r="AC148" s="136">
        <f t="shared" si="42"/>
        <v>0</v>
      </c>
      <c r="AD148" s="136">
        <f t="shared" si="42"/>
        <v>0</v>
      </c>
      <c r="AE148" s="136">
        <f t="shared" si="42"/>
        <v>0</v>
      </c>
      <c r="AF148" s="136">
        <f t="shared" si="42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3">C150</f>
        <v>0.1</v>
      </c>
      <c r="E150" s="136">
        <f t="shared" si="43"/>
        <v>0.1</v>
      </c>
      <c r="F150" s="136">
        <f t="shared" si="43"/>
        <v>0.1</v>
      </c>
      <c r="G150" s="136">
        <f t="shared" si="43"/>
        <v>0.1</v>
      </c>
      <c r="H150" s="136">
        <f t="shared" si="43"/>
        <v>0.1</v>
      </c>
      <c r="I150" s="136">
        <f t="shared" si="43"/>
        <v>0.1</v>
      </c>
      <c r="J150" s="136">
        <f t="shared" si="43"/>
        <v>0.1</v>
      </c>
      <c r="K150" s="136">
        <f t="shared" si="43"/>
        <v>0.1</v>
      </c>
      <c r="L150" s="136">
        <f t="shared" si="43"/>
        <v>0.1</v>
      </c>
      <c r="M150" s="136">
        <f t="shared" si="43"/>
        <v>0.1</v>
      </c>
      <c r="N150" s="136">
        <f t="shared" si="43"/>
        <v>0.1</v>
      </c>
      <c r="O150" s="136">
        <f t="shared" si="43"/>
        <v>0.1</v>
      </c>
      <c r="P150" s="136">
        <f t="shared" si="43"/>
        <v>0.1</v>
      </c>
      <c r="Q150" s="136">
        <f t="shared" si="43"/>
        <v>0.1</v>
      </c>
      <c r="R150" s="136">
        <f t="shared" si="43"/>
        <v>0.1</v>
      </c>
      <c r="S150" s="136">
        <f t="shared" si="43"/>
        <v>0.1</v>
      </c>
      <c r="T150" s="136">
        <f t="shared" ref="T150:AF153" si="44">S150</f>
        <v>0.1</v>
      </c>
      <c r="U150" s="136">
        <f t="shared" si="44"/>
        <v>0.1</v>
      </c>
      <c r="V150" s="136">
        <f t="shared" si="44"/>
        <v>0.1</v>
      </c>
      <c r="W150" s="136">
        <f t="shared" si="44"/>
        <v>0.1</v>
      </c>
      <c r="X150" s="136">
        <f t="shared" si="44"/>
        <v>0.1</v>
      </c>
      <c r="Y150" s="136">
        <f t="shared" si="44"/>
        <v>0.1</v>
      </c>
      <c r="Z150" s="136">
        <f t="shared" si="44"/>
        <v>0.1</v>
      </c>
      <c r="AA150" s="136">
        <f t="shared" si="44"/>
        <v>0.1</v>
      </c>
      <c r="AB150" s="136">
        <f t="shared" si="44"/>
        <v>0.1</v>
      </c>
      <c r="AC150" s="136">
        <f t="shared" si="44"/>
        <v>0.1</v>
      </c>
      <c r="AD150" s="136">
        <f t="shared" si="44"/>
        <v>0.1</v>
      </c>
      <c r="AE150" s="136">
        <f t="shared" si="44"/>
        <v>0.1</v>
      </c>
      <c r="AF150" s="136">
        <f t="shared" si="44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3"/>
        <v>2.0499999999999998</v>
      </c>
      <c r="E151" s="136">
        <f t="shared" si="43"/>
        <v>2.0499999999999998</v>
      </c>
      <c r="F151" s="136">
        <f t="shared" si="43"/>
        <v>2.0499999999999998</v>
      </c>
      <c r="G151" s="136">
        <f t="shared" si="43"/>
        <v>2.0499999999999998</v>
      </c>
      <c r="H151" s="136">
        <f t="shared" si="43"/>
        <v>2.0499999999999998</v>
      </c>
      <c r="I151" s="136">
        <f t="shared" si="43"/>
        <v>2.0499999999999998</v>
      </c>
      <c r="J151" s="136">
        <f t="shared" si="43"/>
        <v>2.0499999999999998</v>
      </c>
      <c r="K151" s="136">
        <f t="shared" si="43"/>
        <v>2.0499999999999998</v>
      </c>
      <c r="L151" s="136">
        <f t="shared" si="43"/>
        <v>2.0499999999999998</v>
      </c>
      <c r="M151" s="136">
        <f t="shared" si="43"/>
        <v>2.0499999999999998</v>
      </c>
      <c r="N151" s="136">
        <f t="shared" si="43"/>
        <v>2.0499999999999998</v>
      </c>
      <c r="O151" s="136">
        <f t="shared" si="43"/>
        <v>2.0499999999999998</v>
      </c>
      <c r="P151" s="136">
        <f t="shared" si="43"/>
        <v>2.0499999999999998</v>
      </c>
      <c r="Q151" s="136">
        <f t="shared" si="43"/>
        <v>2.0499999999999998</v>
      </c>
      <c r="R151" s="136">
        <f t="shared" si="43"/>
        <v>2.0499999999999998</v>
      </c>
      <c r="S151" s="136">
        <f t="shared" si="43"/>
        <v>2.0499999999999998</v>
      </c>
      <c r="T151" s="136">
        <f t="shared" si="44"/>
        <v>2.0499999999999998</v>
      </c>
      <c r="U151" s="136">
        <f t="shared" si="44"/>
        <v>2.0499999999999998</v>
      </c>
      <c r="V151" s="136">
        <f t="shared" si="44"/>
        <v>2.0499999999999998</v>
      </c>
      <c r="W151" s="136">
        <f t="shared" si="44"/>
        <v>2.0499999999999998</v>
      </c>
      <c r="X151" s="136">
        <f t="shared" si="44"/>
        <v>2.0499999999999998</v>
      </c>
      <c r="Y151" s="136">
        <f t="shared" si="44"/>
        <v>2.0499999999999998</v>
      </c>
      <c r="Z151" s="136">
        <f t="shared" si="44"/>
        <v>2.0499999999999998</v>
      </c>
      <c r="AA151" s="136">
        <f t="shared" si="44"/>
        <v>2.0499999999999998</v>
      </c>
      <c r="AB151" s="136">
        <f t="shared" si="44"/>
        <v>2.0499999999999998</v>
      </c>
      <c r="AC151" s="136">
        <f t="shared" si="44"/>
        <v>2.0499999999999998</v>
      </c>
      <c r="AD151" s="136">
        <f t="shared" si="44"/>
        <v>2.0499999999999998</v>
      </c>
      <c r="AE151" s="136">
        <f t="shared" si="44"/>
        <v>2.0499999999999998</v>
      </c>
      <c r="AF151" s="136">
        <f t="shared" si="44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3"/>
        <v>2.7</v>
      </c>
      <c r="E152" s="136">
        <f t="shared" si="43"/>
        <v>2.7</v>
      </c>
      <c r="F152" s="136">
        <f t="shared" si="43"/>
        <v>2.7</v>
      </c>
      <c r="G152" s="136">
        <f t="shared" si="43"/>
        <v>2.7</v>
      </c>
      <c r="H152" s="136">
        <f t="shared" si="43"/>
        <v>2.7</v>
      </c>
      <c r="I152" s="136">
        <f t="shared" si="43"/>
        <v>2.7</v>
      </c>
      <c r="J152" s="136">
        <f t="shared" si="43"/>
        <v>2.7</v>
      </c>
      <c r="K152" s="136">
        <f t="shared" si="43"/>
        <v>2.7</v>
      </c>
      <c r="L152" s="136">
        <f t="shared" si="43"/>
        <v>2.7</v>
      </c>
      <c r="M152" s="136">
        <f t="shared" si="43"/>
        <v>2.7</v>
      </c>
      <c r="N152" s="136">
        <f t="shared" si="43"/>
        <v>2.7</v>
      </c>
      <c r="O152" s="136">
        <f t="shared" si="43"/>
        <v>2.7</v>
      </c>
      <c r="P152" s="136">
        <f t="shared" si="43"/>
        <v>2.7</v>
      </c>
      <c r="Q152" s="136">
        <f t="shared" si="43"/>
        <v>2.7</v>
      </c>
      <c r="R152" s="136">
        <f t="shared" si="43"/>
        <v>2.7</v>
      </c>
      <c r="S152" s="136">
        <f t="shared" si="43"/>
        <v>2.7</v>
      </c>
      <c r="T152" s="136">
        <f t="shared" si="44"/>
        <v>2.7</v>
      </c>
      <c r="U152" s="136">
        <f t="shared" si="44"/>
        <v>2.7</v>
      </c>
      <c r="V152" s="136">
        <f t="shared" si="44"/>
        <v>2.7</v>
      </c>
      <c r="W152" s="136">
        <f t="shared" si="44"/>
        <v>2.7</v>
      </c>
      <c r="X152" s="136">
        <f t="shared" si="44"/>
        <v>2.7</v>
      </c>
      <c r="Y152" s="136">
        <f t="shared" si="44"/>
        <v>2.7</v>
      </c>
      <c r="Z152" s="136">
        <f t="shared" si="44"/>
        <v>2.7</v>
      </c>
      <c r="AA152" s="136">
        <f t="shared" si="44"/>
        <v>2.7</v>
      </c>
      <c r="AB152" s="136">
        <f t="shared" si="44"/>
        <v>2.7</v>
      </c>
      <c r="AC152" s="136">
        <f t="shared" si="44"/>
        <v>2.7</v>
      </c>
      <c r="AD152" s="136">
        <f t="shared" si="44"/>
        <v>2.7</v>
      </c>
      <c r="AE152" s="136">
        <f t="shared" si="44"/>
        <v>2.7</v>
      </c>
      <c r="AF152" s="136">
        <f t="shared" si="44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3"/>
        <v>2.15</v>
      </c>
      <c r="E153" s="136">
        <f t="shared" si="43"/>
        <v>2.15</v>
      </c>
      <c r="F153" s="136">
        <f t="shared" si="43"/>
        <v>2.15</v>
      </c>
      <c r="G153" s="136">
        <f t="shared" si="43"/>
        <v>2.15</v>
      </c>
      <c r="H153" s="136">
        <f t="shared" si="43"/>
        <v>2.15</v>
      </c>
      <c r="I153" s="136">
        <f t="shared" si="43"/>
        <v>2.15</v>
      </c>
      <c r="J153" s="136">
        <f t="shared" si="43"/>
        <v>2.15</v>
      </c>
      <c r="K153" s="136">
        <f t="shared" si="43"/>
        <v>2.15</v>
      </c>
      <c r="L153" s="136">
        <f t="shared" si="43"/>
        <v>2.15</v>
      </c>
      <c r="M153" s="136">
        <f t="shared" si="43"/>
        <v>2.15</v>
      </c>
      <c r="N153" s="136">
        <f t="shared" si="43"/>
        <v>2.15</v>
      </c>
      <c r="O153" s="136">
        <f t="shared" si="43"/>
        <v>2.15</v>
      </c>
      <c r="P153" s="136">
        <f t="shared" si="43"/>
        <v>2.15</v>
      </c>
      <c r="Q153" s="136">
        <f t="shared" si="43"/>
        <v>2.15</v>
      </c>
      <c r="R153" s="136">
        <f t="shared" si="43"/>
        <v>2.15</v>
      </c>
      <c r="S153" s="136">
        <f t="shared" si="43"/>
        <v>2.15</v>
      </c>
      <c r="T153" s="136">
        <f t="shared" si="44"/>
        <v>2.15</v>
      </c>
      <c r="U153" s="136">
        <f t="shared" si="44"/>
        <v>2.15</v>
      </c>
      <c r="V153" s="136">
        <f t="shared" si="44"/>
        <v>2.15</v>
      </c>
      <c r="W153" s="136">
        <f t="shared" si="44"/>
        <v>2.15</v>
      </c>
      <c r="X153" s="136">
        <f t="shared" si="44"/>
        <v>2.15</v>
      </c>
      <c r="Y153" s="136">
        <f t="shared" si="44"/>
        <v>2.15</v>
      </c>
      <c r="Z153" s="136">
        <f t="shared" si="44"/>
        <v>2.15</v>
      </c>
      <c r="AA153" s="136">
        <f t="shared" si="44"/>
        <v>2.15</v>
      </c>
      <c r="AB153" s="136">
        <f t="shared" si="44"/>
        <v>2.15</v>
      </c>
      <c r="AC153" s="136">
        <f t="shared" si="44"/>
        <v>2.15</v>
      </c>
      <c r="AD153" s="136">
        <f t="shared" si="44"/>
        <v>2.15</v>
      </c>
      <c r="AE153" s="136">
        <f t="shared" si="44"/>
        <v>2.15</v>
      </c>
      <c r="AF153" s="136">
        <f t="shared" si="44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5">AF155</f>
        <v>0.9</v>
      </c>
      <c r="C155" s="137">
        <v>0.9</v>
      </c>
      <c r="D155" s="136">
        <f t="shared" ref="D155:S167" si="46">C155</f>
        <v>0.9</v>
      </c>
      <c r="E155" s="136">
        <f t="shared" si="46"/>
        <v>0.9</v>
      </c>
      <c r="F155" s="136">
        <f t="shared" si="46"/>
        <v>0.9</v>
      </c>
      <c r="G155" s="136">
        <f t="shared" si="46"/>
        <v>0.9</v>
      </c>
      <c r="H155" s="136">
        <f t="shared" si="46"/>
        <v>0.9</v>
      </c>
      <c r="I155" s="136">
        <f t="shared" si="46"/>
        <v>0.9</v>
      </c>
      <c r="J155" s="136">
        <f t="shared" si="46"/>
        <v>0.9</v>
      </c>
      <c r="K155" s="136">
        <f t="shared" si="46"/>
        <v>0.9</v>
      </c>
      <c r="L155" s="136">
        <f t="shared" si="46"/>
        <v>0.9</v>
      </c>
      <c r="M155" s="136">
        <f t="shared" si="46"/>
        <v>0.9</v>
      </c>
      <c r="N155" s="136">
        <f t="shared" si="46"/>
        <v>0.9</v>
      </c>
      <c r="O155" s="136">
        <f t="shared" si="46"/>
        <v>0.9</v>
      </c>
      <c r="P155" s="136">
        <f t="shared" si="46"/>
        <v>0.9</v>
      </c>
      <c r="Q155" s="136">
        <f t="shared" si="46"/>
        <v>0.9</v>
      </c>
      <c r="R155" s="136">
        <f t="shared" si="46"/>
        <v>0.9</v>
      </c>
      <c r="S155" s="136">
        <f t="shared" si="46"/>
        <v>0.9</v>
      </c>
      <c r="T155" s="136">
        <f t="shared" ref="S155:AF167" si="47">S155</f>
        <v>0.9</v>
      </c>
      <c r="U155" s="136">
        <f t="shared" si="47"/>
        <v>0.9</v>
      </c>
      <c r="V155" s="136">
        <f t="shared" si="47"/>
        <v>0.9</v>
      </c>
      <c r="W155" s="136">
        <f t="shared" si="47"/>
        <v>0.9</v>
      </c>
      <c r="X155" s="136">
        <f t="shared" si="47"/>
        <v>0.9</v>
      </c>
      <c r="Y155" s="136">
        <f t="shared" si="47"/>
        <v>0.9</v>
      </c>
      <c r="Z155" s="136">
        <f t="shared" si="47"/>
        <v>0.9</v>
      </c>
      <c r="AA155" s="136">
        <f t="shared" si="47"/>
        <v>0.9</v>
      </c>
      <c r="AB155" s="136">
        <f t="shared" si="47"/>
        <v>0.9</v>
      </c>
      <c r="AC155" s="136">
        <f t="shared" si="47"/>
        <v>0.9</v>
      </c>
      <c r="AD155" s="136">
        <f t="shared" si="47"/>
        <v>0.9</v>
      </c>
      <c r="AE155" s="136">
        <f t="shared" si="47"/>
        <v>0.9</v>
      </c>
      <c r="AF155" s="136">
        <f t="shared" si="47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5"/>
        <v>1.08</v>
      </c>
      <c r="C156" s="137">
        <v>1.08</v>
      </c>
      <c r="D156" s="136">
        <f t="shared" si="46"/>
        <v>1.08</v>
      </c>
      <c r="E156" s="136">
        <f t="shared" si="46"/>
        <v>1.08</v>
      </c>
      <c r="F156" s="136">
        <f t="shared" si="46"/>
        <v>1.08</v>
      </c>
      <c r="G156" s="136">
        <f t="shared" si="46"/>
        <v>1.08</v>
      </c>
      <c r="H156" s="136">
        <f t="shared" si="46"/>
        <v>1.08</v>
      </c>
      <c r="I156" s="136">
        <f t="shared" si="46"/>
        <v>1.08</v>
      </c>
      <c r="J156" s="136">
        <f t="shared" si="46"/>
        <v>1.08</v>
      </c>
      <c r="K156" s="136">
        <f t="shared" si="46"/>
        <v>1.08</v>
      </c>
      <c r="L156" s="136">
        <f t="shared" si="46"/>
        <v>1.08</v>
      </c>
      <c r="M156" s="136">
        <f t="shared" si="46"/>
        <v>1.08</v>
      </c>
      <c r="N156" s="136">
        <f t="shared" si="46"/>
        <v>1.08</v>
      </c>
      <c r="O156" s="136">
        <f t="shared" si="46"/>
        <v>1.08</v>
      </c>
      <c r="P156" s="136">
        <f t="shared" si="46"/>
        <v>1.08</v>
      </c>
      <c r="Q156" s="136">
        <f t="shared" si="46"/>
        <v>1.08</v>
      </c>
      <c r="R156" s="136">
        <f t="shared" si="46"/>
        <v>1.08</v>
      </c>
      <c r="S156" s="136">
        <f t="shared" si="46"/>
        <v>1.08</v>
      </c>
      <c r="T156" s="136">
        <f t="shared" si="47"/>
        <v>1.08</v>
      </c>
      <c r="U156" s="136">
        <f t="shared" si="47"/>
        <v>1.08</v>
      </c>
      <c r="V156" s="136">
        <f t="shared" si="47"/>
        <v>1.08</v>
      </c>
      <c r="W156" s="136">
        <f t="shared" si="47"/>
        <v>1.08</v>
      </c>
      <c r="X156" s="136">
        <f t="shared" si="47"/>
        <v>1.08</v>
      </c>
      <c r="Y156" s="136">
        <f t="shared" si="47"/>
        <v>1.08</v>
      </c>
      <c r="Z156" s="136">
        <f t="shared" si="47"/>
        <v>1.08</v>
      </c>
      <c r="AA156" s="136">
        <f t="shared" si="47"/>
        <v>1.08</v>
      </c>
      <c r="AB156" s="136">
        <f t="shared" si="47"/>
        <v>1.08</v>
      </c>
      <c r="AC156" s="136">
        <f t="shared" si="47"/>
        <v>1.08</v>
      </c>
      <c r="AD156" s="136">
        <f t="shared" si="47"/>
        <v>1.08</v>
      </c>
      <c r="AE156" s="136">
        <f t="shared" si="47"/>
        <v>1.08</v>
      </c>
      <c r="AF156" s="136">
        <f t="shared" si="47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5"/>
        <v>2.37</v>
      </c>
      <c r="C157" s="137">
        <v>2.37</v>
      </c>
      <c r="D157" s="136">
        <f t="shared" si="46"/>
        <v>2.37</v>
      </c>
      <c r="E157" s="136">
        <f t="shared" si="46"/>
        <v>2.37</v>
      </c>
      <c r="F157" s="136">
        <f t="shared" si="46"/>
        <v>2.37</v>
      </c>
      <c r="G157" s="136">
        <f t="shared" si="46"/>
        <v>2.37</v>
      </c>
      <c r="H157" s="136">
        <f t="shared" si="46"/>
        <v>2.37</v>
      </c>
      <c r="I157" s="136">
        <f t="shared" si="46"/>
        <v>2.37</v>
      </c>
      <c r="J157" s="136">
        <f t="shared" si="46"/>
        <v>2.37</v>
      </c>
      <c r="K157" s="136">
        <f t="shared" si="46"/>
        <v>2.37</v>
      </c>
      <c r="L157" s="136">
        <f t="shared" si="46"/>
        <v>2.37</v>
      </c>
      <c r="M157" s="136">
        <f t="shared" si="46"/>
        <v>2.37</v>
      </c>
      <c r="N157" s="136">
        <f t="shared" si="46"/>
        <v>2.37</v>
      </c>
      <c r="O157" s="136">
        <f t="shared" si="46"/>
        <v>2.37</v>
      </c>
      <c r="P157" s="136">
        <f t="shared" si="46"/>
        <v>2.37</v>
      </c>
      <c r="Q157" s="136">
        <f t="shared" si="46"/>
        <v>2.37</v>
      </c>
      <c r="R157" s="136">
        <f t="shared" si="46"/>
        <v>2.37</v>
      </c>
      <c r="S157" s="136">
        <f t="shared" si="46"/>
        <v>2.37</v>
      </c>
      <c r="T157" s="136">
        <f t="shared" si="47"/>
        <v>2.37</v>
      </c>
      <c r="U157" s="136">
        <f t="shared" si="47"/>
        <v>2.37</v>
      </c>
      <c r="V157" s="136">
        <f t="shared" si="47"/>
        <v>2.37</v>
      </c>
      <c r="W157" s="136">
        <f t="shared" si="47"/>
        <v>2.37</v>
      </c>
      <c r="X157" s="136">
        <f t="shared" si="47"/>
        <v>2.37</v>
      </c>
      <c r="Y157" s="136">
        <f t="shared" si="47"/>
        <v>2.37</v>
      </c>
      <c r="Z157" s="136">
        <f t="shared" si="47"/>
        <v>2.37</v>
      </c>
      <c r="AA157" s="136">
        <f t="shared" si="47"/>
        <v>2.37</v>
      </c>
      <c r="AB157" s="136">
        <f t="shared" si="47"/>
        <v>2.37</v>
      </c>
      <c r="AC157" s="136">
        <f t="shared" si="47"/>
        <v>2.37</v>
      </c>
      <c r="AD157" s="136">
        <f t="shared" si="47"/>
        <v>2.37</v>
      </c>
      <c r="AE157" s="136">
        <f t="shared" si="47"/>
        <v>2.37</v>
      </c>
      <c r="AF157" s="136">
        <f t="shared" si="47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5"/>
        <v>1.81</v>
      </c>
      <c r="C158" s="137">
        <v>1.81</v>
      </c>
      <c r="D158" s="136">
        <f t="shared" si="46"/>
        <v>1.81</v>
      </c>
      <c r="E158" s="136">
        <f t="shared" si="46"/>
        <v>1.81</v>
      </c>
      <c r="F158" s="136">
        <f t="shared" si="46"/>
        <v>1.81</v>
      </c>
      <c r="G158" s="136">
        <f t="shared" si="46"/>
        <v>1.81</v>
      </c>
      <c r="H158" s="136">
        <f t="shared" si="46"/>
        <v>1.81</v>
      </c>
      <c r="I158" s="136">
        <f t="shared" si="46"/>
        <v>1.81</v>
      </c>
      <c r="J158" s="136">
        <f t="shared" si="46"/>
        <v>1.81</v>
      </c>
      <c r="K158" s="136">
        <f t="shared" si="46"/>
        <v>1.81</v>
      </c>
      <c r="L158" s="136">
        <f t="shared" si="46"/>
        <v>1.81</v>
      </c>
      <c r="M158" s="136">
        <f t="shared" si="46"/>
        <v>1.81</v>
      </c>
      <c r="N158" s="136">
        <f t="shared" si="46"/>
        <v>1.81</v>
      </c>
      <c r="O158" s="136">
        <f t="shared" si="46"/>
        <v>1.81</v>
      </c>
      <c r="P158" s="136">
        <f t="shared" si="46"/>
        <v>1.81</v>
      </c>
      <c r="Q158" s="136">
        <f t="shared" si="46"/>
        <v>1.81</v>
      </c>
      <c r="R158" s="136">
        <f t="shared" si="46"/>
        <v>1.81</v>
      </c>
      <c r="S158" s="136">
        <f t="shared" si="46"/>
        <v>1.81</v>
      </c>
      <c r="T158" s="136">
        <f t="shared" si="47"/>
        <v>1.81</v>
      </c>
      <c r="U158" s="136">
        <f t="shared" si="47"/>
        <v>1.81</v>
      </c>
      <c r="V158" s="136">
        <f t="shared" si="47"/>
        <v>1.81</v>
      </c>
      <c r="W158" s="136">
        <f t="shared" si="47"/>
        <v>1.81</v>
      </c>
      <c r="X158" s="136">
        <f t="shared" si="47"/>
        <v>1.81</v>
      </c>
      <c r="Y158" s="136">
        <f t="shared" si="47"/>
        <v>1.81</v>
      </c>
      <c r="Z158" s="136">
        <f t="shared" si="47"/>
        <v>1.81</v>
      </c>
      <c r="AA158" s="136">
        <f t="shared" si="47"/>
        <v>1.81</v>
      </c>
      <c r="AB158" s="136">
        <f t="shared" si="47"/>
        <v>1.81</v>
      </c>
      <c r="AC158" s="136">
        <f t="shared" si="47"/>
        <v>1.81</v>
      </c>
      <c r="AD158" s="136">
        <f t="shared" si="47"/>
        <v>1.81</v>
      </c>
      <c r="AE158" s="136">
        <f t="shared" si="47"/>
        <v>1.81</v>
      </c>
      <c r="AF158" s="136">
        <f t="shared" si="47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5"/>
        <v>1.0900000000000001</v>
      </c>
      <c r="C159" s="137">
        <v>1.0900000000000001</v>
      </c>
      <c r="D159" s="136">
        <f t="shared" si="46"/>
        <v>1.0900000000000001</v>
      </c>
      <c r="E159" s="136">
        <f t="shared" si="46"/>
        <v>1.0900000000000001</v>
      </c>
      <c r="F159" s="136">
        <f t="shared" si="46"/>
        <v>1.0900000000000001</v>
      </c>
      <c r="G159" s="136">
        <f t="shared" si="46"/>
        <v>1.0900000000000001</v>
      </c>
      <c r="H159" s="136">
        <f t="shared" si="46"/>
        <v>1.0900000000000001</v>
      </c>
      <c r="I159" s="136">
        <f t="shared" si="46"/>
        <v>1.0900000000000001</v>
      </c>
      <c r="J159" s="136">
        <f t="shared" si="46"/>
        <v>1.0900000000000001</v>
      </c>
      <c r="K159" s="136">
        <f t="shared" si="46"/>
        <v>1.0900000000000001</v>
      </c>
      <c r="L159" s="136">
        <f t="shared" si="46"/>
        <v>1.0900000000000001</v>
      </c>
      <c r="M159" s="136">
        <f t="shared" si="46"/>
        <v>1.0900000000000001</v>
      </c>
      <c r="N159" s="136">
        <f t="shared" si="46"/>
        <v>1.0900000000000001</v>
      </c>
      <c r="O159" s="136">
        <f t="shared" si="46"/>
        <v>1.0900000000000001</v>
      </c>
      <c r="P159" s="136">
        <f t="shared" si="46"/>
        <v>1.0900000000000001</v>
      </c>
      <c r="Q159" s="136">
        <f t="shared" si="46"/>
        <v>1.0900000000000001</v>
      </c>
      <c r="R159" s="136">
        <f t="shared" si="46"/>
        <v>1.0900000000000001</v>
      </c>
      <c r="S159" s="136">
        <f t="shared" si="46"/>
        <v>1.0900000000000001</v>
      </c>
      <c r="T159" s="136">
        <f t="shared" si="47"/>
        <v>1.0900000000000001</v>
      </c>
      <c r="U159" s="136">
        <f t="shared" si="47"/>
        <v>1.0900000000000001</v>
      </c>
      <c r="V159" s="136">
        <f t="shared" si="47"/>
        <v>1.0900000000000001</v>
      </c>
      <c r="W159" s="136">
        <f t="shared" si="47"/>
        <v>1.0900000000000001</v>
      </c>
      <c r="X159" s="136">
        <f t="shared" si="47"/>
        <v>1.0900000000000001</v>
      </c>
      <c r="Y159" s="136">
        <f t="shared" si="47"/>
        <v>1.0900000000000001</v>
      </c>
      <c r="Z159" s="136">
        <f t="shared" si="47"/>
        <v>1.0900000000000001</v>
      </c>
      <c r="AA159" s="136">
        <f t="shared" si="47"/>
        <v>1.0900000000000001</v>
      </c>
      <c r="AB159" s="136">
        <f t="shared" si="47"/>
        <v>1.0900000000000001</v>
      </c>
      <c r="AC159" s="136">
        <f t="shared" si="47"/>
        <v>1.0900000000000001</v>
      </c>
      <c r="AD159" s="136">
        <f t="shared" si="47"/>
        <v>1.0900000000000001</v>
      </c>
      <c r="AE159" s="136">
        <f t="shared" si="47"/>
        <v>1.0900000000000001</v>
      </c>
      <c r="AF159" s="136">
        <f t="shared" si="47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5"/>
        <v>1.58</v>
      </c>
      <c r="C160" s="137">
        <v>1.58</v>
      </c>
      <c r="D160" s="136">
        <f t="shared" si="46"/>
        <v>1.58</v>
      </c>
      <c r="E160" s="136">
        <f t="shared" si="46"/>
        <v>1.58</v>
      </c>
      <c r="F160" s="136">
        <f t="shared" si="46"/>
        <v>1.58</v>
      </c>
      <c r="G160" s="136">
        <f t="shared" si="46"/>
        <v>1.58</v>
      </c>
      <c r="H160" s="136">
        <f t="shared" si="46"/>
        <v>1.58</v>
      </c>
      <c r="I160" s="136">
        <f t="shared" si="46"/>
        <v>1.58</v>
      </c>
      <c r="J160" s="136">
        <f t="shared" si="46"/>
        <v>1.58</v>
      </c>
      <c r="K160" s="136">
        <f t="shared" si="46"/>
        <v>1.58</v>
      </c>
      <c r="L160" s="136">
        <f t="shared" si="46"/>
        <v>1.58</v>
      </c>
      <c r="M160" s="136">
        <f t="shared" si="46"/>
        <v>1.58</v>
      </c>
      <c r="N160" s="136">
        <f t="shared" si="46"/>
        <v>1.58</v>
      </c>
      <c r="O160" s="136">
        <f t="shared" si="46"/>
        <v>1.58</v>
      </c>
      <c r="P160" s="136">
        <f t="shared" si="46"/>
        <v>1.58</v>
      </c>
      <c r="Q160" s="136">
        <f t="shared" si="46"/>
        <v>1.58</v>
      </c>
      <c r="R160" s="136">
        <f t="shared" si="46"/>
        <v>1.58</v>
      </c>
      <c r="S160" s="136">
        <f t="shared" si="46"/>
        <v>1.58</v>
      </c>
      <c r="T160" s="136">
        <f t="shared" si="47"/>
        <v>1.58</v>
      </c>
      <c r="U160" s="136">
        <f t="shared" si="47"/>
        <v>1.58</v>
      </c>
      <c r="V160" s="136">
        <f t="shared" si="47"/>
        <v>1.58</v>
      </c>
      <c r="W160" s="136">
        <f t="shared" si="47"/>
        <v>1.58</v>
      </c>
      <c r="X160" s="136">
        <f t="shared" si="47"/>
        <v>1.58</v>
      </c>
      <c r="Y160" s="136">
        <f t="shared" si="47"/>
        <v>1.58</v>
      </c>
      <c r="Z160" s="136">
        <f t="shared" si="47"/>
        <v>1.58</v>
      </c>
      <c r="AA160" s="136">
        <f t="shared" si="47"/>
        <v>1.58</v>
      </c>
      <c r="AB160" s="136">
        <f t="shared" si="47"/>
        <v>1.58</v>
      </c>
      <c r="AC160" s="136">
        <f t="shared" si="47"/>
        <v>1.58</v>
      </c>
      <c r="AD160" s="136">
        <f t="shared" si="47"/>
        <v>1.58</v>
      </c>
      <c r="AE160" s="136">
        <f t="shared" si="47"/>
        <v>1.58</v>
      </c>
      <c r="AF160" s="136">
        <f t="shared" si="47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5"/>
        <v>2</v>
      </c>
      <c r="C161" s="137">
        <v>2</v>
      </c>
      <c r="D161" s="136">
        <f t="shared" si="46"/>
        <v>2</v>
      </c>
      <c r="E161" s="136">
        <f t="shared" si="46"/>
        <v>2</v>
      </c>
      <c r="F161" s="136">
        <f t="shared" si="46"/>
        <v>2</v>
      </c>
      <c r="G161" s="136">
        <f t="shared" si="46"/>
        <v>2</v>
      </c>
      <c r="H161" s="136">
        <f t="shared" si="46"/>
        <v>2</v>
      </c>
      <c r="I161" s="136">
        <f t="shared" si="46"/>
        <v>2</v>
      </c>
      <c r="J161" s="136">
        <f t="shared" si="46"/>
        <v>2</v>
      </c>
      <c r="K161" s="136">
        <f t="shared" si="46"/>
        <v>2</v>
      </c>
      <c r="L161" s="136">
        <f t="shared" si="46"/>
        <v>2</v>
      </c>
      <c r="M161" s="136">
        <f t="shared" si="46"/>
        <v>2</v>
      </c>
      <c r="N161" s="136">
        <f t="shared" si="46"/>
        <v>2</v>
      </c>
      <c r="O161" s="136">
        <f t="shared" si="46"/>
        <v>2</v>
      </c>
      <c r="P161" s="136">
        <f t="shared" si="46"/>
        <v>2</v>
      </c>
      <c r="Q161" s="136">
        <f t="shared" si="46"/>
        <v>2</v>
      </c>
      <c r="R161" s="136">
        <f t="shared" si="46"/>
        <v>2</v>
      </c>
      <c r="S161" s="136">
        <f t="shared" si="46"/>
        <v>2</v>
      </c>
      <c r="T161" s="136">
        <f t="shared" si="47"/>
        <v>2</v>
      </c>
      <c r="U161" s="136">
        <f t="shared" si="47"/>
        <v>2</v>
      </c>
      <c r="V161" s="136">
        <f t="shared" si="47"/>
        <v>2</v>
      </c>
      <c r="W161" s="136">
        <f t="shared" si="47"/>
        <v>2</v>
      </c>
      <c r="X161" s="136">
        <f t="shared" si="47"/>
        <v>2</v>
      </c>
      <c r="Y161" s="136">
        <f t="shared" si="47"/>
        <v>2</v>
      </c>
      <c r="Z161" s="136">
        <f t="shared" si="47"/>
        <v>2</v>
      </c>
      <c r="AA161" s="136">
        <f t="shared" si="47"/>
        <v>2</v>
      </c>
      <c r="AB161" s="136">
        <f t="shared" si="47"/>
        <v>2</v>
      </c>
      <c r="AC161" s="136">
        <f t="shared" si="47"/>
        <v>2</v>
      </c>
      <c r="AD161" s="136">
        <f t="shared" si="47"/>
        <v>2</v>
      </c>
      <c r="AE161" s="136">
        <f t="shared" si="47"/>
        <v>2</v>
      </c>
      <c r="AF161" s="136">
        <f t="shared" si="47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5"/>
        <v>0.47</v>
      </c>
      <c r="C162" s="137">
        <v>0.47</v>
      </c>
      <c r="D162" s="136">
        <f t="shared" si="46"/>
        <v>0.47</v>
      </c>
      <c r="E162" s="136">
        <f t="shared" si="46"/>
        <v>0.47</v>
      </c>
      <c r="F162" s="136">
        <f t="shared" si="46"/>
        <v>0.47</v>
      </c>
      <c r="G162" s="136">
        <f t="shared" si="46"/>
        <v>0.47</v>
      </c>
      <c r="H162" s="136">
        <f t="shared" si="46"/>
        <v>0.47</v>
      </c>
      <c r="I162" s="136">
        <f t="shared" si="46"/>
        <v>0.47</v>
      </c>
      <c r="J162" s="136">
        <f t="shared" si="46"/>
        <v>0.47</v>
      </c>
      <c r="K162" s="136">
        <f t="shared" si="46"/>
        <v>0.47</v>
      </c>
      <c r="L162" s="136">
        <f t="shared" si="46"/>
        <v>0.47</v>
      </c>
      <c r="M162" s="136">
        <f t="shared" si="46"/>
        <v>0.47</v>
      </c>
      <c r="N162" s="136">
        <f t="shared" si="46"/>
        <v>0.47</v>
      </c>
      <c r="O162" s="136">
        <f t="shared" si="46"/>
        <v>0.47</v>
      </c>
      <c r="P162" s="136">
        <f t="shared" si="46"/>
        <v>0.47</v>
      </c>
      <c r="Q162" s="136">
        <f t="shared" si="46"/>
        <v>0.47</v>
      </c>
      <c r="R162" s="136">
        <f t="shared" si="46"/>
        <v>0.47</v>
      </c>
      <c r="S162" s="136">
        <f t="shared" si="46"/>
        <v>0.47</v>
      </c>
      <c r="T162" s="136">
        <f t="shared" si="47"/>
        <v>0.47</v>
      </c>
      <c r="U162" s="136">
        <f t="shared" si="47"/>
        <v>0.47</v>
      </c>
      <c r="V162" s="136">
        <f t="shared" si="47"/>
        <v>0.47</v>
      </c>
      <c r="W162" s="136">
        <f t="shared" si="47"/>
        <v>0.47</v>
      </c>
      <c r="X162" s="136">
        <f t="shared" si="47"/>
        <v>0.47</v>
      </c>
      <c r="Y162" s="136">
        <f t="shared" si="47"/>
        <v>0.47</v>
      </c>
      <c r="Z162" s="136">
        <f t="shared" si="47"/>
        <v>0.47</v>
      </c>
      <c r="AA162" s="136">
        <f t="shared" si="47"/>
        <v>0.47</v>
      </c>
      <c r="AB162" s="136">
        <f t="shared" si="47"/>
        <v>0.47</v>
      </c>
      <c r="AC162" s="136">
        <f t="shared" si="47"/>
        <v>0.47</v>
      </c>
      <c r="AD162" s="136">
        <f t="shared" si="47"/>
        <v>0.47</v>
      </c>
      <c r="AE162" s="136">
        <f t="shared" si="47"/>
        <v>0.47</v>
      </c>
      <c r="AF162" s="136">
        <f t="shared" si="47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5"/>
        <v>0</v>
      </c>
      <c r="C163" s="137">
        <v>0</v>
      </c>
      <c r="D163" s="136">
        <f t="shared" si="46"/>
        <v>0</v>
      </c>
      <c r="E163" s="136">
        <f t="shared" si="46"/>
        <v>0</v>
      </c>
      <c r="F163" s="136">
        <f t="shared" si="46"/>
        <v>0</v>
      </c>
      <c r="G163" s="136">
        <f t="shared" si="46"/>
        <v>0</v>
      </c>
      <c r="H163" s="136">
        <f t="shared" si="46"/>
        <v>0</v>
      </c>
      <c r="I163" s="136">
        <f t="shared" si="46"/>
        <v>0</v>
      </c>
      <c r="J163" s="136">
        <f t="shared" si="46"/>
        <v>0</v>
      </c>
      <c r="K163" s="136">
        <f t="shared" si="46"/>
        <v>0</v>
      </c>
      <c r="L163" s="136">
        <f t="shared" si="46"/>
        <v>0</v>
      </c>
      <c r="M163" s="136">
        <f t="shared" si="46"/>
        <v>0</v>
      </c>
      <c r="N163" s="136">
        <f t="shared" si="46"/>
        <v>0</v>
      </c>
      <c r="O163" s="136">
        <f t="shared" si="46"/>
        <v>0</v>
      </c>
      <c r="P163" s="136">
        <f t="shared" si="46"/>
        <v>0</v>
      </c>
      <c r="Q163" s="136">
        <f t="shared" si="46"/>
        <v>0</v>
      </c>
      <c r="R163" s="136">
        <f t="shared" si="46"/>
        <v>0</v>
      </c>
      <c r="S163" s="136">
        <f t="shared" si="46"/>
        <v>0</v>
      </c>
      <c r="T163" s="136">
        <f t="shared" si="47"/>
        <v>0</v>
      </c>
      <c r="U163" s="136">
        <f t="shared" si="47"/>
        <v>0</v>
      </c>
      <c r="V163" s="136">
        <f t="shared" si="47"/>
        <v>0</v>
      </c>
      <c r="W163" s="136">
        <f t="shared" si="47"/>
        <v>0</v>
      </c>
      <c r="X163" s="136">
        <f t="shared" si="47"/>
        <v>0</v>
      </c>
      <c r="Y163" s="136">
        <f t="shared" si="47"/>
        <v>0</v>
      </c>
      <c r="Z163" s="136">
        <f t="shared" si="47"/>
        <v>0</v>
      </c>
      <c r="AA163" s="136">
        <f t="shared" si="47"/>
        <v>0</v>
      </c>
      <c r="AB163" s="136">
        <f t="shared" si="47"/>
        <v>0</v>
      </c>
      <c r="AC163" s="136">
        <f t="shared" si="47"/>
        <v>0</v>
      </c>
      <c r="AD163" s="136">
        <f t="shared" si="47"/>
        <v>0</v>
      </c>
      <c r="AE163" s="136">
        <f t="shared" si="47"/>
        <v>0</v>
      </c>
      <c r="AF163" s="136">
        <f t="shared" si="47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5"/>
        <v>0</v>
      </c>
      <c r="C164" s="137">
        <v>0</v>
      </c>
      <c r="D164" s="136">
        <f t="shared" si="46"/>
        <v>0</v>
      </c>
      <c r="E164" s="136">
        <f t="shared" si="46"/>
        <v>0</v>
      </c>
      <c r="F164" s="136">
        <f t="shared" si="46"/>
        <v>0</v>
      </c>
      <c r="G164" s="136">
        <f t="shared" si="46"/>
        <v>0</v>
      </c>
      <c r="H164" s="136">
        <f t="shared" si="46"/>
        <v>0</v>
      </c>
      <c r="I164" s="136">
        <f t="shared" si="46"/>
        <v>0</v>
      </c>
      <c r="J164" s="136">
        <f t="shared" si="46"/>
        <v>0</v>
      </c>
      <c r="K164" s="136">
        <f t="shared" si="46"/>
        <v>0</v>
      </c>
      <c r="L164" s="136">
        <f t="shared" si="46"/>
        <v>0</v>
      </c>
      <c r="M164" s="136">
        <f t="shared" si="46"/>
        <v>0</v>
      </c>
      <c r="N164" s="136">
        <f t="shared" si="46"/>
        <v>0</v>
      </c>
      <c r="O164" s="136">
        <f t="shared" si="46"/>
        <v>0</v>
      </c>
      <c r="P164" s="136">
        <f t="shared" si="46"/>
        <v>0</v>
      </c>
      <c r="Q164" s="136">
        <f t="shared" si="46"/>
        <v>0</v>
      </c>
      <c r="R164" s="136">
        <f t="shared" si="46"/>
        <v>0</v>
      </c>
      <c r="S164" s="136">
        <f t="shared" si="47"/>
        <v>0</v>
      </c>
      <c r="T164" s="136">
        <f t="shared" si="47"/>
        <v>0</v>
      </c>
      <c r="U164" s="136">
        <f t="shared" si="47"/>
        <v>0</v>
      </c>
      <c r="V164" s="136">
        <f t="shared" si="47"/>
        <v>0</v>
      </c>
      <c r="W164" s="136">
        <f t="shared" si="47"/>
        <v>0</v>
      </c>
      <c r="X164" s="136">
        <f t="shared" si="47"/>
        <v>0</v>
      </c>
      <c r="Y164" s="136">
        <f t="shared" si="47"/>
        <v>0</v>
      </c>
      <c r="Z164" s="136">
        <f t="shared" si="47"/>
        <v>0</v>
      </c>
      <c r="AA164" s="136">
        <f t="shared" si="47"/>
        <v>0</v>
      </c>
      <c r="AB164" s="136">
        <f t="shared" si="47"/>
        <v>0</v>
      </c>
      <c r="AC164" s="136">
        <f t="shared" si="47"/>
        <v>0</v>
      </c>
      <c r="AD164" s="136">
        <f t="shared" si="47"/>
        <v>0</v>
      </c>
      <c r="AE164" s="136">
        <f t="shared" si="47"/>
        <v>0</v>
      </c>
      <c r="AF164" s="136">
        <f t="shared" si="47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5"/>
        <v>0.8</v>
      </c>
      <c r="C165" s="137">
        <v>0.8</v>
      </c>
      <c r="D165" s="136">
        <f t="shared" si="46"/>
        <v>0.8</v>
      </c>
      <c r="E165" s="136">
        <f t="shared" si="46"/>
        <v>0.8</v>
      </c>
      <c r="F165" s="136">
        <f t="shared" si="46"/>
        <v>0.8</v>
      </c>
      <c r="G165" s="136">
        <f t="shared" si="46"/>
        <v>0.8</v>
      </c>
      <c r="H165" s="136">
        <f t="shared" si="46"/>
        <v>0.8</v>
      </c>
      <c r="I165" s="136">
        <f t="shared" si="46"/>
        <v>0.8</v>
      </c>
      <c r="J165" s="136">
        <f t="shared" si="46"/>
        <v>0.8</v>
      </c>
      <c r="K165" s="136">
        <f t="shared" si="46"/>
        <v>0.8</v>
      </c>
      <c r="L165" s="136">
        <f t="shared" si="46"/>
        <v>0.8</v>
      </c>
      <c r="M165" s="136">
        <f t="shared" si="46"/>
        <v>0.8</v>
      </c>
      <c r="N165" s="136">
        <f t="shared" si="46"/>
        <v>0.8</v>
      </c>
      <c r="O165" s="136">
        <f t="shared" si="46"/>
        <v>0.8</v>
      </c>
      <c r="P165" s="136">
        <f t="shared" si="46"/>
        <v>0.8</v>
      </c>
      <c r="Q165" s="136">
        <f t="shared" si="46"/>
        <v>0.8</v>
      </c>
      <c r="R165" s="136">
        <f t="shared" si="46"/>
        <v>0.8</v>
      </c>
      <c r="S165" s="136">
        <f t="shared" si="47"/>
        <v>0.8</v>
      </c>
      <c r="T165" s="136">
        <f t="shared" si="47"/>
        <v>0.8</v>
      </c>
      <c r="U165" s="136">
        <f t="shared" si="47"/>
        <v>0.8</v>
      </c>
      <c r="V165" s="136">
        <f t="shared" si="47"/>
        <v>0.8</v>
      </c>
      <c r="W165" s="136">
        <f t="shared" si="47"/>
        <v>0.8</v>
      </c>
      <c r="X165" s="136">
        <f t="shared" si="47"/>
        <v>0.8</v>
      </c>
      <c r="Y165" s="136">
        <f t="shared" si="47"/>
        <v>0.8</v>
      </c>
      <c r="Z165" s="136">
        <f t="shared" si="47"/>
        <v>0.8</v>
      </c>
      <c r="AA165" s="136">
        <f t="shared" si="47"/>
        <v>0.8</v>
      </c>
      <c r="AB165" s="136">
        <f t="shared" si="47"/>
        <v>0.8</v>
      </c>
      <c r="AC165" s="136">
        <f t="shared" si="47"/>
        <v>0.8</v>
      </c>
      <c r="AD165" s="136">
        <f t="shared" si="47"/>
        <v>0.8</v>
      </c>
      <c r="AE165" s="136">
        <f t="shared" si="47"/>
        <v>0.8</v>
      </c>
      <c r="AF165" s="136">
        <f t="shared" si="47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5"/>
        <v>1.5</v>
      </c>
      <c r="C166" s="137">
        <v>1.5</v>
      </c>
      <c r="D166" s="136">
        <f t="shared" si="46"/>
        <v>1.5</v>
      </c>
      <c r="E166" s="136">
        <f t="shared" si="46"/>
        <v>1.5</v>
      </c>
      <c r="F166" s="136">
        <f t="shared" si="46"/>
        <v>1.5</v>
      </c>
      <c r="G166" s="136">
        <f t="shared" si="46"/>
        <v>1.5</v>
      </c>
      <c r="H166" s="136">
        <f t="shared" si="46"/>
        <v>1.5</v>
      </c>
      <c r="I166" s="136">
        <f t="shared" si="46"/>
        <v>1.5</v>
      </c>
      <c r="J166" s="136">
        <f t="shared" si="46"/>
        <v>1.5</v>
      </c>
      <c r="K166" s="136">
        <f t="shared" si="46"/>
        <v>1.5</v>
      </c>
      <c r="L166" s="136">
        <f t="shared" si="46"/>
        <v>1.5</v>
      </c>
      <c r="M166" s="136">
        <f t="shared" si="46"/>
        <v>1.5</v>
      </c>
      <c r="N166" s="136">
        <f t="shared" si="46"/>
        <v>1.5</v>
      </c>
      <c r="O166" s="136">
        <f t="shared" si="46"/>
        <v>1.5</v>
      </c>
      <c r="P166" s="136">
        <f t="shared" si="46"/>
        <v>1.5</v>
      </c>
      <c r="Q166" s="136">
        <f t="shared" si="46"/>
        <v>1.5</v>
      </c>
      <c r="R166" s="136">
        <f t="shared" si="46"/>
        <v>1.5</v>
      </c>
      <c r="S166" s="136">
        <f t="shared" si="47"/>
        <v>1.5</v>
      </c>
      <c r="T166" s="136">
        <f t="shared" si="47"/>
        <v>1.5</v>
      </c>
      <c r="U166" s="136">
        <f t="shared" si="47"/>
        <v>1.5</v>
      </c>
      <c r="V166" s="136">
        <f t="shared" si="47"/>
        <v>1.5</v>
      </c>
      <c r="W166" s="136">
        <f t="shared" si="47"/>
        <v>1.5</v>
      </c>
      <c r="X166" s="136">
        <f t="shared" si="47"/>
        <v>1.5</v>
      </c>
      <c r="Y166" s="136">
        <f t="shared" si="47"/>
        <v>1.5</v>
      </c>
      <c r="Z166" s="136">
        <f t="shared" si="47"/>
        <v>1.5</v>
      </c>
      <c r="AA166" s="136">
        <f t="shared" si="47"/>
        <v>1.5</v>
      </c>
      <c r="AB166" s="136">
        <f t="shared" si="47"/>
        <v>1.5</v>
      </c>
      <c r="AC166" s="136">
        <f t="shared" si="47"/>
        <v>1.5</v>
      </c>
      <c r="AD166" s="136">
        <f t="shared" si="47"/>
        <v>1.5</v>
      </c>
      <c r="AE166" s="136">
        <f t="shared" si="47"/>
        <v>1.5</v>
      </c>
      <c r="AF166" s="136">
        <f t="shared" si="47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5"/>
        <v>1</v>
      </c>
      <c r="C167" s="137">
        <v>1</v>
      </c>
      <c r="D167" s="136">
        <f t="shared" si="46"/>
        <v>1</v>
      </c>
      <c r="E167" s="136">
        <f t="shared" si="46"/>
        <v>1</v>
      </c>
      <c r="F167" s="136">
        <f t="shared" si="46"/>
        <v>1</v>
      </c>
      <c r="G167" s="136">
        <f t="shared" si="46"/>
        <v>1</v>
      </c>
      <c r="H167" s="136">
        <f t="shared" si="46"/>
        <v>1</v>
      </c>
      <c r="I167" s="136">
        <f t="shared" si="46"/>
        <v>1</v>
      </c>
      <c r="J167" s="136">
        <f t="shared" si="46"/>
        <v>1</v>
      </c>
      <c r="K167" s="136">
        <f t="shared" si="46"/>
        <v>1</v>
      </c>
      <c r="L167" s="136">
        <f t="shared" si="46"/>
        <v>1</v>
      </c>
      <c r="M167" s="136">
        <f t="shared" si="46"/>
        <v>1</v>
      </c>
      <c r="N167" s="136">
        <f t="shared" si="46"/>
        <v>1</v>
      </c>
      <c r="O167" s="136">
        <f t="shared" si="46"/>
        <v>1</v>
      </c>
      <c r="P167" s="136">
        <f t="shared" si="46"/>
        <v>1</v>
      </c>
      <c r="Q167" s="136">
        <f t="shared" si="46"/>
        <v>1</v>
      </c>
      <c r="R167" s="136">
        <f t="shared" si="46"/>
        <v>1</v>
      </c>
      <c r="S167" s="136">
        <f t="shared" si="47"/>
        <v>1</v>
      </c>
      <c r="T167" s="136">
        <f t="shared" si="47"/>
        <v>1</v>
      </c>
      <c r="U167" s="136">
        <f t="shared" si="47"/>
        <v>1</v>
      </c>
      <c r="V167" s="136">
        <f t="shared" si="47"/>
        <v>1</v>
      </c>
      <c r="W167" s="136">
        <f t="shared" si="47"/>
        <v>1</v>
      </c>
      <c r="X167" s="136">
        <f t="shared" si="47"/>
        <v>1</v>
      </c>
      <c r="Y167" s="136">
        <f t="shared" si="47"/>
        <v>1</v>
      </c>
      <c r="Z167" s="136">
        <f t="shared" si="47"/>
        <v>1</v>
      </c>
      <c r="AA167" s="136">
        <f t="shared" si="47"/>
        <v>1</v>
      </c>
      <c r="AB167" s="136">
        <f t="shared" si="47"/>
        <v>1</v>
      </c>
      <c r="AC167" s="136">
        <f t="shared" si="47"/>
        <v>1</v>
      </c>
      <c r="AD167" s="136">
        <f t="shared" si="47"/>
        <v>1</v>
      </c>
      <c r="AE167" s="136">
        <f t="shared" si="47"/>
        <v>1</v>
      </c>
      <c r="AF167" s="136">
        <f t="shared" si="47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8">AF169</f>
        <v>1</v>
      </c>
      <c r="C169" s="137">
        <v>1</v>
      </c>
      <c r="D169" s="136">
        <f t="shared" ref="D169:S176" si="49">C169</f>
        <v>1</v>
      </c>
      <c r="E169" s="136">
        <f t="shared" si="49"/>
        <v>1</v>
      </c>
      <c r="F169" s="136">
        <f t="shared" si="49"/>
        <v>1</v>
      </c>
      <c r="G169" s="136">
        <f t="shared" si="49"/>
        <v>1</v>
      </c>
      <c r="H169" s="136">
        <f t="shared" si="49"/>
        <v>1</v>
      </c>
      <c r="I169" s="136">
        <f t="shared" si="49"/>
        <v>1</v>
      </c>
      <c r="J169" s="136">
        <f t="shared" si="49"/>
        <v>1</v>
      </c>
      <c r="K169" s="136">
        <f t="shared" si="49"/>
        <v>1</v>
      </c>
      <c r="L169" s="136">
        <f t="shared" si="49"/>
        <v>1</v>
      </c>
      <c r="M169" s="136">
        <f t="shared" si="49"/>
        <v>1</v>
      </c>
      <c r="N169" s="136">
        <f t="shared" si="49"/>
        <v>1</v>
      </c>
      <c r="O169" s="136">
        <f t="shared" si="49"/>
        <v>1</v>
      </c>
      <c r="P169" s="136">
        <f t="shared" si="49"/>
        <v>1</v>
      </c>
      <c r="Q169" s="136">
        <f t="shared" si="49"/>
        <v>1</v>
      </c>
      <c r="R169" s="136">
        <f t="shared" si="49"/>
        <v>1</v>
      </c>
      <c r="S169" s="136">
        <f t="shared" si="49"/>
        <v>1</v>
      </c>
      <c r="T169" s="136">
        <f t="shared" ref="S169:AF176" si="50">S169</f>
        <v>1</v>
      </c>
      <c r="U169" s="136">
        <f t="shared" si="50"/>
        <v>1</v>
      </c>
      <c r="V169" s="136">
        <f t="shared" si="50"/>
        <v>1</v>
      </c>
      <c r="W169" s="136">
        <f t="shared" si="50"/>
        <v>1</v>
      </c>
      <c r="X169" s="136">
        <f t="shared" si="50"/>
        <v>1</v>
      </c>
      <c r="Y169" s="136">
        <f t="shared" si="50"/>
        <v>1</v>
      </c>
      <c r="Z169" s="136">
        <f t="shared" si="50"/>
        <v>1</v>
      </c>
      <c r="AA169" s="136">
        <f t="shared" si="50"/>
        <v>1</v>
      </c>
      <c r="AB169" s="136">
        <f t="shared" si="50"/>
        <v>1</v>
      </c>
      <c r="AC169" s="136">
        <f t="shared" si="50"/>
        <v>1</v>
      </c>
      <c r="AD169" s="136">
        <f t="shared" si="50"/>
        <v>1</v>
      </c>
      <c r="AE169" s="136">
        <f t="shared" si="50"/>
        <v>1</v>
      </c>
      <c r="AF169" s="136">
        <f t="shared" si="50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8"/>
        <v>0.42</v>
      </c>
      <c r="C170" s="137">
        <v>0.42</v>
      </c>
      <c r="D170" s="136">
        <f t="shared" si="49"/>
        <v>0.42</v>
      </c>
      <c r="E170" s="136">
        <f t="shared" si="49"/>
        <v>0.42</v>
      </c>
      <c r="F170" s="136">
        <f t="shared" si="49"/>
        <v>0.42</v>
      </c>
      <c r="G170" s="136">
        <f t="shared" si="49"/>
        <v>0.42</v>
      </c>
      <c r="H170" s="136">
        <f t="shared" si="49"/>
        <v>0.42</v>
      </c>
      <c r="I170" s="136">
        <f t="shared" si="49"/>
        <v>0.42</v>
      </c>
      <c r="J170" s="136">
        <f t="shared" si="49"/>
        <v>0.42</v>
      </c>
      <c r="K170" s="136">
        <f t="shared" si="49"/>
        <v>0.42</v>
      </c>
      <c r="L170" s="136">
        <f t="shared" si="49"/>
        <v>0.42</v>
      </c>
      <c r="M170" s="136">
        <f t="shared" si="49"/>
        <v>0.42</v>
      </c>
      <c r="N170" s="136">
        <f t="shared" si="49"/>
        <v>0.42</v>
      </c>
      <c r="O170" s="136">
        <f t="shared" si="49"/>
        <v>0.42</v>
      </c>
      <c r="P170" s="136">
        <f t="shared" si="49"/>
        <v>0.42</v>
      </c>
      <c r="Q170" s="136">
        <f t="shared" si="49"/>
        <v>0.42</v>
      </c>
      <c r="R170" s="136">
        <f t="shared" si="49"/>
        <v>0.42</v>
      </c>
      <c r="S170" s="136">
        <f t="shared" si="50"/>
        <v>0.42</v>
      </c>
      <c r="T170" s="136">
        <f t="shared" si="50"/>
        <v>0.42</v>
      </c>
      <c r="U170" s="136">
        <f t="shared" si="50"/>
        <v>0.42</v>
      </c>
      <c r="V170" s="136">
        <f t="shared" si="50"/>
        <v>0.42</v>
      </c>
      <c r="W170" s="136">
        <f t="shared" si="50"/>
        <v>0.42</v>
      </c>
      <c r="X170" s="136">
        <f t="shared" si="50"/>
        <v>0.42</v>
      </c>
      <c r="Y170" s="136">
        <f t="shared" si="50"/>
        <v>0.42</v>
      </c>
      <c r="Z170" s="136">
        <f t="shared" si="50"/>
        <v>0.42</v>
      </c>
      <c r="AA170" s="136">
        <f t="shared" si="50"/>
        <v>0.42</v>
      </c>
      <c r="AB170" s="136">
        <f t="shared" si="50"/>
        <v>0.42</v>
      </c>
      <c r="AC170" s="136">
        <f t="shared" si="50"/>
        <v>0.42</v>
      </c>
      <c r="AD170" s="136">
        <f t="shared" si="50"/>
        <v>0.42</v>
      </c>
      <c r="AE170" s="136">
        <f t="shared" si="50"/>
        <v>0.42</v>
      </c>
      <c r="AF170" s="136">
        <f t="shared" si="50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8"/>
        <v>0.46</v>
      </c>
      <c r="C171" s="137">
        <v>0.46</v>
      </c>
      <c r="D171" s="136">
        <f t="shared" si="49"/>
        <v>0.46</v>
      </c>
      <c r="E171" s="136">
        <f t="shared" si="49"/>
        <v>0.46</v>
      </c>
      <c r="F171" s="136">
        <f t="shared" si="49"/>
        <v>0.46</v>
      </c>
      <c r="G171" s="136">
        <f t="shared" si="49"/>
        <v>0.46</v>
      </c>
      <c r="H171" s="136">
        <f t="shared" si="49"/>
        <v>0.46</v>
      </c>
      <c r="I171" s="136">
        <f t="shared" si="49"/>
        <v>0.46</v>
      </c>
      <c r="J171" s="136">
        <f t="shared" si="49"/>
        <v>0.46</v>
      </c>
      <c r="K171" s="136">
        <f t="shared" si="49"/>
        <v>0.46</v>
      </c>
      <c r="L171" s="136">
        <f t="shared" si="49"/>
        <v>0.46</v>
      </c>
      <c r="M171" s="136">
        <f t="shared" si="49"/>
        <v>0.46</v>
      </c>
      <c r="N171" s="136">
        <f t="shared" si="49"/>
        <v>0.46</v>
      </c>
      <c r="O171" s="136">
        <f t="shared" si="49"/>
        <v>0.46</v>
      </c>
      <c r="P171" s="136">
        <f t="shared" si="49"/>
        <v>0.46</v>
      </c>
      <c r="Q171" s="136">
        <f t="shared" si="49"/>
        <v>0.46</v>
      </c>
      <c r="R171" s="136">
        <f t="shared" si="49"/>
        <v>0.46</v>
      </c>
      <c r="S171" s="136">
        <f t="shared" si="50"/>
        <v>0.46</v>
      </c>
      <c r="T171" s="136">
        <f t="shared" si="50"/>
        <v>0.46</v>
      </c>
      <c r="U171" s="136">
        <f t="shared" si="50"/>
        <v>0.46</v>
      </c>
      <c r="V171" s="136">
        <f t="shared" si="50"/>
        <v>0.46</v>
      </c>
      <c r="W171" s="136">
        <f t="shared" si="50"/>
        <v>0.46</v>
      </c>
      <c r="X171" s="136">
        <f t="shared" si="50"/>
        <v>0.46</v>
      </c>
      <c r="Y171" s="136">
        <f t="shared" si="50"/>
        <v>0.46</v>
      </c>
      <c r="Z171" s="136">
        <f t="shared" si="50"/>
        <v>0.46</v>
      </c>
      <c r="AA171" s="136">
        <f t="shared" si="50"/>
        <v>0.46</v>
      </c>
      <c r="AB171" s="136">
        <f t="shared" si="50"/>
        <v>0.46</v>
      </c>
      <c r="AC171" s="136">
        <f t="shared" si="50"/>
        <v>0.46</v>
      </c>
      <c r="AD171" s="136">
        <f t="shared" si="50"/>
        <v>0.46</v>
      </c>
      <c r="AE171" s="136">
        <f t="shared" si="50"/>
        <v>0.46</v>
      </c>
      <c r="AF171" s="136">
        <f t="shared" si="50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8"/>
        <v>0.85</v>
      </c>
      <c r="C172" s="137">
        <v>0.85</v>
      </c>
      <c r="D172" s="136">
        <f t="shared" si="49"/>
        <v>0.85</v>
      </c>
      <c r="E172" s="136">
        <f t="shared" si="49"/>
        <v>0.85</v>
      </c>
      <c r="F172" s="136">
        <f t="shared" si="49"/>
        <v>0.85</v>
      </c>
      <c r="G172" s="136">
        <f t="shared" si="49"/>
        <v>0.85</v>
      </c>
      <c r="H172" s="136">
        <f t="shared" si="49"/>
        <v>0.85</v>
      </c>
      <c r="I172" s="136">
        <f t="shared" si="49"/>
        <v>0.85</v>
      </c>
      <c r="J172" s="136">
        <f t="shared" si="49"/>
        <v>0.85</v>
      </c>
      <c r="K172" s="136">
        <f t="shared" si="49"/>
        <v>0.85</v>
      </c>
      <c r="L172" s="136">
        <f t="shared" si="49"/>
        <v>0.85</v>
      </c>
      <c r="M172" s="136">
        <f t="shared" si="49"/>
        <v>0.85</v>
      </c>
      <c r="N172" s="136">
        <f t="shared" si="49"/>
        <v>0.85</v>
      </c>
      <c r="O172" s="136">
        <f t="shared" si="49"/>
        <v>0.85</v>
      </c>
      <c r="P172" s="136">
        <f t="shared" si="49"/>
        <v>0.85</v>
      </c>
      <c r="Q172" s="136">
        <f t="shared" si="49"/>
        <v>0.85</v>
      </c>
      <c r="R172" s="136">
        <f t="shared" si="49"/>
        <v>0.85</v>
      </c>
      <c r="S172" s="136">
        <f t="shared" si="50"/>
        <v>0.85</v>
      </c>
      <c r="T172" s="136">
        <f t="shared" si="50"/>
        <v>0.85</v>
      </c>
      <c r="U172" s="136">
        <f t="shared" si="50"/>
        <v>0.85</v>
      </c>
      <c r="V172" s="136">
        <f t="shared" si="50"/>
        <v>0.85</v>
      </c>
      <c r="W172" s="136">
        <f t="shared" si="50"/>
        <v>0.85</v>
      </c>
      <c r="X172" s="136">
        <f t="shared" si="50"/>
        <v>0.85</v>
      </c>
      <c r="Y172" s="136">
        <f t="shared" si="50"/>
        <v>0.85</v>
      </c>
      <c r="Z172" s="136">
        <f t="shared" si="50"/>
        <v>0.85</v>
      </c>
      <c r="AA172" s="136">
        <f t="shared" si="50"/>
        <v>0.85</v>
      </c>
      <c r="AB172" s="136">
        <f t="shared" si="50"/>
        <v>0.85</v>
      </c>
      <c r="AC172" s="136">
        <f t="shared" si="50"/>
        <v>0.85</v>
      </c>
      <c r="AD172" s="136">
        <f t="shared" si="50"/>
        <v>0.85</v>
      </c>
      <c r="AE172" s="136">
        <f t="shared" si="50"/>
        <v>0.85</v>
      </c>
      <c r="AF172" s="136">
        <f t="shared" si="50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8"/>
        <v>0.9</v>
      </c>
      <c r="C173" s="137">
        <v>0.9</v>
      </c>
      <c r="D173" s="136">
        <f t="shared" si="49"/>
        <v>0.9</v>
      </c>
      <c r="E173" s="136">
        <f t="shared" si="49"/>
        <v>0.9</v>
      </c>
      <c r="F173" s="136">
        <f t="shared" si="49"/>
        <v>0.9</v>
      </c>
      <c r="G173" s="136">
        <f t="shared" si="49"/>
        <v>0.9</v>
      </c>
      <c r="H173" s="136">
        <f t="shared" si="49"/>
        <v>0.9</v>
      </c>
      <c r="I173" s="136">
        <f t="shared" si="49"/>
        <v>0.9</v>
      </c>
      <c r="J173" s="136">
        <f t="shared" si="49"/>
        <v>0.9</v>
      </c>
      <c r="K173" s="136">
        <f t="shared" si="49"/>
        <v>0.9</v>
      </c>
      <c r="L173" s="136">
        <f t="shared" si="49"/>
        <v>0.9</v>
      </c>
      <c r="M173" s="136">
        <f t="shared" si="49"/>
        <v>0.9</v>
      </c>
      <c r="N173" s="136">
        <f t="shared" si="49"/>
        <v>0.9</v>
      </c>
      <c r="O173" s="136">
        <f t="shared" si="49"/>
        <v>0.9</v>
      </c>
      <c r="P173" s="136">
        <f t="shared" si="49"/>
        <v>0.9</v>
      </c>
      <c r="Q173" s="136">
        <f t="shared" si="49"/>
        <v>0.9</v>
      </c>
      <c r="R173" s="136">
        <f t="shared" si="49"/>
        <v>0.9</v>
      </c>
      <c r="S173" s="136">
        <f t="shared" si="50"/>
        <v>0.9</v>
      </c>
      <c r="T173" s="136">
        <f t="shared" si="50"/>
        <v>0.9</v>
      </c>
      <c r="U173" s="136">
        <f t="shared" si="50"/>
        <v>0.9</v>
      </c>
      <c r="V173" s="136">
        <f t="shared" si="50"/>
        <v>0.9</v>
      </c>
      <c r="W173" s="136">
        <f t="shared" si="50"/>
        <v>0.9</v>
      </c>
      <c r="X173" s="136">
        <f t="shared" si="50"/>
        <v>0.9</v>
      </c>
      <c r="Y173" s="136">
        <f t="shared" si="50"/>
        <v>0.9</v>
      </c>
      <c r="Z173" s="136">
        <f t="shared" si="50"/>
        <v>0.9</v>
      </c>
      <c r="AA173" s="136">
        <f t="shared" si="50"/>
        <v>0.9</v>
      </c>
      <c r="AB173" s="136">
        <f t="shared" si="50"/>
        <v>0.9</v>
      </c>
      <c r="AC173" s="136">
        <f t="shared" si="50"/>
        <v>0.9</v>
      </c>
      <c r="AD173" s="136">
        <f t="shared" si="50"/>
        <v>0.9</v>
      </c>
      <c r="AE173" s="136">
        <f t="shared" si="50"/>
        <v>0.9</v>
      </c>
      <c r="AF173" s="136">
        <f t="shared" si="50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8"/>
        <v>0.44</v>
      </c>
      <c r="C174" s="137">
        <v>0.44</v>
      </c>
      <c r="D174" s="136">
        <f t="shared" si="49"/>
        <v>0.44</v>
      </c>
      <c r="E174" s="136">
        <f t="shared" si="49"/>
        <v>0.44</v>
      </c>
      <c r="F174" s="136">
        <f t="shared" si="49"/>
        <v>0.44</v>
      </c>
      <c r="G174" s="136">
        <f t="shared" si="49"/>
        <v>0.44</v>
      </c>
      <c r="H174" s="136">
        <f t="shared" si="49"/>
        <v>0.44</v>
      </c>
      <c r="I174" s="136">
        <f t="shared" si="49"/>
        <v>0.44</v>
      </c>
      <c r="J174" s="136">
        <f t="shared" si="49"/>
        <v>0.44</v>
      </c>
      <c r="K174" s="136">
        <f t="shared" si="49"/>
        <v>0.44</v>
      </c>
      <c r="L174" s="136">
        <f t="shared" si="49"/>
        <v>0.44</v>
      </c>
      <c r="M174" s="136">
        <f t="shared" si="49"/>
        <v>0.44</v>
      </c>
      <c r="N174" s="136">
        <f t="shared" si="49"/>
        <v>0.44</v>
      </c>
      <c r="O174" s="136">
        <f t="shared" si="49"/>
        <v>0.44</v>
      </c>
      <c r="P174" s="136">
        <f t="shared" si="49"/>
        <v>0.44</v>
      </c>
      <c r="Q174" s="136">
        <f t="shared" si="49"/>
        <v>0.44</v>
      </c>
      <c r="R174" s="136">
        <f t="shared" si="49"/>
        <v>0.44</v>
      </c>
      <c r="S174" s="136">
        <f t="shared" si="50"/>
        <v>0.44</v>
      </c>
      <c r="T174" s="136">
        <f t="shared" si="50"/>
        <v>0.44</v>
      </c>
      <c r="U174" s="136">
        <f t="shared" si="50"/>
        <v>0.44</v>
      </c>
      <c r="V174" s="136">
        <f t="shared" si="50"/>
        <v>0.44</v>
      </c>
      <c r="W174" s="136">
        <f t="shared" si="50"/>
        <v>0.44</v>
      </c>
      <c r="X174" s="136">
        <f t="shared" si="50"/>
        <v>0.44</v>
      </c>
      <c r="Y174" s="136">
        <f t="shared" si="50"/>
        <v>0.44</v>
      </c>
      <c r="Z174" s="136">
        <f t="shared" si="50"/>
        <v>0.44</v>
      </c>
      <c r="AA174" s="136">
        <f t="shared" si="50"/>
        <v>0.44</v>
      </c>
      <c r="AB174" s="136">
        <f t="shared" si="50"/>
        <v>0.44</v>
      </c>
      <c r="AC174" s="136">
        <f t="shared" si="50"/>
        <v>0.44</v>
      </c>
      <c r="AD174" s="136">
        <f t="shared" si="50"/>
        <v>0.44</v>
      </c>
      <c r="AE174" s="136">
        <f t="shared" si="50"/>
        <v>0.44</v>
      </c>
      <c r="AF174" s="136">
        <f t="shared" si="50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8"/>
        <v>2.1</v>
      </c>
      <c r="C175" s="137">
        <v>2.1</v>
      </c>
      <c r="D175" s="136">
        <f t="shared" si="49"/>
        <v>2.1</v>
      </c>
      <c r="E175" s="136">
        <f t="shared" si="49"/>
        <v>2.1</v>
      </c>
      <c r="F175" s="136">
        <f t="shared" si="49"/>
        <v>2.1</v>
      </c>
      <c r="G175" s="136">
        <f t="shared" si="49"/>
        <v>2.1</v>
      </c>
      <c r="H175" s="136">
        <f t="shared" si="49"/>
        <v>2.1</v>
      </c>
      <c r="I175" s="136">
        <f t="shared" si="49"/>
        <v>2.1</v>
      </c>
      <c r="J175" s="136">
        <f t="shared" si="49"/>
        <v>2.1</v>
      </c>
      <c r="K175" s="136">
        <f t="shared" si="49"/>
        <v>2.1</v>
      </c>
      <c r="L175" s="136">
        <f t="shared" si="49"/>
        <v>2.1</v>
      </c>
      <c r="M175" s="136">
        <f t="shared" si="49"/>
        <v>2.1</v>
      </c>
      <c r="N175" s="136">
        <f t="shared" si="49"/>
        <v>2.1</v>
      </c>
      <c r="O175" s="136">
        <f t="shared" si="49"/>
        <v>2.1</v>
      </c>
      <c r="P175" s="136">
        <f t="shared" si="49"/>
        <v>2.1</v>
      </c>
      <c r="Q175" s="136">
        <f t="shared" si="49"/>
        <v>2.1</v>
      </c>
      <c r="R175" s="136">
        <f t="shared" si="49"/>
        <v>2.1</v>
      </c>
      <c r="S175" s="136">
        <f t="shared" si="50"/>
        <v>2.1</v>
      </c>
      <c r="T175" s="136">
        <f t="shared" si="50"/>
        <v>2.1</v>
      </c>
      <c r="U175" s="136">
        <f t="shared" si="50"/>
        <v>2.1</v>
      </c>
      <c r="V175" s="136">
        <f t="shared" si="50"/>
        <v>2.1</v>
      </c>
      <c r="W175" s="136">
        <f t="shared" si="50"/>
        <v>2.1</v>
      </c>
      <c r="X175" s="136">
        <f t="shared" si="50"/>
        <v>2.1</v>
      </c>
      <c r="Y175" s="136">
        <f t="shared" si="50"/>
        <v>2.1</v>
      </c>
      <c r="Z175" s="136">
        <f t="shared" si="50"/>
        <v>2.1</v>
      </c>
      <c r="AA175" s="136">
        <f t="shared" si="50"/>
        <v>2.1</v>
      </c>
      <c r="AB175" s="136">
        <f t="shared" si="50"/>
        <v>2.1</v>
      </c>
      <c r="AC175" s="136">
        <f t="shared" si="50"/>
        <v>2.1</v>
      </c>
      <c r="AD175" s="136">
        <f t="shared" si="50"/>
        <v>2.1</v>
      </c>
      <c r="AE175" s="136">
        <f t="shared" si="50"/>
        <v>2.1</v>
      </c>
      <c r="AF175" s="136">
        <f t="shared" si="50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8"/>
        <v>0.9</v>
      </c>
      <c r="C176" s="137">
        <v>0.9</v>
      </c>
      <c r="D176" s="136">
        <f t="shared" si="49"/>
        <v>0.9</v>
      </c>
      <c r="E176" s="136">
        <f t="shared" si="49"/>
        <v>0.9</v>
      </c>
      <c r="F176" s="136">
        <f t="shared" si="49"/>
        <v>0.9</v>
      </c>
      <c r="G176" s="136">
        <f t="shared" si="49"/>
        <v>0.9</v>
      </c>
      <c r="H176" s="136">
        <f t="shared" si="49"/>
        <v>0.9</v>
      </c>
      <c r="I176" s="136">
        <f t="shared" si="49"/>
        <v>0.9</v>
      </c>
      <c r="J176" s="136">
        <f t="shared" si="49"/>
        <v>0.9</v>
      </c>
      <c r="K176" s="136">
        <f t="shared" si="49"/>
        <v>0.9</v>
      </c>
      <c r="L176" s="136">
        <f t="shared" si="49"/>
        <v>0.9</v>
      </c>
      <c r="M176" s="136">
        <f t="shared" si="49"/>
        <v>0.9</v>
      </c>
      <c r="N176" s="136">
        <f t="shared" si="49"/>
        <v>0.9</v>
      </c>
      <c r="O176" s="136">
        <f t="shared" si="49"/>
        <v>0.9</v>
      </c>
      <c r="P176" s="136">
        <f t="shared" si="49"/>
        <v>0.9</v>
      </c>
      <c r="Q176" s="136">
        <f t="shared" si="49"/>
        <v>0.9</v>
      </c>
      <c r="R176" s="136">
        <f t="shared" si="49"/>
        <v>0.9</v>
      </c>
      <c r="S176" s="136">
        <f t="shared" si="50"/>
        <v>0.9</v>
      </c>
      <c r="T176" s="136">
        <f t="shared" si="50"/>
        <v>0.9</v>
      </c>
      <c r="U176" s="136">
        <f t="shared" si="50"/>
        <v>0.9</v>
      </c>
      <c r="V176" s="136">
        <f t="shared" si="50"/>
        <v>0.9</v>
      </c>
      <c r="W176" s="136">
        <f t="shared" si="50"/>
        <v>0.9</v>
      </c>
      <c r="X176" s="136">
        <f t="shared" si="50"/>
        <v>0.9</v>
      </c>
      <c r="Y176" s="136">
        <f t="shared" si="50"/>
        <v>0.9</v>
      </c>
      <c r="Z176" s="136">
        <f t="shared" si="50"/>
        <v>0.9</v>
      </c>
      <c r="AA176" s="136">
        <f t="shared" si="50"/>
        <v>0.9</v>
      </c>
      <c r="AB176" s="136">
        <f t="shared" si="50"/>
        <v>0.9</v>
      </c>
      <c r="AC176" s="136">
        <f t="shared" si="50"/>
        <v>0.9</v>
      </c>
      <c r="AD176" s="136">
        <f t="shared" si="50"/>
        <v>0.9</v>
      </c>
      <c r="AE176" s="136">
        <f t="shared" si="50"/>
        <v>0.9</v>
      </c>
      <c r="AF176" s="136">
        <f t="shared" si="50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1">AF178</f>
        <v>0.57999999999999996</v>
      </c>
      <c r="C178" s="137">
        <v>0.57999999999999996</v>
      </c>
      <c r="D178" s="136">
        <f t="shared" ref="D178:S190" si="52">C178</f>
        <v>0.57999999999999996</v>
      </c>
      <c r="E178" s="136">
        <f t="shared" si="52"/>
        <v>0.57999999999999996</v>
      </c>
      <c r="F178" s="136">
        <f t="shared" si="52"/>
        <v>0.57999999999999996</v>
      </c>
      <c r="G178" s="136">
        <f t="shared" si="52"/>
        <v>0.57999999999999996</v>
      </c>
      <c r="H178" s="136">
        <f t="shared" si="52"/>
        <v>0.57999999999999996</v>
      </c>
      <c r="I178" s="136">
        <f t="shared" si="52"/>
        <v>0.57999999999999996</v>
      </c>
      <c r="J178" s="136">
        <f t="shared" si="52"/>
        <v>0.57999999999999996</v>
      </c>
      <c r="K178" s="136">
        <f t="shared" si="52"/>
        <v>0.57999999999999996</v>
      </c>
      <c r="L178" s="136">
        <f t="shared" si="52"/>
        <v>0.57999999999999996</v>
      </c>
      <c r="M178" s="136">
        <f t="shared" si="52"/>
        <v>0.57999999999999996</v>
      </c>
      <c r="N178" s="136">
        <f t="shared" si="52"/>
        <v>0.57999999999999996</v>
      </c>
      <c r="O178" s="136">
        <f t="shared" si="52"/>
        <v>0.57999999999999996</v>
      </c>
      <c r="P178" s="136">
        <f t="shared" si="52"/>
        <v>0.57999999999999996</v>
      </c>
      <c r="Q178" s="136">
        <f t="shared" si="52"/>
        <v>0.57999999999999996</v>
      </c>
      <c r="R178" s="136">
        <f t="shared" si="52"/>
        <v>0.57999999999999996</v>
      </c>
      <c r="S178" s="136">
        <f t="shared" si="52"/>
        <v>0.57999999999999996</v>
      </c>
      <c r="T178" s="136">
        <f t="shared" ref="S178:AF190" si="53">S178</f>
        <v>0.57999999999999996</v>
      </c>
      <c r="U178" s="136">
        <f t="shared" si="53"/>
        <v>0.57999999999999996</v>
      </c>
      <c r="V178" s="136">
        <f t="shared" si="53"/>
        <v>0.57999999999999996</v>
      </c>
      <c r="W178" s="136">
        <f t="shared" si="53"/>
        <v>0.57999999999999996</v>
      </c>
      <c r="X178" s="136">
        <f t="shared" si="53"/>
        <v>0.57999999999999996</v>
      </c>
      <c r="Y178" s="136">
        <f t="shared" si="53"/>
        <v>0.57999999999999996</v>
      </c>
      <c r="Z178" s="136">
        <f t="shared" si="53"/>
        <v>0.57999999999999996</v>
      </c>
      <c r="AA178" s="136">
        <f t="shared" si="53"/>
        <v>0.57999999999999996</v>
      </c>
      <c r="AB178" s="136">
        <f t="shared" si="53"/>
        <v>0.57999999999999996</v>
      </c>
      <c r="AC178" s="136">
        <f t="shared" si="53"/>
        <v>0.57999999999999996</v>
      </c>
      <c r="AD178" s="136">
        <f t="shared" si="53"/>
        <v>0.57999999999999996</v>
      </c>
      <c r="AE178" s="136">
        <f t="shared" si="53"/>
        <v>0.57999999999999996</v>
      </c>
      <c r="AF178" s="136">
        <f t="shared" si="53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1"/>
        <v>0.8</v>
      </c>
      <c r="C179" s="137">
        <v>0.8</v>
      </c>
      <c r="D179" s="136">
        <f t="shared" si="52"/>
        <v>0.8</v>
      </c>
      <c r="E179" s="136">
        <f t="shared" si="52"/>
        <v>0.8</v>
      </c>
      <c r="F179" s="136">
        <f t="shared" si="52"/>
        <v>0.8</v>
      </c>
      <c r="G179" s="136">
        <f t="shared" si="52"/>
        <v>0.8</v>
      </c>
      <c r="H179" s="136">
        <f t="shared" si="52"/>
        <v>0.8</v>
      </c>
      <c r="I179" s="136">
        <f t="shared" si="52"/>
        <v>0.8</v>
      </c>
      <c r="J179" s="136">
        <f t="shared" si="52"/>
        <v>0.8</v>
      </c>
      <c r="K179" s="136">
        <f t="shared" si="52"/>
        <v>0.8</v>
      </c>
      <c r="L179" s="136">
        <f t="shared" si="52"/>
        <v>0.8</v>
      </c>
      <c r="M179" s="136">
        <f t="shared" si="52"/>
        <v>0.8</v>
      </c>
      <c r="N179" s="136">
        <f t="shared" si="52"/>
        <v>0.8</v>
      </c>
      <c r="O179" s="136">
        <f t="shared" si="52"/>
        <v>0.8</v>
      </c>
      <c r="P179" s="136">
        <f t="shared" si="52"/>
        <v>0.8</v>
      </c>
      <c r="Q179" s="136">
        <f t="shared" si="52"/>
        <v>0.8</v>
      </c>
      <c r="R179" s="136">
        <f t="shared" si="52"/>
        <v>0.8</v>
      </c>
      <c r="S179" s="136">
        <f t="shared" si="52"/>
        <v>0.8</v>
      </c>
      <c r="T179" s="136">
        <f t="shared" si="53"/>
        <v>0.8</v>
      </c>
      <c r="U179" s="136">
        <f t="shared" si="53"/>
        <v>0.8</v>
      </c>
      <c r="V179" s="136">
        <f t="shared" si="53"/>
        <v>0.8</v>
      </c>
      <c r="W179" s="136">
        <f t="shared" si="53"/>
        <v>0.8</v>
      </c>
      <c r="X179" s="136">
        <f t="shared" si="53"/>
        <v>0.8</v>
      </c>
      <c r="Y179" s="136">
        <f t="shared" si="53"/>
        <v>0.8</v>
      </c>
      <c r="Z179" s="136">
        <f t="shared" si="53"/>
        <v>0.8</v>
      </c>
      <c r="AA179" s="136">
        <f t="shared" si="53"/>
        <v>0.8</v>
      </c>
      <c r="AB179" s="136">
        <f t="shared" si="53"/>
        <v>0.8</v>
      </c>
      <c r="AC179" s="136">
        <f t="shared" si="53"/>
        <v>0.8</v>
      </c>
      <c r="AD179" s="136">
        <f t="shared" si="53"/>
        <v>0.8</v>
      </c>
      <c r="AE179" s="136">
        <f t="shared" si="53"/>
        <v>0.8</v>
      </c>
      <c r="AF179" s="136">
        <f t="shared" si="53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1"/>
        <v>0</v>
      </c>
      <c r="C180" s="137">
        <v>0</v>
      </c>
      <c r="D180" s="136">
        <f t="shared" si="52"/>
        <v>0</v>
      </c>
      <c r="E180" s="136">
        <f t="shared" si="52"/>
        <v>0</v>
      </c>
      <c r="F180" s="136">
        <f t="shared" si="52"/>
        <v>0</v>
      </c>
      <c r="G180" s="136">
        <f t="shared" si="52"/>
        <v>0</v>
      </c>
      <c r="H180" s="136">
        <f t="shared" si="52"/>
        <v>0</v>
      </c>
      <c r="I180" s="136">
        <f t="shared" si="52"/>
        <v>0</v>
      </c>
      <c r="J180" s="136">
        <f t="shared" si="52"/>
        <v>0</v>
      </c>
      <c r="K180" s="136">
        <f t="shared" si="52"/>
        <v>0</v>
      </c>
      <c r="L180" s="136">
        <f t="shared" si="52"/>
        <v>0</v>
      </c>
      <c r="M180" s="136">
        <f t="shared" si="52"/>
        <v>0</v>
      </c>
      <c r="N180" s="136">
        <f t="shared" si="52"/>
        <v>0</v>
      </c>
      <c r="O180" s="136">
        <f t="shared" si="52"/>
        <v>0</v>
      </c>
      <c r="P180" s="136">
        <f t="shared" si="52"/>
        <v>0</v>
      </c>
      <c r="Q180" s="136">
        <f t="shared" si="52"/>
        <v>0</v>
      </c>
      <c r="R180" s="136">
        <f t="shared" si="52"/>
        <v>0</v>
      </c>
      <c r="S180" s="136">
        <f t="shared" si="52"/>
        <v>0</v>
      </c>
      <c r="T180" s="136">
        <f t="shared" si="53"/>
        <v>0</v>
      </c>
      <c r="U180" s="136">
        <f t="shared" si="53"/>
        <v>0</v>
      </c>
      <c r="V180" s="136">
        <f t="shared" si="53"/>
        <v>0</v>
      </c>
      <c r="W180" s="136">
        <f t="shared" si="53"/>
        <v>0</v>
      </c>
      <c r="X180" s="136">
        <f t="shared" si="53"/>
        <v>0</v>
      </c>
      <c r="Y180" s="136">
        <f t="shared" si="53"/>
        <v>0</v>
      </c>
      <c r="Z180" s="136">
        <f t="shared" si="53"/>
        <v>0</v>
      </c>
      <c r="AA180" s="136">
        <f t="shared" si="53"/>
        <v>0</v>
      </c>
      <c r="AB180" s="136">
        <f t="shared" si="53"/>
        <v>0</v>
      </c>
      <c r="AC180" s="136">
        <f t="shared" si="53"/>
        <v>0</v>
      </c>
      <c r="AD180" s="136">
        <f t="shared" si="53"/>
        <v>0</v>
      </c>
      <c r="AE180" s="136">
        <f t="shared" si="53"/>
        <v>0</v>
      </c>
      <c r="AF180" s="136">
        <f t="shared" si="53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1"/>
        <v>0.6</v>
      </c>
      <c r="C181" s="137">
        <v>0.6</v>
      </c>
      <c r="D181" s="136">
        <f t="shared" si="52"/>
        <v>0.6</v>
      </c>
      <c r="E181" s="136">
        <f t="shared" si="52"/>
        <v>0.6</v>
      </c>
      <c r="F181" s="136">
        <f t="shared" si="52"/>
        <v>0.6</v>
      </c>
      <c r="G181" s="136">
        <f t="shared" si="52"/>
        <v>0.6</v>
      </c>
      <c r="H181" s="136">
        <f t="shared" si="52"/>
        <v>0.6</v>
      </c>
      <c r="I181" s="136">
        <f t="shared" si="52"/>
        <v>0.6</v>
      </c>
      <c r="J181" s="136">
        <f t="shared" si="52"/>
        <v>0.6</v>
      </c>
      <c r="K181" s="136">
        <f t="shared" si="52"/>
        <v>0.6</v>
      </c>
      <c r="L181" s="136">
        <f t="shared" si="52"/>
        <v>0.6</v>
      </c>
      <c r="M181" s="136">
        <f t="shared" si="52"/>
        <v>0.6</v>
      </c>
      <c r="N181" s="136">
        <f t="shared" si="52"/>
        <v>0.6</v>
      </c>
      <c r="O181" s="136">
        <f t="shared" si="52"/>
        <v>0.6</v>
      </c>
      <c r="P181" s="136">
        <f t="shared" si="52"/>
        <v>0.6</v>
      </c>
      <c r="Q181" s="136">
        <f t="shared" si="52"/>
        <v>0.6</v>
      </c>
      <c r="R181" s="136">
        <f t="shared" si="52"/>
        <v>0.6</v>
      </c>
      <c r="S181" s="136">
        <f t="shared" si="52"/>
        <v>0.6</v>
      </c>
      <c r="T181" s="136">
        <f t="shared" si="53"/>
        <v>0.6</v>
      </c>
      <c r="U181" s="136">
        <f t="shared" si="53"/>
        <v>0.6</v>
      </c>
      <c r="V181" s="136">
        <f t="shared" si="53"/>
        <v>0.6</v>
      </c>
      <c r="W181" s="136">
        <f t="shared" si="53"/>
        <v>0.6</v>
      </c>
      <c r="X181" s="136">
        <f t="shared" si="53"/>
        <v>0.6</v>
      </c>
      <c r="Y181" s="136">
        <f t="shared" si="53"/>
        <v>0.6</v>
      </c>
      <c r="Z181" s="136">
        <f t="shared" si="53"/>
        <v>0.6</v>
      </c>
      <c r="AA181" s="136">
        <f t="shared" si="53"/>
        <v>0.6</v>
      </c>
      <c r="AB181" s="136">
        <f t="shared" si="53"/>
        <v>0.6</v>
      </c>
      <c r="AC181" s="136">
        <f t="shared" si="53"/>
        <v>0.6</v>
      </c>
      <c r="AD181" s="136">
        <f t="shared" si="53"/>
        <v>0.6</v>
      </c>
      <c r="AE181" s="136">
        <f t="shared" si="53"/>
        <v>0.6</v>
      </c>
      <c r="AF181" s="136">
        <f t="shared" si="53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1"/>
        <v>0.6</v>
      </c>
      <c r="C182" s="137">
        <v>0.6</v>
      </c>
      <c r="D182" s="136">
        <f t="shared" si="52"/>
        <v>0.6</v>
      </c>
      <c r="E182" s="136">
        <f t="shared" si="52"/>
        <v>0.6</v>
      </c>
      <c r="F182" s="136">
        <f t="shared" si="52"/>
        <v>0.6</v>
      </c>
      <c r="G182" s="136">
        <f t="shared" si="52"/>
        <v>0.6</v>
      </c>
      <c r="H182" s="136">
        <f t="shared" si="52"/>
        <v>0.6</v>
      </c>
      <c r="I182" s="136">
        <f t="shared" si="52"/>
        <v>0.6</v>
      </c>
      <c r="J182" s="136">
        <f t="shared" si="52"/>
        <v>0.6</v>
      </c>
      <c r="K182" s="136">
        <f t="shared" si="52"/>
        <v>0.6</v>
      </c>
      <c r="L182" s="136">
        <f t="shared" si="52"/>
        <v>0.6</v>
      </c>
      <c r="M182" s="136">
        <f t="shared" si="52"/>
        <v>0.6</v>
      </c>
      <c r="N182" s="136">
        <f t="shared" si="52"/>
        <v>0.6</v>
      </c>
      <c r="O182" s="136">
        <f t="shared" si="52"/>
        <v>0.6</v>
      </c>
      <c r="P182" s="136">
        <f t="shared" si="52"/>
        <v>0.6</v>
      </c>
      <c r="Q182" s="136">
        <f t="shared" si="52"/>
        <v>0.6</v>
      </c>
      <c r="R182" s="136">
        <f t="shared" si="52"/>
        <v>0.6</v>
      </c>
      <c r="S182" s="136">
        <f t="shared" si="52"/>
        <v>0.6</v>
      </c>
      <c r="T182" s="136">
        <f t="shared" si="53"/>
        <v>0.6</v>
      </c>
      <c r="U182" s="136">
        <f t="shared" si="53"/>
        <v>0.6</v>
      </c>
      <c r="V182" s="136">
        <f t="shared" si="53"/>
        <v>0.6</v>
      </c>
      <c r="W182" s="136">
        <f t="shared" si="53"/>
        <v>0.6</v>
      </c>
      <c r="X182" s="136">
        <f t="shared" si="53"/>
        <v>0.6</v>
      </c>
      <c r="Y182" s="136">
        <f t="shared" si="53"/>
        <v>0.6</v>
      </c>
      <c r="Z182" s="136">
        <f t="shared" si="53"/>
        <v>0.6</v>
      </c>
      <c r="AA182" s="136">
        <f t="shared" si="53"/>
        <v>0.6</v>
      </c>
      <c r="AB182" s="136">
        <f t="shared" si="53"/>
        <v>0.6</v>
      </c>
      <c r="AC182" s="136">
        <f t="shared" si="53"/>
        <v>0.6</v>
      </c>
      <c r="AD182" s="136">
        <f t="shared" si="53"/>
        <v>0.6</v>
      </c>
      <c r="AE182" s="136">
        <f t="shared" si="53"/>
        <v>0.6</v>
      </c>
      <c r="AF182" s="136">
        <f t="shared" si="53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1"/>
        <v>0.35</v>
      </c>
      <c r="C183" s="137">
        <v>0.35</v>
      </c>
      <c r="D183" s="136">
        <f t="shared" si="52"/>
        <v>0.35</v>
      </c>
      <c r="E183" s="136">
        <f t="shared" si="52"/>
        <v>0.35</v>
      </c>
      <c r="F183" s="136">
        <f t="shared" si="52"/>
        <v>0.35</v>
      </c>
      <c r="G183" s="136">
        <f t="shared" si="52"/>
        <v>0.35</v>
      </c>
      <c r="H183" s="136">
        <f t="shared" si="52"/>
        <v>0.35</v>
      </c>
      <c r="I183" s="136">
        <f t="shared" si="52"/>
        <v>0.35</v>
      </c>
      <c r="J183" s="136">
        <f t="shared" si="52"/>
        <v>0.35</v>
      </c>
      <c r="K183" s="136">
        <f t="shared" si="52"/>
        <v>0.35</v>
      </c>
      <c r="L183" s="136">
        <f t="shared" si="52"/>
        <v>0.35</v>
      </c>
      <c r="M183" s="136">
        <f t="shared" si="52"/>
        <v>0.35</v>
      </c>
      <c r="N183" s="136">
        <f t="shared" si="52"/>
        <v>0.35</v>
      </c>
      <c r="O183" s="136">
        <f t="shared" si="52"/>
        <v>0.35</v>
      </c>
      <c r="P183" s="136">
        <f t="shared" si="52"/>
        <v>0.35</v>
      </c>
      <c r="Q183" s="136">
        <f t="shared" si="52"/>
        <v>0.35</v>
      </c>
      <c r="R183" s="136">
        <f t="shared" si="52"/>
        <v>0.35</v>
      </c>
      <c r="S183" s="136">
        <f t="shared" si="52"/>
        <v>0.35</v>
      </c>
      <c r="T183" s="136">
        <f t="shared" si="53"/>
        <v>0.35</v>
      </c>
      <c r="U183" s="136">
        <f t="shared" si="53"/>
        <v>0.35</v>
      </c>
      <c r="V183" s="136">
        <f t="shared" si="53"/>
        <v>0.35</v>
      </c>
      <c r="W183" s="136">
        <f t="shared" si="53"/>
        <v>0.35</v>
      </c>
      <c r="X183" s="136">
        <f t="shared" si="53"/>
        <v>0.35</v>
      </c>
      <c r="Y183" s="136">
        <f t="shared" si="53"/>
        <v>0.35</v>
      </c>
      <c r="Z183" s="136">
        <f t="shared" si="53"/>
        <v>0.35</v>
      </c>
      <c r="AA183" s="136">
        <f t="shared" si="53"/>
        <v>0.35</v>
      </c>
      <c r="AB183" s="136">
        <f t="shared" si="53"/>
        <v>0.35</v>
      </c>
      <c r="AC183" s="136">
        <f t="shared" si="53"/>
        <v>0.35</v>
      </c>
      <c r="AD183" s="136">
        <f t="shared" si="53"/>
        <v>0.35</v>
      </c>
      <c r="AE183" s="136">
        <f t="shared" si="53"/>
        <v>0.35</v>
      </c>
      <c r="AF183" s="136">
        <f t="shared" si="53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1"/>
        <v>0.28999999999999998</v>
      </c>
      <c r="C184" s="137">
        <v>0.28999999999999998</v>
      </c>
      <c r="D184" s="136">
        <f t="shared" si="52"/>
        <v>0.28999999999999998</v>
      </c>
      <c r="E184" s="136">
        <f t="shared" si="52"/>
        <v>0.28999999999999998</v>
      </c>
      <c r="F184" s="136">
        <f t="shared" si="52"/>
        <v>0.28999999999999998</v>
      </c>
      <c r="G184" s="136">
        <f t="shared" si="52"/>
        <v>0.28999999999999998</v>
      </c>
      <c r="H184" s="136">
        <f t="shared" si="52"/>
        <v>0.28999999999999998</v>
      </c>
      <c r="I184" s="136">
        <f t="shared" si="52"/>
        <v>0.28999999999999998</v>
      </c>
      <c r="J184" s="136">
        <f t="shared" si="52"/>
        <v>0.28999999999999998</v>
      </c>
      <c r="K184" s="136">
        <f t="shared" si="52"/>
        <v>0.28999999999999998</v>
      </c>
      <c r="L184" s="136">
        <f t="shared" si="52"/>
        <v>0.28999999999999998</v>
      </c>
      <c r="M184" s="136">
        <f t="shared" si="52"/>
        <v>0.28999999999999998</v>
      </c>
      <c r="N184" s="136">
        <f t="shared" si="52"/>
        <v>0.28999999999999998</v>
      </c>
      <c r="O184" s="136">
        <f t="shared" si="52"/>
        <v>0.28999999999999998</v>
      </c>
      <c r="P184" s="136">
        <f t="shared" si="52"/>
        <v>0.28999999999999998</v>
      </c>
      <c r="Q184" s="136">
        <f t="shared" si="52"/>
        <v>0.28999999999999998</v>
      </c>
      <c r="R184" s="136">
        <f t="shared" si="52"/>
        <v>0.28999999999999998</v>
      </c>
      <c r="S184" s="136">
        <f t="shared" si="52"/>
        <v>0.28999999999999998</v>
      </c>
      <c r="T184" s="136">
        <f t="shared" si="53"/>
        <v>0.28999999999999998</v>
      </c>
      <c r="U184" s="136">
        <f t="shared" si="53"/>
        <v>0.28999999999999998</v>
      </c>
      <c r="V184" s="136">
        <f t="shared" si="53"/>
        <v>0.28999999999999998</v>
      </c>
      <c r="W184" s="136">
        <f t="shared" si="53"/>
        <v>0.28999999999999998</v>
      </c>
      <c r="X184" s="136">
        <f t="shared" si="53"/>
        <v>0.28999999999999998</v>
      </c>
      <c r="Y184" s="136">
        <f t="shared" si="53"/>
        <v>0.28999999999999998</v>
      </c>
      <c r="Z184" s="136">
        <f t="shared" si="53"/>
        <v>0.28999999999999998</v>
      </c>
      <c r="AA184" s="136">
        <f t="shared" si="53"/>
        <v>0.28999999999999998</v>
      </c>
      <c r="AB184" s="136">
        <f t="shared" si="53"/>
        <v>0.28999999999999998</v>
      </c>
      <c r="AC184" s="136">
        <f t="shared" si="53"/>
        <v>0.28999999999999998</v>
      </c>
      <c r="AD184" s="136">
        <f t="shared" si="53"/>
        <v>0.28999999999999998</v>
      </c>
      <c r="AE184" s="136">
        <f t="shared" si="53"/>
        <v>0.28999999999999998</v>
      </c>
      <c r="AF184" s="136">
        <f t="shared" si="53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1"/>
        <v>0.06</v>
      </c>
      <c r="C185" s="137">
        <v>0.06</v>
      </c>
      <c r="D185" s="136">
        <f t="shared" si="52"/>
        <v>0.06</v>
      </c>
      <c r="E185" s="136">
        <f t="shared" si="52"/>
        <v>0.06</v>
      </c>
      <c r="F185" s="136">
        <f t="shared" si="52"/>
        <v>0.06</v>
      </c>
      <c r="G185" s="136">
        <f t="shared" si="52"/>
        <v>0.06</v>
      </c>
      <c r="H185" s="136">
        <f t="shared" si="52"/>
        <v>0.06</v>
      </c>
      <c r="I185" s="136">
        <f t="shared" si="52"/>
        <v>0.06</v>
      </c>
      <c r="J185" s="136">
        <f t="shared" si="52"/>
        <v>0.06</v>
      </c>
      <c r="K185" s="136">
        <f t="shared" si="52"/>
        <v>0.06</v>
      </c>
      <c r="L185" s="136">
        <f t="shared" si="52"/>
        <v>0.06</v>
      </c>
      <c r="M185" s="136">
        <f t="shared" si="52"/>
        <v>0.06</v>
      </c>
      <c r="N185" s="136">
        <f t="shared" si="52"/>
        <v>0.06</v>
      </c>
      <c r="O185" s="136">
        <f t="shared" si="52"/>
        <v>0.06</v>
      </c>
      <c r="P185" s="136">
        <f t="shared" si="52"/>
        <v>0.06</v>
      </c>
      <c r="Q185" s="136">
        <f t="shared" si="52"/>
        <v>0.06</v>
      </c>
      <c r="R185" s="136">
        <f t="shared" si="52"/>
        <v>0.06</v>
      </c>
      <c r="S185" s="136">
        <f t="shared" si="52"/>
        <v>0.06</v>
      </c>
      <c r="T185" s="136">
        <f t="shared" si="53"/>
        <v>0.06</v>
      </c>
      <c r="U185" s="136">
        <f t="shared" si="53"/>
        <v>0.06</v>
      </c>
      <c r="V185" s="136">
        <f t="shared" si="53"/>
        <v>0.06</v>
      </c>
      <c r="W185" s="136">
        <f t="shared" si="53"/>
        <v>0.06</v>
      </c>
      <c r="X185" s="136">
        <f t="shared" si="53"/>
        <v>0.06</v>
      </c>
      <c r="Y185" s="136">
        <f t="shared" si="53"/>
        <v>0.06</v>
      </c>
      <c r="Z185" s="136">
        <f t="shared" si="53"/>
        <v>0.06</v>
      </c>
      <c r="AA185" s="136">
        <f t="shared" si="53"/>
        <v>0.06</v>
      </c>
      <c r="AB185" s="136">
        <f t="shared" si="53"/>
        <v>0.06</v>
      </c>
      <c r="AC185" s="136">
        <f t="shared" si="53"/>
        <v>0.06</v>
      </c>
      <c r="AD185" s="136">
        <f t="shared" si="53"/>
        <v>0.06</v>
      </c>
      <c r="AE185" s="136">
        <f t="shared" si="53"/>
        <v>0.06</v>
      </c>
      <c r="AF185" s="136">
        <f t="shared" si="53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1"/>
        <v>0.11</v>
      </c>
      <c r="C186" s="137">
        <v>0.11</v>
      </c>
      <c r="D186" s="136">
        <f t="shared" si="52"/>
        <v>0.11</v>
      </c>
      <c r="E186" s="136">
        <f t="shared" si="52"/>
        <v>0.11</v>
      </c>
      <c r="F186" s="136">
        <f t="shared" si="52"/>
        <v>0.11</v>
      </c>
      <c r="G186" s="136">
        <f t="shared" si="52"/>
        <v>0.11</v>
      </c>
      <c r="H186" s="136">
        <f t="shared" si="52"/>
        <v>0.11</v>
      </c>
      <c r="I186" s="136">
        <f t="shared" si="52"/>
        <v>0.11</v>
      </c>
      <c r="J186" s="136">
        <f t="shared" si="52"/>
        <v>0.11</v>
      </c>
      <c r="K186" s="136">
        <f t="shared" si="52"/>
        <v>0.11</v>
      </c>
      <c r="L186" s="136">
        <f t="shared" si="52"/>
        <v>0.11</v>
      </c>
      <c r="M186" s="136">
        <f t="shared" si="52"/>
        <v>0.11</v>
      </c>
      <c r="N186" s="136">
        <f t="shared" si="52"/>
        <v>0.11</v>
      </c>
      <c r="O186" s="136">
        <f t="shared" si="52"/>
        <v>0.11</v>
      </c>
      <c r="P186" s="136">
        <f t="shared" si="52"/>
        <v>0.11</v>
      </c>
      <c r="Q186" s="136">
        <f t="shared" si="52"/>
        <v>0.11</v>
      </c>
      <c r="R186" s="136">
        <f t="shared" si="52"/>
        <v>0.11</v>
      </c>
      <c r="S186" s="136">
        <f t="shared" si="52"/>
        <v>0.11</v>
      </c>
      <c r="T186" s="136">
        <f t="shared" si="53"/>
        <v>0.11</v>
      </c>
      <c r="U186" s="136">
        <f t="shared" si="53"/>
        <v>0.11</v>
      </c>
      <c r="V186" s="136">
        <f t="shared" si="53"/>
        <v>0.11</v>
      </c>
      <c r="W186" s="136">
        <f t="shared" si="53"/>
        <v>0.11</v>
      </c>
      <c r="X186" s="136">
        <f t="shared" si="53"/>
        <v>0.11</v>
      </c>
      <c r="Y186" s="136">
        <f t="shared" si="53"/>
        <v>0.11</v>
      </c>
      <c r="Z186" s="136">
        <f t="shared" si="53"/>
        <v>0.11</v>
      </c>
      <c r="AA186" s="136">
        <f t="shared" si="53"/>
        <v>0.11</v>
      </c>
      <c r="AB186" s="136">
        <f t="shared" si="53"/>
        <v>0.11</v>
      </c>
      <c r="AC186" s="136">
        <f t="shared" si="53"/>
        <v>0.11</v>
      </c>
      <c r="AD186" s="136">
        <f t="shared" si="53"/>
        <v>0.11</v>
      </c>
      <c r="AE186" s="136">
        <f t="shared" si="53"/>
        <v>0.11</v>
      </c>
      <c r="AF186" s="136">
        <f t="shared" si="53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1"/>
        <v>0.1</v>
      </c>
      <c r="C187" s="137">
        <v>0.1</v>
      </c>
      <c r="D187" s="136">
        <f t="shared" si="52"/>
        <v>0.1</v>
      </c>
      <c r="E187" s="136">
        <f t="shared" si="52"/>
        <v>0.1</v>
      </c>
      <c r="F187" s="136">
        <f t="shared" si="52"/>
        <v>0.1</v>
      </c>
      <c r="G187" s="136">
        <f t="shared" si="52"/>
        <v>0.1</v>
      </c>
      <c r="H187" s="136">
        <f t="shared" si="52"/>
        <v>0.1</v>
      </c>
      <c r="I187" s="136">
        <f t="shared" si="52"/>
        <v>0.1</v>
      </c>
      <c r="J187" s="136">
        <f t="shared" si="52"/>
        <v>0.1</v>
      </c>
      <c r="K187" s="136">
        <f t="shared" si="52"/>
        <v>0.1</v>
      </c>
      <c r="L187" s="136">
        <f t="shared" si="52"/>
        <v>0.1</v>
      </c>
      <c r="M187" s="136">
        <f t="shared" si="52"/>
        <v>0.1</v>
      </c>
      <c r="N187" s="136">
        <f t="shared" si="52"/>
        <v>0.1</v>
      </c>
      <c r="O187" s="136">
        <f t="shared" si="52"/>
        <v>0.1</v>
      </c>
      <c r="P187" s="136">
        <f t="shared" si="52"/>
        <v>0.1</v>
      </c>
      <c r="Q187" s="136">
        <f t="shared" si="52"/>
        <v>0.1</v>
      </c>
      <c r="R187" s="136">
        <f t="shared" si="52"/>
        <v>0.1</v>
      </c>
      <c r="S187" s="136">
        <f t="shared" si="53"/>
        <v>0.1</v>
      </c>
      <c r="T187" s="136">
        <f t="shared" si="53"/>
        <v>0.1</v>
      </c>
      <c r="U187" s="136">
        <f t="shared" si="53"/>
        <v>0.1</v>
      </c>
      <c r="V187" s="136">
        <f t="shared" si="53"/>
        <v>0.1</v>
      </c>
      <c r="W187" s="136">
        <f t="shared" si="53"/>
        <v>0.1</v>
      </c>
      <c r="X187" s="136">
        <f t="shared" si="53"/>
        <v>0.1</v>
      </c>
      <c r="Y187" s="136">
        <f t="shared" si="53"/>
        <v>0.1</v>
      </c>
      <c r="Z187" s="136">
        <f t="shared" si="53"/>
        <v>0.1</v>
      </c>
      <c r="AA187" s="136">
        <f t="shared" si="53"/>
        <v>0.1</v>
      </c>
      <c r="AB187" s="136">
        <f t="shared" si="53"/>
        <v>0.1</v>
      </c>
      <c r="AC187" s="136">
        <f t="shared" si="53"/>
        <v>0.1</v>
      </c>
      <c r="AD187" s="136">
        <f t="shared" si="53"/>
        <v>0.1</v>
      </c>
      <c r="AE187" s="136">
        <f t="shared" si="53"/>
        <v>0.1</v>
      </c>
      <c r="AF187" s="136">
        <f t="shared" si="53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1"/>
        <v>0.09</v>
      </c>
      <c r="C188" s="137">
        <v>0.09</v>
      </c>
      <c r="D188" s="136">
        <f t="shared" si="52"/>
        <v>0.09</v>
      </c>
      <c r="E188" s="136">
        <f t="shared" si="52"/>
        <v>0.09</v>
      </c>
      <c r="F188" s="136">
        <f t="shared" si="52"/>
        <v>0.09</v>
      </c>
      <c r="G188" s="136">
        <f t="shared" si="52"/>
        <v>0.09</v>
      </c>
      <c r="H188" s="136">
        <f t="shared" si="52"/>
        <v>0.09</v>
      </c>
      <c r="I188" s="136">
        <f t="shared" si="52"/>
        <v>0.09</v>
      </c>
      <c r="J188" s="136">
        <f t="shared" si="52"/>
        <v>0.09</v>
      </c>
      <c r="K188" s="136">
        <f t="shared" si="52"/>
        <v>0.09</v>
      </c>
      <c r="L188" s="136">
        <f t="shared" si="52"/>
        <v>0.09</v>
      </c>
      <c r="M188" s="136">
        <f t="shared" si="52"/>
        <v>0.09</v>
      </c>
      <c r="N188" s="136">
        <f t="shared" si="52"/>
        <v>0.09</v>
      </c>
      <c r="O188" s="136">
        <f t="shared" si="52"/>
        <v>0.09</v>
      </c>
      <c r="P188" s="136">
        <f t="shared" si="52"/>
        <v>0.09</v>
      </c>
      <c r="Q188" s="136">
        <f t="shared" si="52"/>
        <v>0.09</v>
      </c>
      <c r="R188" s="136">
        <f t="shared" si="52"/>
        <v>0.09</v>
      </c>
      <c r="S188" s="136">
        <f t="shared" si="53"/>
        <v>0.09</v>
      </c>
      <c r="T188" s="136">
        <f t="shared" si="53"/>
        <v>0.09</v>
      </c>
      <c r="U188" s="136">
        <f t="shared" si="53"/>
        <v>0.09</v>
      </c>
      <c r="V188" s="136">
        <f t="shared" si="53"/>
        <v>0.09</v>
      </c>
      <c r="W188" s="136">
        <f t="shared" si="53"/>
        <v>0.09</v>
      </c>
      <c r="X188" s="136">
        <f t="shared" si="53"/>
        <v>0.09</v>
      </c>
      <c r="Y188" s="136">
        <f t="shared" si="53"/>
        <v>0.09</v>
      </c>
      <c r="Z188" s="136">
        <f t="shared" si="53"/>
        <v>0.09</v>
      </c>
      <c r="AA188" s="136">
        <f t="shared" si="53"/>
        <v>0.09</v>
      </c>
      <c r="AB188" s="136">
        <f t="shared" si="53"/>
        <v>0.09</v>
      </c>
      <c r="AC188" s="136">
        <f t="shared" si="53"/>
        <v>0.09</v>
      </c>
      <c r="AD188" s="136">
        <f t="shared" si="53"/>
        <v>0.09</v>
      </c>
      <c r="AE188" s="136">
        <f t="shared" si="53"/>
        <v>0.09</v>
      </c>
      <c r="AF188" s="136">
        <f t="shared" si="53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1"/>
        <v>0.04</v>
      </c>
      <c r="C189" s="53">
        <v>0.04</v>
      </c>
      <c r="D189" s="136">
        <f t="shared" si="52"/>
        <v>0.04</v>
      </c>
      <c r="E189" s="136">
        <f t="shared" si="52"/>
        <v>0.04</v>
      </c>
      <c r="F189" s="136">
        <f t="shared" si="52"/>
        <v>0.04</v>
      </c>
      <c r="G189" s="136">
        <f t="shared" si="52"/>
        <v>0.04</v>
      </c>
      <c r="H189" s="136">
        <f t="shared" si="52"/>
        <v>0.04</v>
      </c>
      <c r="I189" s="136">
        <f t="shared" si="52"/>
        <v>0.04</v>
      </c>
      <c r="J189" s="136">
        <f t="shared" si="52"/>
        <v>0.04</v>
      </c>
      <c r="K189" s="136">
        <f t="shared" si="52"/>
        <v>0.04</v>
      </c>
      <c r="L189" s="136">
        <f t="shared" si="52"/>
        <v>0.04</v>
      </c>
      <c r="M189" s="136">
        <f t="shared" si="52"/>
        <v>0.04</v>
      </c>
      <c r="N189" s="136">
        <f t="shared" si="52"/>
        <v>0.04</v>
      </c>
      <c r="O189" s="136">
        <f t="shared" si="52"/>
        <v>0.04</v>
      </c>
      <c r="P189" s="136">
        <f t="shared" si="52"/>
        <v>0.04</v>
      </c>
      <c r="Q189" s="136">
        <f t="shared" si="52"/>
        <v>0.04</v>
      </c>
      <c r="R189" s="136">
        <f t="shared" si="52"/>
        <v>0.04</v>
      </c>
      <c r="S189" s="136">
        <f t="shared" si="53"/>
        <v>0.04</v>
      </c>
      <c r="T189" s="136">
        <f t="shared" si="53"/>
        <v>0.04</v>
      </c>
      <c r="U189" s="136">
        <f t="shared" si="53"/>
        <v>0.04</v>
      </c>
      <c r="V189" s="136">
        <f t="shared" si="53"/>
        <v>0.04</v>
      </c>
      <c r="W189" s="136">
        <f t="shared" si="53"/>
        <v>0.04</v>
      </c>
      <c r="X189" s="136">
        <f t="shared" si="53"/>
        <v>0.04</v>
      </c>
      <c r="Y189" s="136">
        <f t="shared" si="53"/>
        <v>0.04</v>
      </c>
      <c r="Z189" s="136">
        <f t="shared" si="53"/>
        <v>0.04</v>
      </c>
      <c r="AA189" s="136">
        <f t="shared" si="53"/>
        <v>0.04</v>
      </c>
      <c r="AB189" s="136">
        <f t="shared" si="53"/>
        <v>0.04</v>
      </c>
      <c r="AC189" s="136">
        <f t="shared" si="53"/>
        <v>0.04</v>
      </c>
      <c r="AD189" s="136">
        <f t="shared" si="53"/>
        <v>0.04</v>
      </c>
      <c r="AE189" s="136">
        <f t="shared" si="53"/>
        <v>0.04</v>
      </c>
      <c r="AF189" s="136">
        <f t="shared" si="53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1"/>
        <v>2.3E-2</v>
      </c>
      <c r="C190" s="53">
        <v>2.3E-2</v>
      </c>
      <c r="D190" s="136">
        <f>C190</f>
        <v>2.3E-2</v>
      </c>
      <c r="E190" s="136">
        <f t="shared" si="52"/>
        <v>2.3E-2</v>
      </c>
      <c r="F190" s="136">
        <f t="shared" si="52"/>
        <v>2.3E-2</v>
      </c>
      <c r="G190" s="136">
        <f t="shared" si="52"/>
        <v>2.3E-2</v>
      </c>
      <c r="H190" s="136">
        <f t="shared" si="52"/>
        <v>2.3E-2</v>
      </c>
      <c r="I190" s="136">
        <f t="shared" si="52"/>
        <v>2.3E-2</v>
      </c>
      <c r="J190" s="136">
        <f t="shared" si="52"/>
        <v>2.3E-2</v>
      </c>
      <c r="K190" s="136">
        <f t="shared" si="52"/>
        <v>2.3E-2</v>
      </c>
      <c r="L190" s="136">
        <f t="shared" si="52"/>
        <v>2.3E-2</v>
      </c>
      <c r="M190" s="136">
        <f t="shared" si="52"/>
        <v>2.3E-2</v>
      </c>
      <c r="N190" s="136">
        <f t="shared" si="52"/>
        <v>2.3E-2</v>
      </c>
      <c r="O190" s="136">
        <f t="shared" si="52"/>
        <v>2.3E-2</v>
      </c>
      <c r="P190" s="136">
        <f t="shared" si="52"/>
        <v>2.3E-2</v>
      </c>
      <c r="Q190" s="136">
        <f t="shared" si="52"/>
        <v>2.3E-2</v>
      </c>
      <c r="R190" s="136">
        <f t="shared" si="52"/>
        <v>2.3E-2</v>
      </c>
      <c r="S190" s="136">
        <f t="shared" si="53"/>
        <v>2.3E-2</v>
      </c>
      <c r="T190" s="136">
        <f t="shared" si="53"/>
        <v>2.3E-2</v>
      </c>
      <c r="U190" s="136">
        <f t="shared" si="53"/>
        <v>2.3E-2</v>
      </c>
      <c r="V190" s="136">
        <f t="shared" si="53"/>
        <v>2.3E-2</v>
      </c>
      <c r="W190" s="136">
        <f t="shared" si="53"/>
        <v>2.3E-2</v>
      </c>
      <c r="X190" s="136">
        <f t="shared" si="53"/>
        <v>2.3E-2</v>
      </c>
      <c r="Y190" s="136">
        <f t="shared" si="53"/>
        <v>2.3E-2</v>
      </c>
      <c r="Z190" s="136">
        <f t="shared" si="53"/>
        <v>2.3E-2</v>
      </c>
      <c r="AA190" s="136">
        <f t="shared" si="53"/>
        <v>2.3E-2</v>
      </c>
      <c r="AB190" s="136">
        <f t="shared" si="53"/>
        <v>2.3E-2</v>
      </c>
      <c r="AC190" s="136">
        <f t="shared" si="53"/>
        <v>2.3E-2</v>
      </c>
      <c r="AD190" s="136">
        <f t="shared" si="53"/>
        <v>2.3E-2</v>
      </c>
      <c r="AE190" s="136">
        <f t="shared" si="53"/>
        <v>2.3E-2</v>
      </c>
      <c r="AF190" s="136">
        <f t="shared" si="53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4">SUM(C101:C190)</f>
        <v>194.70600000000002</v>
      </c>
      <c r="D191" s="141">
        <f t="shared" si="54"/>
        <v>194.70600000000002</v>
      </c>
      <c r="E191" s="141">
        <f t="shared" si="54"/>
        <v>194.70600000000002</v>
      </c>
      <c r="F191" s="141">
        <f t="shared" si="54"/>
        <v>194.70600000000002</v>
      </c>
      <c r="G191" s="141">
        <f t="shared" si="54"/>
        <v>194.70600000000002</v>
      </c>
      <c r="H191" s="141">
        <f t="shared" si="54"/>
        <v>194.70600000000002</v>
      </c>
      <c r="I191" s="141">
        <f t="shared" si="54"/>
        <v>194.70600000000002</v>
      </c>
      <c r="J191" s="141">
        <f t="shared" si="54"/>
        <v>192.10600000000005</v>
      </c>
      <c r="K191" s="141">
        <f t="shared" si="54"/>
        <v>192.10600000000005</v>
      </c>
      <c r="L191" s="141">
        <f t="shared" si="54"/>
        <v>192.10600000000005</v>
      </c>
      <c r="M191" s="141">
        <f t="shared" si="54"/>
        <v>192.10600000000005</v>
      </c>
      <c r="N191" s="141">
        <f t="shared" si="54"/>
        <v>192.10600000000005</v>
      </c>
      <c r="O191" s="141">
        <f t="shared" si="54"/>
        <v>192.10600000000005</v>
      </c>
      <c r="P191" s="141">
        <f t="shared" si="54"/>
        <v>192.10600000000005</v>
      </c>
      <c r="Q191" s="141">
        <f t="shared" si="54"/>
        <v>192.10600000000005</v>
      </c>
      <c r="R191" s="141">
        <f t="shared" si="54"/>
        <v>192.10600000000005</v>
      </c>
      <c r="S191" s="141">
        <f t="shared" si="54"/>
        <v>192.10600000000005</v>
      </c>
      <c r="T191" s="141">
        <f t="shared" si="54"/>
        <v>192.10600000000005</v>
      </c>
      <c r="U191" s="141">
        <f t="shared" si="54"/>
        <v>192.10600000000005</v>
      </c>
      <c r="V191" s="141">
        <f t="shared" si="54"/>
        <v>192.10600000000005</v>
      </c>
      <c r="W191" s="141">
        <f t="shared" si="54"/>
        <v>192.10600000000005</v>
      </c>
      <c r="X191" s="141">
        <f t="shared" si="54"/>
        <v>192.10600000000005</v>
      </c>
      <c r="Y191" s="141">
        <f t="shared" si="54"/>
        <v>192.10600000000005</v>
      </c>
      <c r="Z191" s="141">
        <f t="shared" si="54"/>
        <v>192.10600000000005</v>
      </c>
      <c r="AA191" s="141">
        <f t="shared" si="54"/>
        <v>192.10600000000005</v>
      </c>
      <c r="AB191" s="141">
        <f t="shared" si="54"/>
        <v>192.10600000000005</v>
      </c>
      <c r="AC191" s="141">
        <f t="shared" si="54"/>
        <v>192.10600000000005</v>
      </c>
      <c r="AD191" s="141">
        <f t="shared" si="54"/>
        <v>192.10600000000005</v>
      </c>
      <c r="AE191" s="141">
        <f t="shared" si="54"/>
        <v>192.10600000000005</v>
      </c>
      <c r="AF191" s="141">
        <f t="shared" si="54"/>
        <v>192.10600000000005</v>
      </c>
      <c r="AG191" s="142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5">AF193</f>
        <v>0.3</v>
      </c>
      <c r="C193" s="143">
        <v>0.3</v>
      </c>
      <c r="D193" s="143">
        <f t="shared" ref="D193:S198" si="56">C193</f>
        <v>0.3</v>
      </c>
      <c r="E193" s="143">
        <f t="shared" si="56"/>
        <v>0.3</v>
      </c>
      <c r="F193" s="143">
        <f t="shared" si="56"/>
        <v>0.3</v>
      </c>
      <c r="G193" s="143">
        <f t="shared" si="56"/>
        <v>0.3</v>
      </c>
      <c r="H193" s="143">
        <f t="shared" si="56"/>
        <v>0.3</v>
      </c>
      <c r="I193" s="143">
        <f t="shared" si="56"/>
        <v>0.3</v>
      </c>
      <c r="J193" s="143">
        <f t="shared" si="56"/>
        <v>0.3</v>
      </c>
      <c r="K193" s="143">
        <f t="shared" si="56"/>
        <v>0.3</v>
      </c>
      <c r="L193" s="143">
        <f t="shared" si="56"/>
        <v>0.3</v>
      </c>
      <c r="M193" s="143">
        <f t="shared" si="56"/>
        <v>0.3</v>
      </c>
      <c r="N193" s="143">
        <f t="shared" si="56"/>
        <v>0.3</v>
      </c>
      <c r="O193" s="143">
        <f t="shared" si="56"/>
        <v>0.3</v>
      </c>
      <c r="P193" s="143">
        <f t="shared" si="56"/>
        <v>0.3</v>
      </c>
      <c r="Q193" s="143">
        <f t="shared" si="56"/>
        <v>0.3</v>
      </c>
      <c r="R193" s="143">
        <f t="shared" si="56"/>
        <v>0.3</v>
      </c>
      <c r="S193" s="143">
        <f t="shared" si="56"/>
        <v>0.3</v>
      </c>
      <c r="T193" s="143">
        <f t="shared" ref="T193:AF198" si="57">S193</f>
        <v>0.3</v>
      </c>
      <c r="U193" s="143">
        <f t="shared" si="57"/>
        <v>0.3</v>
      </c>
      <c r="V193" s="143">
        <f t="shared" si="57"/>
        <v>0.3</v>
      </c>
      <c r="W193" s="143">
        <f t="shared" si="57"/>
        <v>0.3</v>
      </c>
      <c r="X193" s="143">
        <f t="shared" si="57"/>
        <v>0.3</v>
      </c>
      <c r="Y193" s="143">
        <f t="shared" si="57"/>
        <v>0.3</v>
      </c>
      <c r="Z193" s="143">
        <f t="shared" si="57"/>
        <v>0.3</v>
      </c>
      <c r="AA193" s="143">
        <f t="shared" si="57"/>
        <v>0.3</v>
      </c>
      <c r="AB193" s="143">
        <f t="shared" si="57"/>
        <v>0.3</v>
      </c>
      <c r="AC193" s="143">
        <f t="shared" si="57"/>
        <v>0.3</v>
      </c>
      <c r="AD193" s="143">
        <f t="shared" si="57"/>
        <v>0.3</v>
      </c>
      <c r="AE193" s="143">
        <f t="shared" si="57"/>
        <v>0.3</v>
      </c>
      <c r="AF193" s="143">
        <f t="shared" si="57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5"/>
        <v>0.4</v>
      </c>
      <c r="C194" s="136">
        <v>0.4</v>
      </c>
      <c r="D194" s="136">
        <f t="shared" si="56"/>
        <v>0.4</v>
      </c>
      <c r="E194" s="136">
        <f t="shared" si="56"/>
        <v>0.4</v>
      </c>
      <c r="F194" s="136">
        <f t="shared" si="56"/>
        <v>0.4</v>
      </c>
      <c r="G194" s="136">
        <f t="shared" si="56"/>
        <v>0.4</v>
      </c>
      <c r="H194" s="136">
        <f t="shared" si="56"/>
        <v>0.4</v>
      </c>
      <c r="I194" s="136">
        <f t="shared" si="56"/>
        <v>0.4</v>
      </c>
      <c r="J194" s="136">
        <f t="shared" si="56"/>
        <v>0.4</v>
      </c>
      <c r="K194" s="136">
        <f t="shared" si="56"/>
        <v>0.4</v>
      </c>
      <c r="L194" s="136">
        <f t="shared" si="56"/>
        <v>0.4</v>
      </c>
      <c r="M194" s="136">
        <f t="shared" si="56"/>
        <v>0.4</v>
      </c>
      <c r="N194" s="136">
        <f t="shared" si="56"/>
        <v>0.4</v>
      </c>
      <c r="O194" s="136">
        <f t="shared" si="56"/>
        <v>0.4</v>
      </c>
      <c r="P194" s="136">
        <f t="shared" si="56"/>
        <v>0.4</v>
      </c>
      <c r="Q194" s="136">
        <f t="shared" si="56"/>
        <v>0.4</v>
      </c>
      <c r="R194" s="136">
        <f t="shared" si="56"/>
        <v>0.4</v>
      </c>
      <c r="S194" s="136">
        <f t="shared" si="56"/>
        <v>0.4</v>
      </c>
      <c r="T194" s="136">
        <f t="shared" si="57"/>
        <v>0.4</v>
      </c>
      <c r="U194" s="136">
        <f t="shared" si="57"/>
        <v>0.4</v>
      </c>
      <c r="V194" s="136">
        <f t="shared" si="57"/>
        <v>0.4</v>
      </c>
      <c r="W194" s="136">
        <f>V194</f>
        <v>0.4</v>
      </c>
      <c r="X194" s="136">
        <f>W194</f>
        <v>0.4</v>
      </c>
      <c r="Y194" s="136">
        <f t="shared" si="57"/>
        <v>0.4</v>
      </c>
      <c r="Z194" s="136">
        <f t="shared" si="57"/>
        <v>0.4</v>
      </c>
      <c r="AA194" s="136">
        <f t="shared" si="57"/>
        <v>0.4</v>
      </c>
      <c r="AB194" s="136">
        <f t="shared" si="57"/>
        <v>0.4</v>
      </c>
      <c r="AC194" s="136">
        <f t="shared" si="57"/>
        <v>0.4</v>
      </c>
      <c r="AD194" s="136">
        <f t="shared" si="57"/>
        <v>0.4</v>
      </c>
      <c r="AE194" s="136">
        <f t="shared" si="57"/>
        <v>0.4</v>
      </c>
      <c r="AF194" s="136">
        <f t="shared" si="57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5"/>
        <v>1.5</v>
      </c>
      <c r="C195" s="136">
        <v>1.5</v>
      </c>
      <c r="D195" s="136">
        <f t="shared" si="56"/>
        <v>1.5</v>
      </c>
      <c r="E195" s="136">
        <f t="shared" si="56"/>
        <v>1.5</v>
      </c>
      <c r="F195" s="136">
        <f t="shared" si="56"/>
        <v>1.5</v>
      </c>
      <c r="G195" s="136">
        <f t="shared" si="56"/>
        <v>1.5</v>
      </c>
      <c r="H195" s="136">
        <f t="shared" si="56"/>
        <v>1.5</v>
      </c>
      <c r="I195" s="136">
        <f t="shared" si="56"/>
        <v>1.5</v>
      </c>
      <c r="J195" s="136">
        <f t="shared" si="56"/>
        <v>1.5</v>
      </c>
      <c r="K195" s="136">
        <f t="shared" si="56"/>
        <v>1.5</v>
      </c>
      <c r="L195" s="136">
        <f t="shared" si="56"/>
        <v>1.5</v>
      </c>
      <c r="M195" s="136">
        <f t="shared" si="56"/>
        <v>1.5</v>
      </c>
      <c r="N195" s="136">
        <f t="shared" si="56"/>
        <v>1.5</v>
      </c>
      <c r="O195" s="136">
        <f t="shared" si="56"/>
        <v>1.5</v>
      </c>
      <c r="P195" s="136">
        <f t="shared" si="56"/>
        <v>1.5</v>
      </c>
      <c r="Q195" s="136">
        <f t="shared" si="56"/>
        <v>1.5</v>
      </c>
      <c r="R195" s="136">
        <f t="shared" si="56"/>
        <v>1.5</v>
      </c>
      <c r="S195" s="136">
        <f t="shared" si="56"/>
        <v>1.5</v>
      </c>
      <c r="T195" s="136">
        <f t="shared" si="57"/>
        <v>1.5</v>
      </c>
      <c r="U195" s="136">
        <f t="shared" si="57"/>
        <v>1.5</v>
      </c>
      <c r="V195" s="136">
        <f t="shared" si="57"/>
        <v>1.5</v>
      </c>
      <c r="W195" s="136">
        <f t="shared" si="57"/>
        <v>1.5</v>
      </c>
      <c r="X195" s="136">
        <f t="shared" si="57"/>
        <v>1.5</v>
      </c>
      <c r="Y195" s="136">
        <f t="shared" si="57"/>
        <v>1.5</v>
      </c>
      <c r="Z195" s="136">
        <f t="shared" si="57"/>
        <v>1.5</v>
      </c>
      <c r="AA195" s="136">
        <f t="shared" si="57"/>
        <v>1.5</v>
      </c>
      <c r="AB195" s="136">
        <f t="shared" si="57"/>
        <v>1.5</v>
      </c>
      <c r="AC195" s="136">
        <f t="shared" si="57"/>
        <v>1.5</v>
      </c>
      <c r="AD195" s="136">
        <f t="shared" si="57"/>
        <v>1.5</v>
      </c>
      <c r="AE195" s="136">
        <f t="shared" si="57"/>
        <v>1.5</v>
      </c>
      <c r="AF195" s="136">
        <f t="shared" si="57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5"/>
        <v>0.3</v>
      </c>
      <c r="C196" s="136">
        <v>0.3</v>
      </c>
      <c r="D196" s="136">
        <f t="shared" si="56"/>
        <v>0.3</v>
      </c>
      <c r="E196" s="136">
        <f t="shared" si="56"/>
        <v>0.3</v>
      </c>
      <c r="F196" s="136">
        <f t="shared" si="56"/>
        <v>0.3</v>
      </c>
      <c r="G196" s="136">
        <f t="shared" si="56"/>
        <v>0.3</v>
      </c>
      <c r="H196" s="136">
        <f t="shared" si="56"/>
        <v>0.3</v>
      </c>
      <c r="I196" s="136">
        <f t="shared" si="56"/>
        <v>0.3</v>
      </c>
      <c r="J196" s="136">
        <f t="shared" si="56"/>
        <v>0.3</v>
      </c>
      <c r="K196" s="136">
        <f t="shared" si="56"/>
        <v>0.3</v>
      </c>
      <c r="L196" s="136">
        <f t="shared" si="56"/>
        <v>0.3</v>
      </c>
      <c r="M196" s="136">
        <f t="shared" si="56"/>
        <v>0.3</v>
      </c>
      <c r="N196" s="136">
        <f t="shared" si="56"/>
        <v>0.3</v>
      </c>
      <c r="O196" s="136">
        <f t="shared" si="56"/>
        <v>0.3</v>
      </c>
      <c r="P196" s="136">
        <f t="shared" si="56"/>
        <v>0.3</v>
      </c>
      <c r="Q196" s="136">
        <f t="shared" si="56"/>
        <v>0.3</v>
      </c>
      <c r="R196" s="136">
        <f t="shared" si="56"/>
        <v>0.3</v>
      </c>
      <c r="S196" s="136">
        <f t="shared" si="56"/>
        <v>0.3</v>
      </c>
      <c r="T196" s="136">
        <f t="shared" si="57"/>
        <v>0.3</v>
      </c>
      <c r="U196" s="136">
        <f t="shared" si="57"/>
        <v>0.3</v>
      </c>
      <c r="V196" s="136">
        <f t="shared" si="57"/>
        <v>0.3</v>
      </c>
      <c r="W196" s="136">
        <f t="shared" si="57"/>
        <v>0.3</v>
      </c>
      <c r="X196" s="136">
        <f t="shared" si="57"/>
        <v>0.3</v>
      </c>
      <c r="Y196" s="136">
        <f t="shared" si="57"/>
        <v>0.3</v>
      </c>
      <c r="Z196" s="136">
        <f t="shared" si="57"/>
        <v>0.3</v>
      </c>
      <c r="AA196" s="136">
        <f t="shared" si="57"/>
        <v>0.3</v>
      </c>
      <c r="AB196" s="136">
        <f t="shared" si="57"/>
        <v>0.3</v>
      </c>
      <c r="AC196" s="136">
        <f t="shared" si="57"/>
        <v>0.3</v>
      </c>
      <c r="AD196" s="136">
        <f t="shared" si="57"/>
        <v>0.3</v>
      </c>
      <c r="AE196" s="136">
        <f t="shared" si="57"/>
        <v>0.3</v>
      </c>
      <c r="AF196" s="136">
        <f t="shared" si="57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5"/>
        <v>0.4</v>
      </c>
      <c r="C197" s="136">
        <v>0.4</v>
      </c>
      <c r="D197" s="136">
        <f t="shared" si="56"/>
        <v>0.4</v>
      </c>
      <c r="E197" s="136">
        <f t="shared" si="56"/>
        <v>0.4</v>
      </c>
      <c r="F197" s="136">
        <f t="shared" si="56"/>
        <v>0.4</v>
      </c>
      <c r="G197" s="136">
        <f t="shared" si="56"/>
        <v>0.4</v>
      </c>
      <c r="H197" s="136">
        <f t="shared" si="56"/>
        <v>0.4</v>
      </c>
      <c r="I197" s="136">
        <f t="shared" si="56"/>
        <v>0.4</v>
      </c>
      <c r="J197" s="136">
        <f t="shared" si="56"/>
        <v>0.4</v>
      </c>
      <c r="K197" s="136">
        <f t="shared" si="56"/>
        <v>0.4</v>
      </c>
      <c r="L197" s="136">
        <f t="shared" si="56"/>
        <v>0.4</v>
      </c>
      <c r="M197" s="136">
        <f t="shared" si="56"/>
        <v>0.4</v>
      </c>
      <c r="N197" s="136">
        <f t="shared" si="56"/>
        <v>0.4</v>
      </c>
      <c r="O197" s="136">
        <f t="shared" si="56"/>
        <v>0.4</v>
      </c>
      <c r="P197" s="136">
        <f t="shared" si="56"/>
        <v>0.4</v>
      </c>
      <c r="Q197" s="136">
        <f t="shared" si="56"/>
        <v>0.4</v>
      </c>
      <c r="R197" s="136">
        <f t="shared" si="56"/>
        <v>0.4</v>
      </c>
      <c r="S197" s="136">
        <f t="shared" si="56"/>
        <v>0.4</v>
      </c>
      <c r="T197" s="136">
        <f t="shared" si="57"/>
        <v>0.4</v>
      </c>
      <c r="U197" s="136">
        <f t="shared" si="57"/>
        <v>0.4</v>
      </c>
      <c r="V197" s="136">
        <f t="shared" si="57"/>
        <v>0.4</v>
      </c>
      <c r="W197" s="136">
        <f t="shared" si="57"/>
        <v>0.4</v>
      </c>
      <c r="X197" s="136">
        <f t="shared" si="57"/>
        <v>0.4</v>
      </c>
      <c r="Y197" s="136">
        <f t="shared" si="57"/>
        <v>0.4</v>
      </c>
      <c r="Z197" s="136">
        <f t="shared" si="57"/>
        <v>0.4</v>
      </c>
      <c r="AA197" s="136">
        <f t="shared" si="57"/>
        <v>0.4</v>
      </c>
      <c r="AB197" s="136">
        <f t="shared" si="57"/>
        <v>0.4</v>
      </c>
      <c r="AC197" s="136">
        <f t="shared" si="57"/>
        <v>0.4</v>
      </c>
      <c r="AD197" s="136">
        <f t="shared" si="57"/>
        <v>0.4</v>
      </c>
      <c r="AE197" s="136">
        <f t="shared" si="57"/>
        <v>0.4</v>
      </c>
      <c r="AF197" s="136">
        <f t="shared" si="57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5"/>
        <v>0.64</v>
      </c>
      <c r="C198" s="146">
        <v>0.64</v>
      </c>
      <c r="D198" s="146">
        <f t="shared" si="56"/>
        <v>0.64</v>
      </c>
      <c r="E198" s="146">
        <f t="shared" si="56"/>
        <v>0.64</v>
      </c>
      <c r="F198" s="146">
        <f t="shared" si="56"/>
        <v>0.64</v>
      </c>
      <c r="G198" s="146">
        <f t="shared" si="56"/>
        <v>0.64</v>
      </c>
      <c r="H198" s="146">
        <f t="shared" si="56"/>
        <v>0.64</v>
      </c>
      <c r="I198" s="146">
        <f t="shared" si="56"/>
        <v>0.64</v>
      </c>
      <c r="J198" s="146">
        <f t="shared" si="56"/>
        <v>0.64</v>
      </c>
      <c r="K198" s="146">
        <f t="shared" si="56"/>
        <v>0.64</v>
      </c>
      <c r="L198" s="146">
        <f t="shared" si="56"/>
        <v>0.64</v>
      </c>
      <c r="M198" s="146">
        <f t="shared" si="56"/>
        <v>0.64</v>
      </c>
      <c r="N198" s="146">
        <f t="shared" si="56"/>
        <v>0.64</v>
      </c>
      <c r="O198" s="146">
        <f t="shared" si="56"/>
        <v>0.64</v>
      </c>
      <c r="P198" s="146">
        <f t="shared" si="56"/>
        <v>0.64</v>
      </c>
      <c r="Q198" s="146">
        <f t="shared" si="56"/>
        <v>0.64</v>
      </c>
      <c r="R198" s="146">
        <f t="shared" si="56"/>
        <v>0.64</v>
      </c>
      <c r="S198" s="146">
        <f t="shared" si="56"/>
        <v>0.64</v>
      </c>
      <c r="T198" s="146">
        <f t="shared" si="57"/>
        <v>0.64</v>
      </c>
      <c r="U198" s="146">
        <f t="shared" si="57"/>
        <v>0.64</v>
      </c>
      <c r="V198" s="146">
        <f t="shared" si="57"/>
        <v>0.64</v>
      </c>
      <c r="W198" s="146">
        <f t="shared" si="57"/>
        <v>0.64</v>
      </c>
      <c r="X198" s="146">
        <f t="shared" si="57"/>
        <v>0.64</v>
      </c>
      <c r="Y198" s="146">
        <f t="shared" si="57"/>
        <v>0.64</v>
      </c>
      <c r="Z198" s="146">
        <f t="shared" si="57"/>
        <v>0.64</v>
      </c>
      <c r="AA198" s="146">
        <f t="shared" si="57"/>
        <v>0.64</v>
      </c>
      <c r="AB198" s="146">
        <f t="shared" si="57"/>
        <v>0.64</v>
      </c>
      <c r="AC198" s="146">
        <f t="shared" si="57"/>
        <v>0.64</v>
      </c>
      <c r="AD198" s="146">
        <f t="shared" si="57"/>
        <v>0.64</v>
      </c>
      <c r="AE198" s="146">
        <f t="shared" si="57"/>
        <v>0.64</v>
      </c>
      <c r="AF198" s="146">
        <f t="shared" si="57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8">SUM(D193:D198)</f>
        <v>3.54</v>
      </c>
      <c r="E199" s="149">
        <f t="shared" si="58"/>
        <v>3.54</v>
      </c>
      <c r="F199" s="149">
        <f t="shared" si="58"/>
        <v>3.54</v>
      </c>
      <c r="G199" s="149">
        <f t="shared" si="58"/>
        <v>3.54</v>
      </c>
      <c r="H199" s="149">
        <f t="shared" si="58"/>
        <v>3.54</v>
      </c>
      <c r="I199" s="149">
        <f t="shared" si="58"/>
        <v>3.54</v>
      </c>
      <c r="J199" s="149">
        <f t="shared" si="58"/>
        <v>3.54</v>
      </c>
      <c r="K199" s="149">
        <f t="shared" si="58"/>
        <v>3.54</v>
      </c>
      <c r="L199" s="149">
        <f t="shared" si="58"/>
        <v>3.54</v>
      </c>
      <c r="M199" s="149">
        <f>SUM(M193:M198)</f>
        <v>3.54</v>
      </c>
      <c r="N199" s="149">
        <f t="shared" ref="N199:S199" si="59">SUM(N193:N198)</f>
        <v>3.54</v>
      </c>
      <c r="O199" s="149">
        <f t="shared" si="59"/>
        <v>3.54</v>
      </c>
      <c r="P199" s="149">
        <f t="shared" si="59"/>
        <v>3.54</v>
      </c>
      <c r="Q199" s="149">
        <f t="shared" si="59"/>
        <v>3.54</v>
      </c>
      <c r="R199" s="149">
        <f t="shared" si="59"/>
        <v>3.54</v>
      </c>
      <c r="S199" s="149">
        <f t="shared" si="59"/>
        <v>3.54</v>
      </c>
      <c r="T199" s="149">
        <f>SUM(T193:T198)</f>
        <v>3.54</v>
      </c>
      <c r="U199" s="149">
        <f t="shared" ref="U199:AG199" si="60">SUM(U193:U198)</f>
        <v>3.54</v>
      </c>
      <c r="V199" s="149">
        <f t="shared" si="60"/>
        <v>3.54</v>
      </c>
      <c r="W199" s="149">
        <f t="shared" si="60"/>
        <v>3.54</v>
      </c>
      <c r="X199" s="149">
        <f t="shared" si="60"/>
        <v>3.54</v>
      </c>
      <c r="Y199" s="149">
        <f t="shared" si="60"/>
        <v>3.54</v>
      </c>
      <c r="Z199" s="149">
        <f t="shared" si="60"/>
        <v>3.54</v>
      </c>
      <c r="AA199" s="149">
        <f t="shared" si="60"/>
        <v>3.54</v>
      </c>
      <c r="AB199" s="149">
        <f t="shared" si="60"/>
        <v>3.54</v>
      </c>
      <c r="AC199" s="149">
        <f t="shared" si="60"/>
        <v>3.54</v>
      </c>
      <c r="AD199" s="149">
        <f t="shared" si="60"/>
        <v>3.54</v>
      </c>
      <c r="AE199" s="149">
        <f t="shared" si="60"/>
        <v>3.54</v>
      </c>
      <c r="AF199" s="149">
        <f t="shared" si="60"/>
        <v>3.54</v>
      </c>
      <c r="AG199" s="150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1538.1400000000003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2078/11/9)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1">B75</f>
        <v>901.83999999999992</v>
      </c>
      <c r="U213" s="174">
        <f t="shared" si="61"/>
        <v>890.8599999999999</v>
      </c>
      <c r="V213" s="174">
        <f t="shared" si="61"/>
        <v>868.31999999999994</v>
      </c>
      <c r="W213" s="174">
        <f t="shared" si="61"/>
        <v>884.21</v>
      </c>
      <c r="X213" s="174">
        <f t="shared" si="61"/>
        <v>888.37999999999988</v>
      </c>
      <c r="Y213" s="174">
        <f t="shared" si="61"/>
        <v>958.64999999999986</v>
      </c>
      <c r="Z213" s="174">
        <f t="shared" si="61"/>
        <v>1019.8</v>
      </c>
      <c r="AA213" s="174">
        <f t="shared" si="61"/>
        <v>1098.94</v>
      </c>
      <c r="AB213" s="174">
        <f t="shared" si="61"/>
        <v>1210.8399999999999</v>
      </c>
      <c r="AC213" s="174">
        <f t="shared" si="61"/>
        <v>1326.94</v>
      </c>
      <c r="AD213" s="174">
        <f t="shared" si="61"/>
        <v>1518.8200000000002</v>
      </c>
      <c r="AE213" s="174">
        <f t="shared" si="61"/>
        <v>1538.1400000000003</v>
      </c>
      <c r="AF213" s="174">
        <f t="shared" si="61"/>
        <v>1389.64</v>
      </c>
      <c r="AG213" s="174">
        <f t="shared" si="61"/>
        <v>1375.24</v>
      </c>
      <c r="AH213" s="174">
        <f t="shared" si="61"/>
        <v>1339.0500000000002</v>
      </c>
      <c r="AI213" s="174">
        <f t="shared" si="61"/>
        <v>1257.3699999999999</v>
      </c>
      <c r="AJ213" s="174">
        <f t="shared" si="61"/>
        <v>1209.98</v>
      </c>
      <c r="AK213" s="174">
        <f t="shared" si="61"/>
        <v>1207.24</v>
      </c>
      <c r="AL213" s="174">
        <f t="shared" si="61"/>
        <v>1185.9399999999998</v>
      </c>
      <c r="AM213" s="174">
        <f t="shared" si="61"/>
        <v>1158.8399999999999</v>
      </c>
      <c r="AN213" s="174">
        <f t="shared" si="61"/>
        <v>1257.3399999999999</v>
      </c>
      <c r="AO213" s="174">
        <f t="shared" si="61"/>
        <v>1302.54</v>
      </c>
      <c r="AP213" s="174">
        <f t="shared" si="61"/>
        <v>1408.84</v>
      </c>
      <c r="AQ213" s="174">
        <f t="shared" si="61"/>
        <v>1594.54</v>
      </c>
      <c r="AR213" s="174">
        <f t="shared" si="61"/>
        <v>1592.6399999999999</v>
      </c>
      <c r="AS213" s="174">
        <f t="shared" si="61"/>
        <v>1498.44</v>
      </c>
      <c r="AT213" s="174">
        <f t="shared" si="61"/>
        <v>1412.4399999999998</v>
      </c>
      <c r="AU213" s="174">
        <f t="shared" si="61"/>
        <v>1360.4299999999998</v>
      </c>
      <c r="AV213" s="174">
        <f t="shared" si="61"/>
        <v>1246.44</v>
      </c>
      <c r="AW213" s="174">
        <f t="shared" si="61"/>
        <v>1085.24</v>
      </c>
      <c r="AX213" s="174">
        <f t="shared" si="61"/>
        <v>997.24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2">C198</f>
        <v>0.64</v>
      </c>
      <c r="C234" s="177">
        <f t="shared" si="62"/>
        <v>0.64</v>
      </c>
      <c r="D234" s="177">
        <f t="shared" si="62"/>
        <v>0.64</v>
      </c>
      <c r="E234" s="177">
        <f t="shared" si="62"/>
        <v>0.64</v>
      </c>
      <c r="F234" s="177">
        <f t="shared" si="62"/>
        <v>0.64</v>
      </c>
      <c r="G234" s="177">
        <f t="shared" si="62"/>
        <v>0.64</v>
      </c>
      <c r="H234" s="177">
        <f t="shared" si="62"/>
        <v>0.64</v>
      </c>
      <c r="I234" s="177">
        <f t="shared" si="62"/>
        <v>0.64</v>
      </c>
      <c r="J234" s="177">
        <f t="shared" si="62"/>
        <v>0.64</v>
      </c>
      <c r="K234" s="177">
        <f t="shared" si="62"/>
        <v>0.64</v>
      </c>
      <c r="L234" s="177">
        <f t="shared" si="62"/>
        <v>0.64</v>
      </c>
      <c r="M234" s="177">
        <f t="shared" si="62"/>
        <v>0.64</v>
      </c>
      <c r="N234" s="177">
        <f t="shared" si="62"/>
        <v>0.64</v>
      </c>
      <c r="O234" s="177">
        <f t="shared" si="62"/>
        <v>0.64</v>
      </c>
      <c r="P234" s="177">
        <f t="shared" si="62"/>
        <v>0.64</v>
      </c>
      <c r="Q234" s="177">
        <f t="shared" si="62"/>
        <v>0.64</v>
      </c>
      <c r="R234" s="177">
        <f t="shared" si="62"/>
        <v>0.64</v>
      </c>
      <c r="S234" s="177">
        <f t="shared" si="62"/>
        <v>0.64</v>
      </c>
      <c r="T234" s="177">
        <f t="shared" si="62"/>
        <v>0.64</v>
      </c>
      <c r="U234" s="177">
        <f t="shared" si="62"/>
        <v>0.64</v>
      </c>
      <c r="V234" s="177">
        <f t="shared" si="62"/>
        <v>0.64</v>
      </c>
      <c r="W234" s="177">
        <f t="shared" si="62"/>
        <v>0.64</v>
      </c>
      <c r="X234" s="177">
        <f t="shared" si="62"/>
        <v>0.64</v>
      </c>
      <c r="Y234" s="177">
        <f t="shared" si="62"/>
        <v>0.64</v>
      </c>
      <c r="Z234" s="177">
        <f t="shared" si="62"/>
        <v>0.64</v>
      </c>
      <c r="AA234" s="177">
        <f t="shared" si="62"/>
        <v>0.64</v>
      </c>
      <c r="AB234" s="177">
        <f t="shared" si="62"/>
        <v>0.64</v>
      </c>
      <c r="AC234" s="177">
        <f t="shared" si="62"/>
        <v>0.64</v>
      </c>
      <c r="AD234" s="177">
        <f t="shared" si="62"/>
        <v>0.64</v>
      </c>
      <c r="AE234" s="177">
        <f t="shared" si="62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3">IF(C202&lt;100,"",C202-520)</f>
        <v/>
      </c>
      <c r="D235" s="120" t="str">
        <f t="shared" si="63"/>
        <v/>
      </c>
      <c r="E235" s="120" t="str">
        <f t="shared" si="63"/>
        <v/>
      </c>
      <c r="F235" s="120" t="str">
        <f t="shared" si="63"/>
        <v/>
      </c>
      <c r="G235" s="120" t="str">
        <f t="shared" si="63"/>
        <v/>
      </c>
      <c r="H235" s="120" t="str">
        <f t="shared" si="63"/>
        <v/>
      </c>
      <c r="I235" s="120" t="str">
        <f t="shared" si="63"/>
        <v/>
      </c>
      <c r="J235" s="120" t="str">
        <f t="shared" si="63"/>
        <v/>
      </c>
      <c r="K235" s="120" t="str">
        <f t="shared" si="63"/>
        <v/>
      </c>
      <c r="L235" s="120" t="str">
        <f t="shared" si="63"/>
        <v/>
      </c>
      <c r="M235" s="120" t="str">
        <f t="shared" si="63"/>
        <v/>
      </c>
      <c r="N235" s="120" t="str">
        <f t="shared" si="63"/>
        <v/>
      </c>
      <c r="O235" s="120" t="str">
        <f t="shared" si="63"/>
        <v/>
      </c>
      <c r="P235" s="120" t="str">
        <f t="shared" si="63"/>
        <v/>
      </c>
      <c r="Q235" s="120" t="str">
        <f t="shared" si="63"/>
        <v/>
      </c>
      <c r="R235" s="120" t="str">
        <f t="shared" si="63"/>
        <v/>
      </c>
      <c r="S235" s="120" t="str">
        <f t="shared" si="63"/>
        <v/>
      </c>
      <c r="T235" s="120" t="str">
        <f t="shared" si="63"/>
        <v/>
      </c>
      <c r="U235" s="120" t="str">
        <f t="shared" si="63"/>
        <v/>
      </c>
      <c r="V235" s="120" t="str">
        <f t="shared" si="63"/>
        <v/>
      </c>
      <c r="W235" s="120" t="str">
        <f t="shared" si="63"/>
        <v/>
      </c>
      <c r="X235" s="120" t="str">
        <f t="shared" si="63"/>
        <v/>
      </c>
      <c r="Y235" s="120" t="str">
        <f t="shared" si="63"/>
        <v/>
      </c>
      <c r="Z235" s="120" t="str">
        <f t="shared" si="63"/>
        <v/>
      </c>
      <c r="AA235" s="120" t="str">
        <f t="shared" si="63"/>
        <v/>
      </c>
      <c r="AB235" s="120" t="str">
        <f t="shared" si="63"/>
        <v/>
      </c>
      <c r="AC235" s="120" t="str">
        <f t="shared" si="63"/>
        <v/>
      </c>
      <c r="AD235" s="120" t="str">
        <f t="shared" si="63"/>
        <v/>
      </c>
      <c r="AE235" s="120" t="str">
        <f t="shared" si="63"/>
        <v/>
      </c>
      <c r="AF235" s="120" t="str">
        <f t="shared" si="63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4">IF(B203&lt;100,"",B203-620)</f>
        <v/>
      </c>
      <c r="C236" s="120" t="str">
        <f t="shared" si="64"/>
        <v/>
      </c>
      <c r="D236" s="120" t="str">
        <f t="shared" si="64"/>
        <v/>
      </c>
      <c r="E236" s="120" t="str">
        <f t="shared" si="64"/>
        <v/>
      </c>
      <c r="F236" s="120" t="str">
        <f t="shared" si="64"/>
        <v/>
      </c>
      <c r="G236" s="120" t="str">
        <f t="shared" si="64"/>
        <v/>
      </c>
      <c r="H236" s="120" t="str">
        <f t="shared" si="64"/>
        <v/>
      </c>
      <c r="I236" s="120" t="str">
        <f t="shared" si="64"/>
        <v/>
      </c>
      <c r="J236" s="120" t="str">
        <f t="shared" si="64"/>
        <v/>
      </c>
      <c r="K236" s="120" t="str">
        <f t="shared" si="64"/>
        <v/>
      </c>
      <c r="L236" s="120" t="str">
        <f t="shared" si="64"/>
        <v/>
      </c>
      <c r="M236" s="120" t="str">
        <f t="shared" si="64"/>
        <v/>
      </c>
      <c r="N236" s="120" t="str">
        <f t="shared" si="64"/>
        <v/>
      </c>
      <c r="O236" s="120" t="str">
        <f t="shared" si="64"/>
        <v/>
      </c>
      <c r="P236" s="120" t="str">
        <f t="shared" si="64"/>
        <v/>
      </c>
      <c r="Q236" s="120" t="str">
        <f t="shared" si="64"/>
        <v/>
      </c>
      <c r="R236" s="120" t="str">
        <f t="shared" si="64"/>
        <v/>
      </c>
      <c r="S236" s="120" t="str">
        <f t="shared" si="64"/>
        <v/>
      </c>
      <c r="T236" s="120" t="str">
        <f t="shared" si="64"/>
        <v/>
      </c>
      <c r="U236" s="120" t="str">
        <f t="shared" si="64"/>
        <v/>
      </c>
      <c r="V236" s="120" t="str">
        <f t="shared" si="64"/>
        <v/>
      </c>
      <c r="W236" s="120" t="str">
        <f t="shared" si="64"/>
        <v/>
      </c>
      <c r="X236" s="120" t="str">
        <f t="shared" si="64"/>
        <v/>
      </c>
      <c r="Y236" s="120" t="str">
        <f t="shared" si="64"/>
        <v/>
      </c>
      <c r="Z236" s="120" t="str">
        <f t="shared" si="64"/>
        <v/>
      </c>
      <c r="AA236" s="120" t="str">
        <f t="shared" si="64"/>
        <v/>
      </c>
      <c r="AB236" s="120" t="str">
        <f t="shared" si="64"/>
        <v/>
      </c>
      <c r="AC236" s="120" t="str">
        <f t="shared" si="64"/>
        <v/>
      </c>
      <c r="AD236" s="120" t="str">
        <f t="shared" si="64"/>
        <v/>
      </c>
      <c r="AE236" s="120" t="str">
        <f t="shared" si="64"/>
        <v/>
      </c>
      <c r="AF236" s="120" t="str">
        <f t="shared" si="64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5">IF(B204&lt;100,"",B204-330)</f>
        <v/>
      </c>
      <c r="C237" s="120" t="str">
        <f t="shared" si="65"/>
        <v/>
      </c>
      <c r="D237" s="120" t="str">
        <f t="shared" si="65"/>
        <v/>
      </c>
      <c r="E237" s="120" t="str">
        <f t="shared" si="65"/>
        <v/>
      </c>
      <c r="F237" s="120" t="str">
        <f t="shared" si="65"/>
        <v/>
      </c>
      <c r="G237" s="120" t="str">
        <f t="shared" si="65"/>
        <v/>
      </c>
      <c r="H237" s="120" t="str">
        <f t="shared" si="65"/>
        <v/>
      </c>
      <c r="I237" s="120" t="str">
        <f t="shared" si="65"/>
        <v/>
      </c>
      <c r="J237" s="120" t="str">
        <f t="shared" si="65"/>
        <v/>
      </c>
      <c r="K237" s="120" t="str">
        <f t="shared" si="65"/>
        <v/>
      </c>
      <c r="L237" s="120" t="str">
        <f t="shared" si="65"/>
        <v/>
      </c>
      <c r="M237" s="120" t="str">
        <f t="shared" si="65"/>
        <v/>
      </c>
      <c r="N237" s="120" t="str">
        <f t="shared" si="65"/>
        <v/>
      </c>
      <c r="O237" s="120" t="str">
        <f t="shared" si="65"/>
        <v/>
      </c>
      <c r="P237" s="120" t="str">
        <f t="shared" si="65"/>
        <v/>
      </c>
      <c r="Q237" s="120" t="str">
        <f t="shared" si="65"/>
        <v/>
      </c>
      <c r="R237" s="120" t="str">
        <f t="shared" si="65"/>
        <v/>
      </c>
      <c r="S237" s="120" t="str">
        <f t="shared" si="65"/>
        <v/>
      </c>
      <c r="T237" s="120" t="str">
        <f t="shared" si="65"/>
        <v/>
      </c>
      <c r="U237" s="120" t="str">
        <f t="shared" si="65"/>
        <v/>
      </c>
      <c r="V237" s="120" t="str">
        <f t="shared" si="65"/>
        <v/>
      </c>
      <c r="W237" s="120" t="str">
        <f t="shared" si="65"/>
        <v/>
      </c>
      <c r="X237" s="120" t="str">
        <f t="shared" si="65"/>
        <v/>
      </c>
      <c r="Y237" s="120" t="str">
        <f t="shared" si="65"/>
        <v/>
      </c>
      <c r="Z237" s="120" t="str">
        <f t="shared" si="65"/>
        <v/>
      </c>
      <c r="AA237" s="120" t="str">
        <f t="shared" si="65"/>
        <v/>
      </c>
      <c r="AB237" s="120" t="str">
        <f t="shared" si="65"/>
        <v/>
      </c>
      <c r="AC237" s="120" t="str">
        <f t="shared" si="65"/>
        <v/>
      </c>
      <c r="AD237" s="120" t="str">
        <f t="shared" si="65"/>
        <v/>
      </c>
      <c r="AE237" s="120" t="str">
        <f t="shared" si="65"/>
        <v/>
      </c>
      <c r="AF237" s="120" t="str">
        <f t="shared" si="65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6">IF(C205&lt;100,"",C205-1500)</f>
        <v/>
      </c>
      <c r="D238" s="120" t="str">
        <f t="shared" si="66"/>
        <v/>
      </c>
      <c r="E238" s="120" t="str">
        <f t="shared" si="66"/>
        <v/>
      </c>
      <c r="F238" s="120" t="str">
        <f t="shared" si="66"/>
        <v/>
      </c>
      <c r="G238" s="120" t="str">
        <f t="shared" si="66"/>
        <v/>
      </c>
      <c r="H238" s="120" t="str">
        <f t="shared" si="66"/>
        <v/>
      </c>
      <c r="I238" s="120" t="str">
        <f t="shared" si="66"/>
        <v/>
      </c>
      <c r="J238" s="120" t="str">
        <f t="shared" si="66"/>
        <v/>
      </c>
      <c r="K238" s="120" t="str">
        <f t="shared" si="66"/>
        <v/>
      </c>
      <c r="L238" s="120" t="str">
        <f t="shared" si="66"/>
        <v/>
      </c>
      <c r="M238" s="120" t="str">
        <f t="shared" si="66"/>
        <v/>
      </c>
      <c r="N238" s="120" t="str">
        <f t="shared" si="66"/>
        <v/>
      </c>
      <c r="O238" s="120" t="str">
        <f t="shared" si="66"/>
        <v/>
      </c>
      <c r="P238" s="120" t="str">
        <f t="shared" si="66"/>
        <v/>
      </c>
      <c r="Q238" s="120" t="str">
        <f t="shared" si="66"/>
        <v/>
      </c>
      <c r="R238" s="120" t="str">
        <f t="shared" si="66"/>
        <v/>
      </c>
      <c r="S238" s="120" t="str">
        <f t="shared" si="66"/>
        <v/>
      </c>
      <c r="T238" s="120" t="str">
        <f t="shared" si="66"/>
        <v/>
      </c>
      <c r="U238" s="120" t="str">
        <f t="shared" si="66"/>
        <v/>
      </c>
      <c r="V238" s="120" t="str">
        <f t="shared" si="66"/>
        <v/>
      </c>
      <c r="W238" s="120" t="str">
        <f t="shared" si="66"/>
        <v/>
      </c>
      <c r="X238" s="120" t="str">
        <f t="shared" si="66"/>
        <v/>
      </c>
      <c r="Y238" s="120" t="str">
        <f t="shared" si="66"/>
        <v/>
      </c>
      <c r="Z238" s="120" t="str">
        <f t="shared" si="66"/>
        <v/>
      </c>
      <c r="AA238" s="120" t="str">
        <f t="shared" si="66"/>
        <v/>
      </c>
      <c r="AB238" s="120" t="str">
        <f t="shared" si="66"/>
        <v/>
      </c>
      <c r="AC238" s="120" t="str">
        <f t="shared" si="66"/>
        <v/>
      </c>
      <c r="AD238" s="120" t="str">
        <f t="shared" si="66"/>
        <v/>
      </c>
      <c r="AE238" s="120" t="str">
        <f t="shared" si="66"/>
        <v/>
      </c>
      <c r="AF238" s="120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D57:L59 P39:R39 M39:O42 P40:Q42 R42 R40:T41 M58:W59 U40:Y42 X85:AA91 AB81:AF81 B81:R81 C56:AF56 B82:AF83 D193:AF199 B193:B199 C68:AF72 B84:B91 B73:AF80 B9:AF10 B191:AF191 B53:B72 AG73 B94:B99 U212:AF212 C53:C55 C57:C67 B36:L36 M37:R37 N45:R48 D60:R67 M11:AB11 AB12:AB14 S18:AA30 AB16:AE16 AB28:AE31 AC11:AE14 S36:AE36 Z40:AE43 M53:AF55 AB84:AF91 AB94:AF99 AB18:AE26">
    <cfRule type="expression" dxfId="6416" priority="328">
      <formula>B$9&gt;=20/24</formula>
    </cfRule>
    <cfRule type="expression" dxfId="6415" priority="329">
      <formula>AND(B$9&gt;=14/24,B$9&lt;20/24)</formula>
    </cfRule>
    <cfRule type="expression" dxfId="6414" priority="330">
      <formula>AND(B$9&gt;=8/24,B$9&lt;14/24)</formula>
    </cfRule>
    <cfRule type="expression" dxfId="6413" priority="331">
      <formula>B$9&lt;8/24</formula>
    </cfRule>
  </conditionalFormatting>
  <conditionalFormatting sqref="AL4:AL6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412" priority="323">
      <formula>M$9&gt;=20/24</formula>
    </cfRule>
    <cfRule type="expression" dxfId="6411" priority="324">
      <formula>AND(M$9&gt;=14/24,M$9&lt;20/24)</formula>
    </cfRule>
    <cfRule type="expression" dxfId="6410" priority="325">
      <formula>AND(M$9&gt;=8/24,M$9&lt;14/24)</formula>
    </cfRule>
    <cfRule type="expression" dxfId="6409" priority="326">
      <formula>M$9&lt;8/24</formula>
    </cfRule>
  </conditionalFormatting>
  <conditionalFormatting sqref="M43:R43">
    <cfRule type="expression" dxfId="6408" priority="319">
      <formula>M$9&gt;=20/24</formula>
    </cfRule>
    <cfRule type="expression" dxfId="6407" priority="320">
      <formula>AND(M$9&gt;=14/24,M$9&lt;20/24)</formula>
    </cfRule>
    <cfRule type="expression" dxfId="6406" priority="321">
      <formula>AND(M$9&gt;=8/24,M$9&lt;14/24)</formula>
    </cfRule>
    <cfRule type="expression" dxfId="6405" priority="322">
      <formula>M$9&lt;8/24</formula>
    </cfRule>
  </conditionalFormatting>
  <conditionalFormatting sqref="AB32:AE32">
    <cfRule type="expression" dxfId="6404" priority="315">
      <formula>AB$9&gt;=20/24</formula>
    </cfRule>
    <cfRule type="expression" dxfId="6403" priority="316">
      <formula>AND(AB$9&gt;=14/24,AB$9&lt;20/24)</formula>
    </cfRule>
    <cfRule type="expression" dxfId="6402" priority="317">
      <formula>AND(AB$9&gt;=8/24,AB$9&lt;14/24)</formula>
    </cfRule>
    <cfRule type="expression" dxfId="6401" priority="318">
      <formula>AB$9&lt;8/24</formula>
    </cfRule>
  </conditionalFormatting>
  <conditionalFormatting sqref="S39:AE39">
    <cfRule type="expression" dxfId="6400" priority="311">
      <formula>S$9&gt;=20/24</formula>
    </cfRule>
    <cfRule type="expression" dxfId="6399" priority="312">
      <formula>AND(S$9&gt;=14/24,S$9&lt;20/24)</formula>
    </cfRule>
    <cfRule type="expression" dxfId="6398" priority="313">
      <formula>AND(S$9&gt;=8/24,S$9&lt;14/24)</formula>
    </cfRule>
    <cfRule type="expression" dxfId="6397" priority="314">
      <formula>S$9&lt;8/24</formula>
    </cfRule>
  </conditionalFormatting>
  <conditionalFormatting sqref="S57:AF57">
    <cfRule type="expression" dxfId="6396" priority="307">
      <formula>S$9&gt;=20/24</formula>
    </cfRule>
    <cfRule type="expression" dxfId="6395" priority="308">
      <formula>AND(S$9&gt;=14/24,S$9&lt;20/24)</formula>
    </cfRule>
    <cfRule type="expression" dxfId="6394" priority="309">
      <formula>AND(S$9&gt;=8/24,S$9&lt;14/24)</formula>
    </cfRule>
    <cfRule type="expression" dxfId="6393" priority="310">
      <formula>S$9&lt;8/24</formula>
    </cfRule>
  </conditionalFormatting>
  <conditionalFormatting sqref="S81:AA81">
    <cfRule type="expression" dxfId="6392" priority="303">
      <formula>S$9&gt;=20/24</formula>
    </cfRule>
    <cfRule type="expression" dxfId="6391" priority="304">
      <formula>AND(S$9&gt;=14/24,S$9&lt;20/24)</formula>
    </cfRule>
    <cfRule type="expression" dxfId="6390" priority="305">
      <formula>AND(S$9&gt;=8/24,S$9&lt;14/24)</formula>
    </cfRule>
    <cfRule type="expression" dxfId="6389" priority="306">
      <formula>S$9&lt;8/24</formula>
    </cfRule>
  </conditionalFormatting>
  <conditionalFormatting sqref="U84:AA84">
    <cfRule type="expression" dxfId="6388" priority="299">
      <formula>U$9&gt;=20/24</formula>
    </cfRule>
    <cfRule type="expression" dxfId="6387" priority="300">
      <formula>AND(U$9&gt;=14/24,U$9&lt;20/24)</formula>
    </cfRule>
    <cfRule type="expression" dxfId="6386" priority="301">
      <formula>AND(U$9&gt;=8/24,U$9&lt;14/24)</formula>
    </cfRule>
    <cfRule type="expression" dxfId="6385" priority="302">
      <formula>U$9&lt;8/24</formula>
    </cfRule>
  </conditionalFormatting>
  <conditionalFormatting sqref="M49:X49">
    <cfRule type="expression" dxfId="6384" priority="291">
      <formula>M$9&gt;=20/24</formula>
    </cfRule>
    <cfRule type="expression" dxfId="6383" priority="292">
      <formula>AND(M$9&gt;=14/24,M$9&lt;20/24)</formula>
    </cfRule>
    <cfRule type="expression" dxfId="6382" priority="293">
      <formula>AND(M$9&gt;=8/24,M$9&lt;14/24)</formula>
    </cfRule>
    <cfRule type="expression" dxfId="6381" priority="294">
      <formula>M$9&lt;8/24</formula>
    </cfRule>
  </conditionalFormatting>
  <conditionalFormatting sqref="M50:R50">
    <cfRule type="expression" dxfId="6380" priority="287">
      <formula>M$9&gt;=20/24</formula>
    </cfRule>
    <cfRule type="expression" dxfId="6379" priority="288">
      <formula>AND(M$9&gt;=14/24,M$9&lt;20/24)</formula>
    </cfRule>
    <cfRule type="expression" dxfId="6378" priority="289">
      <formula>AND(M$9&gt;=8/24,M$9&lt;14/24)</formula>
    </cfRule>
    <cfRule type="expression" dxfId="6377" priority="290">
      <formula>M$9&lt;8/24</formula>
    </cfRule>
  </conditionalFormatting>
  <conditionalFormatting sqref="M45:R48">
    <cfRule type="expression" dxfId="6376" priority="283">
      <formula>M$9&gt;=20/24</formula>
    </cfRule>
    <cfRule type="expression" dxfId="6375" priority="284">
      <formula>AND(M$9&gt;=14/24,M$9&lt;20/24)</formula>
    </cfRule>
    <cfRule type="expression" dxfId="6374" priority="285">
      <formula>AND(M$9&gt;=8/24,M$9&lt;14/24)</formula>
    </cfRule>
    <cfRule type="expression" dxfId="6373" priority="286">
      <formula>M$9&lt;8/24</formula>
    </cfRule>
  </conditionalFormatting>
  <conditionalFormatting sqref="S37:AE37">
    <cfRule type="expression" dxfId="6372" priority="279">
      <formula>S$9&gt;=20/24</formula>
    </cfRule>
    <cfRule type="expression" dxfId="6371" priority="280">
      <formula>AND(S$9&gt;=14/24,S$9&lt;20/24)</formula>
    </cfRule>
    <cfRule type="expression" dxfId="6370" priority="281">
      <formula>AND(S$9&gt;=8/24,S$9&lt;14/24)</formula>
    </cfRule>
    <cfRule type="expression" dxfId="6369" priority="282">
      <formula>S$9&lt;8/24</formula>
    </cfRule>
  </conditionalFormatting>
  <conditionalFormatting sqref="S31:AA32 S35:AE35">
    <cfRule type="expression" dxfId="6368" priority="275">
      <formula>S$9&gt;=20/24</formula>
    </cfRule>
    <cfRule type="expression" dxfId="6367" priority="276">
      <formula>AND(S$9&gt;=14/24,S$9&lt;20/24)</formula>
    </cfRule>
    <cfRule type="expression" dxfId="6366" priority="277">
      <formula>AND(S$9&gt;=8/24,S$9&lt;14/24)</formula>
    </cfRule>
    <cfRule type="expression" dxfId="6365" priority="278">
      <formula>S$9&lt;8/24</formula>
    </cfRule>
  </conditionalFormatting>
  <conditionalFormatting sqref="S42:T43 U43:AA43 S45:AE48">
    <cfRule type="expression" dxfId="6364" priority="271">
      <formula>S$9&gt;=20/24</formula>
    </cfRule>
    <cfRule type="expression" dxfId="6363" priority="272">
      <formula>AND(S$9&gt;=14/24,S$9&lt;20/24)</formula>
    </cfRule>
    <cfRule type="expression" dxfId="6362" priority="273">
      <formula>AND(S$9&gt;=8/24,S$9&lt;14/24)</formula>
    </cfRule>
    <cfRule type="expression" dxfId="6361" priority="274">
      <formula>S$9&lt;8/24</formula>
    </cfRule>
  </conditionalFormatting>
  <conditionalFormatting sqref="S49:AE49">
    <cfRule type="expression" dxfId="6360" priority="267">
      <formula>S$9&gt;=20/24</formula>
    </cfRule>
    <cfRule type="expression" dxfId="6359" priority="268">
      <formula>AND(S$9&gt;=14/24,S$9&lt;20/24)</formula>
    </cfRule>
    <cfRule type="expression" dxfId="6358" priority="269">
      <formula>AND(S$9&gt;=8/24,S$9&lt;14/24)</formula>
    </cfRule>
    <cfRule type="expression" dxfId="6357" priority="270">
      <formula>S$9&lt;8/24</formula>
    </cfRule>
  </conditionalFormatting>
  <conditionalFormatting sqref="S50:AE50">
    <cfRule type="expression" dxfId="6356" priority="263">
      <formula>S$9&gt;=20/24</formula>
    </cfRule>
    <cfRule type="expression" dxfId="6355" priority="264">
      <formula>AND(S$9&gt;=14/24,S$9&lt;20/24)</formula>
    </cfRule>
    <cfRule type="expression" dxfId="6354" priority="265">
      <formula>AND(S$9&gt;=8/24,S$9&lt;14/24)</formula>
    </cfRule>
    <cfRule type="expression" dxfId="6353" priority="266">
      <formula>S$9&lt;8/24</formula>
    </cfRule>
  </conditionalFormatting>
  <conditionalFormatting sqref="S60:T67 U62:U67 V63:X67 X60:AF67">
    <cfRule type="expression" dxfId="6352" priority="259">
      <formula>S$9&gt;=20/24</formula>
    </cfRule>
    <cfRule type="expression" dxfId="6351" priority="260">
      <formula>AND(S$9&gt;=14/24,S$9&lt;20/24)</formula>
    </cfRule>
    <cfRule type="expression" dxfId="6350" priority="261">
      <formula>AND(S$9&gt;=8/24,S$9&lt;14/24)</formula>
    </cfRule>
    <cfRule type="expression" dxfId="6349" priority="262">
      <formula>S$9&lt;8/24</formula>
    </cfRule>
  </conditionalFormatting>
  <conditionalFormatting sqref="U94:AA97">
    <cfRule type="expression" dxfId="6348" priority="251">
      <formula>U$9&gt;=20/24</formula>
    </cfRule>
    <cfRule type="expression" dxfId="6347" priority="252">
      <formula>AND(U$9&gt;=14/24,U$9&lt;20/24)</formula>
    </cfRule>
    <cfRule type="expression" dxfId="6346" priority="253">
      <formula>AND(U$9&gt;=8/24,U$9&lt;14/24)</formula>
    </cfRule>
    <cfRule type="expression" dxfId="6345" priority="254">
      <formula>U$9&lt;8/24</formula>
    </cfRule>
  </conditionalFormatting>
  <conditionalFormatting sqref="AG51 AB12:AB16 B11:I16 J12:L16 B34:L36 B37:R37 J11:AB11 AC11:AE16 S34:AE37 B38:AF56 B18:L32 S18:AE32 B17:AF17">
    <cfRule type="expression" dxfId="6344" priority="250">
      <formula>B11&gt;$AG11</formula>
    </cfRule>
  </conditionalFormatting>
  <conditionalFormatting sqref="A100:A156 A84:A97 A11:A14 A16:A32 A45:A72 A80:A82 A74:A78 A35:A43 A169:A199">
    <cfRule type="expression" dxfId="6343" priority="249">
      <formula>$AH11=0</formula>
    </cfRule>
  </conditionalFormatting>
  <conditionalFormatting sqref="U98:AA98">
    <cfRule type="expression" dxfId="6342" priority="245">
      <formula>U$9&gt;=20/24</formula>
    </cfRule>
    <cfRule type="expression" dxfId="6341" priority="246">
      <formula>AND(U$9&gt;=14/24,U$9&lt;20/24)</formula>
    </cfRule>
    <cfRule type="expression" dxfId="6340" priority="247">
      <formula>AND(U$9&gt;=8/24,U$9&lt;14/24)</formula>
    </cfRule>
    <cfRule type="expression" dxfId="6339" priority="248">
      <formula>U$9&lt;8/24</formula>
    </cfRule>
  </conditionalFormatting>
  <conditionalFormatting sqref="A98">
    <cfRule type="expression" dxfId="6338" priority="244">
      <formula>$AH98=0</formula>
    </cfRule>
  </conditionalFormatting>
  <conditionalFormatting sqref="AL32">
    <cfRule type="iconSet" priority="231">
      <iconSet iconSet="3TrafficLights2" reverse="1">
        <cfvo type="percent" val="0"/>
        <cfvo type="num" val="1"/>
        <cfvo type="num" val="1"/>
      </iconSet>
    </cfRule>
  </conditionalFormatting>
  <conditionalFormatting sqref="AB34:AE34">
    <cfRule type="expression" dxfId="6337" priority="227">
      <formula>AB$9&gt;=20/24</formula>
    </cfRule>
    <cfRule type="expression" dxfId="6336" priority="228">
      <formula>AND(AB$9&gt;=14/24,AB$9&lt;20/24)</formula>
    </cfRule>
    <cfRule type="expression" dxfId="6335" priority="229">
      <formula>AND(AB$9&gt;=8/24,AB$9&lt;14/24)</formula>
    </cfRule>
    <cfRule type="expression" dxfId="6334" priority="230">
      <formula>AB$9&lt;8/24</formula>
    </cfRule>
  </conditionalFormatting>
  <conditionalFormatting sqref="S34:AA34">
    <cfRule type="expression" dxfId="6333" priority="219">
      <formula>S$9&gt;=20/24</formula>
    </cfRule>
    <cfRule type="expression" dxfId="6332" priority="220">
      <formula>AND(S$9&gt;=14/24,S$9&lt;20/24)</formula>
    </cfRule>
    <cfRule type="expression" dxfId="6331" priority="221">
      <formula>AND(S$9&gt;=8/24,S$9&lt;14/24)</formula>
    </cfRule>
    <cfRule type="expression" dxfId="6330" priority="222">
      <formula>S$9&lt;8/24</formula>
    </cfRule>
  </conditionalFormatting>
  <conditionalFormatting sqref="A34">
    <cfRule type="expression" dxfId="6329" priority="218">
      <formula>$AH34=0</formula>
    </cfRule>
  </conditionalFormatting>
  <conditionalFormatting sqref="A83">
    <cfRule type="expression" dxfId="6328" priority="217">
      <formula>$AH83=0</formula>
    </cfRule>
  </conditionalFormatting>
  <conditionalFormatting sqref="AB15:AE15">
    <cfRule type="expression" dxfId="6327" priority="213">
      <formula>AB$9&gt;=20/24</formula>
    </cfRule>
    <cfRule type="expression" dxfId="6326" priority="214">
      <formula>AND(AB$9&gt;=14/24,AB$9&lt;20/24)</formula>
    </cfRule>
    <cfRule type="expression" dxfId="6325" priority="215">
      <formula>AND(AB$9&gt;=8/24,AB$9&lt;14/24)</formula>
    </cfRule>
    <cfRule type="expression" dxfId="6324" priority="216">
      <formula>AB$9&lt;8/24</formula>
    </cfRule>
  </conditionalFormatting>
  <conditionalFormatting sqref="A15">
    <cfRule type="expression" dxfId="6323" priority="207">
      <formula>$AH15=0</formula>
    </cfRule>
  </conditionalFormatting>
  <conditionalFormatting sqref="A163:A168">
    <cfRule type="expression" dxfId="6322" priority="206">
      <formula>$AH163=0</formula>
    </cfRule>
  </conditionalFormatting>
  <conditionalFormatting sqref="A157:A162">
    <cfRule type="expression" dxfId="6321" priority="205">
      <formula>$AH157=0</formula>
    </cfRule>
  </conditionalFormatting>
  <conditionalFormatting sqref="Z44:AE44">
    <cfRule type="expression" dxfId="6320" priority="201">
      <formula>Z$9&gt;=20/24</formula>
    </cfRule>
    <cfRule type="expression" dxfId="6319" priority="202">
      <formula>AND(Z$9&gt;=14/24,Z$9&lt;20/24)</formula>
    </cfRule>
    <cfRule type="expression" dxfId="6318" priority="203">
      <formula>AND(Z$9&gt;=8/24,Z$9&lt;14/24)</formula>
    </cfRule>
    <cfRule type="expression" dxfId="6317" priority="204">
      <formula>Z$9&lt;8/24</formula>
    </cfRule>
  </conditionalFormatting>
  <conditionalFormatting sqref="M44:R44">
    <cfRule type="expression" dxfId="6316" priority="197">
      <formula>M$9&gt;=20/24</formula>
    </cfRule>
    <cfRule type="expression" dxfId="6315" priority="198">
      <formula>AND(M$9&gt;=14/24,M$9&lt;20/24)</formula>
    </cfRule>
    <cfRule type="expression" dxfId="6314" priority="199">
      <formula>AND(M$9&gt;=8/24,M$9&lt;14/24)</formula>
    </cfRule>
    <cfRule type="expression" dxfId="6313" priority="200">
      <formula>M$9&lt;8/24</formula>
    </cfRule>
  </conditionalFormatting>
  <conditionalFormatting sqref="S44:AA44">
    <cfRule type="expression" dxfId="6312" priority="193">
      <formula>S$9&gt;=20/24</formula>
    </cfRule>
    <cfRule type="expression" dxfId="6311" priority="194">
      <formula>AND(S$9&gt;=14/24,S$9&lt;20/24)</formula>
    </cfRule>
    <cfRule type="expression" dxfId="6310" priority="195">
      <formula>AND(S$9&gt;=8/24,S$9&lt;14/24)</formula>
    </cfRule>
    <cfRule type="expression" dxfId="6309" priority="196">
      <formula>S$9&lt;8/24</formula>
    </cfRule>
  </conditionalFormatting>
  <conditionalFormatting sqref="A44">
    <cfRule type="expression" dxfId="6308" priority="192">
      <formula>$AH44=0</formula>
    </cfRule>
  </conditionalFormatting>
  <conditionalFormatting sqref="A79">
    <cfRule type="expression" dxfId="6307" priority="191">
      <formula>$AH79=0</formula>
    </cfRule>
  </conditionalFormatting>
  <conditionalFormatting sqref="A73">
    <cfRule type="expression" dxfId="6306" priority="190">
      <formula>$AH73=0</formula>
    </cfRule>
  </conditionalFormatting>
  <conditionalFormatting sqref="AL34:AL35 AL7:AL31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U60:W61 V62:W62">
    <cfRule type="expression" dxfId="6305" priority="186">
      <formula>U$9&gt;=20/24</formula>
    </cfRule>
    <cfRule type="expression" dxfId="6304" priority="187">
      <formula>AND(U$9&gt;=14/24,U$9&lt;20/24)</formula>
    </cfRule>
    <cfRule type="expression" dxfId="6303" priority="188">
      <formula>AND(U$9&gt;=8/24,U$9&lt;14/24)</formula>
    </cfRule>
    <cfRule type="expression" dxfId="6302" priority="189">
      <formula>U$9&lt;8/24</formula>
    </cfRule>
  </conditionalFormatting>
  <conditionalFormatting sqref="U85:W91">
    <cfRule type="expression" dxfId="6301" priority="182">
      <formula>U$9&gt;=20/24</formula>
    </cfRule>
    <cfRule type="expression" dxfId="6300" priority="183">
      <formula>AND(U$9&gt;=14/24,U$9&lt;20/24)</formula>
    </cfRule>
    <cfRule type="expression" dxfId="6299" priority="184">
      <formula>AND(U$9&gt;=8/24,U$9&lt;14/24)</formula>
    </cfRule>
    <cfRule type="expression" dxfId="6298" priority="185">
      <formula>U$9&lt;8/24</formula>
    </cfRule>
  </conditionalFormatting>
  <conditionalFormatting sqref="C84:R91 S85:T91">
    <cfRule type="expression" dxfId="6297" priority="178">
      <formula>C$9&gt;=20/24</formula>
    </cfRule>
    <cfRule type="expression" dxfId="6296" priority="179">
      <formula>AND(C$9&gt;=14/24,C$9&lt;20/24)</formula>
    </cfRule>
    <cfRule type="expression" dxfId="6295" priority="180">
      <formula>AND(C$9&gt;=8/24,C$9&lt;14/24)</formula>
    </cfRule>
    <cfRule type="expression" dxfId="6294" priority="181">
      <formula>C$9&lt;8/24</formula>
    </cfRule>
  </conditionalFormatting>
  <conditionalFormatting sqref="S84:T84">
    <cfRule type="expression" dxfId="6293" priority="174">
      <formula>S$9&gt;=20/24</formula>
    </cfRule>
    <cfRule type="expression" dxfId="6292" priority="175">
      <formula>AND(S$9&gt;=14/24,S$9&lt;20/24)</formula>
    </cfRule>
    <cfRule type="expression" dxfId="6291" priority="176">
      <formula>AND(S$9&gt;=8/24,S$9&lt;14/24)</formula>
    </cfRule>
    <cfRule type="expression" dxfId="6290" priority="177">
      <formula>S$9&lt;8/24</formula>
    </cfRule>
  </conditionalFormatting>
  <conditionalFormatting sqref="C95:M97 C94:F94">
    <cfRule type="expression" dxfId="6289" priority="170">
      <formula>C$9&gt;=20/24</formula>
    </cfRule>
    <cfRule type="expression" dxfId="6288" priority="171">
      <formula>AND(C$9&gt;=14/24,C$9&lt;20/24)</formula>
    </cfRule>
    <cfRule type="expression" dxfId="6287" priority="172">
      <formula>AND(C$9&gt;=8/24,C$9&lt;14/24)</formula>
    </cfRule>
    <cfRule type="expression" dxfId="6286" priority="173">
      <formula>C$9&lt;8/24</formula>
    </cfRule>
  </conditionalFormatting>
  <conditionalFormatting sqref="N95:R97 O94:R94">
    <cfRule type="expression" dxfId="6285" priority="166">
      <formula>N$9&gt;=20/24</formula>
    </cfRule>
    <cfRule type="expression" dxfId="6284" priority="167">
      <formula>AND(N$9&gt;=14/24,N$9&lt;20/24)</formula>
    </cfRule>
    <cfRule type="expression" dxfId="6283" priority="168">
      <formula>AND(N$9&gt;=8/24,N$9&lt;14/24)</formula>
    </cfRule>
    <cfRule type="expression" dxfId="6282" priority="169">
      <formula>N$9&lt;8/24</formula>
    </cfRule>
  </conditionalFormatting>
  <conditionalFormatting sqref="S94:T97">
    <cfRule type="expression" dxfId="6281" priority="162">
      <formula>S$9&gt;=20/24</formula>
    </cfRule>
    <cfRule type="expression" dxfId="6280" priority="163">
      <formula>AND(S$9&gt;=14/24,S$9&lt;20/24)</formula>
    </cfRule>
    <cfRule type="expression" dxfId="6279" priority="164">
      <formula>AND(S$9&gt;=8/24,S$9&lt;14/24)</formula>
    </cfRule>
    <cfRule type="expression" dxfId="6278" priority="165">
      <formula>S$9&lt;8/24</formula>
    </cfRule>
  </conditionalFormatting>
  <conditionalFormatting sqref="C98:M98">
    <cfRule type="expression" dxfId="6277" priority="158">
      <formula>C$9&gt;=20/24</formula>
    </cfRule>
    <cfRule type="expression" dxfId="6276" priority="159">
      <formula>AND(C$9&gt;=14/24,C$9&lt;20/24)</formula>
    </cfRule>
    <cfRule type="expression" dxfId="6275" priority="160">
      <formula>AND(C$9&gt;=8/24,C$9&lt;14/24)</formula>
    </cfRule>
    <cfRule type="expression" dxfId="6274" priority="161">
      <formula>C$9&lt;8/24</formula>
    </cfRule>
  </conditionalFormatting>
  <conditionalFormatting sqref="N98:R98">
    <cfRule type="expression" dxfId="6273" priority="154">
      <formula>N$9&gt;=20/24</formula>
    </cfRule>
    <cfRule type="expression" dxfId="6272" priority="155">
      <formula>AND(N$9&gt;=14/24,N$9&lt;20/24)</formula>
    </cfRule>
    <cfRule type="expression" dxfId="6271" priority="156">
      <formula>AND(N$9&gt;=8/24,N$9&lt;14/24)</formula>
    </cfRule>
    <cfRule type="expression" dxfId="6270" priority="157">
      <formula>N$9&lt;8/24</formula>
    </cfRule>
  </conditionalFormatting>
  <conditionalFormatting sqref="S98:T98">
    <cfRule type="expression" dxfId="6269" priority="150">
      <formula>S$9&gt;=20/24</formula>
    </cfRule>
    <cfRule type="expression" dxfId="6268" priority="151">
      <formula>AND(S$9&gt;=14/24,S$9&lt;20/24)</formula>
    </cfRule>
    <cfRule type="expression" dxfId="6267" priority="152">
      <formula>AND(S$9&gt;=8/24,S$9&lt;14/24)</formula>
    </cfRule>
    <cfRule type="expression" dxfId="6266" priority="153">
      <formula>S$9&lt;8/24</formula>
    </cfRule>
  </conditionalFormatting>
  <conditionalFormatting sqref="M94:N94">
    <cfRule type="expression" dxfId="6265" priority="146">
      <formula>M$9&gt;=20/24</formula>
    </cfRule>
    <cfRule type="expression" dxfId="6264" priority="147">
      <formula>AND(M$9&gt;=14/24,M$9&lt;20/24)</formula>
    </cfRule>
    <cfRule type="expression" dxfId="6263" priority="148">
      <formula>AND(M$9&gt;=8/24,M$9&lt;14/24)</formula>
    </cfRule>
    <cfRule type="expression" dxfId="6262" priority="149">
      <formula>M$9&lt;8/24</formula>
    </cfRule>
  </conditionalFormatting>
  <conditionalFormatting sqref="G94:L94">
    <cfRule type="expression" dxfId="6261" priority="142">
      <formula>G$9&gt;=20/24</formula>
    </cfRule>
    <cfRule type="expression" dxfId="6260" priority="143">
      <formula>AND(G$9&gt;=14/24,G$9&lt;20/24)</formula>
    </cfRule>
    <cfRule type="expression" dxfId="6259" priority="144">
      <formula>AND(G$9&gt;=8/24,G$9&lt;14/24)</formula>
    </cfRule>
    <cfRule type="expression" dxfId="6258" priority="145">
      <formula>G$9&lt;8/24</formula>
    </cfRule>
  </conditionalFormatting>
  <conditionalFormatting sqref="U94:W94">
    <cfRule type="expression" dxfId="6257" priority="138">
      <formula>U$9&gt;=20/24</formula>
    </cfRule>
    <cfRule type="expression" dxfId="6256" priority="139">
      <formula>AND(U$9&gt;=14/24,U$9&lt;20/24)</formula>
    </cfRule>
    <cfRule type="expression" dxfId="6255" priority="140">
      <formula>AND(U$9&gt;=8/24,U$9&lt;14/24)</formula>
    </cfRule>
    <cfRule type="expression" dxfId="6254" priority="141">
      <formula>U$9&lt;8/24</formula>
    </cfRule>
  </conditionalFormatting>
  <conditionalFormatting sqref="N94:T94">
    <cfRule type="expression" dxfId="6253" priority="134">
      <formula>N$9&gt;=20/24</formula>
    </cfRule>
    <cfRule type="expression" dxfId="6252" priority="135">
      <formula>AND(N$9&gt;=14/24,N$9&lt;20/24)</formula>
    </cfRule>
    <cfRule type="expression" dxfId="6251" priority="136">
      <formula>AND(N$9&gt;=8/24,N$9&lt;14/24)</formula>
    </cfRule>
    <cfRule type="expression" dxfId="6250" priority="137">
      <formula>N$9&lt;8/24</formula>
    </cfRule>
  </conditionalFormatting>
  <conditionalFormatting sqref="U99:AA99">
    <cfRule type="expression" dxfId="6249" priority="130">
      <formula>U$9&gt;=20/24</formula>
    </cfRule>
    <cfRule type="expression" dxfId="6248" priority="131">
      <formula>AND(U$9&gt;=14/24,U$9&lt;20/24)</formula>
    </cfRule>
    <cfRule type="expression" dxfId="6247" priority="132">
      <formula>AND(U$9&gt;=8/24,U$9&lt;14/24)</formula>
    </cfRule>
    <cfRule type="expression" dxfId="6246" priority="133">
      <formula>U$9&lt;8/24</formula>
    </cfRule>
  </conditionalFormatting>
  <conditionalFormatting sqref="C99:M99">
    <cfRule type="expression" dxfId="6245" priority="126">
      <formula>C$9&gt;=20/24</formula>
    </cfRule>
    <cfRule type="expression" dxfId="6244" priority="127">
      <formula>AND(C$9&gt;=14/24,C$9&lt;20/24)</formula>
    </cfRule>
    <cfRule type="expression" dxfId="6243" priority="128">
      <formula>AND(C$9&gt;=8/24,C$9&lt;14/24)</formula>
    </cfRule>
    <cfRule type="expression" dxfId="6242" priority="129">
      <formula>C$9&lt;8/24</formula>
    </cfRule>
  </conditionalFormatting>
  <conditionalFormatting sqref="N99:R99">
    <cfRule type="expression" dxfId="6241" priority="122">
      <formula>N$9&gt;=20/24</formula>
    </cfRule>
    <cfRule type="expression" dxfId="6240" priority="123">
      <formula>AND(N$9&gt;=14/24,N$9&lt;20/24)</formula>
    </cfRule>
    <cfRule type="expression" dxfId="6239" priority="124">
      <formula>AND(N$9&gt;=8/24,N$9&lt;14/24)</formula>
    </cfRule>
    <cfRule type="expression" dxfId="6238" priority="125">
      <formula>N$9&lt;8/24</formula>
    </cfRule>
  </conditionalFormatting>
  <conditionalFormatting sqref="S99:T99">
    <cfRule type="expression" dxfId="6237" priority="118">
      <formula>S$9&gt;=20/24</formula>
    </cfRule>
    <cfRule type="expression" dxfId="6236" priority="119">
      <formula>AND(S$9&gt;=14/24,S$9&lt;20/24)</formula>
    </cfRule>
    <cfRule type="expression" dxfId="6235" priority="120">
      <formula>AND(S$9&gt;=8/24,S$9&lt;14/24)</formula>
    </cfRule>
    <cfRule type="expression" dxfId="6234" priority="121">
      <formula>S$9&lt;8/24</formula>
    </cfRule>
  </conditionalFormatting>
  <conditionalFormatting sqref="S12:AA16">
    <cfRule type="expression" dxfId="6233" priority="114">
      <formula>S$9&gt;=20/24</formula>
    </cfRule>
    <cfRule type="expression" dxfId="6232" priority="115">
      <formula>AND(S$9&gt;=14/24,S$9&lt;20/24)</formula>
    </cfRule>
    <cfRule type="expression" dxfId="6231" priority="116">
      <formula>AND(S$9&gt;=8/24,S$9&lt;14/24)</formula>
    </cfRule>
    <cfRule type="expression" dxfId="6230" priority="117">
      <formula>S$9&lt;8/24</formula>
    </cfRule>
  </conditionalFormatting>
  <conditionalFormatting sqref="S12:AA13">
    <cfRule type="expression" dxfId="6229" priority="106">
      <formula>S$9&gt;=20/24</formula>
    </cfRule>
    <cfRule type="expression" dxfId="6228" priority="107">
      <formula>AND(S$9&gt;=14/24,S$9&lt;20/24)</formula>
    </cfRule>
    <cfRule type="expression" dxfId="6227" priority="108">
      <formula>AND(S$9&gt;=8/24,S$9&lt;14/24)</formula>
    </cfRule>
    <cfRule type="expression" dxfId="6226" priority="109">
      <formula>S$9&lt;8/24</formula>
    </cfRule>
  </conditionalFormatting>
  <conditionalFormatting sqref="AB58:AF59">
    <cfRule type="expression" dxfId="6225" priority="102">
      <formula>AB$9&gt;=20/24</formula>
    </cfRule>
    <cfRule type="expression" dxfId="6224" priority="103">
      <formula>AND(AB$9&gt;=14/24,AB$9&lt;20/24)</formula>
    </cfRule>
    <cfRule type="expression" dxfId="6223" priority="104">
      <formula>AND(AB$9&gt;=8/24,AB$9&lt;14/24)</formula>
    </cfRule>
    <cfRule type="expression" dxfId="6222" priority="105">
      <formula>AB$9&lt;8/24</formula>
    </cfRule>
  </conditionalFormatting>
  <conditionalFormatting sqref="AL3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21" priority="335">
      <formula>C$9&gt;=20/24</formula>
    </cfRule>
    <cfRule type="expression" dxfId="6220" priority="336">
      <formula>AND(C$9&gt;=14/24,C$9&lt;20/24)</formula>
    </cfRule>
    <cfRule type="expression" dxfId="6219" priority="337">
      <formula>AND(C$9&gt;=8/24,C$9&lt;14/24)</formula>
    </cfRule>
    <cfRule type="expression" dxfId="6218" priority="338">
      <formula>C$9&lt;8/24</formula>
    </cfRule>
  </conditionalFormatting>
  <conditionalFormatting sqref="A200">
    <cfRule type="expression" dxfId="6217" priority="339">
      <formula>$AH200=0</formula>
    </cfRule>
  </conditionalFormatting>
  <conditionalFormatting sqref="AG212">
    <cfRule type="expression" dxfId="6216" priority="340">
      <formula>B$9&gt;=20/24</formula>
    </cfRule>
    <cfRule type="expression" dxfId="6215" priority="341">
      <formula>AND(B$9&gt;=14/24,B$9&lt;20/24)</formula>
    </cfRule>
    <cfRule type="expression" dxfId="6214" priority="342">
      <formula>AND(B$9&gt;=8/24,B$9&lt;14/24)</formula>
    </cfRule>
    <cfRule type="expression" dxfId="6213" priority="343">
      <formula>B$9&lt;8/24</formula>
    </cfRule>
  </conditionalFormatting>
  <conditionalFormatting sqref="S8">
    <cfRule type="expression" dxfId="6212" priority="96">
      <formula>U$9&gt;=20/24</formula>
    </cfRule>
    <cfRule type="expression" dxfId="6211" priority="97">
      <formula>AND(U$9&gt;=14/24,U$9&lt;20/24)</formula>
    </cfRule>
    <cfRule type="expression" dxfId="6210" priority="98">
      <formula>AND(U$9&gt;=8/24,U$9&lt;14/24)</formula>
    </cfRule>
    <cfRule type="expression" dxfId="6209" priority="99">
      <formula>U$9&lt;8/24</formula>
    </cfRule>
  </conditionalFormatting>
  <conditionalFormatting sqref="AB8">
    <cfRule type="expression" dxfId="6208" priority="92">
      <formula>AD$9&gt;=20/24</formula>
    </cfRule>
    <cfRule type="expression" dxfId="6207" priority="93">
      <formula>AND(AD$9&gt;=14/24,AD$9&lt;20/24)</formula>
    </cfRule>
    <cfRule type="expression" dxfId="6206" priority="94">
      <formula>AND(AD$9&gt;=8/24,AD$9&lt;14/24)</formula>
    </cfRule>
    <cfRule type="expression" dxfId="6205" priority="95">
      <formula>AD$9&lt;8/24</formula>
    </cfRule>
  </conditionalFormatting>
  <conditionalFormatting sqref="AH212:AX212">
    <cfRule type="expression" dxfId="6204" priority="344">
      <formula>AG$9&gt;=20/24</formula>
    </cfRule>
    <cfRule type="expression" dxfId="6203" priority="345">
      <formula>AND(AG$9&gt;=14/24,AG$9&lt;20/24)</formula>
    </cfRule>
    <cfRule type="expression" dxfId="6202" priority="346">
      <formula>AND(AG$9&gt;=8/24,AG$9&lt;14/24)</formula>
    </cfRule>
    <cfRule type="expression" dxfId="6201" priority="347">
      <formula>AG$9&lt;8/24</formula>
    </cfRule>
  </conditionalFormatting>
  <conditionalFormatting sqref="T212">
    <cfRule type="expression" dxfId="6200" priority="348">
      <formula>AX$9&gt;=20/24</formula>
    </cfRule>
    <cfRule type="expression" dxfId="6199" priority="349">
      <formula>AND(AX$9&gt;=14/24,AX$9&lt;20/24)</formula>
    </cfRule>
    <cfRule type="expression" dxfId="6198" priority="350">
      <formula>AND(AX$9&gt;=8/24,AX$9&lt;14/24)</formula>
    </cfRule>
    <cfRule type="expression" dxfId="6197" priority="351">
      <formula>AX$9&lt;8/24</formula>
    </cfRule>
  </conditionalFormatting>
  <conditionalFormatting sqref="A99">
    <cfRule type="expression" dxfId="6196" priority="91">
      <formula>$AH99=0</formula>
    </cfRule>
  </conditionalFormatting>
  <conditionalFormatting sqref="AB33:AE33">
    <cfRule type="expression" dxfId="6195" priority="83">
      <formula>AB$9&gt;=20/24</formula>
    </cfRule>
    <cfRule type="expression" dxfId="6194" priority="84">
      <formula>AND(AB$9&gt;=14/24,AB$9&lt;20/24)</formula>
    </cfRule>
    <cfRule type="expression" dxfId="6193" priority="85">
      <formula>AND(AB$9&gt;=8/24,AB$9&lt;14/24)</formula>
    </cfRule>
    <cfRule type="expression" dxfId="6192" priority="86">
      <formula>AB$9&lt;8/24</formula>
    </cfRule>
  </conditionalFormatting>
  <conditionalFormatting sqref="S33:AA33">
    <cfRule type="expression" dxfId="6191" priority="79">
      <formula>S$9&gt;=20/24</formula>
    </cfRule>
    <cfRule type="expression" dxfId="6190" priority="80">
      <formula>AND(S$9&gt;=14/24,S$9&lt;20/24)</formula>
    </cfRule>
    <cfRule type="expression" dxfId="6189" priority="81">
      <formula>AND(S$9&gt;=8/24,S$9&lt;14/24)</formula>
    </cfRule>
    <cfRule type="expression" dxfId="6188" priority="82">
      <formula>S$9&lt;8/24</formula>
    </cfRule>
  </conditionalFormatting>
  <conditionalFormatting sqref="B33:L33 S33:AE33">
    <cfRule type="expression" dxfId="6187" priority="78">
      <formula>B33&gt;$AG33</formula>
    </cfRule>
  </conditionalFormatting>
  <conditionalFormatting sqref="M12:R14 M16:R16 M36:R36 M18:R32">
    <cfRule type="expression" dxfId="6186" priority="74">
      <formula>M$9&gt;=20/24</formula>
    </cfRule>
    <cfRule type="expression" dxfId="6185" priority="75">
      <formula>AND(M$9&gt;=14/24,M$9&lt;20/24)</formula>
    </cfRule>
    <cfRule type="expression" dxfId="6184" priority="76">
      <formula>AND(M$9&gt;=8/24,M$9&lt;14/24)</formula>
    </cfRule>
    <cfRule type="expression" dxfId="6183" priority="77">
      <formula>M$9&lt;8/24</formula>
    </cfRule>
  </conditionalFormatting>
  <conditionalFormatting sqref="M35:R35">
    <cfRule type="expression" dxfId="6182" priority="70">
      <formula>M$9&gt;=20/24</formula>
    </cfRule>
    <cfRule type="expression" dxfId="6181" priority="71">
      <formula>AND(M$9&gt;=14/24,M$9&lt;20/24)</formula>
    </cfRule>
    <cfRule type="expression" dxfId="6180" priority="72">
      <formula>AND(M$9&gt;=8/24,M$9&lt;14/24)</formula>
    </cfRule>
    <cfRule type="expression" dxfId="6179" priority="73">
      <formula>M$9&lt;8/24</formula>
    </cfRule>
  </conditionalFormatting>
  <conditionalFormatting sqref="M12:R14 M16:R16 M34:R36 M18:R32">
    <cfRule type="expression" dxfId="6178" priority="69">
      <formula>M12&gt;$AG12</formula>
    </cfRule>
  </conditionalFormatting>
  <conditionalFormatting sqref="M34:R34">
    <cfRule type="expression" dxfId="6177" priority="65">
      <formula>M$9&gt;=20/24</formula>
    </cfRule>
    <cfRule type="expression" dxfId="6176" priority="66">
      <formula>AND(M$9&gt;=14/24,M$9&lt;20/24)</formula>
    </cfRule>
    <cfRule type="expression" dxfId="6175" priority="67">
      <formula>AND(M$9&gt;=8/24,M$9&lt;14/24)</formula>
    </cfRule>
    <cfRule type="expression" dxfId="6174" priority="68">
      <formula>M$9&lt;8/24</formula>
    </cfRule>
  </conditionalFormatting>
  <conditionalFormatting sqref="M15:R15">
    <cfRule type="expression" dxfId="6173" priority="61">
      <formula>M$9&gt;=20/24</formula>
    </cfRule>
    <cfRule type="expression" dxfId="6172" priority="62">
      <formula>AND(M$9&gt;=14/24,M$9&lt;20/24)</formula>
    </cfRule>
    <cfRule type="expression" dxfId="6171" priority="63">
      <formula>AND(M$9&gt;=8/24,M$9&lt;14/24)</formula>
    </cfRule>
    <cfRule type="expression" dxfId="6170" priority="64">
      <formula>M$9&lt;8/24</formula>
    </cfRule>
  </conditionalFormatting>
  <conditionalFormatting sqref="M15:R15">
    <cfRule type="expression" dxfId="6169" priority="60">
      <formula>M15&gt;$AG15</formula>
    </cfRule>
  </conditionalFormatting>
  <conditionalFormatting sqref="M33:R33">
    <cfRule type="expression" dxfId="6168" priority="56">
      <formula>M$9&gt;=20/24</formula>
    </cfRule>
    <cfRule type="expression" dxfId="6167" priority="57">
      <formula>AND(M$9&gt;=14/24,M$9&lt;20/24)</formula>
    </cfRule>
    <cfRule type="expression" dxfId="6166" priority="58">
      <formula>AND(M$9&gt;=8/24,M$9&lt;14/24)</formula>
    </cfRule>
    <cfRule type="expression" dxfId="6165" priority="59">
      <formula>M$9&lt;8/24</formula>
    </cfRule>
  </conditionalFormatting>
  <conditionalFormatting sqref="M33:R33">
    <cfRule type="expression" dxfId="6164" priority="55">
      <formula>M33&gt;$AG33</formula>
    </cfRule>
  </conditionalFormatting>
  <conditionalFormatting sqref="AF16 AF28:AF31 AF11:AF14 AF36 AF18:AF26">
    <cfRule type="expression" dxfId="6163" priority="51">
      <formula>AF$9&gt;=20/24</formula>
    </cfRule>
    <cfRule type="expression" dxfId="6162" priority="52">
      <formula>AND(AF$9&gt;=14/24,AF$9&lt;20/24)</formula>
    </cfRule>
    <cfRule type="expression" dxfId="6161" priority="53">
      <formula>AND(AF$9&gt;=8/24,AF$9&lt;14/24)</formula>
    </cfRule>
    <cfRule type="expression" dxfId="6160" priority="54">
      <formula>AF$9&lt;8/24</formula>
    </cfRule>
  </conditionalFormatting>
  <conditionalFormatting sqref="AF32">
    <cfRule type="expression" dxfId="6159" priority="47">
      <formula>AF$9&gt;=20/24</formula>
    </cfRule>
    <cfRule type="expression" dxfId="6158" priority="48">
      <formula>AND(AF$9&gt;=14/24,AF$9&lt;20/24)</formula>
    </cfRule>
    <cfRule type="expression" dxfId="6157" priority="49">
      <formula>AND(AF$9&gt;=8/24,AF$9&lt;14/24)</formula>
    </cfRule>
    <cfRule type="expression" dxfId="6156" priority="50">
      <formula>AF$9&lt;8/24</formula>
    </cfRule>
  </conditionalFormatting>
  <conditionalFormatting sqref="AF37">
    <cfRule type="expression" dxfId="6155" priority="43">
      <formula>AF$9&gt;=20/24</formula>
    </cfRule>
    <cfRule type="expression" dxfId="6154" priority="44">
      <formula>AND(AF$9&gt;=14/24,AF$9&lt;20/24)</formula>
    </cfRule>
    <cfRule type="expression" dxfId="6153" priority="45">
      <formula>AND(AF$9&gt;=8/24,AF$9&lt;14/24)</formula>
    </cfRule>
    <cfRule type="expression" dxfId="6152" priority="46">
      <formula>AF$9&lt;8/24</formula>
    </cfRule>
  </conditionalFormatting>
  <conditionalFormatting sqref="AF35">
    <cfRule type="expression" dxfId="6151" priority="39">
      <formula>AF$9&gt;=20/24</formula>
    </cfRule>
    <cfRule type="expression" dxfId="6150" priority="40">
      <formula>AND(AF$9&gt;=14/24,AF$9&lt;20/24)</formula>
    </cfRule>
    <cfRule type="expression" dxfId="6149" priority="41">
      <formula>AND(AF$9&gt;=8/24,AF$9&lt;14/24)</formula>
    </cfRule>
    <cfRule type="expression" dxfId="6148" priority="42">
      <formula>AF$9&lt;8/24</formula>
    </cfRule>
  </conditionalFormatting>
  <conditionalFormatting sqref="AF11:AF16 AF34:AF37 AF18:AF32">
    <cfRule type="expression" dxfId="6147" priority="38">
      <formula>AF11&gt;$AG11</formula>
    </cfRule>
  </conditionalFormatting>
  <conditionalFormatting sqref="AF34">
    <cfRule type="expression" dxfId="6146" priority="34">
      <formula>AF$9&gt;=20/24</formula>
    </cfRule>
    <cfRule type="expression" dxfId="6145" priority="35">
      <formula>AND(AF$9&gt;=14/24,AF$9&lt;20/24)</formula>
    </cfRule>
    <cfRule type="expression" dxfId="6144" priority="36">
      <formula>AND(AF$9&gt;=8/24,AF$9&lt;14/24)</formula>
    </cfRule>
    <cfRule type="expression" dxfId="6143" priority="37">
      <formula>AF$9&lt;8/24</formula>
    </cfRule>
  </conditionalFormatting>
  <conditionalFormatting sqref="AF15">
    <cfRule type="expression" dxfId="6142" priority="30">
      <formula>AF$9&gt;=20/24</formula>
    </cfRule>
    <cfRule type="expression" dxfId="6141" priority="31">
      <formula>AND(AF$9&gt;=14/24,AF$9&lt;20/24)</formula>
    </cfRule>
    <cfRule type="expression" dxfId="6140" priority="32">
      <formula>AND(AF$9&gt;=8/24,AF$9&lt;14/24)</formula>
    </cfRule>
    <cfRule type="expression" dxfId="6139" priority="33">
      <formula>AF$9&lt;8/24</formula>
    </cfRule>
  </conditionalFormatting>
  <conditionalFormatting sqref="AF33">
    <cfRule type="expression" dxfId="6138" priority="26">
      <formula>AF$9&gt;=20/24</formula>
    </cfRule>
    <cfRule type="expression" dxfId="6137" priority="27">
      <formula>AND(AF$9&gt;=14/24,AF$9&lt;20/24)</formula>
    </cfRule>
    <cfRule type="expression" dxfId="6136" priority="28">
      <formula>AND(AF$9&gt;=8/24,AF$9&lt;14/24)</formula>
    </cfRule>
    <cfRule type="expression" dxfId="6135" priority="29">
      <formula>AF$9&lt;8/24</formula>
    </cfRule>
  </conditionalFormatting>
  <conditionalFormatting sqref="AF33">
    <cfRule type="expression" dxfId="6134" priority="25">
      <formula>AF33&gt;$AG33</formula>
    </cfRule>
  </conditionalFormatting>
  <conditionalFormatting sqref="AF40:AF43">
    <cfRule type="expression" dxfId="6133" priority="21">
      <formula>AF$9&gt;=20/24</formula>
    </cfRule>
    <cfRule type="expression" dxfId="6132" priority="22">
      <formula>AND(AF$9&gt;=14/24,AF$9&lt;20/24)</formula>
    </cfRule>
    <cfRule type="expression" dxfId="6131" priority="23">
      <formula>AND(AF$9&gt;=8/24,AF$9&lt;14/24)</formula>
    </cfRule>
    <cfRule type="expression" dxfId="6130" priority="24">
      <formula>AF$9&lt;8/24</formula>
    </cfRule>
  </conditionalFormatting>
  <conditionalFormatting sqref="AF39">
    <cfRule type="expression" dxfId="6129" priority="17">
      <formula>AF$9&gt;=20/24</formula>
    </cfRule>
    <cfRule type="expression" dxfId="6128" priority="18">
      <formula>AND(AF$9&gt;=14/24,AF$9&lt;20/24)</formula>
    </cfRule>
    <cfRule type="expression" dxfId="6127" priority="19">
      <formula>AND(AF$9&gt;=8/24,AF$9&lt;14/24)</formula>
    </cfRule>
    <cfRule type="expression" dxfId="6126" priority="20">
      <formula>AF$9&lt;8/24</formula>
    </cfRule>
  </conditionalFormatting>
  <conditionalFormatting sqref="AF45:AF48">
    <cfRule type="expression" dxfId="6125" priority="13">
      <formula>AF$9&gt;=20/24</formula>
    </cfRule>
    <cfRule type="expression" dxfId="6124" priority="14">
      <formula>AND(AF$9&gt;=14/24,AF$9&lt;20/24)</formula>
    </cfRule>
    <cfRule type="expression" dxfId="6123" priority="15">
      <formula>AND(AF$9&gt;=8/24,AF$9&lt;14/24)</formula>
    </cfRule>
    <cfRule type="expression" dxfId="6122" priority="16">
      <formula>AF$9&lt;8/24</formula>
    </cfRule>
  </conditionalFormatting>
  <conditionalFormatting sqref="AF49">
    <cfRule type="expression" dxfId="6121" priority="9">
      <formula>AF$9&gt;=20/24</formula>
    </cfRule>
    <cfRule type="expression" dxfId="6120" priority="10">
      <formula>AND(AF$9&gt;=14/24,AF$9&lt;20/24)</formula>
    </cfRule>
    <cfRule type="expression" dxfId="6119" priority="11">
      <formula>AND(AF$9&gt;=8/24,AF$9&lt;14/24)</formula>
    </cfRule>
    <cfRule type="expression" dxfId="6118" priority="12">
      <formula>AF$9&lt;8/24</formula>
    </cfRule>
  </conditionalFormatting>
  <conditionalFormatting sqref="AF50">
    <cfRule type="expression" dxfId="6117" priority="5">
      <formula>AF$9&gt;=20/24</formula>
    </cfRule>
    <cfRule type="expression" dxfId="6116" priority="6">
      <formula>AND(AF$9&gt;=14/24,AF$9&lt;20/24)</formula>
    </cfRule>
    <cfRule type="expression" dxfId="6115" priority="7">
      <formula>AND(AF$9&gt;=8/24,AF$9&lt;14/24)</formula>
    </cfRule>
    <cfRule type="expression" dxfId="6114" priority="8">
      <formula>AF$9&lt;8/24</formula>
    </cfRule>
  </conditionalFormatting>
  <conditionalFormatting sqref="AF44">
    <cfRule type="expression" dxfId="6113" priority="1">
      <formula>AF$9&gt;=20/24</formula>
    </cfRule>
    <cfRule type="expression" dxfId="6112" priority="2">
      <formula>AND(AF$9&gt;=14/24,AF$9&lt;20/24)</formula>
    </cfRule>
    <cfRule type="expression" dxfId="6111" priority="3">
      <formula>AND(AF$9&gt;=8/24,AF$9&lt;14/24)</formula>
    </cfRule>
    <cfRule type="expression" dxfId="6110" priority="4">
      <formula>AF$9&lt;8/24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1" id="{52861A94-62DA-4371-8354-F6FC04D8B2E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K37" sqref="AK3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2078/11/10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399.6</v>
      </c>
      <c r="C5" s="32">
        <f t="shared" si="0"/>
        <v>431.5</v>
      </c>
      <c r="D5" s="32">
        <f t="shared" si="0"/>
        <v>415</v>
      </c>
      <c r="E5" s="32">
        <f t="shared" si="0"/>
        <v>421</v>
      </c>
      <c r="F5" s="32">
        <f t="shared" si="0"/>
        <v>440.5</v>
      </c>
      <c r="G5" s="32">
        <f t="shared" si="0"/>
        <v>500.21999999999997</v>
      </c>
      <c r="H5" s="32">
        <f t="shared" si="0"/>
        <v>528.19000000000005</v>
      </c>
      <c r="I5" s="32">
        <f t="shared" si="0"/>
        <v>552.38</v>
      </c>
      <c r="J5" s="32">
        <f t="shared" si="0"/>
        <v>433</v>
      </c>
      <c r="K5" s="32">
        <f t="shared" si="0"/>
        <v>395.9</v>
      </c>
      <c r="L5" s="32">
        <f t="shared" si="0"/>
        <v>385.01</v>
      </c>
      <c r="M5" s="32">
        <f t="shared" si="0"/>
        <v>384.95000000000005</v>
      </c>
      <c r="N5" s="32">
        <f t="shared" si="0"/>
        <v>365.4</v>
      </c>
      <c r="O5" s="32">
        <f t="shared" si="0"/>
        <v>438.20000000000005</v>
      </c>
      <c r="P5" s="32">
        <f t="shared" si="0"/>
        <v>496.29999999999995</v>
      </c>
      <c r="Q5" s="32">
        <f t="shared" si="0"/>
        <v>597.59999999999991</v>
      </c>
      <c r="R5" s="32">
        <f t="shared" si="0"/>
        <v>588</v>
      </c>
      <c r="S5" s="32">
        <f t="shared" si="0"/>
        <v>600</v>
      </c>
      <c r="T5" s="32">
        <f t="shared" si="0"/>
        <v>636</v>
      </c>
      <c r="U5" s="32">
        <f t="shared" si="0"/>
        <v>598</v>
      </c>
      <c r="V5" s="32">
        <f t="shared" si="0"/>
        <v>616</v>
      </c>
      <c r="W5" s="32">
        <f t="shared" si="0"/>
        <v>247</v>
      </c>
      <c r="X5" s="32">
        <f t="shared" si="0"/>
        <v>243.3</v>
      </c>
      <c r="Y5" s="32">
        <f t="shared" si="0"/>
        <v>274</v>
      </c>
      <c r="Z5" s="32">
        <f t="shared" si="0"/>
        <v>265</v>
      </c>
      <c r="AA5" s="32">
        <f t="shared" si="0"/>
        <v>575.21</v>
      </c>
      <c r="AB5" s="32">
        <f t="shared" si="0"/>
        <v>598.16</v>
      </c>
      <c r="AC5" s="32">
        <f t="shared" si="0"/>
        <v>598.16</v>
      </c>
      <c r="AD5" s="32">
        <f t="shared" si="0"/>
        <v>553.16000000000008</v>
      </c>
      <c r="AE5" s="32">
        <f t="shared" si="0"/>
        <v>515.27</v>
      </c>
      <c r="AF5" s="32">
        <f>B68</f>
        <v>412.2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Load=919</v>
      </c>
      <c r="B7" s="37">
        <f>B75</f>
        <v>944.93999999999994</v>
      </c>
      <c r="C7" s="37">
        <f t="shared" ref="C7:AF7" si="1">C75</f>
        <v>918.93999999999994</v>
      </c>
      <c r="D7" s="37">
        <f t="shared" si="1"/>
        <v>939.33999999999992</v>
      </c>
      <c r="E7" s="37">
        <f t="shared" si="1"/>
        <v>924.54</v>
      </c>
      <c r="F7" s="37">
        <f t="shared" si="1"/>
        <v>927.14</v>
      </c>
      <c r="G7" s="37">
        <f t="shared" si="1"/>
        <v>979.43999999999994</v>
      </c>
      <c r="H7" s="37">
        <f t="shared" si="1"/>
        <v>1062.56</v>
      </c>
      <c r="I7" s="37">
        <f t="shared" si="1"/>
        <v>1132.83</v>
      </c>
      <c r="J7" s="37">
        <f t="shared" si="1"/>
        <v>1244.32</v>
      </c>
      <c r="K7" s="37">
        <f t="shared" si="1"/>
        <v>1396.7399999999998</v>
      </c>
      <c r="L7" s="37">
        <f t="shared" si="1"/>
        <v>1500.6399999999999</v>
      </c>
      <c r="M7" s="37">
        <f t="shared" si="1"/>
        <v>1511.65</v>
      </c>
      <c r="N7" s="37">
        <f t="shared" si="1"/>
        <v>1445.79</v>
      </c>
      <c r="O7" s="37">
        <f t="shared" si="1"/>
        <v>1374.34</v>
      </c>
      <c r="P7" s="37">
        <f t="shared" si="1"/>
        <v>1263.24</v>
      </c>
      <c r="Q7" s="37">
        <f t="shared" si="1"/>
        <v>1273.04</v>
      </c>
      <c r="R7" s="37">
        <f t="shared" si="1"/>
        <v>1244.4399999999998</v>
      </c>
      <c r="S7" s="37">
        <f t="shared" si="1"/>
        <v>1216.44</v>
      </c>
      <c r="T7" s="37">
        <f t="shared" si="1"/>
        <v>1223.8399999999999</v>
      </c>
      <c r="U7" s="37">
        <f t="shared" si="1"/>
        <v>1324.34</v>
      </c>
      <c r="V7" s="37">
        <f t="shared" si="1"/>
        <v>1331.14</v>
      </c>
      <c r="W7" s="37">
        <f t="shared" si="1"/>
        <v>1403.14</v>
      </c>
      <c r="X7" s="37">
        <f t="shared" si="1"/>
        <v>1410.14</v>
      </c>
      <c r="Y7" s="37">
        <f t="shared" si="1"/>
        <v>1553.14</v>
      </c>
      <c r="Z7" s="37">
        <f t="shared" si="1"/>
        <v>1589.8400000000001</v>
      </c>
      <c r="AA7" s="37">
        <f t="shared" si="1"/>
        <v>1530.3400000000001</v>
      </c>
      <c r="AB7" s="37">
        <f t="shared" si="1"/>
        <v>1447.3500000000001</v>
      </c>
      <c r="AC7" s="37">
        <f t="shared" si="1"/>
        <v>1341.5</v>
      </c>
      <c r="AD7" s="37">
        <f t="shared" si="1"/>
        <v>1293.8</v>
      </c>
      <c r="AE7" s="37">
        <f t="shared" si="1"/>
        <v>1113.5</v>
      </c>
      <c r="AF7" s="37">
        <f t="shared" si="1"/>
        <v>1014.51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15</v>
      </c>
      <c r="C11" s="50">
        <v>15</v>
      </c>
      <c r="D11" s="50">
        <v>15</v>
      </c>
      <c r="E11" s="49">
        <v>15</v>
      </c>
      <c r="F11" s="49">
        <v>15</v>
      </c>
      <c r="G11" s="49">
        <v>40</v>
      </c>
      <c r="H11" s="49">
        <v>30</v>
      </c>
      <c r="I11" s="49">
        <v>30</v>
      </c>
      <c r="J11" s="49">
        <v>70</v>
      </c>
      <c r="K11" s="49">
        <v>260</v>
      </c>
      <c r="L11" s="49">
        <v>300</v>
      </c>
      <c r="M11" s="50">
        <v>300</v>
      </c>
      <c r="N11" s="50">
        <v>260</v>
      </c>
      <c r="O11" s="50">
        <v>240</v>
      </c>
      <c r="P11" s="50">
        <v>130</v>
      </c>
      <c r="Q11" s="50">
        <v>15</v>
      </c>
      <c r="R11" s="51">
        <v>12</v>
      </c>
      <c r="S11" s="51">
        <v>12</v>
      </c>
      <c r="T11" s="51">
        <v>12</v>
      </c>
      <c r="U11" s="50">
        <v>12</v>
      </c>
      <c r="V11" s="50">
        <v>12</v>
      </c>
      <c r="W11" s="50">
        <v>35</v>
      </c>
      <c r="X11" s="50">
        <v>355</v>
      </c>
      <c r="Y11" s="50">
        <v>450</v>
      </c>
      <c r="Z11" s="52">
        <v>456</v>
      </c>
      <c r="AA11" s="50">
        <v>420</v>
      </c>
      <c r="AB11" s="50">
        <v>70</v>
      </c>
      <c r="AC11" s="50">
        <v>40</v>
      </c>
      <c r="AD11" s="50">
        <v>40</v>
      </c>
      <c r="AE11" s="50">
        <v>13</v>
      </c>
      <c r="AF11" s="50">
        <v>13</v>
      </c>
      <c r="AG11" s="53">
        <v>456</v>
      </c>
      <c r="AH11" s="54">
        <f>MAX(B11:AF11)</f>
        <v>456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31</v>
      </c>
      <c r="C12" s="50">
        <v>31</v>
      </c>
      <c r="D12" s="50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30</v>
      </c>
      <c r="P12" s="49">
        <v>30</v>
      </c>
      <c r="Q12" s="49">
        <v>30</v>
      </c>
      <c r="R12" s="49">
        <v>30</v>
      </c>
      <c r="S12" s="49">
        <v>30</v>
      </c>
      <c r="T12" s="49">
        <v>30</v>
      </c>
      <c r="U12" s="49">
        <v>30</v>
      </c>
      <c r="V12" s="49">
        <v>30</v>
      </c>
      <c r="W12" s="49">
        <v>30</v>
      </c>
      <c r="X12" s="49">
        <v>30</v>
      </c>
      <c r="Y12" s="58">
        <v>31</v>
      </c>
      <c r="Z12" s="58">
        <v>31</v>
      </c>
      <c r="AA12" s="58">
        <v>31</v>
      </c>
      <c r="AB12" s="58">
        <v>31</v>
      </c>
      <c r="AC12" s="58">
        <v>31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17.600000000000001</v>
      </c>
      <c r="C13" s="50">
        <v>17.600000000000001</v>
      </c>
      <c r="D13" s="50">
        <v>17.600000000000001</v>
      </c>
      <c r="E13" s="49">
        <v>18.8</v>
      </c>
      <c r="F13" s="49">
        <v>18.2</v>
      </c>
      <c r="G13" s="49">
        <v>18.2</v>
      </c>
      <c r="H13" s="49">
        <v>18.2</v>
      </c>
      <c r="I13" s="49">
        <v>18.2</v>
      </c>
      <c r="J13" s="49">
        <v>18.3</v>
      </c>
      <c r="K13" s="49">
        <v>20</v>
      </c>
      <c r="L13" s="49">
        <v>21.2</v>
      </c>
      <c r="M13" s="49">
        <v>17.3</v>
      </c>
      <c r="N13" s="49">
        <v>17.3</v>
      </c>
      <c r="O13" s="49">
        <v>18.100000000000001</v>
      </c>
      <c r="P13" s="49">
        <v>18.100000000000001</v>
      </c>
      <c r="Q13" s="49">
        <v>17.5</v>
      </c>
      <c r="R13" s="49">
        <v>17.5</v>
      </c>
      <c r="S13" s="49">
        <v>17.5</v>
      </c>
      <c r="T13" s="49">
        <v>17.5</v>
      </c>
      <c r="U13" s="49">
        <v>17.5</v>
      </c>
      <c r="V13" s="49">
        <v>17.5</v>
      </c>
      <c r="W13" s="49">
        <v>17.5</v>
      </c>
      <c r="X13" s="49">
        <v>17.5</v>
      </c>
      <c r="Y13" s="49">
        <v>17.5</v>
      </c>
      <c r="Z13" s="49">
        <v>17.5</v>
      </c>
      <c r="AA13" s="49">
        <v>17.5</v>
      </c>
      <c r="AB13" s="49">
        <v>17.5</v>
      </c>
      <c r="AC13" s="49">
        <v>17.5</v>
      </c>
      <c r="AD13" s="49">
        <v>17.5</v>
      </c>
      <c r="AE13" s="49">
        <v>17.5</v>
      </c>
      <c r="AF13" s="49">
        <v>17.5</v>
      </c>
      <c r="AG13" s="59">
        <v>52.4</v>
      </c>
      <c r="AH13" s="54">
        <f t="shared" si="2"/>
        <v>21.2</v>
      </c>
      <c r="AI13" s="55">
        <f t="shared" si="3"/>
        <v>17.3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33.5</v>
      </c>
      <c r="C14" s="50">
        <v>33.5</v>
      </c>
      <c r="D14" s="50">
        <v>33.5</v>
      </c>
      <c r="E14" s="49">
        <v>33.5</v>
      </c>
      <c r="F14" s="49">
        <v>33.5</v>
      </c>
      <c r="G14" s="49">
        <v>33.5</v>
      </c>
      <c r="H14" s="49">
        <v>33.5</v>
      </c>
      <c r="I14" s="49">
        <v>33.5</v>
      </c>
      <c r="J14" s="49">
        <v>34.1</v>
      </c>
      <c r="K14" s="49">
        <v>34.700000000000003</v>
      </c>
      <c r="L14" s="49">
        <v>34.799999999999997</v>
      </c>
      <c r="M14" s="50">
        <v>33.799999999999997</v>
      </c>
      <c r="N14" s="50">
        <v>33.799999999999997</v>
      </c>
      <c r="O14" s="50">
        <v>33.6</v>
      </c>
      <c r="P14" s="50">
        <v>33.6</v>
      </c>
      <c r="Q14" s="50">
        <v>34.1</v>
      </c>
      <c r="R14" s="50">
        <v>34.1</v>
      </c>
      <c r="S14" s="50">
        <v>34.1</v>
      </c>
      <c r="T14" s="50">
        <v>34.1</v>
      </c>
      <c r="U14" s="50">
        <v>34.1</v>
      </c>
      <c r="V14" s="50">
        <v>34.1</v>
      </c>
      <c r="W14" s="50">
        <v>34.1</v>
      </c>
      <c r="X14" s="50">
        <v>34.1</v>
      </c>
      <c r="Y14" s="50">
        <v>34.1</v>
      </c>
      <c r="Z14" s="50">
        <v>34.1</v>
      </c>
      <c r="AA14" s="50">
        <v>34.1</v>
      </c>
      <c r="AB14" s="50">
        <v>34.1</v>
      </c>
      <c r="AC14" s="50">
        <v>34.1</v>
      </c>
      <c r="AD14" s="50">
        <v>34.1</v>
      </c>
      <c r="AE14" s="50">
        <v>34.1</v>
      </c>
      <c r="AF14" s="50">
        <v>34.1</v>
      </c>
      <c r="AG14" s="59">
        <v>50</v>
      </c>
      <c r="AH14" s="54">
        <f t="shared" si="2"/>
        <v>34.799999999999997</v>
      </c>
      <c r="AI14" s="55">
        <f t="shared" si="3"/>
        <v>33.5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19.399999999999999</v>
      </c>
      <c r="C15" s="61">
        <v>19.399999999999999</v>
      </c>
      <c r="D15" s="61">
        <v>19.399999999999999</v>
      </c>
      <c r="E15" s="61">
        <v>19.399999999999999</v>
      </c>
      <c r="F15" s="61">
        <v>19.399999999999999</v>
      </c>
      <c r="G15" s="61">
        <v>19.399999999999999</v>
      </c>
      <c r="H15" s="61">
        <v>19.399999999999999</v>
      </c>
      <c r="I15" s="61">
        <v>19.399999999999999</v>
      </c>
      <c r="J15" s="61">
        <v>19.399999999999999</v>
      </c>
      <c r="K15" s="61">
        <v>19.399999999999999</v>
      </c>
      <c r="L15" s="61">
        <v>19.399999999999999</v>
      </c>
      <c r="M15" s="50">
        <v>19.3</v>
      </c>
      <c r="N15" s="50">
        <v>19.3</v>
      </c>
      <c r="O15" s="50">
        <v>19.3</v>
      </c>
      <c r="P15" s="50">
        <v>19.3</v>
      </c>
      <c r="Q15" s="50">
        <v>19.399999999999999</v>
      </c>
      <c r="R15" s="50">
        <v>19.399999999999999</v>
      </c>
      <c r="S15" s="50">
        <v>19.399999999999999</v>
      </c>
      <c r="T15" s="50">
        <v>19.399999999999999</v>
      </c>
      <c r="U15" s="50">
        <v>19.399999999999999</v>
      </c>
      <c r="V15" s="50">
        <v>19.399999999999999</v>
      </c>
      <c r="W15" s="50">
        <v>19.399999999999999</v>
      </c>
      <c r="X15" s="50">
        <v>19.399999999999999</v>
      </c>
      <c r="Y15" s="50">
        <v>19.399999999999999</v>
      </c>
      <c r="Z15" s="50">
        <v>19.399999999999999</v>
      </c>
      <c r="AA15" s="50">
        <v>19.399999999999999</v>
      </c>
      <c r="AB15" s="50">
        <v>19.399999999999999</v>
      </c>
      <c r="AC15" s="50">
        <v>19.399999999999999</v>
      </c>
      <c r="AD15" s="50">
        <v>19.399999999999999</v>
      </c>
      <c r="AE15" s="50">
        <v>19.399999999999999</v>
      </c>
      <c r="AF15" s="50">
        <v>19.399999999999999</v>
      </c>
      <c r="AG15" s="62">
        <v>45</v>
      </c>
      <c r="AH15" s="54">
        <f t="shared" si="2"/>
        <v>19.399999999999999</v>
      </c>
      <c r="AI15" s="55">
        <f t="shared" si="3"/>
        <v>19.3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7</v>
      </c>
      <c r="C17" s="50">
        <v>7</v>
      </c>
      <c r="D17" s="50">
        <v>7</v>
      </c>
      <c r="E17" s="50">
        <v>7</v>
      </c>
      <c r="F17" s="50">
        <v>7</v>
      </c>
      <c r="G17" s="50">
        <v>7</v>
      </c>
      <c r="H17" s="50">
        <v>7</v>
      </c>
      <c r="I17" s="50">
        <v>7</v>
      </c>
      <c r="J17" s="50">
        <v>7</v>
      </c>
      <c r="K17" s="50">
        <v>7</v>
      </c>
      <c r="L17" s="50">
        <v>7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7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9</v>
      </c>
      <c r="C18" s="50">
        <v>9</v>
      </c>
      <c r="D18" s="50">
        <v>9</v>
      </c>
      <c r="E18" s="49">
        <v>9</v>
      </c>
      <c r="F18" s="49">
        <v>9</v>
      </c>
      <c r="G18" s="49">
        <v>9</v>
      </c>
      <c r="H18" s="49">
        <v>9</v>
      </c>
      <c r="I18" s="49">
        <v>9</v>
      </c>
      <c r="J18" s="49">
        <v>9</v>
      </c>
      <c r="K18" s="49">
        <v>9</v>
      </c>
      <c r="L18" s="49">
        <v>9</v>
      </c>
      <c r="M18" s="50">
        <v>9</v>
      </c>
      <c r="N18" s="50">
        <v>9</v>
      </c>
      <c r="O18" s="50">
        <v>9</v>
      </c>
      <c r="P18" s="50">
        <v>9</v>
      </c>
      <c r="Q18" s="50">
        <v>9</v>
      </c>
      <c r="R18" s="50">
        <v>9</v>
      </c>
      <c r="S18" s="50">
        <v>9</v>
      </c>
      <c r="T18" s="50">
        <v>9</v>
      </c>
      <c r="U18" s="50">
        <v>9</v>
      </c>
      <c r="V18" s="50">
        <v>9</v>
      </c>
      <c r="W18" s="50">
        <v>9</v>
      </c>
      <c r="X18" s="50">
        <v>9</v>
      </c>
      <c r="Y18" s="50">
        <v>9</v>
      </c>
      <c r="Z18" s="50">
        <v>9</v>
      </c>
      <c r="AA18" s="50">
        <v>9</v>
      </c>
      <c r="AB18" s="50">
        <v>9</v>
      </c>
      <c r="AC18" s="50">
        <v>9</v>
      </c>
      <c r="AD18" s="50">
        <v>9</v>
      </c>
      <c r="AE18" s="50">
        <v>9</v>
      </c>
      <c r="AF18" s="50">
        <v>9</v>
      </c>
      <c r="AG18" s="59">
        <v>36</v>
      </c>
      <c r="AH18" s="54">
        <f t="shared" si="2"/>
        <v>9</v>
      </c>
      <c r="AI18" s="55">
        <f t="shared" si="3"/>
        <v>9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10.3</v>
      </c>
      <c r="C19" s="50">
        <v>10.3</v>
      </c>
      <c r="D19" s="50">
        <v>10.3</v>
      </c>
      <c r="E19" s="49">
        <v>10.3</v>
      </c>
      <c r="F19" s="49">
        <v>9.5</v>
      </c>
      <c r="G19" s="49">
        <v>9.5</v>
      </c>
      <c r="H19" s="49">
        <v>9.5</v>
      </c>
      <c r="I19" s="49">
        <v>9.5</v>
      </c>
      <c r="J19" s="49">
        <v>9.5</v>
      </c>
      <c r="K19" s="49">
        <v>9.3000000000000007</v>
      </c>
      <c r="L19" s="49">
        <v>9.1</v>
      </c>
      <c r="M19" s="50">
        <v>9.1</v>
      </c>
      <c r="N19" s="50">
        <v>9.1</v>
      </c>
      <c r="O19" s="50">
        <v>9.1</v>
      </c>
      <c r="P19" s="50">
        <v>9.1</v>
      </c>
      <c r="Q19" s="50">
        <v>9.1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9">
        <v>30</v>
      </c>
      <c r="AH19" s="54">
        <f t="shared" si="2"/>
        <v>10.3</v>
      </c>
      <c r="AI19" s="55">
        <f t="shared" si="3"/>
        <v>9.1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49">
        <v>6.2</v>
      </c>
      <c r="F20" s="49">
        <v>6.2</v>
      </c>
      <c r="G20" s="49">
        <v>6.2</v>
      </c>
      <c r="H20" s="49">
        <v>6.2</v>
      </c>
      <c r="I20" s="49">
        <v>6.2</v>
      </c>
      <c r="J20" s="49">
        <v>6.2</v>
      </c>
      <c r="K20" s="49">
        <v>6.2</v>
      </c>
      <c r="L20" s="49">
        <v>6.2</v>
      </c>
      <c r="M20" s="50">
        <v>6.2</v>
      </c>
      <c r="N20" s="50">
        <v>6.2</v>
      </c>
      <c r="O20" s="50">
        <v>6.2</v>
      </c>
      <c r="P20" s="50">
        <v>6.2</v>
      </c>
      <c r="Q20" s="50">
        <v>6.2</v>
      </c>
      <c r="R20" s="50">
        <v>6.2</v>
      </c>
      <c r="S20" s="50">
        <v>6.2</v>
      </c>
      <c r="T20" s="50">
        <v>6.2</v>
      </c>
      <c r="U20" s="50">
        <v>6.2</v>
      </c>
      <c r="V20" s="50">
        <v>6.2</v>
      </c>
      <c r="W20" s="50">
        <v>6.2</v>
      </c>
      <c r="X20" s="50">
        <v>6.2</v>
      </c>
      <c r="Y20" s="50">
        <v>6.2</v>
      </c>
      <c r="Z20" s="50">
        <v>6.2</v>
      </c>
      <c r="AA20" s="50">
        <v>6.2</v>
      </c>
      <c r="AB20" s="50">
        <v>6.2</v>
      </c>
      <c r="AC20" s="50">
        <v>6.2</v>
      </c>
      <c r="AD20" s="50">
        <v>6.2</v>
      </c>
      <c r="AE20" s="50">
        <v>6.2</v>
      </c>
      <c r="AF20" s="50">
        <v>6.2</v>
      </c>
      <c r="AG20" s="59">
        <v>27</v>
      </c>
      <c r="AH20" s="54">
        <f t="shared" si="2"/>
        <v>6.2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50">
        <v>9.4</v>
      </c>
      <c r="N22" s="50">
        <v>9.4</v>
      </c>
      <c r="O22" s="50">
        <v>9.4</v>
      </c>
      <c r="P22" s="50">
        <v>9.4</v>
      </c>
      <c r="Q22" s="50">
        <v>9.4</v>
      </c>
      <c r="R22" s="50">
        <v>9.4</v>
      </c>
      <c r="S22" s="50">
        <v>9.4</v>
      </c>
      <c r="T22" s="50">
        <v>9.4</v>
      </c>
      <c r="U22" s="50">
        <v>9.4</v>
      </c>
      <c r="V22" s="50">
        <v>9.4</v>
      </c>
      <c r="W22" s="50">
        <v>9.4</v>
      </c>
      <c r="X22" s="50">
        <v>9.4</v>
      </c>
      <c r="Y22" s="50">
        <v>9.4</v>
      </c>
      <c r="Z22" s="50">
        <v>9.4</v>
      </c>
      <c r="AA22" s="50">
        <v>9.4</v>
      </c>
      <c r="AB22" s="50">
        <v>9.4</v>
      </c>
      <c r="AC22" s="50">
        <v>9.4</v>
      </c>
      <c r="AD22" s="50">
        <v>9.4</v>
      </c>
      <c r="AE22" s="50">
        <v>9.4</v>
      </c>
      <c r="AF22" s="50">
        <v>9.4</v>
      </c>
      <c r="AG22" s="59">
        <v>25</v>
      </c>
      <c r="AH22" s="54">
        <f t="shared" si="2"/>
        <v>10</v>
      </c>
      <c r="AI22" s="55">
        <f t="shared" si="3"/>
        <v>9.4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12.6</v>
      </c>
      <c r="C24" s="50">
        <v>12.6</v>
      </c>
      <c r="D24" s="50">
        <v>12.6</v>
      </c>
      <c r="E24" s="49">
        <v>12.8</v>
      </c>
      <c r="F24" s="49">
        <v>10.9</v>
      </c>
      <c r="G24" s="49">
        <v>10.9</v>
      </c>
      <c r="H24" s="49">
        <v>10.9</v>
      </c>
      <c r="I24" s="49">
        <v>10.9</v>
      </c>
      <c r="J24" s="49">
        <v>10.9</v>
      </c>
      <c r="K24" s="49">
        <v>10.9</v>
      </c>
      <c r="L24" s="49">
        <v>10.8</v>
      </c>
      <c r="M24" s="50">
        <v>10.8</v>
      </c>
      <c r="N24" s="50">
        <v>10.8</v>
      </c>
      <c r="O24" s="50">
        <v>10.8</v>
      </c>
      <c r="P24" s="50">
        <v>10.8</v>
      </c>
      <c r="Q24" s="50">
        <v>10.8</v>
      </c>
      <c r="R24" s="50">
        <v>10.8</v>
      </c>
      <c r="S24" s="50">
        <v>10.8</v>
      </c>
      <c r="T24" s="50">
        <v>10.8</v>
      </c>
      <c r="U24" s="50">
        <v>10.8</v>
      </c>
      <c r="V24" s="50">
        <v>10.8</v>
      </c>
      <c r="W24" s="50">
        <v>10.8</v>
      </c>
      <c r="X24" s="50">
        <v>10.8</v>
      </c>
      <c r="Y24" s="50">
        <v>10.8</v>
      </c>
      <c r="Z24" s="50">
        <v>10.8</v>
      </c>
      <c r="AA24" s="50">
        <v>10.8</v>
      </c>
      <c r="AB24" s="50">
        <v>10.8</v>
      </c>
      <c r="AC24" s="50">
        <v>10.8</v>
      </c>
      <c r="AD24" s="50">
        <v>10.8</v>
      </c>
      <c r="AE24" s="50">
        <v>10.8</v>
      </c>
      <c r="AF24" s="50">
        <v>10.8</v>
      </c>
      <c r="AG24" s="59">
        <v>25</v>
      </c>
      <c r="AH24" s="54">
        <f t="shared" si="2"/>
        <v>12.8</v>
      </c>
      <c r="AI24" s="55">
        <f t="shared" si="3"/>
        <v>10.8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49">
        <v>12</v>
      </c>
      <c r="F30" s="49">
        <v>12</v>
      </c>
      <c r="G30" s="49">
        <v>12</v>
      </c>
      <c r="H30" s="49">
        <v>12</v>
      </c>
      <c r="I30" s="49">
        <v>12</v>
      </c>
      <c r="J30" s="49">
        <v>12</v>
      </c>
      <c r="K30" s="49">
        <v>12</v>
      </c>
      <c r="L30" s="49">
        <v>12</v>
      </c>
      <c r="M30" s="50">
        <v>12</v>
      </c>
      <c r="N30" s="50">
        <v>12</v>
      </c>
      <c r="O30" s="50">
        <v>12</v>
      </c>
      <c r="P30" s="50">
        <v>12</v>
      </c>
      <c r="Q30" s="50">
        <v>12</v>
      </c>
      <c r="R30" s="50">
        <v>12</v>
      </c>
      <c r="S30" s="50">
        <v>12</v>
      </c>
      <c r="T30" s="50">
        <v>12</v>
      </c>
      <c r="U30" s="50">
        <v>12</v>
      </c>
      <c r="V30" s="50">
        <v>12</v>
      </c>
      <c r="W30" s="50">
        <v>12</v>
      </c>
      <c r="X30" s="50">
        <v>12</v>
      </c>
      <c r="Y30" s="50">
        <v>12</v>
      </c>
      <c r="Z30" s="50">
        <v>12</v>
      </c>
      <c r="AA30" s="50">
        <v>12</v>
      </c>
      <c r="AB30" s="50">
        <v>12</v>
      </c>
      <c r="AC30" s="50">
        <v>12</v>
      </c>
      <c r="AD30" s="50">
        <v>12</v>
      </c>
      <c r="AE30" s="50">
        <v>12</v>
      </c>
      <c r="AF30" s="50">
        <v>12</v>
      </c>
      <c r="AG30" s="59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161</v>
      </c>
      <c r="C36" s="61">
        <v>161</v>
      </c>
      <c r="D36" s="61">
        <v>161</v>
      </c>
      <c r="E36" s="61">
        <v>161</v>
      </c>
      <c r="F36" s="61">
        <v>161</v>
      </c>
      <c r="G36" s="61">
        <v>161</v>
      </c>
      <c r="H36" s="61">
        <v>161</v>
      </c>
      <c r="I36" s="61">
        <v>161</v>
      </c>
      <c r="J36" s="61">
        <v>161</v>
      </c>
      <c r="K36" s="61">
        <v>161</v>
      </c>
      <c r="L36" s="61">
        <v>161</v>
      </c>
      <c r="M36" s="61">
        <v>161</v>
      </c>
      <c r="N36" s="61">
        <v>161</v>
      </c>
      <c r="O36" s="61">
        <v>161</v>
      </c>
      <c r="P36" s="61">
        <v>161</v>
      </c>
      <c r="Q36" s="61">
        <v>161</v>
      </c>
      <c r="R36" s="61">
        <v>161</v>
      </c>
      <c r="S36" s="61">
        <v>161</v>
      </c>
      <c r="T36" s="61">
        <v>161</v>
      </c>
      <c r="U36" s="61">
        <v>161</v>
      </c>
      <c r="V36" s="61">
        <v>161</v>
      </c>
      <c r="W36" s="61">
        <v>161</v>
      </c>
      <c r="X36" s="61">
        <v>161</v>
      </c>
      <c r="Y36" s="61">
        <v>161</v>
      </c>
      <c r="Z36" s="61">
        <v>161</v>
      </c>
      <c r="AA36" s="61">
        <v>161</v>
      </c>
      <c r="AB36" s="61">
        <v>161</v>
      </c>
      <c r="AC36" s="61">
        <v>161</v>
      </c>
      <c r="AD36" s="61">
        <v>161</v>
      </c>
      <c r="AE36" s="61">
        <v>161</v>
      </c>
      <c r="AF36" s="61">
        <v>161</v>
      </c>
      <c r="AG36" s="67">
        <v>85</v>
      </c>
      <c r="AH36" s="54">
        <f t="shared" si="2"/>
        <v>161</v>
      </c>
      <c r="AI36" s="55">
        <f t="shared" si="3"/>
        <v>161</v>
      </c>
      <c r="AK36" s="56"/>
    </row>
    <row r="37" spans="1:88" ht="15.75" thickBot="1" x14ac:dyDescent="0.3">
      <c r="A37" s="69" t="s">
        <v>45</v>
      </c>
      <c r="B37" s="70">
        <f>13.3+26.7</f>
        <v>40</v>
      </c>
      <c r="C37" s="70">
        <f>13.3+26.7</f>
        <v>40</v>
      </c>
      <c r="D37" s="70">
        <f>13.3+26.7</f>
        <v>40</v>
      </c>
      <c r="E37" s="61">
        <f>27.4+13.6</f>
        <v>41</v>
      </c>
      <c r="F37" s="61">
        <v>41</v>
      </c>
      <c r="G37" s="61">
        <v>41</v>
      </c>
      <c r="H37" s="61">
        <v>41</v>
      </c>
      <c r="I37" s="61">
        <f>26.1+13</f>
        <v>39.1</v>
      </c>
      <c r="J37" s="61">
        <f>25.9+13</f>
        <v>38.9</v>
      </c>
      <c r="K37" s="61">
        <f>24.4+12.7</f>
        <v>37.099999999999994</v>
      </c>
      <c r="L37" s="61">
        <f>24.5+12.3</f>
        <v>36.799999999999997</v>
      </c>
      <c r="M37" s="70">
        <f>12.3+24.5</f>
        <v>36.799999999999997</v>
      </c>
      <c r="N37" s="70">
        <f>12.4+24.7</f>
        <v>37.1</v>
      </c>
      <c r="O37" s="70">
        <f>12.8+25.4</f>
        <v>38.200000000000003</v>
      </c>
      <c r="P37" s="70">
        <f>12.9+25.5</f>
        <v>38.4</v>
      </c>
      <c r="Q37" s="70">
        <f>13.3+26.6</f>
        <v>39.900000000000006</v>
      </c>
      <c r="R37" s="70">
        <f>13+25.7</f>
        <v>38.700000000000003</v>
      </c>
      <c r="S37" s="70">
        <f>13+25.7</f>
        <v>38.700000000000003</v>
      </c>
      <c r="T37" s="70">
        <f>13+25.7</f>
        <v>38.700000000000003</v>
      </c>
      <c r="U37" s="70">
        <v>33.299999999999997</v>
      </c>
      <c r="V37" s="70">
        <v>33.299999999999997</v>
      </c>
      <c r="W37" s="70">
        <v>33.299999999999997</v>
      </c>
      <c r="X37" s="70">
        <v>35</v>
      </c>
      <c r="Y37" s="70">
        <v>35</v>
      </c>
      <c r="Z37" s="70">
        <v>35</v>
      </c>
      <c r="AA37" s="70">
        <v>35</v>
      </c>
      <c r="AB37" s="70">
        <v>32.4</v>
      </c>
      <c r="AC37" s="70">
        <v>37.5</v>
      </c>
      <c r="AD37" s="70">
        <v>39.799999999999997</v>
      </c>
      <c r="AE37" s="70">
        <v>39.799999999999997</v>
      </c>
      <c r="AF37" s="70">
        <v>38.6</v>
      </c>
      <c r="AG37" s="67">
        <v>240</v>
      </c>
      <c r="AH37" s="54">
        <f t="shared" si="2"/>
        <v>41</v>
      </c>
      <c r="AI37" s="55">
        <f t="shared" si="3"/>
        <v>32.4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391.79999999999995</v>
      </c>
      <c r="C38" s="72">
        <f t="shared" ref="C38:AF38" si="5">SUM(C11:C36)</f>
        <v>391.79999999999995</v>
      </c>
      <c r="D38" s="72">
        <f t="shared" si="5"/>
        <v>391.79999999999995</v>
      </c>
      <c r="E38" s="72">
        <f t="shared" si="5"/>
        <v>393.2</v>
      </c>
      <c r="F38" s="72">
        <f t="shared" si="5"/>
        <v>389.9</v>
      </c>
      <c r="G38" s="72">
        <f t="shared" si="5"/>
        <v>414.9</v>
      </c>
      <c r="H38" s="72">
        <f t="shared" si="5"/>
        <v>404.9</v>
      </c>
      <c r="I38" s="72">
        <f t="shared" si="5"/>
        <v>404.9</v>
      </c>
      <c r="J38" s="72">
        <f t="shared" si="5"/>
        <v>445.59999999999997</v>
      </c>
      <c r="K38" s="72">
        <f t="shared" si="5"/>
        <v>637.69999999999993</v>
      </c>
      <c r="L38" s="72">
        <f t="shared" si="5"/>
        <v>678.7</v>
      </c>
      <c r="M38" s="72">
        <f t="shared" si="5"/>
        <v>672.6</v>
      </c>
      <c r="N38" s="72">
        <f t="shared" si="5"/>
        <v>632.6</v>
      </c>
      <c r="O38" s="72">
        <f t="shared" si="5"/>
        <v>612.20000000000005</v>
      </c>
      <c r="P38" s="72">
        <f t="shared" si="5"/>
        <v>502.2</v>
      </c>
      <c r="Q38" s="72">
        <f t="shared" si="5"/>
        <v>387.2</v>
      </c>
      <c r="R38" s="72">
        <f t="shared" si="5"/>
        <v>384.2</v>
      </c>
      <c r="S38" s="72">
        <f t="shared" si="5"/>
        <v>384.2</v>
      </c>
      <c r="T38" s="72">
        <f t="shared" si="5"/>
        <v>384.2</v>
      </c>
      <c r="U38" s="72">
        <f t="shared" si="5"/>
        <v>384.2</v>
      </c>
      <c r="V38" s="72">
        <f t="shared" si="5"/>
        <v>384.2</v>
      </c>
      <c r="W38" s="72">
        <f t="shared" si="5"/>
        <v>407.2</v>
      </c>
      <c r="X38" s="72">
        <f t="shared" si="5"/>
        <v>727.2</v>
      </c>
      <c r="Y38" s="72">
        <f t="shared" si="5"/>
        <v>823.2</v>
      </c>
      <c r="Z38" s="72">
        <f t="shared" si="5"/>
        <v>829.2</v>
      </c>
      <c r="AA38" s="72">
        <f t="shared" si="5"/>
        <v>793.2</v>
      </c>
      <c r="AB38" s="72">
        <f t="shared" si="5"/>
        <v>443.2</v>
      </c>
      <c r="AC38" s="72">
        <f t="shared" si="5"/>
        <v>413.2</v>
      </c>
      <c r="AD38" s="72">
        <f t="shared" si="5"/>
        <v>413.2</v>
      </c>
      <c r="AE38" s="72">
        <f t="shared" si="5"/>
        <v>386.2</v>
      </c>
      <c r="AF38" s="72">
        <f t="shared" si="5"/>
        <v>386.2</v>
      </c>
      <c r="AG38" s="67">
        <f>SUM(AG11:AG37)</f>
        <v>1492.8299999999997</v>
      </c>
      <c r="AH38" s="54">
        <f t="shared" si="2"/>
        <v>829.2</v>
      </c>
      <c r="AI38" s="55">
        <f t="shared" si="3"/>
        <v>384.2</v>
      </c>
      <c r="AK38" s="56"/>
    </row>
    <row r="39" spans="1:88" x14ac:dyDescent="0.25">
      <c r="A39" s="57" t="s">
        <v>47</v>
      </c>
      <c r="B39" s="50">
        <v>0</v>
      </c>
      <c r="C39" s="50">
        <v>0</v>
      </c>
      <c r="D39" s="50">
        <v>0</v>
      </c>
      <c r="E39" s="61">
        <v>0</v>
      </c>
      <c r="F39" s="61">
        <v>0</v>
      </c>
      <c r="G39" s="61">
        <v>0</v>
      </c>
      <c r="H39" s="61">
        <v>0</v>
      </c>
      <c r="I39" s="61">
        <v>40.299999999999997</v>
      </c>
      <c r="J39" s="61">
        <v>76.599999999999994</v>
      </c>
      <c r="K39" s="61">
        <v>97.4</v>
      </c>
      <c r="L39" s="61">
        <v>143.69999999999999</v>
      </c>
      <c r="M39" s="50">
        <v>145.69999999999999</v>
      </c>
      <c r="N39" s="50">
        <v>145.19999999999999</v>
      </c>
      <c r="O39" s="50">
        <v>131.69999999999999</v>
      </c>
      <c r="P39" s="50">
        <v>89</v>
      </c>
      <c r="Q39" s="50">
        <v>97.1</v>
      </c>
      <c r="R39" s="50">
        <v>63.1</v>
      </c>
      <c r="S39" s="50">
        <v>63</v>
      </c>
      <c r="T39" s="50">
        <v>63</v>
      </c>
      <c r="U39" s="50">
        <v>70</v>
      </c>
      <c r="V39" s="50">
        <v>101</v>
      </c>
      <c r="W39" s="50">
        <v>120</v>
      </c>
      <c r="X39" s="50">
        <v>144</v>
      </c>
      <c r="Y39" s="50">
        <v>144.5</v>
      </c>
      <c r="Z39" s="50">
        <v>144.5</v>
      </c>
      <c r="AA39" s="50">
        <v>144.5</v>
      </c>
      <c r="AB39" s="50">
        <v>110.4</v>
      </c>
      <c r="AC39" s="50">
        <v>73.599999999999994</v>
      </c>
      <c r="AD39" s="50">
        <v>61.5</v>
      </c>
      <c r="AE39" s="50">
        <v>40.200000000000003</v>
      </c>
      <c r="AF39" s="49">
        <v>0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73">
        <v>0</v>
      </c>
      <c r="C40" s="73">
        <v>0</v>
      </c>
      <c r="D40" s="73">
        <v>0</v>
      </c>
      <c r="E40" s="61">
        <v>0</v>
      </c>
      <c r="F40" s="61">
        <v>0</v>
      </c>
      <c r="G40" s="61">
        <v>0</v>
      </c>
      <c r="H40" s="61">
        <v>33.700000000000003</v>
      </c>
      <c r="I40" s="61">
        <v>35.9</v>
      </c>
      <c r="J40" s="61">
        <v>35.1</v>
      </c>
      <c r="K40" s="61">
        <v>72.2</v>
      </c>
      <c r="L40" s="61">
        <v>68.599999999999994</v>
      </c>
      <c r="M40" s="73">
        <v>60</v>
      </c>
      <c r="N40" s="73">
        <v>58.8</v>
      </c>
      <c r="O40" s="73">
        <v>60.5</v>
      </c>
      <c r="P40" s="73">
        <v>50.4</v>
      </c>
      <c r="Q40" s="73">
        <v>70.2</v>
      </c>
      <c r="R40" s="73">
        <v>24.6</v>
      </c>
      <c r="S40" s="73">
        <v>25</v>
      </c>
      <c r="T40" s="73">
        <v>25</v>
      </c>
      <c r="U40" s="73">
        <v>35</v>
      </c>
      <c r="V40" s="73">
        <v>47</v>
      </c>
      <c r="W40" s="73">
        <v>48</v>
      </c>
      <c r="X40" s="73">
        <v>60</v>
      </c>
      <c r="Y40" s="73">
        <v>69.5</v>
      </c>
      <c r="Z40" s="73">
        <v>69.5</v>
      </c>
      <c r="AA40" s="73">
        <v>69.5</v>
      </c>
      <c r="AB40" s="73">
        <v>69.7</v>
      </c>
      <c r="AC40" s="73">
        <v>22.5</v>
      </c>
      <c r="AD40" s="73">
        <v>22.5</v>
      </c>
      <c r="AE40" s="73">
        <v>22.3</v>
      </c>
      <c r="AF40" s="61">
        <v>0</v>
      </c>
      <c r="AG40" s="67">
        <v>70</v>
      </c>
      <c r="AH40" s="54">
        <f t="shared" si="2"/>
        <v>72.2</v>
      </c>
      <c r="AI40" s="55">
        <f t="shared" si="3"/>
        <v>0</v>
      </c>
      <c r="AK40" s="56"/>
    </row>
    <row r="41" spans="1:88" x14ac:dyDescent="0.25">
      <c r="A41" s="66" t="s">
        <v>49</v>
      </c>
      <c r="B41" s="73">
        <v>47.1</v>
      </c>
      <c r="C41" s="73">
        <v>33.700000000000003</v>
      </c>
      <c r="D41" s="73">
        <v>22.2</v>
      </c>
      <c r="E41" s="61">
        <v>22.5</v>
      </c>
      <c r="F41" s="61">
        <v>22.4</v>
      </c>
      <c r="G41" s="61">
        <v>22.5</v>
      </c>
      <c r="H41" s="61">
        <v>22.2</v>
      </c>
      <c r="I41" s="61">
        <v>22</v>
      </c>
      <c r="J41" s="61">
        <v>33.1</v>
      </c>
      <c r="K41" s="61">
        <v>46.4</v>
      </c>
      <c r="L41" s="61">
        <v>46.8</v>
      </c>
      <c r="M41" s="73">
        <v>68.5</v>
      </c>
      <c r="N41" s="73">
        <v>67.599999999999994</v>
      </c>
      <c r="O41" s="73">
        <v>67.099999999999994</v>
      </c>
      <c r="P41" s="73">
        <v>38.5</v>
      </c>
      <c r="Q41" s="73">
        <v>33.9</v>
      </c>
      <c r="R41" s="73">
        <v>20.399999999999999</v>
      </c>
      <c r="S41" s="73">
        <v>20</v>
      </c>
      <c r="T41" s="73">
        <v>0</v>
      </c>
      <c r="U41" s="73">
        <v>0</v>
      </c>
      <c r="V41" s="73">
        <v>35</v>
      </c>
      <c r="W41" s="73">
        <v>46</v>
      </c>
      <c r="X41" s="73">
        <v>60</v>
      </c>
      <c r="Y41" s="73">
        <v>68.2</v>
      </c>
      <c r="Z41" s="73">
        <v>68.2</v>
      </c>
      <c r="AA41" s="73">
        <v>68.2</v>
      </c>
      <c r="AB41" s="73">
        <v>67.599999999999994</v>
      </c>
      <c r="AC41" s="73">
        <v>42</v>
      </c>
      <c r="AD41" s="73">
        <v>42</v>
      </c>
      <c r="AE41" s="73">
        <v>17.3</v>
      </c>
      <c r="AF41" s="61">
        <v>16.7</v>
      </c>
      <c r="AG41" s="67">
        <v>69</v>
      </c>
      <c r="AH41" s="54">
        <f t="shared" si="2"/>
        <v>68.5</v>
      </c>
      <c r="AI41" s="55">
        <f t="shared" si="3"/>
        <v>0</v>
      </c>
      <c r="AK41" s="56"/>
    </row>
    <row r="42" spans="1:88" x14ac:dyDescent="0.25">
      <c r="A42" s="66" t="s">
        <v>50</v>
      </c>
      <c r="B42" s="73">
        <v>47.4</v>
      </c>
      <c r="C42" s="73">
        <v>47.4</v>
      </c>
      <c r="D42" s="73">
        <v>47.4</v>
      </c>
      <c r="E42" s="61">
        <v>47.4</v>
      </c>
      <c r="F42" s="61">
        <v>47.4</v>
      </c>
      <c r="G42" s="61">
        <v>45.1</v>
      </c>
      <c r="H42" s="61">
        <v>45.1</v>
      </c>
      <c r="I42" s="61">
        <v>45.1</v>
      </c>
      <c r="J42" s="61">
        <v>45.1</v>
      </c>
      <c r="K42" s="61">
        <v>48.6</v>
      </c>
      <c r="L42" s="61">
        <v>48.3</v>
      </c>
      <c r="M42" s="73">
        <v>47.8</v>
      </c>
      <c r="N42" s="73">
        <v>46.1</v>
      </c>
      <c r="O42" s="73">
        <v>46.1</v>
      </c>
      <c r="P42" s="73">
        <v>45.9</v>
      </c>
      <c r="Q42" s="73">
        <v>44.3</v>
      </c>
      <c r="R42" s="73">
        <v>44.3</v>
      </c>
      <c r="S42" s="73">
        <v>44.3</v>
      </c>
      <c r="T42" s="73">
        <v>44.3</v>
      </c>
      <c r="U42" s="73">
        <v>44.3</v>
      </c>
      <c r="V42" s="73">
        <v>44</v>
      </c>
      <c r="W42" s="73">
        <v>44</v>
      </c>
      <c r="X42" s="73">
        <v>44</v>
      </c>
      <c r="Y42" s="73">
        <v>44</v>
      </c>
      <c r="Z42" s="73">
        <v>44</v>
      </c>
      <c r="AA42" s="73">
        <v>44</v>
      </c>
      <c r="AB42" s="73">
        <v>44.6</v>
      </c>
      <c r="AC42" s="73">
        <v>46.1</v>
      </c>
      <c r="AD42" s="73">
        <v>46.1</v>
      </c>
      <c r="AE42" s="73">
        <v>47.4</v>
      </c>
      <c r="AF42" s="61">
        <v>49.4</v>
      </c>
      <c r="AG42" s="67">
        <v>60</v>
      </c>
      <c r="AH42" s="54">
        <f t="shared" si="2"/>
        <v>49.4</v>
      </c>
      <c r="AI42" s="55">
        <f t="shared" si="3"/>
        <v>44</v>
      </c>
      <c r="AK42" s="56"/>
    </row>
    <row r="43" spans="1:88" x14ac:dyDescent="0.25">
      <c r="A43" s="66" t="s">
        <v>51</v>
      </c>
      <c r="B43" s="73">
        <v>0</v>
      </c>
      <c r="C43" s="73">
        <v>0</v>
      </c>
      <c r="D43" s="73">
        <v>0</v>
      </c>
      <c r="E43" s="73">
        <v>0</v>
      </c>
      <c r="F43" s="61">
        <v>0</v>
      </c>
      <c r="G43" s="61">
        <v>10</v>
      </c>
      <c r="H43" s="61">
        <v>10</v>
      </c>
      <c r="I43" s="61">
        <v>10</v>
      </c>
      <c r="J43" s="61">
        <v>10</v>
      </c>
      <c r="K43" s="61">
        <v>15</v>
      </c>
      <c r="L43" s="61">
        <v>15</v>
      </c>
      <c r="M43" s="50">
        <v>15</v>
      </c>
      <c r="N43" s="50">
        <v>10</v>
      </c>
      <c r="O43" s="50">
        <v>10</v>
      </c>
      <c r="P43" s="50">
        <v>10</v>
      </c>
      <c r="Q43" s="50">
        <v>10</v>
      </c>
      <c r="R43" s="50">
        <v>10</v>
      </c>
      <c r="S43" s="50">
        <v>10</v>
      </c>
      <c r="T43" s="50">
        <v>10</v>
      </c>
      <c r="U43" s="50">
        <v>10</v>
      </c>
      <c r="V43" s="50">
        <v>10</v>
      </c>
      <c r="W43" s="50">
        <v>10</v>
      </c>
      <c r="X43" s="50">
        <v>10</v>
      </c>
      <c r="Y43" s="50">
        <v>15</v>
      </c>
      <c r="Z43" s="50">
        <v>15</v>
      </c>
      <c r="AA43" s="50">
        <v>15</v>
      </c>
      <c r="AB43" s="50">
        <v>15</v>
      </c>
      <c r="AC43" s="73">
        <v>13</v>
      </c>
      <c r="AD43" s="73">
        <v>13</v>
      </c>
      <c r="AE43" s="73">
        <v>0</v>
      </c>
      <c r="AF43" s="73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4</v>
      </c>
      <c r="C46" s="50">
        <v>4</v>
      </c>
      <c r="D46" s="50">
        <v>4</v>
      </c>
      <c r="E46" s="50">
        <v>4</v>
      </c>
      <c r="F46" s="50">
        <v>4</v>
      </c>
      <c r="G46" s="50">
        <v>4</v>
      </c>
      <c r="H46" s="50">
        <v>4</v>
      </c>
      <c r="I46" s="50">
        <v>4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10.5</v>
      </c>
      <c r="C47" s="50">
        <v>10.5</v>
      </c>
      <c r="D47" s="50">
        <v>10.5</v>
      </c>
      <c r="E47" s="50">
        <v>10.5</v>
      </c>
      <c r="F47" s="50">
        <v>10.5</v>
      </c>
      <c r="G47" s="50">
        <v>10.5</v>
      </c>
      <c r="H47" s="50">
        <v>10.5</v>
      </c>
      <c r="I47" s="50">
        <v>10.5</v>
      </c>
      <c r="J47" s="50">
        <v>10.5</v>
      </c>
      <c r="K47" s="50">
        <v>10.5</v>
      </c>
      <c r="L47" s="50">
        <v>10.5</v>
      </c>
      <c r="M47" s="50">
        <v>10.5</v>
      </c>
      <c r="N47" s="50">
        <v>11</v>
      </c>
      <c r="O47" s="50">
        <v>11</v>
      </c>
      <c r="P47" s="50">
        <v>11</v>
      </c>
      <c r="Q47" s="50">
        <v>11</v>
      </c>
      <c r="R47" s="50">
        <v>11</v>
      </c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10.5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4.9000000000000004</v>
      </c>
      <c r="C49" s="50">
        <v>4.9000000000000004</v>
      </c>
      <c r="D49" s="50">
        <v>4.9000000000000004</v>
      </c>
      <c r="E49" s="50">
        <v>4.9000000000000004</v>
      </c>
      <c r="F49" s="50">
        <v>4.9000000000000004</v>
      </c>
      <c r="G49" s="50">
        <v>4.9000000000000004</v>
      </c>
      <c r="H49" s="50">
        <v>4.9000000000000004</v>
      </c>
      <c r="I49" s="50">
        <v>4.9000000000000004</v>
      </c>
      <c r="J49" s="50">
        <v>4.9000000000000004</v>
      </c>
      <c r="K49" s="50">
        <v>4.9000000000000004</v>
      </c>
      <c r="L49" s="50">
        <v>4.9000000000000004</v>
      </c>
      <c r="M49" s="50">
        <v>4.9000000000000004</v>
      </c>
      <c r="N49" s="50">
        <v>4.9000000000000004</v>
      </c>
      <c r="O49" s="50">
        <v>4.9000000000000004</v>
      </c>
      <c r="P49" s="50">
        <v>4.9000000000000004</v>
      </c>
      <c r="Q49" s="50">
        <v>4.9000000000000004</v>
      </c>
      <c r="R49" s="50">
        <v>4.9000000000000004</v>
      </c>
      <c r="S49" s="50">
        <v>4.9000000000000004</v>
      </c>
      <c r="T49" s="50">
        <v>4.9000000000000004</v>
      </c>
      <c r="U49" s="50">
        <v>4.9000000000000004</v>
      </c>
      <c r="V49" s="50">
        <v>4.9000000000000004</v>
      </c>
      <c r="W49" s="50">
        <v>4.9000000000000004</v>
      </c>
      <c r="X49" s="50">
        <v>4.9000000000000004</v>
      </c>
      <c r="Y49" s="50">
        <v>4.9000000000000004</v>
      </c>
      <c r="Z49" s="50">
        <v>4.9000000000000004</v>
      </c>
      <c r="AA49" s="50">
        <v>4.9000000000000004</v>
      </c>
      <c r="AB49" s="50">
        <v>4.9000000000000004</v>
      </c>
      <c r="AC49" s="50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140.94</v>
      </c>
      <c r="C52" s="72">
        <f t="shared" ref="C52:AF52" si="9">SUM(C39:C51)</f>
        <v>127.54</v>
      </c>
      <c r="D52" s="72">
        <f t="shared" si="9"/>
        <v>116.04</v>
      </c>
      <c r="E52" s="72">
        <f t="shared" si="9"/>
        <v>116.34000000000002</v>
      </c>
      <c r="F52" s="72">
        <f t="shared" si="9"/>
        <v>116.24000000000001</v>
      </c>
      <c r="G52" s="72">
        <f t="shared" si="9"/>
        <v>124.04</v>
      </c>
      <c r="H52" s="72">
        <f t="shared" si="9"/>
        <v>157.44</v>
      </c>
      <c r="I52" s="72">
        <f t="shared" si="9"/>
        <v>199.73999999999998</v>
      </c>
      <c r="J52" s="72">
        <f t="shared" si="9"/>
        <v>246.33999999999997</v>
      </c>
      <c r="K52" s="72">
        <f t="shared" si="9"/>
        <v>326.04000000000002</v>
      </c>
      <c r="L52" s="72">
        <f t="shared" si="9"/>
        <v>368.84</v>
      </c>
      <c r="M52" s="72">
        <f t="shared" si="9"/>
        <v>383.44</v>
      </c>
      <c r="N52" s="72">
        <f t="shared" si="9"/>
        <v>374.64000000000004</v>
      </c>
      <c r="O52" s="72">
        <f t="shared" si="9"/>
        <v>362.34</v>
      </c>
      <c r="P52" s="72">
        <f t="shared" si="9"/>
        <v>280.74</v>
      </c>
      <c r="Q52" s="72">
        <f t="shared" si="9"/>
        <v>302.44</v>
      </c>
      <c r="R52" s="72">
        <f t="shared" si="9"/>
        <v>209.33999999999997</v>
      </c>
      <c r="S52" s="72">
        <f t="shared" si="9"/>
        <v>209.24</v>
      </c>
      <c r="T52" s="72">
        <f t="shared" si="9"/>
        <v>189.24</v>
      </c>
      <c r="U52" s="72">
        <f t="shared" si="9"/>
        <v>206.24</v>
      </c>
      <c r="V52" s="72">
        <f t="shared" si="9"/>
        <v>283.94</v>
      </c>
      <c r="W52" s="72">
        <f t="shared" si="9"/>
        <v>314.94</v>
      </c>
      <c r="X52" s="72">
        <f t="shared" si="9"/>
        <v>364.94</v>
      </c>
      <c r="Y52" s="72">
        <f t="shared" si="9"/>
        <v>388.14</v>
      </c>
      <c r="Z52" s="72">
        <f t="shared" si="9"/>
        <v>388.14</v>
      </c>
      <c r="AA52" s="72">
        <f t="shared" si="9"/>
        <v>388.14</v>
      </c>
      <c r="AB52" s="72">
        <f t="shared" si="9"/>
        <v>354.24</v>
      </c>
      <c r="AC52" s="72">
        <f t="shared" si="9"/>
        <v>244.14</v>
      </c>
      <c r="AD52" s="72">
        <f t="shared" si="9"/>
        <v>232.04</v>
      </c>
      <c r="AE52" s="72">
        <f t="shared" si="9"/>
        <v>174.14</v>
      </c>
      <c r="AF52" s="72">
        <f t="shared" si="9"/>
        <v>113.04</v>
      </c>
      <c r="AG52" s="78">
        <f>SUM(AG39:AG51)</f>
        <v>489.91</v>
      </c>
      <c r="AH52" s="54">
        <f t="shared" si="2"/>
        <v>388.14</v>
      </c>
      <c r="AI52" s="55">
        <f t="shared" si="3"/>
        <v>113.04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40</v>
      </c>
      <c r="M53" s="79">
        <v>44.4</v>
      </c>
      <c r="N53" s="79">
        <v>34.200000000000003</v>
      </c>
      <c r="O53" s="79">
        <v>20.100000000000001</v>
      </c>
      <c r="P53" s="79">
        <v>24.9</v>
      </c>
      <c r="Q53" s="50">
        <v>44.4</v>
      </c>
      <c r="R53" s="50">
        <v>34.5</v>
      </c>
      <c r="S53" s="50">
        <v>20</v>
      </c>
      <c r="T53" s="50">
        <v>30</v>
      </c>
      <c r="U53" s="50">
        <v>59.9</v>
      </c>
      <c r="V53" s="50">
        <v>40</v>
      </c>
      <c r="W53" s="50">
        <v>40</v>
      </c>
      <c r="X53" s="50">
        <v>44</v>
      </c>
      <c r="Y53" s="50">
        <v>60</v>
      </c>
      <c r="Z53" s="50">
        <v>60</v>
      </c>
      <c r="AA53" s="50">
        <v>50</v>
      </c>
      <c r="AB53" s="50">
        <v>42.8</v>
      </c>
      <c r="AC53" s="50">
        <v>50</v>
      </c>
      <c r="AD53" s="50">
        <v>30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12.6</v>
      </c>
      <c r="M54" s="79">
        <v>19.2</v>
      </c>
      <c r="N54" s="79">
        <v>14.2</v>
      </c>
      <c r="O54" s="79">
        <v>10.5</v>
      </c>
      <c r="P54" s="79">
        <v>12.6</v>
      </c>
      <c r="Q54" s="73">
        <v>20.3</v>
      </c>
      <c r="R54" s="73">
        <v>13.8</v>
      </c>
      <c r="S54" s="50">
        <v>11</v>
      </c>
      <c r="T54" s="50">
        <v>15</v>
      </c>
      <c r="U54" s="50">
        <v>28</v>
      </c>
      <c r="V54" s="73">
        <v>18</v>
      </c>
      <c r="W54" s="73">
        <v>18</v>
      </c>
      <c r="X54" s="73">
        <v>20</v>
      </c>
      <c r="Y54" s="73">
        <v>28.2</v>
      </c>
      <c r="Z54" s="73">
        <v>28.2</v>
      </c>
      <c r="AA54" s="73">
        <v>25</v>
      </c>
      <c r="AB54" s="73">
        <v>23.4</v>
      </c>
      <c r="AC54" s="73">
        <v>26.2</v>
      </c>
      <c r="AD54" s="73">
        <v>15</v>
      </c>
      <c r="AE54" s="73">
        <v>0</v>
      </c>
      <c r="AF54" s="73">
        <v>0</v>
      </c>
      <c r="AG54" s="67">
        <v>32</v>
      </c>
      <c r="AH54" s="54">
        <f t="shared" si="2"/>
        <v>28.2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4.5999999999999996</v>
      </c>
      <c r="M55" s="81">
        <v>7</v>
      </c>
      <c r="N55" s="81">
        <v>5.2</v>
      </c>
      <c r="O55" s="81">
        <v>3.8</v>
      </c>
      <c r="P55" s="81">
        <v>4.5999999999999996</v>
      </c>
      <c r="Q55" s="80">
        <v>7.4</v>
      </c>
      <c r="R55" s="80">
        <v>5</v>
      </c>
      <c r="S55" s="50">
        <v>4</v>
      </c>
      <c r="T55" s="50">
        <v>5.4</v>
      </c>
      <c r="U55" s="50">
        <v>10</v>
      </c>
      <c r="V55" s="80">
        <v>7</v>
      </c>
      <c r="W55" s="80">
        <v>7</v>
      </c>
      <c r="X55" s="80">
        <v>7</v>
      </c>
      <c r="Y55" s="80">
        <v>10.3</v>
      </c>
      <c r="Z55" s="80">
        <v>10.3</v>
      </c>
      <c r="AA55" s="80">
        <v>9</v>
      </c>
      <c r="AB55" s="80">
        <v>8.5</v>
      </c>
      <c r="AC55" s="80">
        <v>9.8000000000000007</v>
      </c>
      <c r="AD55" s="80">
        <v>5.4</v>
      </c>
      <c r="AE55" s="80">
        <v>0</v>
      </c>
      <c r="AF55" s="80">
        <v>0</v>
      </c>
      <c r="AG55" s="82">
        <v>14</v>
      </c>
      <c r="AH55" s="54">
        <f t="shared" si="2"/>
        <v>10.3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0</v>
      </c>
      <c r="L56" s="72">
        <f t="shared" si="11"/>
        <v>57.2</v>
      </c>
      <c r="M56" s="72">
        <f t="shared" si="11"/>
        <v>70.599999999999994</v>
      </c>
      <c r="N56" s="72">
        <f t="shared" si="11"/>
        <v>53.600000000000009</v>
      </c>
      <c r="O56" s="72">
        <f t="shared" si="11"/>
        <v>34.4</v>
      </c>
      <c r="P56" s="72">
        <f t="shared" si="11"/>
        <v>42.1</v>
      </c>
      <c r="Q56" s="72">
        <f t="shared" si="11"/>
        <v>72.100000000000009</v>
      </c>
      <c r="R56" s="72">
        <f t="shared" si="11"/>
        <v>53.3</v>
      </c>
      <c r="S56" s="72">
        <f t="shared" si="11"/>
        <v>35</v>
      </c>
      <c r="T56" s="72">
        <f t="shared" si="11"/>
        <v>50.4</v>
      </c>
      <c r="U56" s="72">
        <f t="shared" si="11"/>
        <v>97.9</v>
      </c>
      <c r="V56" s="72">
        <f t="shared" si="11"/>
        <v>65</v>
      </c>
      <c r="W56" s="72">
        <f t="shared" si="11"/>
        <v>65</v>
      </c>
      <c r="X56" s="72">
        <f t="shared" si="11"/>
        <v>71</v>
      </c>
      <c r="Y56" s="72">
        <f t="shared" si="11"/>
        <v>98.5</v>
      </c>
      <c r="Z56" s="72">
        <f t="shared" si="11"/>
        <v>98.5</v>
      </c>
      <c r="AA56" s="72">
        <f t="shared" si="11"/>
        <v>84</v>
      </c>
      <c r="AB56" s="72">
        <f t="shared" si="11"/>
        <v>74.699999999999989</v>
      </c>
      <c r="AC56" s="72">
        <f t="shared" si="11"/>
        <v>86</v>
      </c>
      <c r="AD56" s="72">
        <f t="shared" si="11"/>
        <v>50.4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98.5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72.2</v>
      </c>
      <c r="C57" s="50">
        <v>69</v>
      </c>
      <c r="D57" s="50">
        <v>68.900000000000006</v>
      </c>
      <c r="E57" s="50">
        <v>68</v>
      </c>
      <c r="F57" s="50">
        <v>76</v>
      </c>
      <c r="G57" s="50">
        <v>61</v>
      </c>
      <c r="H57" s="50">
        <v>71.319999999999993</v>
      </c>
      <c r="I57" s="50">
        <v>72.69</v>
      </c>
      <c r="J57" s="50">
        <v>72.48</v>
      </c>
      <c r="K57" s="50">
        <v>77</v>
      </c>
      <c r="L57" s="50">
        <v>68</v>
      </c>
      <c r="M57" s="50">
        <v>71.61</v>
      </c>
      <c r="N57" s="50">
        <v>71.05</v>
      </c>
      <c r="O57" s="50">
        <v>67</v>
      </c>
      <c r="P57" s="50">
        <v>68</v>
      </c>
      <c r="Q57" s="50">
        <v>62</v>
      </c>
      <c r="R57" s="50">
        <v>63</v>
      </c>
      <c r="S57" s="50">
        <v>70</v>
      </c>
      <c r="T57" s="50">
        <v>71</v>
      </c>
      <c r="U57" s="50">
        <v>79</v>
      </c>
      <c r="V57" s="50">
        <v>68</v>
      </c>
      <c r="W57" s="50">
        <v>70</v>
      </c>
      <c r="X57" s="50">
        <v>73</v>
      </c>
      <c r="Y57" s="50">
        <v>72</v>
      </c>
      <c r="Z57" s="50">
        <v>74</v>
      </c>
      <c r="AA57" s="50">
        <v>71</v>
      </c>
      <c r="AB57" s="50">
        <v>70.209999999999994</v>
      </c>
      <c r="AC57" s="50">
        <v>68.36</v>
      </c>
      <c r="AD57" s="50">
        <v>68.36</v>
      </c>
      <c r="AE57" s="50">
        <v>63.36</v>
      </c>
      <c r="AF57" s="50">
        <v>77.67</v>
      </c>
      <c r="AG57" s="62"/>
      <c r="AH57" s="54">
        <f t="shared" si="2"/>
        <v>79</v>
      </c>
      <c r="AI57" s="55">
        <f t="shared" si="3"/>
        <v>61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134</v>
      </c>
      <c r="M58" s="50">
        <v>130</v>
      </c>
      <c r="N58" s="50">
        <v>120</v>
      </c>
      <c r="O58" s="50">
        <v>105</v>
      </c>
      <c r="P58" s="50">
        <v>96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134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340</v>
      </c>
      <c r="C59" s="73">
        <v>330.6</v>
      </c>
      <c r="D59" s="73">
        <v>362.6</v>
      </c>
      <c r="E59" s="73">
        <v>347</v>
      </c>
      <c r="F59" s="73">
        <v>325.7</v>
      </c>
      <c r="G59" s="73">
        <v>328</v>
      </c>
      <c r="H59" s="50">
        <v>380</v>
      </c>
      <c r="I59" s="50">
        <v>400</v>
      </c>
      <c r="J59" s="50">
        <v>340</v>
      </c>
      <c r="K59" s="50">
        <v>217</v>
      </c>
      <c r="L59" s="50">
        <v>50</v>
      </c>
      <c r="M59" s="73">
        <v>56.2</v>
      </c>
      <c r="N59" s="73">
        <v>59.9</v>
      </c>
      <c r="O59" s="73">
        <v>51.8</v>
      </c>
      <c r="P59" s="73">
        <v>162.30000000000001</v>
      </c>
      <c r="Q59" s="73">
        <v>293</v>
      </c>
      <c r="R59" s="73">
        <v>391.4</v>
      </c>
      <c r="S59" s="73">
        <v>375</v>
      </c>
      <c r="T59" s="73">
        <v>391</v>
      </c>
      <c r="U59" s="73">
        <v>413</v>
      </c>
      <c r="V59" s="73">
        <v>391</v>
      </c>
      <c r="W59" s="73">
        <v>410</v>
      </c>
      <c r="X59" s="84">
        <v>62</v>
      </c>
      <c r="Y59" s="84">
        <v>52</v>
      </c>
      <c r="Z59" s="84">
        <v>62</v>
      </c>
      <c r="AA59" s="84">
        <v>63</v>
      </c>
      <c r="AB59" s="73">
        <v>378.5</v>
      </c>
      <c r="AC59" s="73">
        <v>400</v>
      </c>
      <c r="AD59" s="73">
        <v>400</v>
      </c>
      <c r="AE59" s="73">
        <v>369.8</v>
      </c>
      <c r="AF59" s="73">
        <v>383</v>
      </c>
      <c r="AG59" s="85"/>
      <c r="AH59" s="54">
        <f t="shared" si="2"/>
        <v>413</v>
      </c>
      <c r="AI59" s="55">
        <f t="shared" si="3"/>
        <v>50</v>
      </c>
      <c r="AK59" s="56"/>
    </row>
    <row r="60" spans="1:37" x14ac:dyDescent="0.25">
      <c r="A60" s="66" t="s">
        <v>68</v>
      </c>
      <c r="B60" s="73">
        <v>0</v>
      </c>
      <c r="C60" s="73">
        <v>0</v>
      </c>
      <c r="D60" s="73">
        <v>0</v>
      </c>
      <c r="E60" s="58">
        <v>0</v>
      </c>
      <c r="F60" s="58">
        <v>19.3</v>
      </c>
      <c r="G60" s="58">
        <v>51.5</v>
      </c>
      <c r="H60" s="58">
        <v>48.9</v>
      </c>
      <c r="I60" s="58">
        <v>55.5</v>
      </c>
      <c r="J60" s="58">
        <v>60</v>
      </c>
      <c r="K60" s="58">
        <v>58.1</v>
      </c>
      <c r="L60" s="58">
        <v>57.9</v>
      </c>
      <c r="M60" s="73">
        <v>57.8</v>
      </c>
      <c r="N60" s="73">
        <v>60.4</v>
      </c>
      <c r="O60" s="73">
        <v>60</v>
      </c>
      <c r="P60" s="73">
        <v>57.3</v>
      </c>
      <c r="Q60" s="73">
        <v>59.2</v>
      </c>
      <c r="R60" s="73">
        <v>57.2</v>
      </c>
      <c r="S60" s="73">
        <v>63</v>
      </c>
      <c r="T60" s="73">
        <v>62</v>
      </c>
      <c r="U60" s="73">
        <v>59</v>
      </c>
      <c r="V60" s="73">
        <v>61</v>
      </c>
      <c r="W60" s="73">
        <v>61</v>
      </c>
      <c r="X60" s="73">
        <v>52</v>
      </c>
      <c r="Y60" s="73">
        <v>61.3</v>
      </c>
      <c r="Z60" s="73">
        <v>62</v>
      </c>
      <c r="AA60" s="73">
        <v>65</v>
      </c>
      <c r="AB60" s="73">
        <v>60.3</v>
      </c>
      <c r="AC60" s="73">
        <v>58.8</v>
      </c>
      <c r="AD60" s="73">
        <v>58.8</v>
      </c>
      <c r="AE60" s="73">
        <v>60</v>
      </c>
      <c r="AF60" s="58">
        <v>54.6</v>
      </c>
      <c r="AG60" s="85"/>
      <c r="AH60" s="54">
        <f t="shared" si="2"/>
        <v>65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79.900000000000006</v>
      </c>
      <c r="K61" s="58">
        <v>80.900000000000006</v>
      </c>
      <c r="L61" s="58">
        <v>86</v>
      </c>
      <c r="M61" s="50">
        <v>69.400000000000006</v>
      </c>
      <c r="N61" s="50">
        <v>73.599999999999994</v>
      </c>
      <c r="O61" s="50">
        <v>81.599999999999994</v>
      </c>
      <c r="P61" s="50">
        <v>54.6</v>
      </c>
      <c r="Q61" s="50">
        <v>82.1</v>
      </c>
      <c r="R61" s="50">
        <v>86</v>
      </c>
      <c r="S61" s="50">
        <v>80</v>
      </c>
      <c r="T61" s="50">
        <v>76</v>
      </c>
      <c r="U61" s="50">
        <v>85</v>
      </c>
      <c r="V61" s="50">
        <v>78</v>
      </c>
      <c r="W61" s="50">
        <v>75</v>
      </c>
      <c r="X61" s="50">
        <v>60</v>
      </c>
      <c r="Y61" s="50">
        <v>58</v>
      </c>
      <c r="Z61" s="50">
        <v>76</v>
      </c>
      <c r="AA61" s="50">
        <v>66</v>
      </c>
      <c r="AB61" s="50">
        <v>66.2</v>
      </c>
      <c r="AC61" s="50">
        <v>71</v>
      </c>
      <c r="AD61" s="50">
        <v>71</v>
      </c>
      <c r="AE61" s="50">
        <v>60</v>
      </c>
      <c r="AF61" s="50">
        <v>0</v>
      </c>
      <c r="AG61" s="85"/>
      <c r="AH61" s="54">
        <f t="shared" si="2"/>
        <v>86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60">
        <v>0</v>
      </c>
      <c r="AD64" s="60">
        <v>0</v>
      </c>
      <c r="AE64" s="60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60">
        <v>0</v>
      </c>
      <c r="AD65" s="60">
        <v>0</v>
      </c>
      <c r="AE65" s="60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0">
        <v>0</v>
      </c>
      <c r="AD66" s="60">
        <v>0</v>
      </c>
      <c r="AE66" s="60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0">
        <v>0</v>
      </c>
      <c r="AD67" s="60">
        <v>0</v>
      </c>
      <c r="AE67" s="60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412.2</v>
      </c>
      <c r="C68" s="72">
        <f>SUM(C57:C67)</f>
        <v>399.6</v>
      </c>
      <c r="D68" s="72">
        <f t="shared" ref="D68:AF68" si="13">SUM(D57:D67)</f>
        <v>431.5</v>
      </c>
      <c r="E68" s="72">
        <f t="shared" si="13"/>
        <v>415</v>
      </c>
      <c r="F68" s="72">
        <f t="shared" si="13"/>
        <v>421</v>
      </c>
      <c r="G68" s="72">
        <f t="shared" si="13"/>
        <v>440.5</v>
      </c>
      <c r="H68" s="72">
        <f t="shared" si="13"/>
        <v>500.21999999999997</v>
      </c>
      <c r="I68" s="72">
        <f t="shared" si="13"/>
        <v>528.19000000000005</v>
      </c>
      <c r="J68" s="72">
        <f t="shared" si="13"/>
        <v>552.38</v>
      </c>
      <c r="K68" s="72">
        <f t="shared" si="13"/>
        <v>433</v>
      </c>
      <c r="L68" s="72">
        <f t="shared" si="13"/>
        <v>395.9</v>
      </c>
      <c r="M68" s="72">
        <f t="shared" si="13"/>
        <v>385.01</v>
      </c>
      <c r="N68" s="72">
        <f t="shared" si="13"/>
        <v>384.95000000000005</v>
      </c>
      <c r="O68" s="72">
        <f t="shared" si="13"/>
        <v>365.4</v>
      </c>
      <c r="P68" s="72">
        <f t="shared" si="13"/>
        <v>438.20000000000005</v>
      </c>
      <c r="Q68" s="72">
        <f t="shared" si="13"/>
        <v>496.29999999999995</v>
      </c>
      <c r="R68" s="72">
        <f t="shared" si="13"/>
        <v>597.59999999999991</v>
      </c>
      <c r="S68" s="72">
        <f t="shared" si="13"/>
        <v>588</v>
      </c>
      <c r="T68" s="72">
        <f t="shared" si="13"/>
        <v>600</v>
      </c>
      <c r="U68" s="72">
        <f t="shared" si="13"/>
        <v>636</v>
      </c>
      <c r="V68" s="72">
        <f t="shared" si="13"/>
        <v>598</v>
      </c>
      <c r="W68" s="72">
        <f t="shared" si="13"/>
        <v>616</v>
      </c>
      <c r="X68" s="72">
        <f t="shared" si="13"/>
        <v>247</v>
      </c>
      <c r="Y68" s="72">
        <f t="shared" si="13"/>
        <v>243.3</v>
      </c>
      <c r="Z68" s="72">
        <f t="shared" si="13"/>
        <v>274</v>
      </c>
      <c r="AA68" s="72">
        <f t="shared" si="13"/>
        <v>265</v>
      </c>
      <c r="AB68" s="72">
        <f t="shared" si="13"/>
        <v>575.21</v>
      </c>
      <c r="AC68" s="72">
        <f t="shared" si="13"/>
        <v>598.16</v>
      </c>
      <c r="AD68" s="72">
        <f t="shared" si="13"/>
        <v>598.16</v>
      </c>
      <c r="AE68" s="72">
        <f t="shared" si="13"/>
        <v>553.16000000000008</v>
      </c>
      <c r="AF68" s="72">
        <f t="shared" si="13"/>
        <v>515.27</v>
      </c>
      <c r="AG68" s="78">
        <f>SUM(AG57:AG67)</f>
        <v>0</v>
      </c>
      <c r="AH68" s="54">
        <f t="shared" si="2"/>
        <v>636</v>
      </c>
      <c r="AI68" s="55">
        <f t="shared" si="3"/>
        <v>243.3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944.93999999999994</v>
      </c>
      <c r="C73" s="89">
        <f>C68+C56+C52+C38+C72</f>
        <v>918.93999999999994</v>
      </c>
      <c r="D73" s="89">
        <f t="shared" ref="D73:AG73" si="17">D68+D56+D52+D38+D72</f>
        <v>939.33999999999992</v>
      </c>
      <c r="E73" s="89">
        <f t="shared" si="17"/>
        <v>924.54</v>
      </c>
      <c r="F73" s="89">
        <f t="shared" si="17"/>
        <v>927.14</v>
      </c>
      <c r="G73" s="89">
        <f t="shared" si="17"/>
        <v>979.43999999999994</v>
      </c>
      <c r="H73" s="89">
        <f t="shared" si="17"/>
        <v>1062.56</v>
      </c>
      <c r="I73" s="89">
        <f t="shared" si="17"/>
        <v>1132.83</v>
      </c>
      <c r="J73" s="89">
        <f t="shared" si="17"/>
        <v>1244.32</v>
      </c>
      <c r="K73" s="89">
        <f t="shared" si="17"/>
        <v>1396.7399999999998</v>
      </c>
      <c r="L73" s="89">
        <f t="shared" si="17"/>
        <v>1500.6399999999999</v>
      </c>
      <c r="M73" s="89">
        <f t="shared" si="17"/>
        <v>1511.65</v>
      </c>
      <c r="N73" s="89">
        <f t="shared" si="17"/>
        <v>1445.79</v>
      </c>
      <c r="O73" s="89">
        <f t="shared" si="17"/>
        <v>1374.34</v>
      </c>
      <c r="P73" s="89">
        <f t="shared" si="17"/>
        <v>1263.24</v>
      </c>
      <c r="Q73" s="89">
        <f t="shared" si="17"/>
        <v>1258.04</v>
      </c>
      <c r="R73" s="89">
        <f t="shared" si="17"/>
        <v>1244.4399999999998</v>
      </c>
      <c r="S73" s="89">
        <f t="shared" si="17"/>
        <v>1216.44</v>
      </c>
      <c r="T73" s="89">
        <f t="shared" si="17"/>
        <v>1223.8399999999999</v>
      </c>
      <c r="U73" s="89">
        <f t="shared" si="17"/>
        <v>1324.34</v>
      </c>
      <c r="V73" s="89">
        <f t="shared" si="17"/>
        <v>1331.14</v>
      </c>
      <c r="W73" s="89">
        <f t="shared" si="17"/>
        <v>1403.14</v>
      </c>
      <c r="X73" s="89">
        <f t="shared" si="17"/>
        <v>1410.14</v>
      </c>
      <c r="Y73" s="89">
        <f t="shared" si="17"/>
        <v>1553.14</v>
      </c>
      <c r="Z73" s="89">
        <f t="shared" si="17"/>
        <v>1589.8400000000001</v>
      </c>
      <c r="AA73" s="89">
        <f t="shared" si="17"/>
        <v>1530.3400000000001</v>
      </c>
      <c r="AB73" s="89">
        <f t="shared" si="17"/>
        <v>1447.3500000000001</v>
      </c>
      <c r="AC73" s="89">
        <f t="shared" si="17"/>
        <v>1341.5</v>
      </c>
      <c r="AD73" s="89">
        <f t="shared" si="17"/>
        <v>1293.8</v>
      </c>
      <c r="AE73" s="89">
        <f t="shared" si="17"/>
        <v>1113.5</v>
      </c>
      <c r="AF73" s="89">
        <f t="shared" si="17"/>
        <v>1014.51</v>
      </c>
      <c r="AG73" s="89">
        <f t="shared" si="17"/>
        <v>2144.14</v>
      </c>
      <c r="AH73" s="54">
        <f t="shared" si="2"/>
        <v>1589.8400000000001</v>
      </c>
      <c r="AI73" s="55">
        <f t="shared" si="3"/>
        <v>918.93999999999994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15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15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944.93999999999994</v>
      </c>
      <c r="C75" s="89">
        <f>C73+C74</f>
        <v>918.93999999999994</v>
      </c>
      <c r="D75" s="89">
        <f t="shared" ref="D75:AF75" si="19">D72+D68+D56+D52+D38+D74</f>
        <v>939.33999999999992</v>
      </c>
      <c r="E75" s="89">
        <f t="shared" si="19"/>
        <v>924.54</v>
      </c>
      <c r="F75" s="89">
        <f t="shared" si="19"/>
        <v>927.14</v>
      </c>
      <c r="G75" s="89">
        <f t="shared" si="19"/>
        <v>979.43999999999994</v>
      </c>
      <c r="H75" s="89">
        <f t="shared" si="19"/>
        <v>1062.56</v>
      </c>
      <c r="I75" s="89">
        <f t="shared" si="19"/>
        <v>1132.83</v>
      </c>
      <c r="J75" s="89">
        <f t="shared" si="19"/>
        <v>1244.32</v>
      </c>
      <c r="K75" s="89">
        <f t="shared" si="19"/>
        <v>1396.7399999999998</v>
      </c>
      <c r="L75" s="89">
        <f t="shared" si="19"/>
        <v>1500.6399999999999</v>
      </c>
      <c r="M75" s="89">
        <f t="shared" si="19"/>
        <v>1511.65</v>
      </c>
      <c r="N75" s="89">
        <f t="shared" si="19"/>
        <v>1445.79</v>
      </c>
      <c r="O75" s="89">
        <f t="shared" si="19"/>
        <v>1374.34</v>
      </c>
      <c r="P75" s="89">
        <f t="shared" si="19"/>
        <v>1263.24</v>
      </c>
      <c r="Q75" s="89">
        <f t="shared" si="19"/>
        <v>1273.04</v>
      </c>
      <c r="R75" s="89">
        <f t="shared" si="19"/>
        <v>1244.4399999999998</v>
      </c>
      <c r="S75" s="89">
        <f t="shared" si="19"/>
        <v>1216.44</v>
      </c>
      <c r="T75" s="89">
        <f t="shared" si="19"/>
        <v>1223.8399999999999</v>
      </c>
      <c r="U75" s="89">
        <f t="shared" si="19"/>
        <v>1324.34</v>
      </c>
      <c r="V75" s="89">
        <f t="shared" si="19"/>
        <v>1331.14</v>
      </c>
      <c r="W75" s="89">
        <f t="shared" si="19"/>
        <v>1403.14</v>
      </c>
      <c r="X75" s="89">
        <f t="shared" si="19"/>
        <v>1410.14</v>
      </c>
      <c r="Y75" s="89">
        <f t="shared" si="19"/>
        <v>1553.14</v>
      </c>
      <c r="Z75" s="89">
        <f t="shared" si="19"/>
        <v>1589.8400000000001</v>
      </c>
      <c r="AA75" s="89">
        <f t="shared" si="19"/>
        <v>1530.3400000000001</v>
      </c>
      <c r="AB75" s="89">
        <f t="shared" si="19"/>
        <v>1447.3500000000001</v>
      </c>
      <c r="AC75" s="89">
        <f t="shared" si="19"/>
        <v>1341.5</v>
      </c>
      <c r="AD75" s="89">
        <f t="shared" si="19"/>
        <v>1293.8</v>
      </c>
      <c r="AE75" s="89">
        <f t="shared" si="19"/>
        <v>1113.5</v>
      </c>
      <c r="AF75" s="89">
        <f t="shared" si="19"/>
        <v>1014.51</v>
      </c>
      <c r="AG75" s="78">
        <f>AG72+AG68+AG56+AG52+AG38+AG74</f>
        <v>2144.14</v>
      </c>
      <c r="AH75" s="54">
        <f t="shared" si="2"/>
        <v>1589.8400000000001</v>
      </c>
      <c r="AI75" s="55">
        <f t="shared" si="3"/>
        <v>918.93999999999994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1889.8799999999999</v>
      </c>
      <c r="C83" s="72">
        <f t="shared" ref="C83:AG83" si="35">SUM(C70:C82)</f>
        <v>1837.8799999999999</v>
      </c>
      <c r="D83" s="72">
        <f t="shared" si="35"/>
        <v>1878.6799999999998</v>
      </c>
      <c r="E83" s="72">
        <f t="shared" si="35"/>
        <v>1849.08</v>
      </c>
      <c r="F83" s="72">
        <f t="shared" si="35"/>
        <v>1854.28</v>
      </c>
      <c r="G83" s="72">
        <f t="shared" si="35"/>
        <v>1958.8799999999999</v>
      </c>
      <c r="H83" s="72">
        <f t="shared" si="35"/>
        <v>2125.12</v>
      </c>
      <c r="I83" s="72">
        <f t="shared" si="35"/>
        <v>2265.66</v>
      </c>
      <c r="J83" s="72">
        <f t="shared" si="35"/>
        <v>2488.64</v>
      </c>
      <c r="K83" s="72">
        <f t="shared" si="35"/>
        <v>2793.4799999999996</v>
      </c>
      <c r="L83" s="72">
        <f t="shared" si="35"/>
        <v>3001.2799999999997</v>
      </c>
      <c r="M83" s="72">
        <f t="shared" si="35"/>
        <v>3023.3</v>
      </c>
      <c r="N83" s="72">
        <f t="shared" si="35"/>
        <v>2891.58</v>
      </c>
      <c r="O83" s="72">
        <f t="shared" si="35"/>
        <v>2748.68</v>
      </c>
      <c r="P83" s="72">
        <f t="shared" si="35"/>
        <v>2526.48</v>
      </c>
      <c r="Q83" s="72">
        <f t="shared" si="35"/>
        <v>2546.08</v>
      </c>
      <c r="R83" s="72">
        <f t="shared" si="35"/>
        <v>2488.8799999999997</v>
      </c>
      <c r="S83" s="72">
        <f t="shared" si="35"/>
        <v>2432.88</v>
      </c>
      <c r="T83" s="72">
        <f t="shared" si="35"/>
        <v>2447.6799999999998</v>
      </c>
      <c r="U83" s="72">
        <f t="shared" si="35"/>
        <v>2648.68</v>
      </c>
      <c r="V83" s="72">
        <f t="shared" si="35"/>
        <v>2662.28</v>
      </c>
      <c r="W83" s="72">
        <f t="shared" si="35"/>
        <v>2806.28</v>
      </c>
      <c r="X83" s="72">
        <f t="shared" si="35"/>
        <v>2820.28</v>
      </c>
      <c r="Y83" s="72">
        <f t="shared" si="35"/>
        <v>3106.28</v>
      </c>
      <c r="Z83" s="72">
        <f t="shared" si="35"/>
        <v>3179.6800000000003</v>
      </c>
      <c r="AA83" s="72">
        <f t="shared" si="35"/>
        <v>3060.6800000000003</v>
      </c>
      <c r="AB83" s="72">
        <f t="shared" si="35"/>
        <v>2894.7000000000003</v>
      </c>
      <c r="AC83" s="72">
        <f t="shared" si="35"/>
        <v>2683</v>
      </c>
      <c r="AD83" s="72">
        <f t="shared" si="35"/>
        <v>2587.6</v>
      </c>
      <c r="AE83" s="72">
        <f t="shared" si="35"/>
        <v>2227</v>
      </c>
      <c r="AF83" s="72">
        <f t="shared" si="35"/>
        <v>2029.02</v>
      </c>
      <c r="AG83" s="78">
        <f t="shared" si="35"/>
        <v>4360.08</v>
      </c>
      <c r="AH83" s="54">
        <f t="shared" si="22"/>
        <v>3179.6800000000003</v>
      </c>
      <c r="AI83" s="55">
        <f t="shared" si="23"/>
        <v>1837.8799999999999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50.04</v>
      </c>
      <c r="C84" s="96">
        <v>49.99</v>
      </c>
      <c r="D84" s="96">
        <v>50.09</v>
      </c>
      <c r="E84" s="96">
        <v>49.959000000000003</v>
      </c>
      <c r="F84" s="96">
        <v>50.02</v>
      </c>
      <c r="G84" s="96">
        <v>50.01</v>
      </c>
      <c r="H84" s="96">
        <v>50.01</v>
      </c>
      <c r="I84" s="96">
        <v>50.01</v>
      </c>
      <c r="J84" s="96">
        <v>49.844000000000001</v>
      </c>
      <c r="K84" s="96">
        <v>49.576999999999998</v>
      </c>
      <c r="L84" s="96">
        <v>49.576999999999998</v>
      </c>
      <c r="M84" s="96">
        <v>50.075000000000003</v>
      </c>
      <c r="N84" s="96">
        <v>50.091999999999999</v>
      </c>
      <c r="O84" s="96">
        <v>50.021000000000001</v>
      </c>
      <c r="P84" s="96">
        <v>50.015999999999998</v>
      </c>
      <c r="Q84" s="96">
        <v>50.1</v>
      </c>
      <c r="R84" s="96">
        <v>49.962000000000003</v>
      </c>
      <c r="S84" s="96">
        <v>50.09</v>
      </c>
      <c r="T84" s="96">
        <v>49.98</v>
      </c>
      <c r="U84" s="96">
        <v>50.018999999999998</v>
      </c>
      <c r="V84" s="96">
        <v>50.04</v>
      </c>
      <c r="W84" s="96">
        <v>50.04</v>
      </c>
      <c r="X84" s="96">
        <v>49.972999999999999</v>
      </c>
      <c r="Y84" s="96">
        <v>50.06</v>
      </c>
      <c r="Z84" s="96">
        <v>49.98</v>
      </c>
      <c r="AA84" s="96">
        <v>49.99</v>
      </c>
      <c r="AB84" s="96">
        <v>50.033999999999999</v>
      </c>
      <c r="AC84" s="96">
        <v>50.042999999999999</v>
      </c>
      <c r="AD84" s="96">
        <v>50.033999999999999</v>
      </c>
      <c r="AE84" s="96">
        <v>50.033999999999999</v>
      </c>
      <c r="AF84" s="96">
        <v>50.003999999999998</v>
      </c>
      <c r="AG84" s="97"/>
      <c r="AH84" s="54">
        <f t="shared" si="22"/>
        <v>50.1</v>
      </c>
      <c r="AI84" s="55">
        <f t="shared" si="23"/>
        <v>49.576999999999998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124.8</v>
      </c>
      <c r="C85" s="73">
        <v>126.1</v>
      </c>
      <c r="D85" s="73">
        <v>123.3</v>
      </c>
      <c r="E85" s="73">
        <v>123.4</v>
      </c>
      <c r="F85" s="73">
        <v>125.9</v>
      </c>
      <c r="G85" s="73">
        <v>123.6</v>
      </c>
      <c r="H85" s="73">
        <v>122.9</v>
      </c>
      <c r="I85" s="73">
        <v>122.9</v>
      </c>
      <c r="J85" s="73">
        <v>122.5</v>
      </c>
      <c r="K85" s="73">
        <v>122.7</v>
      </c>
      <c r="L85" s="73">
        <v>122.7</v>
      </c>
      <c r="M85" s="73">
        <v>125.1</v>
      </c>
      <c r="N85" s="73">
        <v>125.8</v>
      </c>
      <c r="O85" s="73">
        <v>125.1</v>
      </c>
      <c r="P85" s="73">
        <v>124.5</v>
      </c>
      <c r="Q85" s="73">
        <v>125.9</v>
      </c>
      <c r="R85" s="73">
        <v>123.9</v>
      </c>
      <c r="S85" s="73">
        <v>125</v>
      </c>
      <c r="T85" s="73">
        <v>125</v>
      </c>
      <c r="U85" s="73">
        <v>124</v>
      </c>
      <c r="V85" s="100">
        <v>125</v>
      </c>
      <c r="W85" s="100">
        <v>125</v>
      </c>
      <c r="X85" s="100">
        <v>126</v>
      </c>
      <c r="Y85" s="100">
        <v>125</v>
      </c>
      <c r="Z85" s="100">
        <v>125</v>
      </c>
      <c r="AA85" s="100">
        <v>125</v>
      </c>
      <c r="AB85" s="73">
        <v>127.5</v>
      </c>
      <c r="AC85" s="73">
        <v>126.9</v>
      </c>
      <c r="AD85" s="73">
        <v>127.5</v>
      </c>
      <c r="AE85" s="73">
        <v>126.3</v>
      </c>
      <c r="AF85" s="73">
        <v>124.7</v>
      </c>
      <c r="AG85" s="101"/>
      <c r="AH85" s="54">
        <f t="shared" si="22"/>
        <v>127.5</v>
      </c>
      <c r="AI85" s="55">
        <f t="shared" si="23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129.4</v>
      </c>
      <c r="C86" s="73">
        <v>130</v>
      </c>
      <c r="D86" s="73">
        <v>128.19999999999999</v>
      </c>
      <c r="E86" s="73">
        <v>128.80000000000001</v>
      </c>
      <c r="F86" s="73">
        <v>130.5</v>
      </c>
      <c r="G86" s="73">
        <v>128.1</v>
      </c>
      <c r="H86" s="73">
        <v>127.1</v>
      </c>
      <c r="I86" s="73">
        <v>127.1</v>
      </c>
      <c r="J86" s="73">
        <v>126.1</v>
      </c>
      <c r="K86" s="73">
        <v>125.6</v>
      </c>
      <c r="L86" s="73">
        <v>125.6</v>
      </c>
      <c r="M86" s="73">
        <v>127.7</v>
      </c>
      <c r="N86" s="73">
        <v>128.4</v>
      </c>
      <c r="O86" s="73">
        <v>127.5</v>
      </c>
      <c r="P86" s="73">
        <v>126.9</v>
      </c>
      <c r="Q86" s="73">
        <v>128.5</v>
      </c>
      <c r="R86" s="73">
        <v>126.7</v>
      </c>
      <c r="S86" s="73">
        <v>128</v>
      </c>
      <c r="T86" s="73">
        <v>128</v>
      </c>
      <c r="U86" s="73">
        <v>128</v>
      </c>
      <c r="V86" s="100">
        <v>128</v>
      </c>
      <c r="W86" s="100">
        <v>128</v>
      </c>
      <c r="X86" s="100">
        <v>128</v>
      </c>
      <c r="Y86" s="100">
        <v>127</v>
      </c>
      <c r="Z86" s="100">
        <v>127</v>
      </c>
      <c r="AA86" s="100">
        <v>127</v>
      </c>
      <c r="AB86" s="73">
        <v>129.69999999999999</v>
      </c>
      <c r="AC86" s="73">
        <v>129.1</v>
      </c>
      <c r="AD86" s="73">
        <v>129.69999999999999</v>
      </c>
      <c r="AE86" s="73">
        <v>129</v>
      </c>
      <c r="AF86" s="73">
        <v>128.80000000000001</v>
      </c>
      <c r="AG86" s="101"/>
      <c r="AH86" s="54">
        <f t="shared" si="22"/>
        <v>130.5</v>
      </c>
      <c r="AI86" s="55">
        <f t="shared" si="23"/>
        <v>125.6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129.30000000000001</v>
      </c>
      <c r="C87" s="73">
        <v>132.9</v>
      </c>
      <c r="D87" s="73">
        <v>130.69999999999999</v>
      </c>
      <c r="E87" s="73">
        <v>130</v>
      </c>
      <c r="F87" s="73">
        <v>130.6</v>
      </c>
      <c r="G87" s="73">
        <v>130</v>
      </c>
      <c r="H87" s="73">
        <v>129.80000000000001</v>
      </c>
      <c r="I87" s="73">
        <v>129.80000000000001</v>
      </c>
      <c r="J87" s="73">
        <v>129</v>
      </c>
      <c r="K87" s="73">
        <v>131.30000000000001</v>
      </c>
      <c r="L87" s="73">
        <v>131.30000000000001</v>
      </c>
      <c r="M87" s="73">
        <v>130.4</v>
      </c>
      <c r="N87" s="73">
        <v>129.9</v>
      </c>
      <c r="O87" s="73">
        <v>130.4</v>
      </c>
      <c r="P87" s="73">
        <v>130.80000000000001</v>
      </c>
      <c r="Q87" s="73">
        <v>130.19999999999999</v>
      </c>
      <c r="R87" s="73">
        <v>128.69999999999999</v>
      </c>
      <c r="S87" s="73">
        <v>130</v>
      </c>
      <c r="T87" s="73">
        <v>130</v>
      </c>
      <c r="U87" s="73">
        <v>130</v>
      </c>
      <c r="V87" s="73">
        <v>129</v>
      </c>
      <c r="W87" s="73">
        <v>129</v>
      </c>
      <c r="X87" s="100">
        <v>127</v>
      </c>
      <c r="Y87" s="100">
        <v>129</v>
      </c>
      <c r="Z87" s="100">
        <v>129</v>
      </c>
      <c r="AA87" s="100">
        <v>132</v>
      </c>
      <c r="AB87" s="73">
        <v>131.5</v>
      </c>
      <c r="AC87" s="73">
        <v>132.4</v>
      </c>
      <c r="AD87" s="73">
        <v>131.5</v>
      </c>
      <c r="AE87" s="73">
        <v>130.19999999999999</v>
      </c>
      <c r="AF87" s="73">
        <v>130.1</v>
      </c>
      <c r="AG87" s="101"/>
      <c r="AH87" s="54">
        <f t="shared" si="22"/>
        <v>132.9</v>
      </c>
      <c r="AI87" s="55">
        <f t="shared" si="23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133.30000000000001</v>
      </c>
      <c r="C88" s="73">
        <v>136</v>
      </c>
      <c r="D88" s="73">
        <v>134.1</v>
      </c>
      <c r="E88" s="73">
        <v>133.6</v>
      </c>
      <c r="F88" s="73">
        <v>134.19999999999999</v>
      </c>
      <c r="G88" s="73">
        <v>133.30000000000001</v>
      </c>
      <c r="H88" s="73">
        <v>134.30000000000001</v>
      </c>
      <c r="I88" s="73">
        <v>134.30000000000001</v>
      </c>
      <c r="J88" s="73">
        <v>132</v>
      </c>
      <c r="K88" s="73">
        <v>134.69999999999999</v>
      </c>
      <c r="L88" s="73">
        <v>134.69999999999999</v>
      </c>
      <c r="M88" s="73">
        <v>131.4</v>
      </c>
      <c r="N88" s="73">
        <v>131.1</v>
      </c>
      <c r="O88" s="73">
        <v>132.1</v>
      </c>
      <c r="P88" s="73">
        <v>132.4</v>
      </c>
      <c r="Q88" s="73">
        <v>134.5</v>
      </c>
      <c r="R88" s="73">
        <v>131.5</v>
      </c>
      <c r="S88" s="73">
        <v>132</v>
      </c>
      <c r="T88" s="73">
        <v>131</v>
      </c>
      <c r="U88" s="73">
        <v>131</v>
      </c>
      <c r="V88" s="73">
        <v>133</v>
      </c>
      <c r="W88" s="73">
        <v>133</v>
      </c>
      <c r="X88" s="100">
        <v>130</v>
      </c>
      <c r="Y88" s="100">
        <v>132</v>
      </c>
      <c r="Z88" s="100">
        <v>132.80000000000001</v>
      </c>
      <c r="AA88" s="100">
        <v>135</v>
      </c>
      <c r="AB88" s="73">
        <v>136.6</v>
      </c>
      <c r="AC88" s="73">
        <v>135.6</v>
      </c>
      <c r="AD88" s="73">
        <v>136.6</v>
      </c>
      <c r="AE88" s="73">
        <v>135.1</v>
      </c>
      <c r="AF88" s="73">
        <v>134.9</v>
      </c>
      <c r="AG88" s="101"/>
      <c r="AH88" s="54">
        <f t="shared" si="22"/>
        <v>136.6</v>
      </c>
      <c r="AI88" s="55">
        <f t="shared" si="23"/>
        <v>130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132.1</v>
      </c>
      <c r="C89" s="104">
        <v>131.1</v>
      </c>
      <c r="D89" s="104">
        <v>127</v>
      </c>
      <c r="E89" s="104">
        <v>127.9</v>
      </c>
      <c r="F89" s="104">
        <v>132.19999999999999</v>
      </c>
      <c r="G89" s="104">
        <v>127.8</v>
      </c>
      <c r="H89" s="104">
        <v>125.4</v>
      </c>
      <c r="I89" s="104">
        <v>125.4</v>
      </c>
      <c r="J89" s="104">
        <v>132</v>
      </c>
      <c r="K89" s="104">
        <v>130.9</v>
      </c>
      <c r="L89" s="104">
        <v>130.9</v>
      </c>
      <c r="M89" s="104">
        <v>132.80000000000001</v>
      </c>
      <c r="N89" s="104">
        <v>136.4</v>
      </c>
      <c r="O89" s="104">
        <v>135.30000000000001</v>
      </c>
      <c r="P89" s="104">
        <v>133.19999999999999</v>
      </c>
      <c r="Q89" s="104">
        <v>134.4</v>
      </c>
      <c r="R89" s="104">
        <v>133.1</v>
      </c>
      <c r="S89" s="104">
        <v>133.5</v>
      </c>
      <c r="T89" s="104">
        <v>135</v>
      </c>
      <c r="U89" s="104">
        <v>135</v>
      </c>
      <c r="V89" s="104">
        <v>135</v>
      </c>
      <c r="W89" s="104">
        <v>135</v>
      </c>
      <c r="X89" s="100">
        <v>135</v>
      </c>
      <c r="Y89" s="100">
        <v>130.80000000000001</v>
      </c>
      <c r="Z89" s="100">
        <v>133.80000000000001</v>
      </c>
      <c r="AA89" s="100">
        <v>135</v>
      </c>
      <c r="AB89" s="104">
        <v>134.9</v>
      </c>
      <c r="AC89" s="104">
        <v>134.1</v>
      </c>
      <c r="AD89" s="104">
        <v>134.9</v>
      </c>
      <c r="AE89" s="104">
        <v>131.5</v>
      </c>
      <c r="AF89" s="104">
        <v>131.9</v>
      </c>
      <c r="AG89" s="105"/>
      <c r="AH89" s="54">
        <f t="shared" si="22"/>
        <v>136.4</v>
      </c>
      <c r="AI89" s="55">
        <f t="shared" si="23"/>
        <v>125.4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137.5</v>
      </c>
      <c r="C90" s="73">
        <v>138</v>
      </c>
      <c r="D90" s="73">
        <v>127</v>
      </c>
      <c r="E90" s="73">
        <v>139.1</v>
      </c>
      <c r="F90" s="73">
        <v>137.4</v>
      </c>
      <c r="G90" s="73">
        <v>137.30000000000001</v>
      </c>
      <c r="H90" s="73">
        <v>134.19999999999999</v>
      </c>
      <c r="I90" s="73">
        <v>134.19999999999999</v>
      </c>
      <c r="J90" s="73">
        <v>133.1</v>
      </c>
      <c r="K90" s="73">
        <v>129.80000000000001</v>
      </c>
      <c r="L90" s="73">
        <v>129.80000000000001</v>
      </c>
      <c r="M90" s="73">
        <v>129.19999999999999</v>
      </c>
      <c r="N90" s="73">
        <v>136.4</v>
      </c>
      <c r="O90" s="73">
        <v>132.69999999999999</v>
      </c>
      <c r="P90" s="73">
        <v>131.69999999999999</v>
      </c>
      <c r="Q90" s="73">
        <v>135.19999999999999</v>
      </c>
      <c r="R90" s="73">
        <v>132</v>
      </c>
      <c r="S90" s="73">
        <v>134</v>
      </c>
      <c r="T90" s="73">
        <v>131</v>
      </c>
      <c r="U90" s="73">
        <v>131</v>
      </c>
      <c r="V90" s="73">
        <v>132</v>
      </c>
      <c r="W90" s="73">
        <v>132</v>
      </c>
      <c r="X90" s="100">
        <v>130</v>
      </c>
      <c r="Y90" s="100">
        <v>128</v>
      </c>
      <c r="Z90" s="100">
        <v>135</v>
      </c>
      <c r="AA90" s="100">
        <v>132</v>
      </c>
      <c r="AB90" s="73">
        <v>130</v>
      </c>
      <c r="AC90" s="73">
        <v>131.4</v>
      </c>
      <c r="AD90" s="73">
        <v>130</v>
      </c>
      <c r="AE90" s="73">
        <v>135.19999999999999</v>
      </c>
      <c r="AF90" s="73">
        <v>138.30000000000001</v>
      </c>
      <c r="AG90" s="101"/>
      <c r="AH90" s="54">
        <f t="shared" si="22"/>
        <v>139.1</v>
      </c>
      <c r="AI90" s="55">
        <f t="shared" si="23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65.8</v>
      </c>
      <c r="C91" s="107">
        <v>66.2</v>
      </c>
      <c r="D91" s="107">
        <v>78.900000000000006</v>
      </c>
      <c r="E91" s="107">
        <v>65.3</v>
      </c>
      <c r="F91" s="107">
        <v>66.400000000000006</v>
      </c>
      <c r="G91" s="107">
        <v>64.8</v>
      </c>
      <c r="H91" s="107">
        <v>64.400000000000006</v>
      </c>
      <c r="I91" s="107">
        <v>64.400000000000006</v>
      </c>
      <c r="J91" s="107">
        <v>63.8</v>
      </c>
      <c r="K91" s="107">
        <v>63.8</v>
      </c>
      <c r="L91" s="107">
        <v>63.8</v>
      </c>
      <c r="M91" s="107">
        <v>64.7</v>
      </c>
      <c r="N91" s="107">
        <v>65.3</v>
      </c>
      <c r="O91" s="107">
        <v>65.099999999999994</v>
      </c>
      <c r="P91" s="107">
        <v>63.7</v>
      </c>
      <c r="Q91" s="107">
        <v>64.8</v>
      </c>
      <c r="R91" s="107">
        <v>64.099999999999994</v>
      </c>
      <c r="S91" s="107">
        <v>64.7</v>
      </c>
      <c r="T91" s="107">
        <v>64.8</v>
      </c>
      <c r="U91" s="107">
        <v>64.2</v>
      </c>
      <c r="V91" s="107">
        <v>64.599999999999994</v>
      </c>
      <c r="W91" s="107">
        <v>64.599999999999994</v>
      </c>
      <c r="X91" s="107">
        <v>65</v>
      </c>
      <c r="Y91" s="107">
        <v>64.3</v>
      </c>
      <c r="Z91" s="107">
        <v>64.599999999999994</v>
      </c>
      <c r="AA91" s="107">
        <v>64.599999999999994</v>
      </c>
      <c r="AB91" s="107">
        <v>66</v>
      </c>
      <c r="AC91" s="107">
        <v>65.599999999999994</v>
      </c>
      <c r="AD91" s="107">
        <v>66</v>
      </c>
      <c r="AE91" s="107">
        <v>64.900000000000006</v>
      </c>
      <c r="AF91" s="107">
        <v>65</v>
      </c>
      <c r="AG91" s="108"/>
      <c r="AH91" s="54">
        <f t="shared" si="22"/>
        <v>78.900000000000006</v>
      </c>
      <c r="AI91" s="55">
        <f t="shared" si="23"/>
        <v>63.7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186.04</v>
      </c>
      <c r="C93" s="114">
        <f>SUM(C15,C18,C21:C22,C42,C44:C45,C47,C49,C94:C97,C102,C108,C114,C123,C125,C137,C144,C147:C148,C155,C157,C159,C163:C165,C167:C169,C174,C180:C181,C183:C185,C193,C198)</f>
        <v>176.14</v>
      </c>
      <c r="D93" s="114">
        <f t="shared" ref="D93:AF93" si="37">SUM(D15,D18,D21:D22,D42,D44:D45,D47,D49,D94:D97,D102,D108,D114,D123,D125,D137,D144,D147:D148,D155,D157,D159,D163:D165,D167:D169,D174,D180:D181,D183:D185,D193,D198)</f>
        <v>171.23999999999995</v>
      </c>
      <c r="E93" s="114">
        <f t="shared" si="37"/>
        <v>168.83999999999997</v>
      </c>
      <c r="F93" s="114">
        <f t="shared" si="37"/>
        <v>171.43999999999997</v>
      </c>
      <c r="G93" s="113">
        <f t="shared" si="37"/>
        <v>197.44</v>
      </c>
      <c r="H93" s="113">
        <f t="shared" si="37"/>
        <v>230.33999999999997</v>
      </c>
      <c r="I93" s="113">
        <f t="shared" si="37"/>
        <v>270.74</v>
      </c>
      <c r="J93" s="113">
        <f t="shared" si="37"/>
        <v>313.64000000000004</v>
      </c>
      <c r="K93" s="113">
        <f t="shared" si="37"/>
        <v>367.24</v>
      </c>
      <c r="L93" s="113">
        <f t="shared" si="37"/>
        <v>409.94</v>
      </c>
      <c r="M93" s="113">
        <f t="shared" si="37"/>
        <v>412.84000000000003</v>
      </c>
      <c r="N93" s="113">
        <f t="shared" si="37"/>
        <v>386.74</v>
      </c>
      <c r="O93" s="113">
        <f t="shared" si="37"/>
        <v>371.94</v>
      </c>
      <c r="P93" s="113">
        <f t="shared" si="37"/>
        <v>353.74000000000007</v>
      </c>
      <c r="Q93" s="113">
        <f t="shared" si="37"/>
        <v>343.24</v>
      </c>
      <c r="R93" s="113">
        <f t="shared" si="37"/>
        <v>334.84000000000003</v>
      </c>
      <c r="S93" s="113">
        <f t="shared" si="37"/>
        <v>334.84000000000003</v>
      </c>
      <c r="T93" s="113">
        <f t="shared" si="37"/>
        <v>343.84000000000003</v>
      </c>
      <c r="U93" s="113">
        <f t="shared" si="37"/>
        <v>377.94000000000005</v>
      </c>
      <c r="V93" s="113">
        <f t="shared" si="37"/>
        <v>389.54</v>
      </c>
      <c r="W93" s="113">
        <f t="shared" si="37"/>
        <v>419.54</v>
      </c>
      <c r="X93" s="113">
        <f t="shared" si="37"/>
        <v>431.34000000000003</v>
      </c>
      <c r="Y93" s="113">
        <f t="shared" si="37"/>
        <v>471.54</v>
      </c>
      <c r="Z93" s="113">
        <f t="shared" si="37"/>
        <v>462.54</v>
      </c>
      <c r="AA93" s="113">
        <f t="shared" si="37"/>
        <v>450.24</v>
      </c>
      <c r="AB93" s="113">
        <f t="shared" si="37"/>
        <v>421.34000000000003</v>
      </c>
      <c r="AC93" s="113">
        <f t="shared" si="37"/>
        <v>383.64000000000004</v>
      </c>
      <c r="AD93" s="113">
        <f t="shared" si="37"/>
        <v>383.64000000000004</v>
      </c>
      <c r="AE93" s="113">
        <f t="shared" si="37"/>
        <v>273.74</v>
      </c>
      <c r="AF93" s="113">
        <f t="shared" si="37"/>
        <v>220.73999999999995</v>
      </c>
      <c r="AG93" s="115"/>
      <c r="AH93" s="54">
        <f>MAX(C93:AF93)</f>
        <v>471.54</v>
      </c>
      <c r="AI93" s="55">
        <f>MIN(C93:AF93)</f>
        <v>168.83999999999997</v>
      </c>
    </row>
    <row r="94" spans="1:88" x14ac:dyDescent="0.25">
      <c r="A94" s="116" t="s">
        <v>98</v>
      </c>
      <c r="B94" s="119">
        <v>-20.5</v>
      </c>
      <c r="C94" s="58">
        <v>-28.3</v>
      </c>
      <c r="D94" s="58">
        <v>-37.1</v>
      </c>
      <c r="E94" s="58">
        <v>-40</v>
      </c>
      <c r="F94" s="58">
        <v>-24.7</v>
      </c>
      <c r="G94" s="118">
        <v>-15.8</v>
      </c>
      <c r="H94" s="118">
        <v>-8.1</v>
      </c>
      <c r="I94" s="118">
        <v>2</v>
      </c>
      <c r="J94" s="118">
        <v>18.600000000000001</v>
      </c>
      <c r="K94" s="118">
        <v>30</v>
      </c>
      <c r="L94" s="118">
        <v>43.3</v>
      </c>
      <c r="M94" s="119">
        <v>46.6</v>
      </c>
      <c r="N94" s="118">
        <v>53.4</v>
      </c>
      <c r="O94" s="118">
        <v>58.5</v>
      </c>
      <c r="P94" s="118">
        <v>33.799999999999997</v>
      </c>
      <c r="Q94" s="118">
        <v>44.1</v>
      </c>
      <c r="R94" s="118">
        <v>9.5</v>
      </c>
      <c r="S94" s="118">
        <v>17</v>
      </c>
      <c r="T94" s="118">
        <v>14</v>
      </c>
      <c r="U94" s="119">
        <v>5.5</v>
      </c>
      <c r="V94" s="119">
        <v>30</v>
      </c>
      <c r="W94" s="119">
        <v>40</v>
      </c>
      <c r="X94" s="118">
        <v>56</v>
      </c>
      <c r="Y94" s="118">
        <v>55</v>
      </c>
      <c r="Z94" s="118">
        <v>47</v>
      </c>
      <c r="AA94" s="118">
        <v>51</v>
      </c>
      <c r="AB94" s="119">
        <v>44.9</v>
      </c>
      <c r="AC94" s="119">
        <v>8</v>
      </c>
      <c r="AD94" s="119">
        <v>8</v>
      </c>
      <c r="AE94" s="119">
        <v>-7</v>
      </c>
      <c r="AF94" s="119">
        <v>-21.2</v>
      </c>
      <c r="AG94" s="120">
        <v>75</v>
      </c>
      <c r="AH94" s="54">
        <f t="shared" ref="AH94:AH99" si="38">IF(ABS(MAX(C94:AF94))&gt;ABS(MIN(C94:AF94)),MAX(C94:AF94),MIN(C94:AF94))</f>
        <v>58.5</v>
      </c>
      <c r="AI94" s="121">
        <f t="shared" ref="AI94:AI99" si="39">INDEX($C$9:$AF$9,1,MATCH(AH94,C94:AF94,0))</f>
        <v>0.41666666666666702</v>
      </c>
    </row>
    <row r="95" spans="1:88" x14ac:dyDescent="0.25">
      <c r="A95" s="122" t="s">
        <v>99</v>
      </c>
      <c r="B95" s="73">
        <f>-15.5-17.4</f>
        <v>-32.9</v>
      </c>
      <c r="C95" s="60">
        <f>-16.2-18</f>
        <v>-34.200000000000003</v>
      </c>
      <c r="D95" s="60">
        <f>-16-18.9</f>
        <v>-34.9</v>
      </c>
      <c r="E95" s="60">
        <v>-34</v>
      </c>
      <c r="F95" s="60">
        <v>-38</v>
      </c>
      <c r="G95" s="60">
        <v>-26</v>
      </c>
      <c r="H95" s="60">
        <v>-16</v>
      </c>
      <c r="I95" s="60">
        <v>5</v>
      </c>
      <c r="J95" s="60">
        <v>22</v>
      </c>
      <c r="K95" s="60">
        <v>30</v>
      </c>
      <c r="L95" s="60">
        <v>36</v>
      </c>
      <c r="M95" s="60">
        <v>33</v>
      </c>
      <c r="N95" s="60">
        <v>26</v>
      </c>
      <c r="O95" s="60">
        <v>32.6</v>
      </c>
      <c r="P95" s="60">
        <v>26</v>
      </c>
      <c r="Q95" s="60">
        <v>29</v>
      </c>
      <c r="R95" s="60">
        <v>39</v>
      </c>
      <c r="S95" s="60">
        <v>33</v>
      </c>
      <c r="T95" s="60">
        <v>41</v>
      </c>
      <c r="U95" s="60">
        <v>62</v>
      </c>
      <c r="V95" s="60">
        <v>80</v>
      </c>
      <c r="W95" s="60">
        <v>82</v>
      </c>
      <c r="X95" s="60">
        <v>72</v>
      </c>
      <c r="Y95" s="60">
        <v>87</v>
      </c>
      <c r="Z95" s="60">
        <v>90</v>
      </c>
      <c r="AA95" s="60">
        <v>87</v>
      </c>
      <c r="AB95" s="73">
        <v>80</v>
      </c>
      <c r="AC95" s="73">
        <v>60.4</v>
      </c>
      <c r="AD95" s="73">
        <v>60.4</v>
      </c>
      <c r="AE95" s="73">
        <v>18.399999999999999</v>
      </c>
      <c r="AF95" s="73">
        <v>-20</v>
      </c>
      <c r="AG95" s="120">
        <v>240</v>
      </c>
      <c r="AH95" s="54">
        <f t="shared" si="38"/>
        <v>90</v>
      </c>
      <c r="AI95" s="121">
        <f t="shared" si="39"/>
        <v>0.79166666666666663</v>
      </c>
    </row>
    <row r="96" spans="1:88" x14ac:dyDescent="0.25">
      <c r="A96" s="122" t="s">
        <v>100</v>
      </c>
      <c r="B96" s="73">
        <v>-9.6</v>
      </c>
      <c r="C96" s="60">
        <v>-8.1999999999999993</v>
      </c>
      <c r="D96" s="60">
        <v>-11.3</v>
      </c>
      <c r="E96" s="60">
        <v>-9.4</v>
      </c>
      <c r="F96" s="60">
        <v>-9.1999999999999993</v>
      </c>
      <c r="G96" s="60">
        <v>-11.2</v>
      </c>
      <c r="H96" s="60">
        <v>-4.5</v>
      </c>
      <c r="I96" s="60">
        <v>0</v>
      </c>
      <c r="J96" s="60">
        <v>5</v>
      </c>
      <c r="K96" s="60">
        <v>30</v>
      </c>
      <c r="L96" s="60">
        <v>49.1</v>
      </c>
      <c r="M96" s="60">
        <v>53</v>
      </c>
      <c r="N96" s="60">
        <v>42.7</v>
      </c>
      <c r="O96" s="60">
        <v>28</v>
      </c>
      <c r="P96" s="60">
        <v>32.9</v>
      </c>
      <c r="Q96" s="60">
        <v>25.5</v>
      </c>
      <c r="R96" s="60">
        <v>23.8</v>
      </c>
      <c r="S96" s="60">
        <v>28</v>
      </c>
      <c r="T96" s="60">
        <v>25</v>
      </c>
      <c r="U96" s="60">
        <v>44.9</v>
      </c>
      <c r="V96" s="60">
        <v>47</v>
      </c>
      <c r="W96" s="60">
        <v>53</v>
      </c>
      <c r="X96" s="60">
        <v>53.6</v>
      </c>
      <c r="Y96" s="60">
        <v>60</v>
      </c>
      <c r="Z96" s="60">
        <v>59</v>
      </c>
      <c r="AA96" s="60">
        <v>50.7</v>
      </c>
      <c r="AB96" s="73">
        <v>47.4</v>
      </c>
      <c r="AC96" s="73">
        <v>42.1</v>
      </c>
      <c r="AD96" s="73">
        <v>42.1</v>
      </c>
      <c r="AE96" s="73">
        <v>0</v>
      </c>
      <c r="AF96" s="73">
        <v>0</v>
      </c>
      <c r="AG96" s="120">
        <v>60</v>
      </c>
      <c r="AH96" s="54">
        <f t="shared" si="38"/>
        <v>60</v>
      </c>
      <c r="AI96" s="121">
        <f t="shared" si="39"/>
        <v>0.77083333333333337</v>
      </c>
    </row>
    <row r="97" spans="1:37" x14ac:dyDescent="0.25">
      <c r="A97" s="124" t="s">
        <v>101</v>
      </c>
      <c r="B97" s="126">
        <v>93</v>
      </c>
      <c r="C97" s="63">
        <v>90.8</v>
      </c>
      <c r="D97" s="63">
        <v>98.5</v>
      </c>
      <c r="E97" s="63">
        <v>96.2</v>
      </c>
      <c r="F97" s="63">
        <v>87.3</v>
      </c>
      <c r="G97" s="63">
        <v>96.7</v>
      </c>
      <c r="H97" s="63">
        <v>105.2</v>
      </c>
      <c r="I97" s="63">
        <v>110</v>
      </c>
      <c r="J97" s="63">
        <v>114.3</v>
      </c>
      <c r="K97" s="63">
        <v>120</v>
      </c>
      <c r="L97" s="63">
        <v>124.6</v>
      </c>
      <c r="M97" s="63">
        <v>124.5</v>
      </c>
      <c r="N97" s="63">
        <v>110.1</v>
      </c>
      <c r="O97" s="63">
        <v>98.3</v>
      </c>
      <c r="P97" s="63">
        <v>106.7</v>
      </c>
      <c r="Q97" s="63">
        <v>91.8</v>
      </c>
      <c r="R97" s="63">
        <v>109.7</v>
      </c>
      <c r="S97" s="63">
        <v>104</v>
      </c>
      <c r="T97" s="63">
        <v>111</v>
      </c>
      <c r="U97" s="63">
        <v>112.7</v>
      </c>
      <c r="V97" s="63">
        <v>80</v>
      </c>
      <c r="W97" s="63">
        <v>92</v>
      </c>
      <c r="X97" s="63">
        <v>97.2</v>
      </c>
      <c r="Y97" s="63">
        <v>117</v>
      </c>
      <c r="Z97" s="63">
        <v>114</v>
      </c>
      <c r="AA97" s="63">
        <v>109</v>
      </c>
      <c r="AB97" s="126">
        <v>95.9</v>
      </c>
      <c r="AC97" s="126">
        <v>118.5</v>
      </c>
      <c r="AD97" s="126">
        <v>118.5</v>
      </c>
      <c r="AE97" s="126">
        <v>106.4</v>
      </c>
      <c r="AF97" s="126">
        <v>104</v>
      </c>
      <c r="AG97" s="127">
        <v>120</v>
      </c>
      <c r="AH97" s="54">
        <f t="shared" si="38"/>
        <v>124.6</v>
      </c>
      <c r="AI97" s="121">
        <f t="shared" si="39"/>
        <v>0.3125</v>
      </c>
    </row>
    <row r="98" spans="1:37" x14ac:dyDescent="0.25">
      <c r="A98" s="124" t="s">
        <v>102</v>
      </c>
      <c r="B98" s="126">
        <v>95.5</v>
      </c>
      <c r="C98" s="63">
        <v>95.9</v>
      </c>
      <c r="D98" s="63">
        <v>104.9</v>
      </c>
      <c r="E98" s="63">
        <v>103.4</v>
      </c>
      <c r="F98" s="63">
        <v>94.1</v>
      </c>
      <c r="G98" s="63">
        <v>99.1</v>
      </c>
      <c r="H98" s="63">
        <v>102.7</v>
      </c>
      <c r="I98" s="63">
        <v>98</v>
      </c>
      <c r="J98" s="63">
        <v>92</v>
      </c>
      <c r="K98" s="63">
        <v>90</v>
      </c>
      <c r="L98" s="63">
        <v>92.6</v>
      </c>
      <c r="M98" s="63">
        <v>83.2</v>
      </c>
      <c r="N98" s="63">
        <v>75.8</v>
      </c>
      <c r="O98" s="63">
        <v>77.900000000000006</v>
      </c>
      <c r="P98" s="63">
        <v>85.7</v>
      </c>
      <c r="Q98" s="63">
        <v>106.1</v>
      </c>
      <c r="R98" s="63">
        <v>92</v>
      </c>
      <c r="S98" s="63">
        <v>83</v>
      </c>
      <c r="T98" s="63">
        <v>92</v>
      </c>
      <c r="U98" s="63">
        <v>98</v>
      </c>
      <c r="V98" s="63">
        <v>104</v>
      </c>
      <c r="W98" s="63">
        <v>102</v>
      </c>
      <c r="X98" s="63">
        <v>80</v>
      </c>
      <c r="Y98" s="63">
        <v>90</v>
      </c>
      <c r="Z98" s="63">
        <v>100</v>
      </c>
      <c r="AA98" s="63">
        <v>103</v>
      </c>
      <c r="AB98" s="126">
        <v>99.2</v>
      </c>
      <c r="AC98" s="126">
        <v>93.9</v>
      </c>
      <c r="AD98" s="126">
        <v>93.9</v>
      </c>
      <c r="AE98" s="126">
        <v>91.2</v>
      </c>
      <c r="AF98" s="126">
        <v>106.3</v>
      </c>
      <c r="AG98" s="127"/>
      <c r="AH98" s="54">
        <f t="shared" si="38"/>
        <v>106.3</v>
      </c>
      <c r="AI98" s="121">
        <f t="shared" si="39"/>
        <v>0.95833333333333304</v>
      </c>
    </row>
    <row r="99" spans="1:37" ht="15.75" thickBot="1" x14ac:dyDescent="0.3">
      <c r="A99" s="124" t="s">
        <v>103</v>
      </c>
      <c r="B99" s="126">
        <v>72.900000000000006</v>
      </c>
      <c r="C99" s="63">
        <v>73.099999999999994</v>
      </c>
      <c r="D99" s="63">
        <v>78.900000000000006</v>
      </c>
      <c r="E99" s="63">
        <v>78.599999999999994</v>
      </c>
      <c r="F99" s="63">
        <v>56.8</v>
      </c>
      <c r="G99" s="63">
        <v>43.4</v>
      </c>
      <c r="H99" s="63">
        <v>51.6</v>
      </c>
      <c r="I99" s="63">
        <v>60</v>
      </c>
      <c r="J99" s="63">
        <v>26.5</v>
      </c>
      <c r="K99" s="63">
        <v>20</v>
      </c>
      <c r="L99" s="63">
        <v>22.3</v>
      </c>
      <c r="M99" s="63">
        <v>22.3</v>
      </c>
      <c r="N99" s="63">
        <v>17.7</v>
      </c>
      <c r="O99" s="63">
        <v>18.399999999999999</v>
      </c>
      <c r="P99" s="63">
        <v>28.5</v>
      </c>
      <c r="Q99" s="63">
        <v>24.9</v>
      </c>
      <c r="R99" s="63">
        <v>31.2</v>
      </c>
      <c r="S99" s="63">
        <v>22</v>
      </c>
      <c r="T99" s="63">
        <v>14</v>
      </c>
      <c r="U99" s="63">
        <v>36.4</v>
      </c>
      <c r="V99" s="63">
        <v>28</v>
      </c>
      <c r="W99" s="63">
        <v>35</v>
      </c>
      <c r="X99" s="63">
        <v>15.3</v>
      </c>
      <c r="Y99" s="63">
        <v>19</v>
      </c>
      <c r="Z99" s="63">
        <v>32</v>
      </c>
      <c r="AA99" s="63">
        <v>32.299999999999997</v>
      </c>
      <c r="AB99" s="126">
        <v>31.6</v>
      </c>
      <c r="AC99" s="126">
        <v>40.9</v>
      </c>
      <c r="AD99" s="126">
        <v>40.9</v>
      </c>
      <c r="AE99" s="126">
        <v>46.8</v>
      </c>
      <c r="AF99" s="126">
        <v>47</v>
      </c>
      <c r="AG99" s="128"/>
      <c r="AH99" s="54">
        <f t="shared" si="38"/>
        <v>78.900000000000006</v>
      </c>
      <c r="AI99" s="121">
        <f t="shared" si="39"/>
        <v>8.3333333333333301E-2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1511.65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2078/11/10)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944.93999999999994</v>
      </c>
      <c r="U213" s="174">
        <f t="shared" si="76"/>
        <v>918.93999999999994</v>
      </c>
      <c r="V213" s="174">
        <f t="shared" si="76"/>
        <v>939.33999999999992</v>
      </c>
      <c r="W213" s="174">
        <f t="shared" si="76"/>
        <v>924.54</v>
      </c>
      <c r="X213" s="174">
        <f t="shared" si="76"/>
        <v>927.14</v>
      </c>
      <c r="Y213" s="174">
        <f t="shared" si="76"/>
        <v>979.43999999999994</v>
      </c>
      <c r="Z213" s="174">
        <f t="shared" si="76"/>
        <v>1062.56</v>
      </c>
      <c r="AA213" s="174">
        <f t="shared" si="76"/>
        <v>1132.83</v>
      </c>
      <c r="AB213" s="174">
        <f t="shared" si="76"/>
        <v>1244.32</v>
      </c>
      <c r="AC213" s="174">
        <f t="shared" si="76"/>
        <v>1396.7399999999998</v>
      </c>
      <c r="AD213" s="174">
        <f t="shared" si="76"/>
        <v>1500.6399999999999</v>
      </c>
      <c r="AE213" s="174">
        <f t="shared" si="76"/>
        <v>1511.65</v>
      </c>
      <c r="AF213" s="174">
        <f t="shared" si="76"/>
        <v>1445.79</v>
      </c>
      <c r="AG213" s="174">
        <f t="shared" si="76"/>
        <v>1374.34</v>
      </c>
      <c r="AH213" s="174">
        <f t="shared" si="76"/>
        <v>1263.24</v>
      </c>
      <c r="AI213" s="174">
        <f t="shared" si="76"/>
        <v>1273.04</v>
      </c>
      <c r="AJ213" s="174">
        <f t="shared" si="76"/>
        <v>1244.4399999999998</v>
      </c>
      <c r="AK213" s="174">
        <f t="shared" si="76"/>
        <v>1216.44</v>
      </c>
      <c r="AL213" s="174">
        <f t="shared" si="76"/>
        <v>1223.8399999999999</v>
      </c>
      <c r="AM213" s="174">
        <f t="shared" si="76"/>
        <v>1324.34</v>
      </c>
      <c r="AN213" s="174">
        <f t="shared" si="76"/>
        <v>1331.14</v>
      </c>
      <c r="AO213" s="174">
        <f t="shared" si="76"/>
        <v>1403.14</v>
      </c>
      <c r="AP213" s="174">
        <f t="shared" si="76"/>
        <v>1410.14</v>
      </c>
      <c r="AQ213" s="174">
        <f t="shared" si="76"/>
        <v>1553.14</v>
      </c>
      <c r="AR213" s="174">
        <f t="shared" si="76"/>
        <v>1589.8400000000001</v>
      </c>
      <c r="AS213" s="174">
        <f t="shared" si="76"/>
        <v>1530.3400000000001</v>
      </c>
      <c r="AT213" s="174">
        <f t="shared" si="76"/>
        <v>1447.3500000000001</v>
      </c>
      <c r="AU213" s="174">
        <f t="shared" si="76"/>
        <v>1341.5</v>
      </c>
      <c r="AV213" s="174">
        <f t="shared" si="76"/>
        <v>1293.8</v>
      </c>
      <c r="AW213" s="174">
        <f t="shared" si="76"/>
        <v>1113.5</v>
      </c>
      <c r="AX213" s="174">
        <f t="shared" si="76"/>
        <v>1014.51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4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P39:R39 M39:O42 E61:N61 O61:O67 P40:Q42 R42 P60:R67 M58:W59 X85:AA91 AB81:AF81 C81:R81 C56:AF56 C82:AF83 D193:AF199 B193:B199 AB84:AF91 C68:AF80 B9:AF10 B191:AF191 AF57:AF67 AG73 U212:AF212 E36:L36 M11:T14 R40:T41 S62:AA67 U12:X14 U40:Z42 M53:AF55 M37:AB37 Z40:AE43 AB94:AF99 U11:AF11 Y13:AF14 M16:AF17 AF43 N45:AF48">
    <cfRule type="expression" dxfId="6108" priority="340">
      <formula>B$9&gt;=20/24</formula>
    </cfRule>
    <cfRule type="expression" dxfId="6107" priority="341">
      <formula>AND(B$9&gt;=14/24,B$9&lt;20/24)</formula>
    </cfRule>
    <cfRule type="expression" dxfId="6106" priority="342">
      <formula>AND(B$9&gt;=8/24,B$9&lt;14/24)</formula>
    </cfRule>
    <cfRule type="expression" dxfId="6105" priority="343">
      <formula>B$9&lt;8/24</formula>
    </cfRule>
  </conditionalFormatting>
  <conditionalFormatting sqref="AL4:AL6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6104" priority="335">
      <formula>M$9&gt;=20/24</formula>
    </cfRule>
    <cfRule type="expression" dxfId="6103" priority="336">
      <formula>AND(M$9&gt;=14/24,M$9&lt;20/24)</formula>
    </cfRule>
    <cfRule type="expression" dxfId="6102" priority="337">
      <formula>AND(M$9&gt;=8/24,M$9&lt;14/24)</formula>
    </cfRule>
    <cfRule type="expression" dxfId="6101" priority="338">
      <formula>M$9&lt;8/24</formula>
    </cfRule>
  </conditionalFormatting>
  <conditionalFormatting sqref="M43:R43">
    <cfRule type="expression" dxfId="6100" priority="331">
      <formula>M$9&gt;=20/24</formula>
    </cfRule>
    <cfRule type="expression" dxfId="6099" priority="332">
      <formula>AND(M$9&gt;=14/24,M$9&lt;20/24)</formula>
    </cfRule>
    <cfRule type="expression" dxfId="6098" priority="333">
      <formula>AND(M$9&gt;=8/24,M$9&lt;14/24)</formula>
    </cfRule>
    <cfRule type="expression" dxfId="6097" priority="334">
      <formula>M$9&lt;8/24</formula>
    </cfRule>
  </conditionalFormatting>
  <conditionalFormatting sqref="S39:AE39">
    <cfRule type="expression" dxfId="6096" priority="323">
      <formula>S$9&gt;=20/24</formula>
    </cfRule>
    <cfRule type="expression" dxfId="6095" priority="324">
      <formula>AND(S$9&gt;=14/24,S$9&lt;20/24)</formula>
    </cfRule>
    <cfRule type="expression" dxfId="6094" priority="325">
      <formula>AND(S$9&gt;=8/24,S$9&lt;14/24)</formula>
    </cfRule>
    <cfRule type="expression" dxfId="6093" priority="326">
      <formula>S$9&lt;8/24</formula>
    </cfRule>
  </conditionalFormatting>
  <conditionalFormatting sqref="S57:AE57">
    <cfRule type="expression" dxfId="6092" priority="319">
      <formula>S$9&gt;=20/24</formula>
    </cfRule>
    <cfRule type="expression" dxfId="6091" priority="320">
      <formula>AND(S$9&gt;=14/24,S$9&lt;20/24)</formula>
    </cfRule>
    <cfRule type="expression" dxfId="6090" priority="321">
      <formula>AND(S$9&gt;=8/24,S$9&lt;14/24)</formula>
    </cfRule>
    <cfRule type="expression" dxfId="6089" priority="322">
      <formula>S$9&lt;8/24</formula>
    </cfRule>
  </conditionalFormatting>
  <conditionalFormatting sqref="S81:AA81">
    <cfRule type="expression" dxfId="6088" priority="315">
      <formula>S$9&gt;=20/24</formula>
    </cfRule>
    <cfRule type="expression" dxfId="6087" priority="316">
      <formula>AND(S$9&gt;=14/24,S$9&lt;20/24)</formula>
    </cfRule>
    <cfRule type="expression" dxfId="6086" priority="317">
      <formula>AND(S$9&gt;=8/24,S$9&lt;14/24)</formula>
    </cfRule>
    <cfRule type="expression" dxfId="6085" priority="318">
      <formula>S$9&lt;8/24</formula>
    </cfRule>
  </conditionalFormatting>
  <conditionalFormatting sqref="V84:AA84">
    <cfRule type="expression" dxfId="6084" priority="311">
      <formula>V$9&gt;=20/24</formula>
    </cfRule>
    <cfRule type="expression" dxfId="6083" priority="312">
      <formula>AND(V$9&gt;=14/24,V$9&lt;20/24)</formula>
    </cfRule>
    <cfRule type="expression" dxfId="6082" priority="313">
      <formula>AND(V$9&gt;=8/24,V$9&lt;14/24)</formula>
    </cfRule>
    <cfRule type="expression" dxfId="6081" priority="314">
      <formula>V$9&lt;8/24</formula>
    </cfRule>
  </conditionalFormatting>
  <conditionalFormatting sqref="M49:AF49">
    <cfRule type="expression" dxfId="6080" priority="303">
      <formula>M$9&gt;=20/24</formula>
    </cfRule>
    <cfRule type="expression" dxfId="6079" priority="304">
      <formula>AND(M$9&gt;=14/24,M$9&lt;20/24)</formula>
    </cfRule>
    <cfRule type="expression" dxfId="6078" priority="305">
      <formula>AND(M$9&gt;=8/24,M$9&lt;14/24)</formula>
    </cfRule>
    <cfRule type="expression" dxfId="6077" priority="306">
      <formula>M$9&lt;8/24</formula>
    </cfRule>
  </conditionalFormatting>
  <conditionalFormatting sqref="S50:AF50">
    <cfRule type="expression" dxfId="6076" priority="299">
      <formula>S$9&gt;=20/24</formula>
    </cfRule>
    <cfRule type="expression" dxfId="6075" priority="300">
      <formula>AND(S$9&gt;=14/24,S$9&lt;20/24)</formula>
    </cfRule>
    <cfRule type="expression" dxfId="6074" priority="301">
      <formula>AND(S$9&gt;=8/24,S$9&lt;14/24)</formula>
    </cfRule>
    <cfRule type="expression" dxfId="6073" priority="302">
      <formula>S$9&lt;8/24</formula>
    </cfRule>
  </conditionalFormatting>
  <conditionalFormatting sqref="M45:AF48">
    <cfRule type="expression" dxfId="6072" priority="295">
      <formula>M$9&gt;=20/24</formula>
    </cfRule>
    <cfRule type="expression" dxfId="6071" priority="296">
      <formula>AND(M$9&gt;=14/24,M$9&lt;20/24)</formula>
    </cfRule>
    <cfRule type="expression" dxfId="6070" priority="297">
      <formula>AND(M$9&gt;=8/24,M$9&lt;14/24)</formula>
    </cfRule>
    <cfRule type="expression" dxfId="6069" priority="298">
      <formula>M$9&lt;8/24</formula>
    </cfRule>
  </conditionalFormatting>
  <conditionalFormatting sqref="AC37:AF37">
    <cfRule type="expression" dxfId="6068" priority="291">
      <formula>AC$9&gt;=20/24</formula>
    </cfRule>
    <cfRule type="expression" dxfId="6067" priority="292">
      <formula>AND(AC$9&gt;=14/24,AC$9&lt;20/24)</formula>
    </cfRule>
    <cfRule type="expression" dxfId="6066" priority="293">
      <formula>AND(AC$9&gt;=8/24,AC$9&lt;14/24)</formula>
    </cfRule>
    <cfRule type="expression" dxfId="6065" priority="294">
      <formula>AC$9&lt;8/24</formula>
    </cfRule>
  </conditionalFormatting>
  <conditionalFormatting sqref="S42:U43 U43:AB43 S45:AF48">
    <cfRule type="expression" dxfId="6064" priority="283">
      <formula>S$9&gt;=20/24</formula>
    </cfRule>
    <cfRule type="expression" dxfId="6063" priority="284">
      <formula>AND(S$9&gt;=14/24,S$9&lt;20/24)</formula>
    </cfRule>
    <cfRule type="expression" dxfId="6062" priority="285">
      <formula>AND(S$9&gt;=8/24,S$9&lt;14/24)</formula>
    </cfRule>
    <cfRule type="expression" dxfId="6061" priority="286">
      <formula>S$9&lt;8/24</formula>
    </cfRule>
  </conditionalFormatting>
  <conditionalFormatting sqref="S49:AF49">
    <cfRule type="expression" dxfId="6060" priority="279">
      <formula>S$9&gt;=20/24</formula>
    </cfRule>
    <cfRule type="expression" dxfId="6059" priority="280">
      <formula>AND(S$9&gt;=14/24,S$9&lt;20/24)</formula>
    </cfRule>
    <cfRule type="expression" dxfId="6058" priority="281">
      <formula>AND(S$9&gt;=8/24,S$9&lt;14/24)</formula>
    </cfRule>
    <cfRule type="expression" dxfId="6057" priority="282">
      <formula>S$9&lt;8/24</formula>
    </cfRule>
  </conditionalFormatting>
  <conditionalFormatting sqref="S50:AF50">
    <cfRule type="expression" dxfId="6056" priority="275">
      <formula>S$9&gt;=20/24</formula>
    </cfRule>
    <cfRule type="expression" dxfId="6055" priority="276">
      <formula>AND(S$9&gt;=14/24,S$9&lt;20/24)</formula>
    </cfRule>
    <cfRule type="expression" dxfId="6054" priority="277">
      <formula>AND(S$9&gt;=8/24,S$9&lt;14/24)</formula>
    </cfRule>
    <cfRule type="expression" dxfId="6053" priority="278">
      <formula>S$9&lt;8/24</formula>
    </cfRule>
  </conditionalFormatting>
  <conditionalFormatting sqref="S60:T61 X60:AC61 AB62:AC67 AD60:AE67">
    <cfRule type="expression" dxfId="6052" priority="271">
      <formula>S$9&gt;=20/24</formula>
    </cfRule>
    <cfRule type="expression" dxfId="6051" priority="272">
      <formula>AND(S$9&gt;=14/24,S$9&lt;20/24)</formula>
    </cfRule>
    <cfRule type="expression" dxfId="6050" priority="273">
      <formula>AND(S$9&gt;=8/24,S$9&lt;14/24)</formula>
    </cfRule>
    <cfRule type="expression" dxfId="6049" priority="274">
      <formula>S$9&lt;8/24</formula>
    </cfRule>
  </conditionalFormatting>
  <conditionalFormatting sqref="E62:L62">
    <cfRule type="expression" dxfId="6048" priority="267">
      <formula>E$9&gt;=20/24</formula>
    </cfRule>
    <cfRule type="expression" dxfId="6047" priority="268">
      <formula>AND(E$9&gt;=14/24,E$9&lt;20/24)</formula>
    </cfRule>
    <cfRule type="expression" dxfId="6046" priority="269">
      <formula>AND(E$9&gt;=8/24,E$9&lt;14/24)</formula>
    </cfRule>
    <cfRule type="expression" dxfId="6045" priority="270">
      <formula>E$9&lt;8/24</formula>
    </cfRule>
  </conditionalFormatting>
  <conditionalFormatting sqref="U94:AA97">
    <cfRule type="expression" dxfId="6044" priority="263">
      <formula>U$9&gt;=20/24</formula>
    </cfRule>
    <cfRule type="expression" dxfId="6043" priority="264">
      <formula>AND(U$9&gt;=14/24,U$9&lt;20/24)</formula>
    </cfRule>
    <cfRule type="expression" dxfId="6042" priority="265">
      <formula>AND(U$9&gt;=8/24,U$9&lt;14/24)</formula>
    </cfRule>
    <cfRule type="expression" dxfId="6041" priority="266">
      <formula>U$9&lt;8/24</formula>
    </cfRule>
  </conditionalFormatting>
  <conditionalFormatting sqref="AG51 C38:AF38 C51:AF52 E39:S42 C56:AF56 B22:D22 F43:S43 E16:L16 E34:L36 E18:L32 M44:S49 S50 E11:T14 U12:X14 D53:AF55 E37:AF37 U11:AF11 Y13:AF14 M16:AF17 T39:AF50">
    <cfRule type="expression" dxfId="6040" priority="262">
      <formula>B11&gt;$AG11</formula>
    </cfRule>
  </conditionalFormatting>
  <conditionalFormatting sqref="A100:A156 A84:A97 A11:A14 A16:A32 A45:A72 A80:A82 A74:A78 A35:A43 A169:A199">
    <cfRule type="expression" dxfId="6039" priority="261">
      <formula>$AH11=0</formula>
    </cfRule>
  </conditionalFormatting>
  <conditionalFormatting sqref="U98:AA98">
    <cfRule type="expression" dxfId="6038" priority="257">
      <formula>U$9&gt;=20/24</formula>
    </cfRule>
    <cfRule type="expression" dxfId="6037" priority="258">
      <formula>AND(U$9&gt;=14/24,U$9&lt;20/24)</formula>
    </cfRule>
    <cfRule type="expression" dxfId="6036" priority="259">
      <formula>AND(U$9&gt;=8/24,U$9&lt;14/24)</formula>
    </cfRule>
    <cfRule type="expression" dxfId="6035" priority="260">
      <formula>U$9&lt;8/24</formula>
    </cfRule>
  </conditionalFormatting>
  <conditionalFormatting sqref="A98">
    <cfRule type="expression" dxfId="6034" priority="256">
      <formula>$AH98=0</formula>
    </cfRule>
  </conditionalFormatting>
  <conditionalFormatting sqref="E63:L67">
    <cfRule type="expression" dxfId="6033" priority="248">
      <formula>E$9&gt;=20/24</formula>
    </cfRule>
    <cfRule type="expression" dxfId="6032" priority="249">
      <formula>AND(E$9&gt;=14/24,E$9&lt;20/24)</formula>
    </cfRule>
    <cfRule type="expression" dxfId="6031" priority="250">
      <formula>AND(E$9&gt;=8/24,E$9&lt;14/24)</formula>
    </cfRule>
    <cfRule type="expression" dxfId="6030" priority="251">
      <formula>E$9&lt;8/24</formula>
    </cfRule>
  </conditionalFormatting>
  <conditionalFormatting sqref="M62:M67">
    <cfRule type="expression" dxfId="6029" priority="244">
      <formula>M$9&gt;=20/24</formula>
    </cfRule>
    <cfRule type="expression" dxfId="6028" priority="245">
      <formula>AND(M$9&gt;=14/24,M$9&lt;20/24)</formula>
    </cfRule>
    <cfRule type="expression" dxfId="6027" priority="246">
      <formula>AND(M$9&gt;=8/24,M$9&lt;14/24)</formula>
    </cfRule>
    <cfRule type="expression" dxfId="6026" priority="247">
      <formula>M$9&lt;8/24</formula>
    </cfRule>
  </conditionalFormatting>
  <conditionalFormatting sqref="AL32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025" priority="230">
      <formula>$AH34=0</formula>
    </cfRule>
  </conditionalFormatting>
  <conditionalFormatting sqref="A83">
    <cfRule type="expression" dxfId="6024" priority="229">
      <formula>$AH83=0</formula>
    </cfRule>
  </conditionalFormatting>
  <conditionalFormatting sqref="M15:AF15">
    <cfRule type="expression" dxfId="6023" priority="221">
      <formula>M$9&gt;=20/24</formula>
    </cfRule>
    <cfRule type="expression" dxfId="6022" priority="222">
      <formula>AND(M$9&gt;=14/24,M$9&lt;20/24)</formula>
    </cfRule>
    <cfRule type="expression" dxfId="6021" priority="223">
      <formula>AND(M$9&gt;=8/24,M$9&lt;14/24)</formula>
    </cfRule>
    <cfRule type="expression" dxfId="6020" priority="224">
      <formula>M$9&lt;8/24</formula>
    </cfRule>
  </conditionalFormatting>
  <conditionalFormatting sqref="B15:AF15">
    <cfRule type="expression" dxfId="6019" priority="220">
      <formula>B15&gt;$AG15</formula>
    </cfRule>
  </conditionalFormatting>
  <conditionalFormatting sqref="A15">
    <cfRule type="expression" dxfId="6018" priority="219">
      <formula>$AH15=0</formula>
    </cfRule>
  </conditionalFormatting>
  <conditionalFormatting sqref="A163:A168">
    <cfRule type="expression" dxfId="6017" priority="218">
      <formula>$AH163=0</formula>
    </cfRule>
  </conditionalFormatting>
  <conditionalFormatting sqref="A157:A162">
    <cfRule type="expression" dxfId="6016" priority="217">
      <formula>$AH157=0</formula>
    </cfRule>
  </conditionalFormatting>
  <conditionalFormatting sqref="Z44:AF44">
    <cfRule type="expression" dxfId="6015" priority="213">
      <formula>Z$9&gt;=20/24</formula>
    </cfRule>
    <cfRule type="expression" dxfId="6014" priority="214">
      <formula>AND(Z$9&gt;=14/24,Z$9&lt;20/24)</formula>
    </cfRule>
    <cfRule type="expression" dxfId="6013" priority="215">
      <formula>AND(Z$9&gt;=8/24,Z$9&lt;14/24)</formula>
    </cfRule>
    <cfRule type="expression" dxfId="6012" priority="216">
      <formula>Z$9&lt;8/24</formula>
    </cfRule>
  </conditionalFormatting>
  <conditionalFormatting sqref="M44:R44">
    <cfRule type="expression" dxfId="6011" priority="209">
      <formula>M$9&gt;=20/24</formula>
    </cfRule>
    <cfRule type="expression" dxfId="6010" priority="210">
      <formula>AND(M$9&gt;=14/24,M$9&lt;20/24)</formula>
    </cfRule>
    <cfRule type="expression" dxfId="6009" priority="211">
      <formula>AND(M$9&gt;=8/24,M$9&lt;14/24)</formula>
    </cfRule>
    <cfRule type="expression" dxfId="6008" priority="212">
      <formula>M$9&lt;8/24</formula>
    </cfRule>
  </conditionalFormatting>
  <conditionalFormatting sqref="S44:AF44">
    <cfRule type="expression" dxfId="6007" priority="205">
      <formula>S$9&gt;=20/24</formula>
    </cfRule>
    <cfRule type="expression" dxfId="6006" priority="206">
      <formula>AND(S$9&gt;=14/24,S$9&lt;20/24)</formula>
    </cfRule>
    <cfRule type="expression" dxfId="6005" priority="207">
      <formula>AND(S$9&gt;=8/24,S$9&lt;14/24)</formula>
    </cfRule>
    <cfRule type="expression" dxfId="6004" priority="208">
      <formula>S$9&lt;8/24</formula>
    </cfRule>
  </conditionalFormatting>
  <conditionalFormatting sqref="A44">
    <cfRule type="expression" dxfId="6003" priority="204">
      <formula>$AH44=0</formula>
    </cfRule>
  </conditionalFormatting>
  <conditionalFormatting sqref="A79">
    <cfRule type="expression" dxfId="6002" priority="203">
      <formula>$AH79=0</formula>
    </cfRule>
  </conditionalFormatting>
  <conditionalFormatting sqref="A73">
    <cfRule type="expression" dxfId="6001" priority="202">
      <formula>$AH73=0</formula>
    </cfRule>
  </conditionalFormatting>
  <conditionalFormatting sqref="AL34:AL35 AL7:AL31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6000" priority="198">
      <formula>U$9&gt;=20/24</formula>
    </cfRule>
    <cfRule type="expression" dxfId="5999" priority="199">
      <formula>AND(U$9&gt;=14/24,U$9&lt;20/24)</formula>
    </cfRule>
    <cfRule type="expression" dxfId="5998" priority="200">
      <formula>AND(U$9&gt;=8/24,U$9&lt;14/24)</formula>
    </cfRule>
    <cfRule type="expression" dxfId="5997" priority="201">
      <formula>U$9&lt;8/24</formula>
    </cfRule>
  </conditionalFormatting>
  <conditionalFormatting sqref="V85:W91">
    <cfRule type="expression" dxfId="5996" priority="194">
      <formula>V$9&gt;=20/24</formula>
    </cfRule>
    <cfRule type="expression" dxfId="5995" priority="195">
      <formula>AND(V$9&gt;=14/24,V$9&lt;20/24)</formula>
    </cfRule>
    <cfRule type="expression" dxfId="5994" priority="196">
      <formula>AND(V$9&gt;=8/24,V$9&lt;14/24)</formula>
    </cfRule>
    <cfRule type="expression" dxfId="5993" priority="197">
      <formula>V$9&lt;8/24</formula>
    </cfRule>
  </conditionalFormatting>
  <conditionalFormatting sqref="E84:R91 S85:U91">
    <cfRule type="expression" dxfId="5992" priority="190">
      <formula>E$9&gt;=20/24</formula>
    </cfRule>
    <cfRule type="expression" dxfId="5991" priority="191">
      <formula>AND(E$9&gt;=14/24,E$9&lt;20/24)</formula>
    </cfRule>
    <cfRule type="expression" dxfId="5990" priority="192">
      <formula>AND(E$9&gt;=8/24,E$9&lt;14/24)</formula>
    </cfRule>
    <cfRule type="expression" dxfId="5989" priority="193">
      <formula>E$9&lt;8/24</formula>
    </cfRule>
  </conditionalFormatting>
  <conditionalFormatting sqref="S84:U84">
    <cfRule type="expression" dxfId="5988" priority="186">
      <formula>S$9&gt;=20/24</formula>
    </cfRule>
    <cfRule type="expression" dxfId="5987" priority="187">
      <formula>AND(S$9&gt;=14/24,S$9&lt;20/24)</formula>
    </cfRule>
    <cfRule type="expression" dxfId="5986" priority="188">
      <formula>AND(S$9&gt;=8/24,S$9&lt;14/24)</formula>
    </cfRule>
    <cfRule type="expression" dxfId="5985" priority="189">
      <formula>S$9&lt;8/24</formula>
    </cfRule>
  </conditionalFormatting>
  <conditionalFormatting sqref="C95:M97 C94:F94">
    <cfRule type="expression" dxfId="5984" priority="182">
      <formula>C$9&gt;=20/24</formula>
    </cfRule>
    <cfRule type="expression" dxfId="5983" priority="183">
      <formula>AND(C$9&gt;=14/24,C$9&lt;20/24)</formula>
    </cfRule>
    <cfRule type="expression" dxfId="5982" priority="184">
      <formula>AND(C$9&gt;=8/24,C$9&lt;14/24)</formula>
    </cfRule>
    <cfRule type="expression" dxfId="5981" priority="185">
      <formula>C$9&lt;8/24</formula>
    </cfRule>
  </conditionalFormatting>
  <conditionalFormatting sqref="N95:R97 O94:R94">
    <cfRule type="expression" dxfId="5980" priority="178">
      <formula>N$9&gt;=20/24</formula>
    </cfRule>
    <cfRule type="expression" dxfId="5979" priority="179">
      <formula>AND(N$9&gt;=14/24,N$9&lt;20/24)</formula>
    </cfRule>
    <cfRule type="expression" dxfId="5978" priority="180">
      <formula>AND(N$9&gt;=8/24,N$9&lt;14/24)</formula>
    </cfRule>
    <cfRule type="expression" dxfId="5977" priority="181">
      <formula>N$9&lt;8/24</formula>
    </cfRule>
  </conditionalFormatting>
  <conditionalFormatting sqref="S94:T97">
    <cfRule type="expression" dxfId="5976" priority="174">
      <formula>S$9&gt;=20/24</formula>
    </cfRule>
    <cfRule type="expression" dxfId="5975" priority="175">
      <formula>AND(S$9&gt;=14/24,S$9&lt;20/24)</formula>
    </cfRule>
    <cfRule type="expression" dxfId="5974" priority="176">
      <formula>AND(S$9&gt;=8/24,S$9&lt;14/24)</formula>
    </cfRule>
    <cfRule type="expression" dxfId="5973" priority="177">
      <formula>S$9&lt;8/24</formula>
    </cfRule>
  </conditionalFormatting>
  <conditionalFormatting sqref="C98:M98">
    <cfRule type="expression" dxfId="5972" priority="170">
      <formula>C$9&gt;=20/24</formula>
    </cfRule>
    <cfRule type="expression" dxfId="5971" priority="171">
      <formula>AND(C$9&gt;=14/24,C$9&lt;20/24)</formula>
    </cfRule>
    <cfRule type="expression" dxfId="5970" priority="172">
      <formula>AND(C$9&gt;=8/24,C$9&lt;14/24)</formula>
    </cfRule>
    <cfRule type="expression" dxfId="5969" priority="173">
      <formula>C$9&lt;8/24</formula>
    </cfRule>
  </conditionalFormatting>
  <conditionalFormatting sqref="N98:R98">
    <cfRule type="expression" dxfId="5968" priority="166">
      <formula>N$9&gt;=20/24</formula>
    </cfRule>
    <cfRule type="expression" dxfId="5967" priority="167">
      <formula>AND(N$9&gt;=14/24,N$9&lt;20/24)</formula>
    </cfRule>
    <cfRule type="expression" dxfId="5966" priority="168">
      <formula>AND(N$9&gt;=8/24,N$9&lt;14/24)</formula>
    </cfRule>
    <cfRule type="expression" dxfId="5965" priority="169">
      <formula>N$9&lt;8/24</formula>
    </cfRule>
  </conditionalFormatting>
  <conditionalFormatting sqref="S98:T98">
    <cfRule type="expression" dxfId="5964" priority="162">
      <formula>S$9&gt;=20/24</formula>
    </cfRule>
    <cfRule type="expression" dxfId="5963" priority="163">
      <formula>AND(S$9&gt;=14/24,S$9&lt;20/24)</formula>
    </cfRule>
    <cfRule type="expression" dxfId="5962" priority="164">
      <formula>AND(S$9&gt;=8/24,S$9&lt;14/24)</formula>
    </cfRule>
    <cfRule type="expression" dxfId="5961" priority="165">
      <formula>S$9&lt;8/24</formula>
    </cfRule>
  </conditionalFormatting>
  <conditionalFormatting sqref="M94:N94">
    <cfRule type="expression" dxfId="5960" priority="158">
      <formula>M$9&gt;=20/24</formula>
    </cfRule>
    <cfRule type="expression" dxfId="5959" priority="159">
      <formula>AND(M$9&gt;=14/24,M$9&lt;20/24)</formula>
    </cfRule>
    <cfRule type="expression" dxfId="5958" priority="160">
      <formula>AND(M$9&gt;=8/24,M$9&lt;14/24)</formula>
    </cfRule>
    <cfRule type="expression" dxfId="5957" priority="161">
      <formula>M$9&lt;8/24</formula>
    </cfRule>
  </conditionalFormatting>
  <conditionalFormatting sqref="G94:L94">
    <cfRule type="expression" dxfId="5956" priority="154">
      <formula>G$9&gt;=20/24</formula>
    </cfRule>
    <cfRule type="expression" dxfId="5955" priority="155">
      <formula>AND(G$9&gt;=14/24,G$9&lt;20/24)</formula>
    </cfRule>
    <cfRule type="expression" dxfId="5954" priority="156">
      <formula>AND(G$9&gt;=8/24,G$9&lt;14/24)</formula>
    </cfRule>
    <cfRule type="expression" dxfId="5953" priority="157">
      <formula>G$9&lt;8/24</formula>
    </cfRule>
  </conditionalFormatting>
  <conditionalFormatting sqref="U94:W94">
    <cfRule type="expression" dxfId="5952" priority="150">
      <formula>U$9&gt;=20/24</formula>
    </cfRule>
    <cfRule type="expression" dxfId="5951" priority="151">
      <formula>AND(U$9&gt;=14/24,U$9&lt;20/24)</formula>
    </cfRule>
    <cfRule type="expression" dxfId="5950" priority="152">
      <formula>AND(U$9&gt;=8/24,U$9&lt;14/24)</formula>
    </cfRule>
    <cfRule type="expression" dxfId="5949" priority="153">
      <formula>U$9&lt;8/24</formula>
    </cfRule>
  </conditionalFormatting>
  <conditionalFormatting sqref="N94:T94">
    <cfRule type="expression" dxfId="5948" priority="146">
      <formula>N$9&gt;=20/24</formula>
    </cfRule>
    <cfRule type="expression" dxfId="5947" priority="147">
      <formula>AND(N$9&gt;=14/24,N$9&lt;20/24)</formula>
    </cfRule>
    <cfRule type="expression" dxfId="5946" priority="148">
      <formula>AND(N$9&gt;=8/24,N$9&lt;14/24)</formula>
    </cfRule>
    <cfRule type="expression" dxfId="5945" priority="149">
      <formula>N$9&lt;8/24</formula>
    </cfRule>
  </conditionalFormatting>
  <conditionalFormatting sqref="U99:AA99">
    <cfRule type="expression" dxfId="5944" priority="142">
      <formula>U$9&gt;=20/24</formula>
    </cfRule>
    <cfRule type="expression" dxfId="5943" priority="143">
      <formula>AND(U$9&gt;=14/24,U$9&lt;20/24)</formula>
    </cfRule>
    <cfRule type="expression" dxfId="5942" priority="144">
      <formula>AND(U$9&gt;=8/24,U$9&lt;14/24)</formula>
    </cfRule>
    <cfRule type="expression" dxfId="5941" priority="145">
      <formula>U$9&lt;8/24</formula>
    </cfRule>
  </conditionalFormatting>
  <conditionalFormatting sqref="C99:M99">
    <cfRule type="expression" dxfId="5940" priority="138">
      <formula>C$9&gt;=20/24</formula>
    </cfRule>
    <cfRule type="expression" dxfId="5939" priority="139">
      <formula>AND(C$9&gt;=14/24,C$9&lt;20/24)</formula>
    </cfRule>
    <cfRule type="expression" dxfId="5938" priority="140">
      <formula>AND(C$9&gt;=8/24,C$9&lt;14/24)</formula>
    </cfRule>
    <cfRule type="expression" dxfId="5937" priority="141">
      <formula>C$9&lt;8/24</formula>
    </cfRule>
  </conditionalFormatting>
  <conditionalFormatting sqref="N99:R99">
    <cfRule type="expression" dxfId="5936" priority="134">
      <formula>N$9&gt;=20/24</formula>
    </cfRule>
    <cfRule type="expression" dxfId="5935" priority="135">
      <formula>AND(N$9&gt;=14/24,N$9&lt;20/24)</formula>
    </cfRule>
    <cfRule type="expression" dxfId="5934" priority="136">
      <formula>AND(N$9&gt;=8/24,N$9&lt;14/24)</formula>
    </cfRule>
    <cfRule type="expression" dxfId="5933" priority="137">
      <formula>N$9&lt;8/24</formula>
    </cfRule>
  </conditionalFormatting>
  <conditionalFormatting sqref="S99:T99">
    <cfRule type="expression" dxfId="5932" priority="130">
      <formula>S$9&gt;=20/24</formula>
    </cfRule>
    <cfRule type="expression" dxfId="5931" priority="131">
      <formula>AND(S$9&gt;=14/24,S$9&lt;20/24)</formula>
    </cfRule>
    <cfRule type="expression" dxfId="5930" priority="132">
      <formula>AND(S$9&gt;=8/24,S$9&lt;14/24)</formula>
    </cfRule>
    <cfRule type="expression" dxfId="5929" priority="133">
      <formula>S$9&lt;8/24</formula>
    </cfRule>
  </conditionalFormatting>
  <conditionalFormatting sqref="Y12:AF12">
    <cfRule type="expression" dxfId="5928" priority="126">
      <formula>Y$9&gt;=20/24</formula>
    </cfRule>
    <cfRule type="expression" dxfId="5927" priority="127">
      <formula>AND(Y$9&gt;=14/24,Y$9&lt;20/24)</formula>
    </cfRule>
    <cfRule type="expression" dxfId="5926" priority="128">
      <formula>AND(Y$9&gt;=8/24,Y$9&lt;14/24)</formula>
    </cfRule>
    <cfRule type="expression" dxfId="5925" priority="129">
      <formula>Y$9&lt;8/24</formula>
    </cfRule>
  </conditionalFormatting>
  <conditionalFormatting sqref="Y12:AF12">
    <cfRule type="expression" dxfId="5924" priority="118">
      <formula>Y$9&gt;=20/24</formula>
    </cfRule>
    <cfRule type="expression" dxfId="5923" priority="119">
      <formula>AND(Y$9&gt;=14/24,Y$9&lt;20/24)</formula>
    </cfRule>
    <cfRule type="expression" dxfId="5922" priority="120">
      <formula>AND(Y$9&gt;=8/24,Y$9&lt;14/24)</formula>
    </cfRule>
    <cfRule type="expression" dxfId="5921" priority="121">
      <formula>Y$9&lt;8/24</formula>
    </cfRule>
  </conditionalFormatting>
  <conditionalFormatting sqref="AB58:AE59">
    <cfRule type="expression" dxfId="5920" priority="114">
      <formula>AB$9&gt;=20/24</formula>
    </cfRule>
    <cfRule type="expression" dxfId="5919" priority="115">
      <formula>AND(AB$9&gt;=14/24,AB$9&lt;20/24)</formula>
    </cfRule>
    <cfRule type="expression" dxfId="5918" priority="116">
      <formula>AND(AB$9&gt;=8/24,AB$9&lt;14/24)</formula>
    </cfRule>
    <cfRule type="expression" dxfId="5917" priority="117">
      <formula>AB$9&lt;8/24</formula>
    </cfRule>
  </conditionalFormatting>
  <conditionalFormatting sqref="AL33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16" priority="347">
      <formula>C$9&gt;=20/24</formula>
    </cfRule>
    <cfRule type="expression" dxfId="5915" priority="348">
      <formula>AND(C$9&gt;=14/24,C$9&lt;20/24)</formula>
    </cfRule>
    <cfRule type="expression" dxfId="5914" priority="349">
      <formula>AND(C$9&gt;=8/24,C$9&lt;14/24)</formula>
    </cfRule>
    <cfRule type="expression" dxfId="5913" priority="350">
      <formula>C$9&lt;8/24</formula>
    </cfRule>
  </conditionalFormatting>
  <conditionalFormatting sqref="A200">
    <cfRule type="expression" dxfId="5912" priority="351">
      <formula>$AH200=0</formula>
    </cfRule>
  </conditionalFormatting>
  <conditionalFormatting sqref="AG212">
    <cfRule type="expression" dxfId="5911" priority="352">
      <formula>B$9&gt;=20/24</formula>
    </cfRule>
    <cfRule type="expression" dxfId="5910" priority="353">
      <formula>AND(B$9&gt;=14/24,B$9&lt;20/24)</formula>
    </cfRule>
    <cfRule type="expression" dxfId="5909" priority="354">
      <formula>AND(B$9&gt;=8/24,B$9&lt;14/24)</formula>
    </cfRule>
    <cfRule type="expression" dxfId="5908" priority="355">
      <formula>B$9&lt;8/24</formula>
    </cfRule>
  </conditionalFormatting>
  <conditionalFormatting sqref="S8">
    <cfRule type="expression" dxfId="5907" priority="108">
      <formula>U$9&gt;=20/24</formula>
    </cfRule>
    <cfRule type="expression" dxfId="5906" priority="109">
      <formula>AND(U$9&gt;=14/24,U$9&lt;20/24)</formula>
    </cfRule>
    <cfRule type="expression" dxfId="5905" priority="110">
      <formula>AND(U$9&gt;=8/24,U$9&lt;14/24)</formula>
    </cfRule>
    <cfRule type="expression" dxfId="5904" priority="111">
      <formula>U$9&lt;8/24</formula>
    </cfRule>
  </conditionalFormatting>
  <conditionalFormatting sqref="AB8">
    <cfRule type="expression" dxfId="5903" priority="104">
      <formula>AD$9&gt;=20/24</formula>
    </cfRule>
    <cfRule type="expression" dxfId="5902" priority="105">
      <formula>AND(AD$9&gt;=14/24,AD$9&lt;20/24)</formula>
    </cfRule>
    <cfRule type="expression" dxfId="5901" priority="106">
      <formula>AND(AD$9&gt;=8/24,AD$9&lt;14/24)</formula>
    </cfRule>
    <cfRule type="expression" dxfId="5900" priority="107">
      <formula>AD$9&lt;8/24</formula>
    </cfRule>
  </conditionalFormatting>
  <conditionalFormatting sqref="AH212:AX212">
    <cfRule type="expression" dxfId="5899" priority="356">
      <formula>AG$9&gt;=20/24</formula>
    </cfRule>
    <cfRule type="expression" dxfId="5898" priority="357">
      <formula>AND(AG$9&gt;=14/24,AG$9&lt;20/24)</formula>
    </cfRule>
    <cfRule type="expression" dxfId="5897" priority="358">
      <formula>AND(AG$9&gt;=8/24,AG$9&lt;14/24)</formula>
    </cfRule>
    <cfRule type="expression" dxfId="5896" priority="359">
      <formula>AG$9&lt;8/24</formula>
    </cfRule>
  </conditionalFormatting>
  <conditionalFormatting sqref="T212">
    <cfRule type="expression" dxfId="5895" priority="360">
      <formula>AX$9&gt;=20/24</formula>
    </cfRule>
    <cfRule type="expression" dxfId="5894" priority="361">
      <formula>AND(AX$9&gt;=14/24,AX$9&lt;20/24)</formula>
    </cfRule>
    <cfRule type="expression" dxfId="5893" priority="362">
      <formula>AND(AX$9&gt;=8/24,AX$9&lt;14/24)</formula>
    </cfRule>
    <cfRule type="expression" dxfId="5892" priority="363">
      <formula>AX$9&lt;8/24</formula>
    </cfRule>
  </conditionalFormatting>
  <conditionalFormatting sqref="A99">
    <cfRule type="expression" dxfId="5891" priority="103">
      <formula>$AH99=0</formula>
    </cfRule>
  </conditionalFormatting>
  <conditionalFormatting sqref="E33:L33">
    <cfRule type="expression" dxfId="5890" priority="90">
      <formula>E33&gt;$AG33</formula>
    </cfRule>
  </conditionalFormatting>
  <conditionalFormatting sqref="B53:B56 B68:B91 B94:B99 C53:C55 C84:D91">
    <cfRule type="expression" dxfId="5889" priority="86">
      <formula>B$9&gt;=20/24</formula>
    </cfRule>
    <cfRule type="expression" dxfId="5888" priority="87">
      <formula>AND(B$9&gt;=14/24,B$9&lt;20/24)</formula>
    </cfRule>
    <cfRule type="expression" dxfId="5887" priority="88">
      <formula>AND(B$9&gt;=8/24,B$9&lt;14/24)</formula>
    </cfRule>
    <cfRule type="expression" dxfId="5886" priority="89">
      <formula>B$9&lt;8/24</formula>
    </cfRule>
  </conditionalFormatting>
  <conditionalFormatting sqref="B57:D57">
    <cfRule type="expression" dxfId="5885" priority="82">
      <formula>B$9&gt;=20/24</formula>
    </cfRule>
    <cfRule type="expression" dxfId="5884" priority="83">
      <formula>AND(B$9&gt;=14/24,B$9&lt;20/24)</formula>
    </cfRule>
    <cfRule type="expression" dxfId="5883" priority="84">
      <formula>AND(B$9&gt;=8/24,B$9&lt;14/24)</formula>
    </cfRule>
    <cfRule type="expression" dxfId="5882" priority="85">
      <formula>B$9&lt;8/24</formula>
    </cfRule>
  </conditionalFormatting>
  <conditionalFormatting sqref="B60:D67">
    <cfRule type="expression" dxfId="5881" priority="78">
      <formula>B$9&gt;=20/24</formula>
    </cfRule>
    <cfRule type="expression" dxfId="5880" priority="79">
      <formula>AND(B$9&gt;=14/24,B$9&lt;20/24)</formula>
    </cfRule>
    <cfRule type="expression" dxfId="5879" priority="80">
      <formula>AND(B$9&gt;=8/24,B$9&lt;14/24)</formula>
    </cfRule>
    <cfRule type="expression" dxfId="5878" priority="81">
      <formula>B$9&lt;8/24</formula>
    </cfRule>
  </conditionalFormatting>
  <conditionalFormatting sqref="B38:B56 C53:C55 C39:D49 E43:E49 F44:L49 C50:R50 C47:L47">
    <cfRule type="expression" dxfId="5877" priority="77">
      <formula>B38&gt;$AG38</formula>
    </cfRule>
  </conditionalFormatting>
  <conditionalFormatting sqref="B58:D59">
    <cfRule type="expression" dxfId="5876" priority="73">
      <formula>B$9&gt;=20/24</formula>
    </cfRule>
    <cfRule type="expression" dxfId="5875" priority="74">
      <formula>AND(B$9&gt;=14/24,B$9&lt;20/24)</formula>
    </cfRule>
    <cfRule type="expression" dxfId="5874" priority="75">
      <formula>AND(B$9&gt;=8/24,B$9&lt;14/24)</formula>
    </cfRule>
    <cfRule type="expression" dxfId="5873" priority="76">
      <formula>B$9&lt;8/24</formula>
    </cfRule>
  </conditionalFormatting>
  <conditionalFormatting sqref="B16:D16 B28:D31 B11:D14 B36:D36 B23:D26 B18:D21 B17:L17">
    <cfRule type="expression" dxfId="5872" priority="69">
      <formula>B$9&gt;=20/24</formula>
    </cfRule>
    <cfRule type="expression" dxfId="5871" priority="70">
      <formula>AND(B$9&gt;=14/24,B$9&lt;20/24)</formula>
    </cfRule>
    <cfRule type="expression" dxfId="5870" priority="71">
      <formula>AND(B$9&gt;=8/24,B$9&lt;14/24)</formula>
    </cfRule>
    <cfRule type="expression" dxfId="5869" priority="72">
      <formula>B$9&lt;8/24</formula>
    </cfRule>
  </conditionalFormatting>
  <conditionalFormatting sqref="B32:D32">
    <cfRule type="expression" dxfId="5868" priority="65">
      <formula>B$9&gt;=20/24</formula>
    </cfRule>
    <cfRule type="expression" dxfId="5867" priority="66">
      <formula>AND(B$9&gt;=14/24,B$9&lt;20/24)</formula>
    </cfRule>
    <cfRule type="expression" dxfId="5866" priority="67">
      <formula>AND(B$9&gt;=8/24,B$9&lt;14/24)</formula>
    </cfRule>
    <cfRule type="expression" dxfId="5865" priority="68">
      <formula>B$9&lt;8/24</formula>
    </cfRule>
  </conditionalFormatting>
  <conditionalFormatting sqref="B37:D37">
    <cfRule type="expression" dxfId="5864" priority="61">
      <formula>B$9&gt;=20/24</formula>
    </cfRule>
    <cfRule type="expression" dxfId="5863" priority="62">
      <formula>AND(B$9&gt;=14/24,B$9&lt;20/24)</formula>
    </cfRule>
    <cfRule type="expression" dxfId="5862" priority="63">
      <formula>AND(B$9&gt;=8/24,B$9&lt;14/24)</formula>
    </cfRule>
    <cfRule type="expression" dxfId="5861" priority="64">
      <formula>B$9&lt;8/24</formula>
    </cfRule>
  </conditionalFormatting>
  <conditionalFormatting sqref="B35:D35">
    <cfRule type="expression" dxfId="5860" priority="57">
      <formula>B$9&gt;=20/24</formula>
    </cfRule>
    <cfRule type="expression" dxfId="5859" priority="58">
      <formula>AND(B$9&gt;=14/24,B$9&lt;20/24)</formula>
    </cfRule>
    <cfRule type="expression" dxfId="5858" priority="59">
      <formula>AND(B$9&gt;=8/24,B$9&lt;14/24)</formula>
    </cfRule>
    <cfRule type="expression" dxfId="5857" priority="60">
      <formula>B$9&lt;8/24</formula>
    </cfRule>
  </conditionalFormatting>
  <conditionalFormatting sqref="B11:D14 B34:D37 B23:D32 B16:D16 B18:D21 B17:L17">
    <cfRule type="expression" dxfId="5856" priority="56">
      <formula>B11&gt;$AG11</formula>
    </cfRule>
  </conditionalFormatting>
  <conditionalFormatting sqref="B34:D34">
    <cfRule type="expression" dxfId="5855" priority="52">
      <formula>B$9&gt;=20/24</formula>
    </cfRule>
    <cfRule type="expression" dxfId="5854" priority="53">
      <formula>AND(B$9&gt;=14/24,B$9&lt;20/24)</formula>
    </cfRule>
    <cfRule type="expression" dxfId="5853" priority="54">
      <formula>AND(B$9&gt;=8/24,B$9&lt;14/24)</formula>
    </cfRule>
    <cfRule type="expression" dxfId="5852" priority="55">
      <formula>B$9&lt;8/24</formula>
    </cfRule>
  </conditionalFormatting>
  <conditionalFormatting sqref="B33:D33">
    <cfRule type="expression" dxfId="5851" priority="44">
      <formula>B$9&gt;=20/24</formula>
    </cfRule>
    <cfRule type="expression" dxfId="5850" priority="45">
      <formula>AND(B$9&gt;=14/24,B$9&lt;20/24)</formula>
    </cfRule>
    <cfRule type="expression" dxfId="5849" priority="46">
      <formula>AND(B$9&gt;=8/24,B$9&lt;14/24)</formula>
    </cfRule>
    <cfRule type="expression" dxfId="5848" priority="47">
      <formula>B$9&lt;8/24</formula>
    </cfRule>
  </conditionalFormatting>
  <conditionalFormatting sqref="B33:D33">
    <cfRule type="expression" dxfId="5847" priority="43">
      <formula>B33&gt;$AG33</formula>
    </cfRule>
  </conditionalFormatting>
  <conditionalFormatting sqref="B40:D43 E43">
    <cfRule type="expression" dxfId="5846" priority="39">
      <formula>B$9&gt;=20/24</formula>
    </cfRule>
    <cfRule type="expression" dxfId="5845" priority="40">
      <formula>AND(B$9&gt;=14/24,B$9&lt;20/24)</formula>
    </cfRule>
    <cfRule type="expression" dxfId="5844" priority="41">
      <formula>AND(B$9&gt;=8/24,B$9&lt;14/24)</formula>
    </cfRule>
    <cfRule type="expression" dxfId="5843" priority="42">
      <formula>B$9&lt;8/24</formula>
    </cfRule>
  </conditionalFormatting>
  <conditionalFormatting sqref="B39:D39">
    <cfRule type="expression" dxfId="5842" priority="35">
      <formula>B$9&gt;=20/24</formula>
    </cfRule>
    <cfRule type="expression" dxfId="5841" priority="36">
      <formula>AND(B$9&gt;=14/24,B$9&lt;20/24)</formula>
    </cfRule>
    <cfRule type="expression" dxfId="5840" priority="37">
      <formula>AND(B$9&gt;=8/24,B$9&lt;14/24)</formula>
    </cfRule>
    <cfRule type="expression" dxfId="5839" priority="38">
      <formula>B$9&lt;8/24</formula>
    </cfRule>
  </conditionalFormatting>
  <conditionalFormatting sqref="B45:L48">
    <cfRule type="expression" dxfId="5838" priority="31">
      <formula>B$9&gt;=20/24</formula>
    </cfRule>
    <cfRule type="expression" dxfId="5837" priority="32">
      <formula>AND(B$9&gt;=14/24,B$9&lt;20/24)</formula>
    </cfRule>
    <cfRule type="expression" dxfId="5836" priority="33">
      <formula>AND(B$9&gt;=8/24,B$9&lt;14/24)</formula>
    </cfRule>
    <cfRule type="expression" dxfId="5835" priority="34">
      <formula>B$9&lt;8/24</formula>
    </cfRule>
  </conditionalFormatting>
  <conditionalFormatting sqref="B49:L49">
    <cfRule type="expression" dxfId="5834" priority="27">
      <formula>B$9&gt;=20/24</formula>
    </cfRule>
    <cfRule type="expression" dxfId="5833" priority="28">
      <formula>AND(B$9&gt;=14/24,B$9&lt;20/24)</formula>
    </cfRule>
    <cfRule type="expression" dxfId="5832" priority="29">
      <formula>AND(B$9&gt;=8/24,B$9&lt;14/24)</formula>
    </cfRule>
    <cfRule type="expression" dxfId="5831" priority="30">
      <formula>B$9&lt;8/24</formula>
    </cfRule>
  </conditionalFormatting>
  <conditionalFormatting sqref="B50:R50">
    <cfRule type="expression" dxfId="5830" priority="23">
      <formula>B$9&gt;=20/24</formula>
    </cfRule>
    <cfRule type="expression" dxfId="5829" priority="24">
      <formula>AND(B$9&gt;=14/24,B$9&lt;20/24)</formula>
    </cfRule>
    <cfRule type="expression" dxfId="5828" priority="25">
      <formula>AND(B$9&gt;=8/24,B$9&lt;14/24)</formula>
    </cfRule>
    <cfRule type="expression" dxfId="5827" priority="26">
      <formula>B$9&lt;8/24</formula>
    </cfRule>
  </conditionalFormatting>
  <conditionalFormatting sqref="B44:L44">
    <cfRule type="expression" dxfId="5826" priority="19">
      <formula>B$9&gt;=20/24</formula>
    </cfRule>
    <cfRule type="expression" dxfId="5825" priority="20">
      <formula>AND(B$9&gt;=14/24,B$9&lt;20/24)</formula>
    </cfRule>
    <cfRule type="expression" dxfId="5824" priority="21">
      <formula>AND(B$9&gt;=8/24,B$9&lt;14/24)</formula>
    </cfRule>
    <cfRule type="expression" dxfId="5823" priority="22">
      <formula>B$9&lt;8/24</formula>
    </cfRule>
  </conditionalFormatting>
  <conditionalFormatting sqref="M18:AF32 M36:AF36">
    <cfRule type="expression" dxfId="5822" priority="15">
      <formula>M$9&gt;=20/24</formula>
    </cfRule>
    <cfRule type="expression" dxfId="5821" priority="16">
      <formula>AND(M$9&gt;=14/24,M$9&lt;20/24)</formula>
    </cfRule>
    <cfRule type="expression" dxfId="5820" priority="17">
      <formula>AND(M$9&gt;=8/24,M$9&lt;14/24)</formula>
    </cfRule>
    <cfRule type="expression" dxfId="5819" priority="18">
      <formula>M$9&lt;8/24</formula>
    </cfRule>
  </conditionalFormatting>
  <conditionalFormatting sqref="M35:AF35">
    <cfRule type="expression" dxfId="5818" priority="11">
      <formula>M$9&gt;=20/24</formula>
    </cfRule>
    <cfRule type="expression" dxfId="5817" priority="12">
      <formula>AND(M$9&gt;=14/24,M$9&lt;20/24)</formula>
    </cfRule>
    <cfRule type="expression" dxfId="5816" priority="13">
      <formula>AND(M$9&gt;=8/24,M$9&lt;14/24)</formula>
    </cfRule>
    <cfRule type="expression" dxfId="5815" priority="14">
      <formula>M$9&lt;8/24</formula>
    </cfRule>
  </conditionalFormatting>
  <conditionalFormatting sqref="M18:AF32 M34:AF36">
    <cfRule type="expression" dxfId="5814" priority="10">
      <formula>M18&gt;$AG18</formula>
    </cfRule>
  </conditionalFormatting>
  <conditionalFormatting sqref="M34:AF34">
    <cfRule type="expression" dxfId="5813" priority="6">
      <formula>M$9&gt;=20/24</formula>
    </cfRule>
    <cfRule type="expression" dxfId="5812" priority="7">
      <formula>AND(M$9&gt;=14/24,M$9&lt;20/24)</formula>
    </cfRule>
    <cfRule type="expression" dxfId="5811" priority="8">
      <formula>AND(M$9&gt;=8/24,M$9&lt;14/24)</formula>
    </cfRule>
    <cfRule type="expression" dxfId="5810" priority="9">
      <formula>M$9&lt;8/24</formula>
    </cfRule>
  </conditionalFormatting>
  <conditionalFormatting sqref="M33:AF33">
    <cfRule type="expression" dxfId="5809" priority="2">
      <formula>M$9&gt;=20/24</formula>
    </cfRule>
    <cfRule type="expression" dxfId="5808" priority="3">
      <formula>AND(M$9&gt;=14/24,M$9&lt;20/24)</formula>
    </cfRule>
    <cfRule type="expression" dxfId="5807" priority="4">
      <formula>AND(M$9&gt;=8/24,M$9&lt;14/24)</formula>
    </cfRule>
    <cfRule type="expression" dxfId="5806" priority="5">
      <formula>M$9&lt;8/24</formula>
    </cfRule>
  </conditionalFormatting>
  <conditionalFormatting sqref="M33:AF33">
    <cfRule type="expression" dxfId="5805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3" id="{9D6202E6-B420-4D5D-9AC4-F2D5D3AAB6C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H40" sqref="H4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2078/11/11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469.37</v>
      </c>
      <c r="C5" s="32">
        <f t="shared" si="0"/>
        <v>425.32</v>
      </c>
      <c r="D5" s="32">
        <f t="shared" si="0"/>
        <v>428.47</v>
      </c>
      <c r="E5" s="32">
        <f t="shared" si="0"/>
        <v>445.5</v>
      </c>
      <c r="F5" s="32">
        <f t="shared" si="0"/>
        <v>425.72</v>
      </c>
      <c r="G5" s="32">
        <f t="shared" si="0"/>
        <v>384.8</v>
      </c>
      <c r="H5" s="32">
        <f t="shared" si="0"/>
        <v>406.9</v>
      </c>
      <c r="I5" s="32">
        <f t="shared" si="0"/>
        <v>333.69999999999993</v>
      </c>
      <c r="J5" s="32">
        <f t="shared" si="0"/>
        <v>340.6</v>
      </c>
      <c r="K5" s="32">
        <f t="shared" si="0"/>
        <v>383.15999999999997</v>
      </c>
      <c r="L5" s="32">
        <f t="shared" si="0"/>
        <v>384.3</v>
      </c>
      <c r="M5" s="32">
        <f t="shared" si="0"/>
        <v>367.29999999999995</v>
      </c>
      <c r="N5" s="32">
        <f t="shared" si="0"/>
        <v>439.1</v>
      </c>
      <c r="O5" s="32">
        <f t="shared" si="0"/>
        <v>531.9</v>
      </c>
      <c r="P5" s="32">
        <f t="shared" si="0"/>
        <v>534.5</v>
      </c>
      <c r="Q5" s="32">
        <f t="shared" si="0"/>
        <v>575.69999999999993</v>
      </c>
      <c r="R5" s="32">
        <f t="shared" si="0"/>
        <v>583.78000000000009</v>
      </c>
      <c r="S5" s="32">
        <f t="shared" si="0"/>
        <v>560.17999999999995</v>
      </c>
      <c r="T5" s="32">
        <f t="shared" si="0"/>
        <v>593.93000000000006</v>
      </c>
      <c r="U5" s="32">
        <f t="shared" si="0"/>
        <v>446</v>
      </c>
      <c r="V5" s="32">
        <f t="shared" si="0"/>
        <v>547.20000000000005</v>
      </c>
      <c r="W5" s="32">
        <f t="shared" si="0"/>
        <v>301.06</v>
      </c>
      <c r="X5" s="32">
        <f t="shared" si="0"/>
        <v>378.5</v>
      </c>
      <c r="Y5" s="32">
        <f t="shared" si="0"/>
        <v>291.92999999999995</v>
      </c>
      <c r="Z5" s="32">
        <f t="shared" si="0"/>
        <v>507.63</v>
      </c>
      <c r="AA5" s="32">
        <f t="shared" si="0"/>
        <v>436</v>
      </c>
      <c r="AB5" s="32">
        <f t="shared" si="0"/>
        <v>571</v>
      </c>
      <c r="AC5" s="32">
        <f t="shared" si="0"/>
        <v>567</v>
      </c>
      <c r="AD5" s="32">
        <f t="shared" si="0"/>
        <v>545.5</v>
      </c>
      <c r="AE5" s="32">
        <f t="shared" si="0"/>
        <v>436</v>
      </c>
      <c r="AF5" s="32">
        <f>B68</f>
        <v>491.57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1519MW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Load=920</v>
      </c>
      <c r="B7" s="37">
        <f>B75</f>
        <v>973.81</v>
      </c>
      <c r="C7" s="37">
        <f t="shared" ref="C7:AF7" si="1">C75</f>
        <v>963.51</v>
      </c>
      <c r="D7" s="37">
        <f t="shared" si="1"/>
        <v>919.56</v>
      </c>
      <c r="E7" s="37">
        <f t="shared" si="1"/>
        <v>923.61000000000013</v>
      </c>
      <c r="F7" s="37">
        <f t="shared" si="1"/>
        <v>947.6400000000001</v>
      </c>
      <c r="G7" s="37">
        <f t="shared" si="1"/>
        <v>976.46</v>
      </c>
      <c r="H7" s="37">
        <f t="shared" si="1"/>
        <v>1068.6400000000001</v>
      </c>
      <c r="I7" s="37">
        <f t="shared" si="1"/>
        <v>1151.8399999999999</v>
      </c>
      <c r="J7" s="37">
        <f t="shared" si="1"/>
        <v>1254.94</v>
      </c>
      <c r="K7" s="37">
        <f t="shared" si="1"/>
        <v>1401.64</v>
      </c>
      <c r="L7" s="37">
        <f t="shared" si="1"/>
        <v>1497.1</v>
      </c>
      <c r="M7" s="37">
        <f t="shared" si="1"/>
        <v>1518.54</v>
      </c>
      <c r="N7" s="37">
        <f t="shared" si="1"/>
        <v>1437.94</v>
      </c>
      <c r="O7" s="37">
        <f t="shared" si="1"/>
        <v>1329.14</v>
      </c>
      <c r="P7" s="37">
        <f t="shared" si="1"/>
        <v>1276.24</v>
      </c>
      <c r="Q7" s="37">
        <f t="shared" si="1"/>
        <v>1240.1399999999999</v>
      </c>
      <c r="R7" s="37">
        <f t="shared" si="1"/>
        <v>1194.8400000000001</v>
      </c>
      <c r="S7" s="37">
        <f t="shared" si="1"/>
        <v>1190.2200000000003</v>
      </c>
      <c r="T7" s="37">
        <f t="shared" si="1"/>
        <v>1166.02</v>
      </c>
      <c r="U7" s="37">
        <f t="shared" si="1"/>
        <v>1208.67</v>
      </c>
      <c r="V7" s="37">
        <f t="shared" si="1"/>
        <v>1255.1400000000001</v>
      </c>
      <c r="W7" s="37">
        <f t="shared" si="1"/>
        <v>1289.94</v>
      </c>
      <c r="X7" s="37">
        <f t="shared" si="1"/>
        <v>1395.8999999999999</v>
      </c>
      <c r="Y7" s="37">
        <f t="shared" si="1"/>
        <v>1472.44</v>
      </c>
      <c r="Z7" s="37">
        <f t="shared" si="1"/>
        <v>1520.9699999999998</v>
      </c>
      <c r="AA7" s="37">
        <f t="shared" si="1"/>
        <v>1455.9699999999998</v>
      </c>
      <c r="AB7" s="37">
        <f t="shared" si="1"/>
        <v>1371.9399999999998</v>
      </c>
      <c r="AC7" s="37">
        <f t="shared" si="1"/>
        <v>1298.44</v>
      </c>
      <c r="AD7" s="37">
        <f t="shared" si="1"/>
        <v>1211.54</v>
      </c>
      <c r="AE7" s="37">
        <f t="shared" si="1"/>
        <v>1068.04</v>
      </c>
      <c r="AF7" s="37">
        <f t="shared" si="1"/>
        <v>974.54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13</v>
      </c>
      <c r="C11" s="50">
        <v>13</v>
      </c>
      <c r="D11" s="50">
        <v>13</v>
      </c>
      <c r="E11" s="50">
        <v>13</v>
      </c>
      <c r="F11" s="49">
        <v>13</v>
      </c>
      <c r="G11" s="49">
        <v>13</v>
      </c>
      <c r="H11" s="49">
        <v>76</v>
      </c>
      <c r="I11" s="49">
        <v>76</v>
      </c>
      <c r="J11" s="49">
        <v>180</v>
      </c>
      <c r="K11" s="49">
        <v>270</v>
      </c>
      <c r="L11" s="49">
        <v>250</v>
      </c>
      <c r="M11" s="50">
        <v>270</v>
      </c>
      <c r="N11" s="50">
        <v>270</v>
      </c>
      <c r="O11" s="50">
        <v>150</v>
      </c>
      <c r="P11" s="50">
        <v>70</v>
      </c>
      <c r="Q11" s="50">
        <v>50</v>
      </c>
      <c r="R11" s="51">
        <v>15</v>
      </c>
      <c r="S11" s="51">
        <v>12</v>
      </c>
      <c r="T11" s="51">
        <v>12</v>
      </c>
      <c r="U11" s="51">
        <v>12</v>
      </c>
      <c r="V11" s="51">
        <v>152</v>
      </c>
      <c r="W11" s="50">
        <v>60</v>
      </c>
      <c r="X11" s="50">
        <v>280</v>
      </c>
      <c r="Y11" s="50">
        <v>260</v>
      </c>
      <c r="Z11" s="52">
        <v>380</v>
      </c>
      <c r="AA11" s="50">
        <v>150</v>
      </c>
      <c r="AB11" s="50">
        <v>150</v>
      </c>
      <c r="AC11" s="50">
        <v>12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380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31</v>
      </c>
      <c r="C12" s="58">
        <v>31</v>
      </c>
      <c r="D12" s="58">
        <v>31</v>
      </c>
      <c r="E12" s="58">
        <v>31</v>
      </c>
      <c r="F12" s="58">
        <v>31</v>
      </c>
      <c r="G12" s="58">
        <v>31</v>
      </c>
      <c r="H12" s="58">
        <v>31</v>
      </c>
      <c r="I12" s="58">
        <v>31</v>
      </c>
      <c r="J12" s="58">
        <v>31</v>
      </c>
      <c r="K12" s="58">
        <v>31</v>
      </c>
      <c r="L12" s="58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8">
        <v>31</v>
      </c>
      <c r="AA12" s="58">
        <v>31</v>
      </c>
      <c r="AB12" s="58">
        <v>31</v>
      </c>
      <c r="AC12" s="58">
        <v>31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17.5</v>
      </c>
      <c r="C13" s="49">
        <v>17.5</v>
      </c>
      <c r="D13" s="49">
        <v>17.5</v>
      </c>
      <c r="E13" s="49">
        <v>17.5</v>
      </c>
      <c r="F13" s="49">
        <v>17.5</v>
      </c>
      <c r="G13" s="49">
        <v>17.5</v>
      </c>
      <c r="H13" s="49">
        <v>17.5</v>
      </c>
      <c r="I13" s="49">
        <v>17.5</v>
      </c>
      <c r="J13" s="49">
        <v>17.5</v>
      </c>
      <c r="K13" s="49">
        <v>17.5</v>
      </c>
      <c r="L13" s="49">
        <v>17.5</v>
      </c>
      <c r="M13" s="49">
        <v>18.100000000000001</v>
      </c>
      <c r="N13" s="49">
        <v>18.100000000000001</v>
      </c>
      <c r="O13" s="49">
        <v>18.100000000000001</v>
      </c>
      <c r="P13" s="49">
        <v>18.100000000000001</v>
      </c>
      <c r="Q13" s="49">
        <v>18.100000000000001</v>
      </c>
      <c r="R13" s="49">
        <v>18.100000000000001</v>
      </c>
      <c r="S13" s="49">
        <v>18.100000000000001</v>
      </c>
      <c r="T13" s="49">
        <v>18.100000000000001</v>
      </c>
      <c r="U13" s="49">
        <v>18.100000000000001</v>
      </c>
      <c r="V13" s="49">
        <v>18.100000000000001</v>
      </c>
      <c r="W13" s="49">
        <v>17.7</v>
      </c>
      <c r="X13" s="49">
        <v>17.7</v>
      </c>
      <c r="Y13" s="49">
        <v>17.7</v>
      </c>
      <c r="Z13" s="49">
        <v>17.7</v>
      </c>
      <c r="AA13" s="49">
        <v>17.7</v>
      </c>
      <c r="AB13" s="49">
        <v>17.7</v>
      </c>
      <c r="AC13" s="49">
        <v>17.7</v>
      </c>
      <c r="AD13" s="49">
        <v>17.7</v>
      </c>
      <c r="AE13" s="49">
        <v>17.7</v>
      </c>
      <c r="AF13" s="49">
        <v>17.7</v>
      </c>
      <c r="AG13" s="59">
        <v>52.4</v>
      </c>
      <c r="AH13" s="54">
        <f t="shared" si="2"/>
        <v>18.100000000000001</v>
      </c>
      <c r="AI13" s="55">
        <f t="shared" si="3"/>
        <v>17.5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34.1</v>
      </c>
      <c r="C14" s="50">
        <v>34.1</v>
      </c>
      <c r="D14" s="50">
        <v>34.1</v>
      </c>
      <c r="E14" s="50">
        <v>34.1</v>
      </c>
      <c r="F14" s="50">
        <v>34.1</v>
      </c>
      <c r="G14" s="50">
        <v>34.1</v>
      </c>
      <c r="H14" s="50">
        <v>34.1</v>
      </c>
      <c r="I14" s="50">
        <v>34.1</v>
      </c>
      <c r="J14" s="50">
        <v>34.1</v>
      </c>
      <c r="K14" s="50">
        <v>34.1</v>
      </c>
      <c r="L14" s="50">
        <v>34.1</v>
      </c>
      <c r="M14" s="50">
        <v>34.1</v>
      </c>
      <c r="N14" s="50">
        <v>34.200000000000003</v>
      </c>
      <c r="O14" s="50">
        <v>34.200000000000003</v>
      </c>
      <c r="P14" s="50">
        <v>34.200000000000003</v>
      </c>
      <c r="Q14" s="50">
        <v>34.200000000000003</v>
      </c>
      <c r="R14" s="50">
        <v>34.200000000000003</v>
      </c>
      <c r="S14" s="50">
        <v>34.200000000000003</v>
      </c>
      <c r="T14" s="50">
        <v>34.200000000000003</v>
      </c>
      <c r="U14" s="50">
        <v>34.200000000000003</v>
      </c>
      <c r="V14" s="50">
        <v>34.200000000000003</v>
      </c>
      <c r="W14" s="50">
        <v>34.200000000000003</v>
      </c>
      <c r="X14" s="50">
        <v>34.200000000000003</v>
      </c>
      <c r="Y14" s="50">
        <v>34.200000000000003</v>
      </c>
      <c r="Z14" s="50">
        <v>34.200000000000003</v>
      </c>
      <c r="AA14" s="50">
        <v>34.200000000000003</v>
      </c>
      <c r="AB14" s="50">
        <v>34.200000000000003</v>
      </c>
      <c r="AC14" s="50">
        <v>34.200000000000003</v>
      </c>
      <c r="AD14" s="50">
        <v>34.200000000000003</v>
      </c>
      <c r="AE14" s="50">
        <v>34.200000000000003</v>
      </c>
      <c r="AF14" s="50">
        <v>34.200000000000003</v>
      </c>
      <c r="AG14" s="59">
        <v>50</v>
      </c>
      <c r="AH14" s="54">
        <f t="shared" si="2"/>
        <v>34.200000000000003</v>
      </c>
      <c r="AI14" s="55">
        <f t="shared" si="3"/>
        <v>34.1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19.399999999999999</v>
      </c>
      <c r="C15" s="50">
        <v>19.399999999999999</v>
      </c>
      <c r="D15" s="50">
        <v>19.399999999999999</v>
      </c>
      <c r="E15" s="50">
        <v>19.399999999999999</v>
      </c>
      <c r="F15" s="50">
        <v>19.399999999999999</v>
      </c>
      <c r="G15" s="50">
        <v>19.399999999999999</v>
      </c>
      <c r="H15" s="50">
        <v>19.399999999999999</v>
      </c>
      <c r="I15" s="50">
        <v>19.399999999999999</v>
      </c>
      <c r="J15" s="50">
        <v>19.399999999999999</v>
      </c>
      <c r="K15" s="50">
        <v>19.399999999999999</v>
      </c>
      <c r="L15" s="50">
        <v>19.399999999999999</v>
      </c>
      <c r="M15" s="50">
        <v>20</v>
      </c>
      <c r="N15" s="50">
        <v>20</v>
      </c>
      <c r="O15" s="50">
        <v>20</v>
      </c>
      <c r="P15" s="50">
        <v>20</v>
      </c>
      <c r="Q15" s="50">
        <v>20</v>
      </c>
      <c r="R15" s="50">
        <v>20</v>
      </c>
      <c r="S15" s="50">
        <v>20</v>
      </c>
      <c r="T15" s="50">
        <v>20</v>
      </c>
      <c r="U15" s="50">
        <v>20</v>
      </c>
      <c r="V15" s="50">
        <v>20</v>
      </c>
      <c r="W15" s="50">
        <v>20</v>
      </c>
      <c r="X15" s="50">
        <v>20</v>
      </c>
      <c r="Y15" s="50">
        <v>20</v>
      </c>
      <c r="Z15" s="50">
        <v>20</v>
      </c>
      <c r="AA15" s="50">
        <v>20</v>
      </c>
      <c r="AB15" s="50">
        <v>20</v>
      </c>
      <c r="AC15" s="50">
        <v>20</v>
      </c>
      <c r="AD15" s="50">
        <v>20</v>
      </c>
      <c r="AE15" s="50">
        <v>20</v>
      </c>
      <c r="AF15" s="50">
        <v>20</v>
      </c>
      <c r="AG15" s="62">
        <v>45</v>
      </c>
      <c r="AH15" s="54">
        <f t="shared" si="2"/>
        <v>20</v>
      </c>
      <c r="AI15" s="55">
        <f t="shared" si="3"/>
        <v>19.399999999999999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9</v>
      </c>
      <c r="C18" s="50">
        <v>9</v>
      </c>
      <c r="D18" s="50">
        <v>9</v>
      </c>
      <c r="E18" s="50">
        <v>9</v>
      </c>
      <c r="F18" s="50">
        <v>9</v>
      </c>
      <c r="G18" s="50">
        <v>9</v>
      </c>
      <c r="H18" s="50">
        <v>9</v>
      </c>
      <c r="I18" s="50">
        <v>9</v>
      </c>
      <c r="J18" s="50">
        <v>9</v>
      </c>
      <c r="K18" s="50">
        <v>9</v>
      </c>
      <c r="L18" s="50">
        <v>9</v>
      </c>
      <c r="M18" s="50">
        <v>9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9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9.1</v>
      </c>
      <c r="C19" s="50">
        <v>9.1</v>
      </c>
      <c r="D19" s="50">
        <v>9.1</v>
      </c>
      <c r="E19" s="50">
        <v>9.1</v>
      </c>
      <c r="F19" s="50">
        <v>9.1</v>
      </c>
      <c r="G19" s="50">
        <v>9.1</v>
      </c>
      <c r="H19" s="50">
        <v>9.1</v>
      </c>
      <c r="I19" s="50">
        <v>9.1</v>
      </c>
      <c r="J19" s="50">
        <v>9.1</v>
      </c>
      <c r="K19" s="50">
        <v>9.1</v>
      </c>
      <c r="L19" s="50">
        <v>9.1</v>
      </c>
      <c r="M19" s="50">
        <v>9.1</v>
      </c>
      <c r="N19" s="50">
        <v>9.4</v>
      </c>
      <c r="O19" s="50">
        <v>9.4</v>
      </c>
      <c r="P19" s="50">
        <v>9.4</v>
      </c>
      <c r="Q19" s="50">
        <v>9.4</v>
      </c>
      <c r="R19" s="50">
        <v>9.4</v>
      </c>
      <c r="S19" s="50">
        <v>9.4</v>
      </c>
      <c r="T19" s="50">
        <v>9.4</v>
      </c>
      <c r="U19" s="50">
        <v>9.4</v>
      </c>
      <c r="V19" s="50">
        <v>9.4</v>
      </c>
      <c r="W19" s="50">
        <v>9.4</v>
      </c>
      <c r="X19" s="50">
        <v>9.4</v>
      </c>
      <c r="Y19" s="50">
        <v>9.4</v>
      </c>
      <c r="Z19" s="50">
        <v>9.4</v>
      </c>
      <c r="AA19" s="50">
        <v>9.4</v>
      </c>
      <c r="AB19" s="50">
        <v>9.4</v>
      </c>
      <c r="AC19" s="50">
        <v>9.4</v>
      </c>
      <c r="AD19" s="50">
        <v>9.4</v>
      </c>
      <c r="AE19" s="50">
        <v>9.4</v>
      </c>
      <c r="AF19" s="50">
        <v>9.4</v>
      </c>
      <c r="AG19" s="59">
        <v>30</v>
      </c>
      <c r="AH19" s="54">
        <f t="shared" si="2"/>
        <v>9.4</v>
      </c>
      <c r="AI19" s="55">
        <f t="shared" si="3"/>
        <v>9.1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6.2</v>
      </c>
      <c r="C20" s="50">
        <v>6.2</v>
      </c>
      <c r="D20" s="50">
        <v>6.2</v>
      </c>
      <c r="E20" s="50">
        <v>6.2</v>
      </c>
      <c r="F20" s="50">
        <v>6.2</v>
      </c>
      <c r="G20" s="50">
        <v>6.2</v>
      </c>
      <c r="H20" s="50">
        <v>6.2</v>
      </c>
      <c r="I20" s="50">
        <v>6.2</v>
      </c>
      <c r="J20" s="50">
        <v>6.2</v>
      </c>
      <c r="K20" s="50">
        <v>6.2</v>
      </c>
      <c r="L20" s="50">
        <v>6.2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6.2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9.4</v>
      </c>
      <c r="C22" s="50">
        <v>9.4</v>
      </c>
      <c r="D22" s="50">
        <v>9.4</v>
      </c>
      <c r="E22" s="50">
        <v>9.4</v>
      </c>
      <c r="F22" s="50">
        <v>9.9</v>
      </c>
      <c r="G22" s="50">
        <v>9.9</v>
      </c>
      <c r="H22" s="50">
        <v>9.9</v>
      </c>
      <c r="I22" s="50">
        <v>9.9</v>
      </c>
      <c r="J22" s="50">
        <v>9.9</v>
      </c>
      <c r="K22" s="50">
        <v>9.9</v>
      </c>
      <c r="L22" s="50">
        <v>9.9</v>
      </c>
      <c r="M22" s="50">
        <v>9.9</v>
      </c>
      <c r="N22" s="50">
        <v>8.8000000000000007</v>
      </c>
      <c r="O22" s="50">
        <v>8.8000000000000007</v>
      </c>
      <c r="P22" s="50">
        <v>8.8000000000000007</v>
      </c>
      <c r="Q22" s="50">
        <v>8.8000000000000007</v>
      </c>
      <c r="R22" s="50">
        <v>8.8000000000000007</v>
      </c>
      <c r="S22" s="50">
        <v>8.8000000000000007</v>
      </c>
      <c r="T22" s="50">
        <v>8.8000000000000007</v>
      </c>
      <c r="U22" s="50">
        <v>8.8000000000000007</v>
      </c>
      <c r="V22" s="50">
        <v>8.8000000000000007</v>
      </c>
      <c r="W22" s="50">
        <v>8.8000000000000007</v>
      </c>
      <c r="X22" s="50">
        <v>8.8000000000000007</v>
      </c>
      <c r="Y22" s="50">
        <v>8.8000000000000007</v>
      </c>
      <c r="Z22" s="50">
        <v>17.100000000000001</v>
      </c>
      <c r="AA22" s="50">
        <v>17.100000000000001</v>
      </c>
      <c r="AB22" s="50">
        <v>17.100000000000001</v>
      </c>
      <c r="AC22" s="50">
        <v>9.1999999999999993</v>
      </c>
      <c r="AD22" s="50">
        <v>9.1999999999999993</v>
      </c>
      <c r="AE22" s="50">
        <v>9.1999999999999993</v>
      </c>
      <c r="AF22" s="50">
        <v>9.1999999999999993</v>
      </c>
      <c r="AG22" s="59">
        <v>25</v>
      </c>
      <c r="AH22" s="54">
        <f t="shared" si="2"/>
        <v>17.100000000000001</v>
      </c>
      <c r="AI22" s="55">
        <f t="shared" si="3"/>
        <v>8.8000000000000007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10.8</v>
      </c>
      <c r="C24" s="50">
        <v>10.8</v>
      </c>
      <c r="D24" s="50">
        <v>10.8</v>
      </c>
      <c r="E24" s="50">
        <v>10.8</v>
      </c>
      <c r="F24" s="50">
        <v>10.8</v>
      </c>
      <c r="G24" s="50">
        <v>10.8</v>
      </c>
      <c r="H24" s="50">
        <v>10.8</v>
      </c>
      <c r="I24" s="50">
        <v>10.8</v>
      </c>
      <c r="J24" s="50">
        <v>10.8</v>
      </c>
      <c r="K24" s="50">
        <v>10.8</v>
      </c>
      <c r="L24" s="50">
        <v>10.8</v>
      </c>
      <c r="M24" s="50">
        <v>10.8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</v>
      </c>
      <c r="AA24" s="50">
        <v>10</v>
      </c>
      <c r="AB24" s="50">
        <v>10</v>
      </c>
      <c r="AC24" s="50">
        <v>10</v>
      </c>
      <c r="AD24" s="50">
        <v>10</v>
      </c>
      <c r="AE24" s="50">
        <v>10</v>
      </c>
      <c r="AF24" s="50">
        <v>10</v>
      </c>
      <c r="AG24" s="59">
        <v>25</v>
      </c>
      <c r="AH24" s="54">
        <f t="shared" si="2"/>
        <v>10.8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12</v>
      </c>
      <c r="C30" s="50">
        <v>12</v>
      </c>
      <c r="D30" s="50">
        <v>12</v>
      </c>
      <c r="E30" s="50">
        <v>12</v>
      </c>
      <c r="F30" s="50">
        <v>12</v>
      </c>
      <c r="G30" s="50">
        <v>12</v>
      </c>
      <c r="H30" s="50">
        <v>12</v>
      </c>
      <c r="I30" s="50">
        <v>12</v>
      </c>
      <c r="J30" s="50">
        <v>12</v>
      </c>
      <c r="K30" s="50">
        <v>12</v>
      </c>
      <c r="L30" s="50">
        <v>12</v>
      </c>
      <c r="M30" s="50">
        <v>12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12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161</v>
      </c>
      <c r="C36" s="61">
        <v>161</v>
      </c>
      <c r="D36" s="61">
        <v>161</v>
      </c>
      <c r="E36" s="61">
        <v>161</v>
      </c>
      <c r="F36" s="61">
        <v>161</v>
      </c>
      <c r="G36" s="61">
        <v>161</v>
      </c>
      <c r="H36" s="61">
        <v>161</v>
      </c>
      <c r="I36" s="61">
        <v>161</v>
      </c>
      <c r="J36" s="61">
        <v>161</v>
      </c>
      <c r="K36" s="61">
        <v>161</v>
      </c>
      <c r="L36" s="61">
        <v>161</v>
      </c>
      <c r="M36" s="61">
        <v>161</v>
      </c>
      <c r="N36" s="61">
        <v>161</v>
      </c>
      <c r="O36" s="61">
        <v>161</v>
      </c>
      <c r="P36" s="61">
        <v>161</v>
      </c>
      <c r="Q36" s="61">
        <v>161</v>
      </c>
      <c r="R36" s="61">
        <v>161</v>
      </c>
      <c r="S36" s="61">
        <v>161</v>
      </c>
      <c r="T36" s="61">
        <v>161</v>
      </c>
      <c r="U36" s="61">
        <v>161</v>
      </c>
      <c r="V36" s="61">
        <v>161</v>
      </c>
      <c r="W36" s="61">
        <v>161</v>
      </c>
      <c r="X36" s="61">
        <v>161</v>
      </c>
      <c r="Y36" s="61">
        <v>161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161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v>38.299999999999997</v>
      </c>
      <c r="C37" s="70">
        <v>39</v>
      </c>
      <c r="D37" s="70">
        <v>39</v>
      </c>
      <c r="E37" s="70">
        <v>38.1</v>
      </c>
      <c r="F37" s="61">
        <v>39.4</v>
      </c>
      <c r="G37" s="61">
        <v>39.4</v>
      </c>
      <c r="H37" s="61">
        <v>39.4</v>
      </c>
      <c r="I37" s="61">
        <v>39.4</v>
      </c>
      <c r="J37" s="61">
        <v>36.9</v>
      </c>
      <c r="K37" s="61">
        <v>37.1</v>
      </c>
      <c r="L37" s="61">
        <v>37.299999999999997</v>
      </c>
      <c r="M37" s="70">
        <f>12.2+24.3</f>
        <v>36.5</v>
      </c>
      <c r="N37" s="70">
        <f>12.3+24</f>
        <v>36.299999999999997</v>
      </c>
      <c r="O37" s="70">
        <f>13.1+26.1</f>
        <v>39.200000000000003</v>
      </c>
      <c r="P37" s="70">
        <f>13.1+26.5</f>
        <v>39.6</v>
      </c>
      <c r="Q37" s="70">
        <f>13.1+26.5</f>
        <v>39.6</v>
      </c>
      <c r="R37" s="70">
        <f>12.8+25.4</f>
        <v>38.200000000000003</v>
      </c>
      <c r="S37" s="70">
        <v>39</v>
      </c>
      <c r="T37" s="70">
        <v>38.799999999999997</v>
      </c>
      <c r="U37" s="70">
        <v>39.4</v>
      </c>
      <c r="V37" s="70">
        <v>37.5</v>
      </c>
      <c r="W37" s="70">
        <f>12.9+24.7</f>
        <v>37.6</v>
      </c>
      <c r="X37" s="70">
        <v>37</v>
      </c>
      <c r="Y37" s="70">
        <v>37.799999999999997</v>
      </c>
      <c r="Z37" s="70">
        <v>36.200000000000003</v>
      </c>
      <c r="AA37" s="70">
        <v>35.6</v>
      </c>
      <c r="AB37" s="70">
        <v>35.6</v>
      </c>
      <c r="AC37" s="70">
        <v>38</v>
      </c>
      <c r="AD37" s="70">
        <v>38</v>
      </c>
      <c r="AE37" s="70">
        <v>38</v>
      </c>
      <c r="AF37" s="70">
        <v>38</v>
      </c>
      <c r="AG37" s="67">
        <v>240</v>
      </c>
      <c r="AH37" s="54">
        <f t="shared" si="2"/>
        <v>39.6</v>
      </c>
      <c r="AI37" s="55">
        <f t="shared" si="3"/>
        <v>35.6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386.2</v>
      </c>
      <c r="C38" s="72">
        <f t="shared" ref="C38:AF38" si="5">SUM(C11:C36)</f>
        <v>386.2</v>
      </c>
      <c r="D38" s="72">
        <f t="shared" si="5"/>
        <v>386.2</v>
      </c>
      <c r="E38" s="72">
        <f t="shared" si="5"/>
        <v>386.2</v>
      </c>
      <c r="F38" s="72">
        <f t="shared" si="5"/>
        <v>386.7</v>
      </c>
      <c r="G38" s="72">
        <f t="shared" si="5"/>
        <v>386.7</v>
      </c>
      <c r="H38" s="72">
        <f t="shared" si="5"/>
        <v>449.7</v>
      </c>
      <c r="I38" s="72">
        <f t="shared" si="5"/>
        <v>449.7</v>
      </c>
      <c r="J38" s="72">
        <f t="shared" si="5"/>
        <v>553.70000000000005</v>
      </c>
      <c r="K38" s="72">
        <f t="shared" si="5"/>
        <v>643.70000000000005</v>
      </c>
      <c r="L38" s="72">
        <f t="shared" si="5"/>
        <v>623.70000000000005</v>
      </c>
      <c r="M38" s="72">
        <f t="shared" si="5"/>
        <v>648.70000000000005</v>
      </c>
      <c r="N38" s="72">
        <f t="shared" si="5"/>
        <v>644.20000000000005</v>
      </c>
      <c r="O38" s="72">
        <f t="shared" si="5"/>
        <v>524.20000000000005</v>
      </c>
      <c r="P38" s="72">
        <f t="shared" si="5"/>
        <v>444.20000000000005</v>
      </c>
      <c r="Q38" s="72">
        <f t="shared" si="5"/>
        <v>424.2</v>
      </c>
      <c r="R38" s="72">
        <f t="shared" si="5"/>
        <v>389.20000000000005</v>
      </c>
      <c r="S38" s="72">
        <f t="shared" si="5"/>
        <v>386.20000000000005</v>
      </c>
      <c r="T38" s="72">
        <f t="shared" si="5"/>
        <v>386.20000000000005</v>
      </c>
      <c r="U38" s="72">
        <f t="shared" si="5"/>
        <v>386.20000000000005</v>
      </c>
      <c r="V38" s="72">
        <f t="shared" si="5"/>
        <v>526.20000000000005</v>
      </c>
      <c r="W38" s="72">
        <f t="shared" si="5"/>
        <v>433.8</v>
      </c>
      <c r="X38" s="72">
        <f t="shared" si="5"/>
        <v>653.79999999999995</v>
      </c>
      <c r="Y38" s="72">
        <f t="shared" si="5"/>
        <v>633.79999999999995</v>
      </c>
      <c r="Z38" s="72">
        <f t="shared" si="5"/>
        <v>761.1</v>
      </c>
      <c r="AA38" s="72">
        <f t="shared" si="5"/>
        <v>531.09999999999991</v>
      </c>
      <c r="AB38" s="72">
        <f t="shared" si="5"/>
        <v>531.09999999999991</v>
      </c>
      <c r="AC38" s="72">
        <f t="shared" si="5"/>
        <v>385.2</v>
      </c>
      <c r="AD38" s="72">
        <f t="shared" si="5"/>
        <v>385.2</v>
      </c>
      <c r="AE38" s="72">
        <f t="shared" si="5"/>
        <v>385.2</v>
      </c>
      <c r="AF38" s="72">
        <f t="shared" si="5"/>
        <v>385.2</v>
      </c>
      <c r="AG38" s="67">
        <f>SUM(AG11:AG37)</f>
        <v>1492.8299999999997</v>
      </c>
      <c r="AH38" s="54">
        <f t="shared" si="2"/>
        <v>761.1</v>
      </c>
      <c r="AI38" s="55">
        <f t="shared" si="3"/>
        <v>385.2</v>
      </c>
      <c r="AK38" s="56"/>
    </row>
    <row r="39" spans="1:88" x14ac:dyDescent="0.25">
      <c r="A39" s="57" t="s">
        <v>47</v>
      </c>
      <c r="B39" s="49">
        <v>0</v>
      </c>
      <c r="C39" s="50">
        <v>0</v>
      </c>
      <c r="D39" s="50">
        <v>0</v>
      </c>
      <c r="E39" s="61">
        <v>0</v>
      </c>
      <c r="F39" s="61">
        <v>0</v>
      </c>
      <c r="G39" s="61">
        <v>0</v>
      </c>
      <c r="H39" s="61">
        <v>48</v>
      </c>
      <c r="I39" s="61">
        <v>80.8</v>
      </c>
      <c r="J39" s="61">
        <v>121.4</v>
      </c>
      <c r="K39" s="61">
        <v>140.30000000000001</v>
      </c>
      <c r="L39" s="61">
        <v>145.69999999999999</v>
      </c>
      <c r="M39" s="50">
        <v>145.5</v>
      </c>
      <c r="N39" s="50">
        <v>145.19999999999999</v>
      </c>
      <c r="O39" s="50">
        <v>111.1</v>
      </c>
      <c r="P39" s="50">
        <v>81.099999999999994</v>
      </c>
      <c r="Q39" s="50">
        <v>62.7</v>
      </c>
      <c r="R39" s="50">
        <v>61.1</v>
      </c>
      <c r="S39" s="50">
        <v>60.4</v>
      </c>
      <c r="T39" s="50">
        <v>49.2</v>
      </c>
      <c r="U39" s="50">
        <v>40.6</v>
      </c>
      <c r="V39" s="50">
        <v>48.2</v>
      </c>
      <c r="W39" s="50">
        <v>61.5</v>
      </c>
      <c r="X39" s="50">
        <v>148.19999999999999</v>
      </c>
      <c r="Y39" s="50">
        <v>145</v>
      </c>
      <c r="Z39" s="50">
        <v>145</v>
      </c>
      <c r="AA39" s="50">
        <v>126</v>
      </c>
      <c r="AB39" s="50">
        <v>126</v>
      </c>
      <c r="AC39" s="50">
        <v>106</v>
      </c>
      <c r="AD39" s="50">
        <v>70</v>
      </c>
      <c r="AE39" s="50">
        <v>0</v>
      </c>
      <c r="AF39" s="49">
        <v>0</v>
      </c>
      <c r="AG39" s="62">
        <v>144</v>
      </c>
      <c r="AH39" s="54">
        <f t="shared" si="2"/>
        <v>148.19999999999999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73">
        <v>0</v>
      </c>
      <c r="D40" s="73">
        <v>0</v>
      </c>
      <c r="E40" s="61">
        <v>0</v>
      </c>
      <c r="F40" s="61">
        <v>0</v>
      </c>
      <c r="G40" s="61">
        <v>21.5</v>
      </c>
      <c r="H40" s="61">
        <v>41</v>
      </c>
      <c r="I40" s="61">
        <v>65</v>
      </c>
      <c r="J40" s="61">
        <v>70.2</v>
      </c>
      <c r="K40" s="61">
        <v>70.7</v>
      </c>
      <c r="L40" s="61">
        <v>70.5</v>
      </c>
      <c r="M40" s="73">
        <v>71</v>
      </c>
      <c r="N40" s="73">
        <v>51.9</v>
      </c>
      <c r="O40" s="73">
        <v>50.5</v>
      </c>
      <c r="P40" s="73">
        <v>50.9</v>
      </c>
      <c r="Q40" s="73">
        <v>45.9</v>
      </c>
      <c r="R40" s="73">
        <v>25</v>
      </c>
      <c r="S40" s="73">
        <v>0</v>
      </c>
      <c r="T40" s="73">
        <v>0</v>
      </c>
      <c r="U40" s="73">
        <v>26.2</v>
      </c>
      <c r="V40" s="73">
        <v>35.9</v>
      </c>
      <c r="W40" s="73">
        <v>32.799999999999997</v>
      </c>
      <c r="X40" s="73">
        <v>67.3</v>
      </c>
      <c r="Y40" s="73">
        <v>70</v>
      </c>
      <c r="Z40" s="73">
        <v>70</v>
      </c>
      <c r="AA40" s="73">
        <v>70</v>
      </c>
      <c r="AB40" s="73">
        <v>70</v>
      </c>
      <c r="AC40" s="73">
        <v>51</v>
      </c>
      <c r="AD40" s="73">
        <v>35</v>
      </c>
      <c r="AE40" s="73">
        <v>0</v>
      </c>
      <c r="AF40" s="61">
        <v>0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0</v>
      </c>
      <c r="C41" s="73">
        <v>17.399999999999999</v>
      </c>
      <c r="D41" s="73">
        <v>16.7</v>
      </c>
      <c r="E41" s="61">
        <v>17.399999999999999</v>
      </c>
      <c r="F41" s="61">
        <v>24.9</v>
      </c>
      <c r="G41" s="61">
        <v>40.700000000000003</v>
      </c>
      <c r="H41" s="61">
        <v>43.6</v>
      </c>
      <c r="I41" s="61">
        <v>44.2</v>
      </c>
      <c r="J41" s="61">
        <v>68.7</v>
      </c>
      <c r="K41" s="61">
        <v>68.099999999999994</v>
      </c>
      <c r="L41" s="61">
        <v>68.2</v>
      </c>
      <c r="M41" s="73">
        <v>68</v>
      </c>
      <c r="N41" s="73">
        <v>62.1</v>
      </c>
      <c r="O41" s="73">
        <v>61.4</v>
      </c>
      <c r="P41" s="73">
        <v>22.5</v>
      </c>
      <c r="Q41" s="73">
        <v>22.7</v>
      </c>
      <c r="R41" s="73">
        <v>16.8</v>
      </c>
      <c r="S41" s="73">
        <v>23.1</v>
      </c>
      <c r="T41" s="73">
        <v>33.799999999999997</v>
      </c>
      <c r="U41" s="73">
        <v>33.799999999999997</v>
      </c>
      <c r="V41" s="73">
        <v>45.4</v>
      </c>
      <c r="W41" s="73">
        <v>63.9</v>
      </c>
      <c r="X41" s="73">
        <v>68.7</v>
      </c>
      <c r="Y41" s="73">
        <v>68.7</v>
      </c>
      <c r="Z41" s="73">
        <v>68.7</v>
      </c>
      <c r="AA41" s="73">
        <v>68.099999999999994</v>
      </c>
      <c r="AB41" s="73">
        <v>68.099999999999994</v>
      </c>
      <c r="AC41" s="73">
        <v>59</v>
      </c>
      <c r="AD41" s="73">
        <v>51</v>
      </c>
      <c r="AE41" s="73">
        <v>34</v>
      </c>
      <c r="AF41" s="61">
        <v>46</v>
      </c>
      <c r="AG41" s="67">
        <v>69</v>
      </c>
      <c r="AH41" s="54">
        <f t="shared" si="2"/>
        <v>68.7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49.1</v>
      </c>
      <c r="C42" s="73">
        <v>43.6</v>
      </c>
      <c r="D42" s="73">
        <v>44.4</v>
      </c>
      <c r="E42" s="61">
        <v>44.6</v>
      </c>
      <c r="F42" s="61">
        <v>43.6</v>
      </c>
      <c r="G42" s="61">
        <v>44.9</v>
      </c>
      <c r="H42" s="61">
        <v>44.6</v>
      </c>
      <c r="I42" s="61">
        <v>45.3</v>
      </c>
      <c r="J42" s="61">
        <v>45.3</v>
      </c>
      <c r="K42" s="61">
        <v>45.6</v>
      </c>
      <c r="L42" s="61">
        <v>45.6</v>
      </c>
      <c r="M42" s="73">
        <v>45.6</v>
      </c>
      <c r="N42" s="73">
        <v>47.4</v>
      </c>
      <c r="O42" s="73">
        <v>47.1</v>
      </c>
      <c r="P42" s="73">
        <v>47.4</v>
      </c>
      <c r="Q42" s="73">
        <v>47.4</v>
      </c>
      <c r="R42" s="73">
        <v>47.4</v>
      </c>
      <c r="S42" s="73">
        <v>47.1</v>
      </c>
      <c r="T42" s="73">
        <v>46.4</v>
      </c>
      <c r="U42" s="73">
        <v>44.3</v>
      </c>
      <c r="V42" s="73">
        <v>44.3</v>
      </c>
      <c r="W42" s="73">
        <v>44.3</v>
      </c>
      <c r="X42" s="73">
        <v>46.4</v>
      </c>
      <c r="Y42" s="73">
        <v>46.4</v>
      </c>
      <c r="Z42" s="73">
        <v>46.4</v>
      </c>
      <c r="AA42" s="73">
        <v>46.4</v>
      </c>
      <c r="AB42" s="73">
        <v>46.4</v>
      </c>
      <c r="AC42" s="73">
        <v>46.4</v>
      </c>
      <c r="AD42" s="73">
        <v>46.4</v>
      </c>
      <c r="AE42" s="73">
        <v>46.4</v>
      </c>
      <c r="AF42" s="61">
        <v>50.4</v>
      </c>
      <c r="AG42" s="67">
        <v>60</v>
      </c>
      <c r="AH42" s="54">
        <f t="shared" si="2"/>
        <v>50.4</v>
      </c>
      <c r="AI42" s="55">
        <f t="shared" si="3"/>
        <v>43.6</v>
      </c>
      <c r="AK42" s="56"/>
    </row>
    <row r="43" spans="1:88" x14ac:dyDescent="0.25">
      <c r="A43" s="66" t="s">
        <v>51</v>
      </c>
      <c r="B43" s="73">
        <v>0</v>
      </c>
      <c r="C43" s="73">
        <v>0</v>
      </c>
      <c r="D43" s="73">
        <v>0</v>
      </c>
      <c r="E43" s="73">
        <v>0</v>
      </c>
      <c r="F43" s="61">
        <v>0</v>
      </c>
      <c r="G43" s="61">
        <v>10</v>
      </c>
      <c r="H43" s="61">
        <v>10</v>
      </c>
      <c r="I43" s="61">
        <v>13</v>
      </c>
      <c r="J43" s="61">
        <v>15</v>
      </c>
      <c r="K43" s="61">
        <v>15</v>
      </c>
      <c r="L43" s="61">
        <v>15</v>
      </c>
      <c r="M43" s="50">
        <v>10</v>
      </c>
      <c r="N43" s="50">
        <v>10</v>
      </c>
      <c r="O43" s="50">
        <v>10</v>
      </c>
      <c r="P43" s="50">
        <v>10</v>
      </c>
      <c r="Q43" s="50">
        <v>10</v>
      </c>
      <c r="R43" s="50">
        <v>10</v>
      </c>
      <c r="S43" s="50">
        <v>10</v>
      </c>
      <c r="T43" s="50">
        <v>10</v>
      </c>
      <c r="U43" s="50">
        <v>10</v>
      </c>
      <c r="V43" s="50">
        <v>15</v>
      </c>
      <c r="W43" s="50">
        <v>10</v>
      </c>
      <c r="X43" s="50">
        <v>15</v>
      </c>
      <c r="Y43" s="50">
        <v>15</v>
      </c>
      <c r="Z43" s="50">
        <v>12</v>
      </c>
      <c r="AA43" s="50">
        <v>10</v>
      </c>
      <c r="AB43" s="50">
        <v>10</v>
      </c>
      <c r="AC43" s="50">
        <v>10</v>
      </c>
      <c r="AD43" s="50">
        <v>10</v>
      </c>
      <c r="AE43" s="50">
        <v>10</v>
      </c>
      <c r="AF43" s="73">
        <v>10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4</v>
      </c>
      <c r="C46" s="50">
        <v>4</v>
      </c>
      <c r="D46" s="50">
        <v>4</v>
      </c>
      <c r="E46" s="50">
        <v>4</v>
      </c>
      <c r="F46" s="50">
        <v>4</v>
      </c>
      <c r="G46" s="50">
        <v>4</v>
      </c>
      <c r="H46" s="50">
        <v>4</v>
      </c>
      <c r="I46" s="50">
        <v>4</v>
      </c>
      <c r="J46" s="50">
        <v>4</v>
      </c>
      <c r="K46" s="50">
        <v>4</v>
      </c>
      <c r="L46" s="50">
        <v>4</v>
      </c>
      <c r="M46" s="50">
        <v>4</v>
      </c>
      <c r="N46" s="50">
        <v>4</v>
      </c>
      <c r="O46" s="50">
        <v>4</v>
      </c>
      <c r="P46" s="50">
        <v>4</v>
      </c>
      <c r="Q46" s="50">
        <v>4</v>
      </c>
      <c r="R46" s="50">
        <v>4</v>
      </c>
      <c r="S46" s="50">
        <v>4</v>
      </c>
      <c r="T46" s="50">
        <v>4</v>
      </c>
      <c r="U46" s="50">
        <v>4</v>
      </c>
      <c r="V46" s="50">
        <v>4</v>
      </c>
      <c r="W46" s="50">
        <v>4</v>
      </c>
      <c r="X46" s="50">
        <v>4</v>
      </c>
      <c r="Y46" s="50">
        <v>4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11</v>
      </c>
      <c r="C47" s="50">
        <v>11</v>
      </c>
      <c r="D47" s="50">
        <v>11</v>
      </c>
      <c r="E47" s="50">
        <v>11</v>
      </c>
      <c r="F47" s="50">
        <v>11</v>
      </c>
      <c r="G47" s="50">
        <v>11</v>
      </c>
      <c r="H47" s="50">
        <v>11</v>
      </c>
      <c r="I47" s="50">
        <v>11</v>
      </c>
      <c r="J47" s="50">
        <v>11</v>
      </c>
      <c r="K47" s="50">
        <v>11</v>
      </c>
      <c r="L47" s="50">
        <v>11</v>
      </c>
      <c r="M47" s="50">
        <v>11</v>
      </c>
      <c r="N47" s="50">
        <v>11</v>
      </c>
      <c r="O47" s="50">
        <v>11</v>
      </c>
      <c r="P47" s="50">
        <v>11</v>
      </c>
      <c r="Q47" s="50">
        <v>11</v>
      </c>
      <c r="R47" s="50">
        <v>11</v>
      </c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4.9000000000000004</v>
      </c>
      <c r="C49" s="50">
        <v>4.9000000000000004</v>
      </c>
      <c r="D49" s="50">
        <v>4.9000000000000004</v>
      </c>
      <c r="E49" s="50">
        <v>4.9000000000000004</v>
      </c>
      <c r="F49" s="50">
        <v>4.9000000000000004</v>
      </c>
      <c r="G49" s="50">
        <v>4.9000000000000004</v>
      </c>
      <c r="H49" s="50">
        <v>4.9000000000000004</v>
      </c>
      <c r="I49" s="50">
        <v>4.9000000000000004</v>
      </c>
      <c r="J49" s="50">
        <v>4.9000000000000004</v>
      </c>
      <c r="K49" s="50">
        <v>4.9000000000000004</v>
      </c>
      <c r="L49" s="50">
        <v>4.9000000000000004</v>
      </c>
      <c r="M49" s="50">
        <v>4.9000000000000004</v>
      </c>
      <c r="N49" s="50">
        <v>4.9000000000000004</v>
      </c>
      <c r="O49" s="50">
        <v>4.9000000000000004</v>
      </c>
      <c r="P49" s="50">
        <v>4.9000000000000004</v>
      </c>
      <c r="Q49" s="50">
        <v>4.9000000000000004</v>
      </c>
      <c r="R49" s="50">
        <v>4.9000000000000004</v>
      </c>
      <c r="S49" s="50">
        <v>4.9000000000000004</v>
      </c>
      <c r="T49" s="50">
        <v>4.9000000000000004</v>
      </c>
      <c r="U49" s="50">
        <v>4.9000000000000004</v>
      </c>
      <c r="V49" s="50">
        <v>4.9000000000000004</v>
      </c>
      <c r="W49" s="50">
        <v>4.9000000000000004</v>
      </c>
      <c r="X49" s="50">
        <v>4.9000000000000004</v>
      </c>
      <c r="Y49" s="50">
        <v>4.9000000000000004</v>
      </c>
      <c r="Z49" s="50">
        <v>4.9000000000000004</v>
      </c>
      <c r="AA49" s="50">
        <v>4.9000000000000004</v>
      </c>
      <c r="AB49" s="50">
        <v>4.9000000000000004</v>
      </c>
      <c r="AC49" s="50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96.04</v>
      </c>
      <c r="C52" s="72">
        <f t="shared" ref="C52:AF52" si="9">SUM(C39:C51)</f>
        <v>107.94000000000001</v>
      </c>
      <c r="D52" s="72">
        <f t="shared" si="9"/>
        <v>108.04</v>
      </c>
      <c r="E52" s="72">
        <f t="shared" si="9"/>
        <v>108.94000000000001</v>
      </c>
      <c r="F52" s="72">
        <f t="shared" si="9"/>
        <v>115.44000000000001</v>
      </c>
      <c r="G52" s="72">
        <f t="shared" si="9"/>
        <v>164.04</v>
      </c>
      <c r="H52" s="72">
        <f t="shared" si="9"/>
        <v>234.14</v>
      </c>
      <c r="I52" s="72">
        <f t="shared" si="9"/>
        <v>295.24</v>
      </c>
      <c r="J52" s="72">
        <f t="shared" si="9"/>
        <v>367.54</v>
      </c>
      <c r="K52" s="72">
        <f t="shared" si="9"/>
        <v>386.64000000000004</v>
      </c>
      <c r="L52" s="72">
        <f t="shared" si="9"/>
        <v>391.94</v>
      </c>
      <c r="M52" s="72">
        <f t="shared" si="9"/>
        <v>387.04</v>
      </c>
      <c r="N52" s="72">
        <f t="shared" si="9"/>
        <v>363.53999999999996</v>
      </c>
      <c r="O52" s="72">
        <f t="shared" si="9"/>
        <v>327.04000000000002</v>
      </c>
      <c r="P52" s="72">
        <f t="shared" si="9"/>
        <v>258.84000000000003</v>
      </c>
      <c r="Q52" s="72">
        <f t="shared" si="9"/>
        <v>235.64</v>
      </c>
      <c r="R52" s="72">
        <f t="shared" si="9"/>
        <v>207.23999999999998</v>
      </c>
      <c r="S52" s="72">
        <f t="shared" si="9"/>
        <v>187.54</v>
      </c>
      <c r="T52" s="72">
        <f t="shared" si="9"/>
        <v>186.34</v>
      </c>
      <c r="U52" s="72">
        <f t="shared" si="9"/>
        <v>201.83999999999997</v>
      </c>
      <c r="V52" s="72">
        <f t="shared" si="9"/>
        <v>235.74</v>
      </c>
      <c r="W52" s="72">
        <f t="shared" si="9"/>
        <v>259.44</v>
      </c>
      <c r="X52" s="72">
        <f t="shared" si="9"/>
        <v>392.53999999999996</v>
      </c>
      <c r="Y52" s="72">
        <f t="shared" si="9"/>
        <v>392.03999999999996</v>
      </c>
      <c r="Z52" s="72">
        <f t="shared" si="9"/>
        <v>389.03999999999996</v>
      </c>
      <c r="AA52" s="72">
        <f t="shared" si="9"/>
        <v>367.44</v>
      </c>
      <c r="AB52" s="72">
        <f t="shared" si="9"/>
        <v>367.44</v>
      </c>
      <c r="AC52" s="72">
        <f t="shared" si="9"/>
        <v>319.33999999999997</v>
      </c>
      <c r="AD52" s="72">
        <f t="shared" si="9"/>
        <v>259.34000000000003</v>
      </c>
      <c r="AE52" s="72">
        <f t="shared" si="9"/>
        <v>137.34</v>
      </c>
      <c r="AF52" s="72">
        <f t="shared" si="9"/>
        <v>153.34</v>
      </c>
      <c r="AG52" s="78">
        <f>SUM(AG39:AG51)</f>
        <v>489.91</v>
      </c>
      <c r="AH52" s="54">
        <f t="shared" si="2"/>
        <v>392.53999999999996</v>
      </c>
      <c r="AI52" s="55">
        <f t="shared" si="3"/>
        <v>96.04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30.7</v>
      </c>
      <c r="L53" s="61">
        <v>60.1</v>
      </c>
      <c r="M53" s="79">
        <v>59.5</v>
      </c>
      <c r="N53" s="79">
        <v>29.7</v>
      </c>
      <c r="O53" s="79">
        <v>25</v>
      </c>
      <c r="P53" s="79">
        <v>24.9</v>
      </c>
      <c r="Q53" s="50">
        <v>20</v>
      </c>
      <c r="R53" s="50">
        <v>14.4</v>
      </c>
      <c r="S53" s="50">
        <v>20</v>
      </c>
      <c r="T53" s="50">
        <v>20.3</v>
      </c>
      <c r="U53" s="50">
        <v>10.3</v>
      </c>
      <c r="V53" s="50">
        <v>29.3</v>
      </c>
      <c r="W53" s="50">
        <v>29.3</v>
      </c>
      <c r="X53" s="50">
        <v>29.7</v>
      </c>
      <c r="Y53" s="50">
        <v>43</v>
      </c>
      <c r="Z53" s="50">
        <v>49.7</v>
      </c>
      <c r="AA53" s="50">
        <v>29.6</v>
      </c>
      <c r="AB53" s="50">
        <v>20</v>
      </c>
      <c r="AC53" s="50">
        <v>14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60.1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28</v>
      </c>
      <c r="M54" s="79">
        <v>28.6</v>
      </c>
      <c r="N54" s="79">
        <v>24.3</v>
      </c>
      <c r="O54" s="79">
        <v>10.1</v>
      </c>
      <c r="P54" s="79">
        <v>12</v>
      </c>
      <c r="Q54" s="73">
        <v>8</v>
      </c>
      <c r="R54" s="73">
        <v>6.1</v>
      </c>
      <c r="S54" s="50">
        <v>9.3000000000000007</v>
      </c>
      <c r="T54" s="50">
        <v>9.5</v>
      </c>
      <c r="U54" s="50">
        <v>12</v>
      </c>
      <c r="V54" s="73">
        <v>13.1</v>
      </c>
      <c r="W54" s="73">
        <v>14.8</v>
      </c>
      <c r="X54" s="73">
        <v>13.8</v>
      </c>
      <c r="Y54" s="73">
        <v>18.399999999999999</v>
      </c>
      <c r="Z54" s="73">
        <v>21.4</v>
      </c>
      <c r="AA54" s="73">
        <v>14.8</v>
      </c>
      <c r="AB54" s="73">
        <v>12</v>
      </c>
      <c r="AC54" s="73">
        <v>6.5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28.6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10.199999999999999</v>
      </c>
      <c r="M55" s="81">
        <v>10.4</v>
      </c>
      <c r="N55" s="81">
        <v>8.9</v>
      </c>
      <c r="O55" s="81">
        <v>3.7</v>
      </c>
      <c r="P55" s="81">
        <v>4.4000000000000004</v>
      </c>
      <c r="Q55" s="80">
        <v>2.8</v>
      </c>
      <c r="R55" s="80">
        <v>2.2000000000000002</v>
      </c>
      <c r="S55" s="50">
        <v>3.4</v>
      </c>
      <c r="T55" s="50">
        <v>3.5</v>
      </c>
      <c r="U55" s="50">
        <v>4.4000000000000004</v>
      </c>
      <c r="V55" s="80">
        <v>4.8</v>
      </c>
      <c r="W55" s="80">
        <v>5.4</v>
      </c>
      <c r="X55" s="80">
        <v>5</v>
      </c>
      <c r="Y55" s="80">
        <v>6.7</v>
      </c>
      <c r="Z55" s="80">
        <v>7.8</v>
      </c>
      <c r="AA55" s="80">
        <v>5.4</v>
      </c>
      <c r="AB55" s="80">
        <v>5.4</v>
      </c>
      <c r="AC55" s="80">
        <v>2.4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10.4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30.7</v>
      </c>
      <c r="L56" s="72">
        <f t="shared" si="11"/>
        <v>98.3</v>
      </c>
      <c r="M56" s="72">
        <f t="shared" si="11"/>
        <v>98.5</v>
      </c>
      <c r="N56" s="72">
        <f t="shared" si="11"/>
        <v>62.9</v>
      </c>
      <c r="O56" s="72">
        <f t="shared" si="11"/>
        <v>38.800000000000004</v>
      </c>
      <c r="P56" s="72">
        <f t="shared" si="11"/>
        <v>41.3</v>
      </c>
      <c r="Q56" s="72">
        <f t="shared" si="11"/>
        <v>30.8</v>
      </c>
      <c r="R56" s="72">
        <f t="shared" si="11"/>
        <v>22.7</v>
      </c>
      <c r="S56" s="72">
        <f t="shared" si="11"/>
        <v>32.700000000000003</v>
      </c>
      <c r="T56" s="72">
        <f t="shared" si="11"/>
        <v>33.299999999999997</v>
      </c>
      <c r="U56" s="72">
        <f t="shared" si="11"/>
        <v>26.700000000000003</v>
      </c>
      <c r="V56" s="72">
        <f t="shared" si="11"/>
        <v>47.199999999999996</v>
      </c>
      <c r="W56" s="72">
        <f t="shared" si="11"/>
        <v>49.5</v>
      </c>
      <c r="X56" s="72">
        <f t="shared" si="11"/>
        <v>48.5</v>
      </c>
      <c r="Y56" s="72">
        <f t="shared" si="11"/>
        <v>68.099999999999994</v>
      </c>
      <c r="Z56" s="72">
        <f t="shared" si="11"/>
        <v>78.899999999999991</v>
      </c>
      <c r="AA56" s="72">
        <f t="shared" si="11"/>
        <v>49.800000000000004</v>
      </c>
      <c r="AB56" s="72">
        <f t="shared" si="11"/>
        <v>37.4</v>
      </c>
      <c r="AC56" s="72">
        <f t="shared" si="11"/>
        <v>22.9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98.5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68.37</v>
      </c>
      <c r="C57" s="50">
        <v>71.17</v>
      </c>
      <c r="D57" s="50">
        <v>68.42</v>
      </c>
      <c r="E57" s="50">
        <v>70.17</v>
      </c>
      <c r="F57" s="50">
        <v>71.7</v>
      </c>
      <c r="G57" s="50">
        <v>65.12</v>
      </c>
      <c r="H57" s="50">
        <v>74.2</v>
      </c>
      <c r="I57" s="50">
        <v>76.2</v>
      </c>
      <c r="J57" s="50">
        <v>78.2</v>
      </c>
      <c r="K57" s="50">
        <v>70</v>
      </c>
      <c r="L57" s="50">
        <v>67.56</v>
      </c>
      <c r="M57" s="50">
        <v>65</v>
      </c>
      <c r="N57" s="50">
        <v>68</v>
      </c>
      <c r="O57" s="50">
        <v>70</v>
      </c>
      <c r="P57" s="50">
        <v>68</v>
      </c>
      <c r="Q57" s="50">
        <v>69</v>
      </c>
      <c r="R57" s="50">
        <v>75.2</v>
      </c>
      <c r="S57" s="50">
        <v>73.48</v>
      </c>
      <c r="T57" s="50">
        <v>67.680000000000007</v>
      </c>
      <c r="U57" s="50">
        <v>71.03</v>
      </c>
      <c r="V57" s="50">
        <v>76.2</v>
      </c>
      <c r="W57" s="50">
        <v>66</v>
      </c>
      <c r="X57" s="50">
        <v>69.16</v>
      </c>
      <c r="Y57" s="50">
        <v>77</v>
      </c>
      <c r="Z57" s="50">
        <v>71.33</v>
      </c>
      <c r="AA57" s="50">
        <v>69.33</v>
      </c>
      <c r="AB57" s="50">
        <v>70</v>
      </c>
      <c r="AC57" s="50">
        <v>69</v>
      </c>
      <c r="AD57" s="50">
        <v>71</v>
      </c>
      <c r="AE57" s="50">
        <v>70.5</v>
      </c>
      <c r="AF57" s="50">
        <v>68</v>
      </c>
      <c r="AG57" s="62"/>
      <c r="AH57" s="54">
        <f t="shared" si="2"/>
        <v>78.2</v>
      </c>
      <c r="AI57" s="55">
        <f t="shared" si="3"/>
        <v>65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101</v>
      </c>
      <c r="K58" s="73">
        <v>120</v>
      </c>
      <c r="L58" s="73">
        <v>128</v>
      </c>
      <c r="M58" s="50">
        <v>132</v>
      </c>
      <c r="N58" s="50">
        <v>121</v>
      </c>
      <c r="O58" s="50">
        <v>109</v>
      </c>
      <c r="P58" s="50">
        <v>108</v>
      </c>
      <c r="Q58" s="50">
        <v>85</v>
      </c>
      <c r="R58" s="50">
        <v>0</v>
      </c>
      <c r="S58" s="50">
        <v>0</v>
      </c>
      <c r="T58" s="50">
        <v>0</v>
      </c>
      <c r="U58" s="50">
        <v>72</v>
      </c>
      <c r="V58" s="50">
        <v>78</v>
      </c>
      <c r="W58" s="50">
        <v>78</v>
      </c>
      <c r="X58" s="83">
        <v>80</v>
      </c>
      <c r="Y58" s="83">
        <v>82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132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376.5</v>
      </c>
      <c r="C59" s="73">
        <v>380.2</v>
      </c>
      <c r="D59" s="73">
        <v>356.9</v>
      </c>
      <c r="E59" s="73">
        <v>305</v>
      </c>
      <c r="F59" s="73">
        <v>320.2</v>
      </c>
      <c r="G59" s="73">
        <v>305</v>
      </c>
      <c r="H59" s="50">
        <v>190</v>
      </c>
      <c r="I59" s="50">
        <v>200.5</v>
      </c>
      <c r="J59" s="50">
        <v>30.1</v>
      </c>
      <c r="K59" s="50">
        <v>29.2</v>
      </c>
      <c r="L59" s="50">
        <v>49.6</v>
      </c>
      <c r="M59" s="73">
        <v>47</v>
      </c>
      <c r="N59" s="73">
        <v>31</v>
      </c>
      <c r="O59" s="73">
        <v>132.1</v>
      </c>
      <c r="P59" s="73">
        <v>226</v>
      </c>
      <c r="Q59" s="73">
        <v>246</v>
      </c>
      <c r="R59" s="73">
        <v>371</v>
      </c>
      <c r="S59" s="73">
        <v>383.3</v>
      </c>
      <c r="T59" s="73">
        <v>354.5</v>
      </c>
      <c r="U59" s="73">
        <v>316.10000000000002</v>
      </c>
      <c r="V59" s="73">
        <v>158</v>
      </c>
      <c r="W59" s="73">
        <v>268</v>
      </c>
      <c r="X59" s="84">
        <v>17.600000000000001</v>
      </c>
      <c r="Y59" s="84">
        <v>86.3</v>
      </c>
      <c r="Z59" s="84">
        <v>90</v>
      </c>
      <c r="AA59" s="84">
        <v>309</v>
      </c>
      <c r="AB59" s="73">
        <v>250</v>
      </c>
      <c r="AC59" s="73">
        <v>380</v>
      </c>
      <c r="AD59" s="73">
        <v>381</v>
      </c>
      <c r="AE59" s="73">
        <v>358</v>
      </c>
      <c r="AF59" s="73">
        <v>368</v>
      </c>
      <c r="AG59" s="85"/>
      <c r="AH59" s="54">
        <f t="shared" si="2"/>
        <v>383.3</v>
      </c>
      <c r="AI59" s="55">
        <f t="shared" si="3"/>
        <v>17.600000000000001</v>
      </c>
      <c r="AK59" s="56"/>
    </row>
    <row r="60" spans="1:37" x14ac:dyDescent="0.25">
      <c r="A60" s="66" t="s">
        <v>68</v>
      </c>
      <c r="B60" s="58">
        <v>46.7</v>
      </c>
      <c r="C60" s="73">
        <v>18</v>
      </c>
      <c r="D60" s="73">
        <v>0</v>
      </c>
      <c r="E60" s="58">
        <v>53.3</v>
      </c>
      <c r="F60" s="58">
        <v>53.6</v>
      </c>
      <c r="G60" s="58">
        <v>55.6</v>
      </c>
      <c r="H60" s="58">
        <v>50.6</v>
      </c>
      <c r="I60" s="58">
        <v>51.2</v>
      </c>
      <c r="J60" s="58">
        <v>52.5</v>
      </c>
      <c r="K60" s="58">
        <v>44.6</v>
      </c>
      <c r="L60" s="58">
        <v>61.6</v>
      </c>
      <c r="M60" s="73">
        <v>59.6</v>
      </c>
      <c r="N60" s="73">
        <v>60.4</v>
      </c>
      <c r="O60" s="73">
        <v>49.6</v>
      </c>
      <c r="P60" s="73">
        <v>55.3</v>
      </c>
      <c r="Q60" s="73">
        <v>58.4</v>
      </c>
      <c r="R60" s="73">
        <v>58.4</v>
      </c>
      <c r="S60" s="73">
        <v>53.3</v>
      </c>
      <c r="T60" s="73">
        <v>61.7</v>
      </c>
      <c r="U60" s="73">
        <v>57.6</v>
      </c>
      <c r="V60" s="73">
        <v>55.7</v>
      </c>
      <c r="W60" s="73">
        <v>57</v>
      </c>
      <c r="X60" s="73">
        <v>56</v>
      </c>
      <c r="Y60" s="73">
        <v>56</v>
      </c>
      <c r="Z60" s="73">
        <v>57</v>
      </c>
      <c r="AA60" s="73">
        <v>51</v>
      </c>
      <c r="AB60" s="73">
        <v>56</v>
      </c>
      <c r="AC60" s="73">
        <v>54</v>
      </c>
      <c r="AD60" s="73">
        <v>51</v>
      </c>
      <c r="AE60" s="73">
        <v>46</v>
      </c>
      <c r="AF60" s="58">
        <v>0</v>
      </c>
      <c r="AG60" s="85"/>
      <c r="AH60" s="54">
        <f t="shared" si="2"/>
        <v>61.7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70</v>
      </c>
      <c r="I61" s="58">
        <v>79</v>
      </c>
      <c r="J61" s="58">
        <v>71.900000000000006</v>
      </c>
      <c r="K61" s="58">
        <v>76.8</v>
      </c>
      <c r="L61" s="58">
        <v>76.400000000000006</v>
      </c>
      <c r="M61" s="50">
        <v>75.2</v>
      </c>
      <c r="N61" s="50">
        <v>81.400000000000006</v>
      </c>
      <c r="O61" s="50">
        <v>78.400000000000006</v>
      </c>
      <c r="P61" s="50">
        <v>74.599999999999994</v>
      </c>
      <c r="Q61" s="50">
        <v>76.099999999999994</v>
      </c>
      <c r="R61" s="50">
        <v>71.099999999999994</v>
      </c>
      <c r="S61" s="50">
        <v>73.7</v>
      </c>
      <c r="T61" s="50">
        <v>76.3</v>
      </c>
      <c r="U61" s="50">
        <v>77.2</v>
      </c>
      <c r="V61" s="50">
        <v>78.099999999999994</v>
      </c>
      <c r="W61" s="50">
        <v>78.2</v>
      </c>
      <c r="X61" s="50">
        <v>78.3</v>
      </c>
      <c r="Y61" s="50">
        <v>77.2</v>
      </c>
      <c r="Z61" s="50">
        <v>73.599999999999994</v>
      </c>
      <c r="AA61" s="50">
        <v>78.3</v>
      </c>
      <c r="AB61" s="50">
        <v>60</v>
      </c>
      <c r="AC61" s="50">
        <v>68</v>
      </c>
      <c r="AD61" s="50">
        <v>64</v>
      </c>
      <c r="AE61" s="50">
        <v>71</v>
      </c>
      <c r="AF61" s="50">
        <v>0</v>
      </c>
      <c r="AG61" s="85"/>
      <c r="AH61" s="54">
        <f t="shared" si="2"/>
        <v>81.400000000000006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73">
        <v>0</v>
      </c>
      <c r="F62" s="58">
        <v>0</v>
      </c>
      <c r="G62" s="58">
        <v>0</v>
      </c>
      <c r="H62" s="58">
        <v>0</v>
      </c>
      <c r="I62" s="73">
        <v>0</v>
      </c>
      <c r="J62" s="73">
        <v>0</v>
      </c>
      <c r="K62" s="73">
        <v>0</v>
      </c>
      <c r="L62" s="73">
        <v>0</v>
      </c>
      <c r="M62" s="73">
        <v>5.5</v>
      </c>
      <c r="N62" s="60">
        <v>5.5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5.5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73">
        <v>0</v>
      </c>
      <c r="J63" s="73">
        <v>0</v>
      </c>
      <c r="K63" s="73">
        <v>0</v>
      </c>
      <c r="L63" s="73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73">
        <v>0</v>
      </c>
      <c r="J64" s="73">
        <v>0</v>
      </c>
      <c r="K64" s="73">
        <v>0</v>
      </c>
      <c r="L64" s="73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73">
        <v>0</v>
      </c>
      <c r="J65" s="73">
        <v>0</v>
      </c>
      <c r="K65" s="73">
        <v>0</v>
      </c>
      <c r="L65" s="73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73">
        <v>0</v>
      </c>
      <c r="J67" s="73">
        <v>0</v>
      </c>
      <c r="K67" s="73">
        <v>0</v>
      </c>
      <c r="L67" s="73">
        <v>0</v>
      </c>
      <c r="M67" s="50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491.57</v>
      </c>
      <c r="C68" s="72">
        <f>SUM(C57:C67)</f>
        <v>469.37</v>
      </c>
      <c r="D68" s="72">
        <f t="shared" ref="D68:AF68" si="13">SUM(D57:D67)</f>
        <v>425.32</v>
      </c>
      <c r="E68" s="72">
        <f t="shared" si="13"/>
        <v>428.47</v>
      </c>
      <c r="F68" s="72">
        <f t="shared" si="13"/>
        <v>445.5</v>
      </c>
      <c r="G68" s="72">
        <f t="shared" si="13"/>
        <v>425.72</v>
      </c>
      <c r="H68" s="72">
        <f t="shared" si="13"/>
        <v>384.8</v>
      </c>
      <c r="I68" s="72">
        <f t="shared" si="13"/>
        <v>406.9</v>
      </c>
      <c r="J68" s="72">
        <f t="shared" si="13"/>
        <v>333.69999999999993</v>
      </c>
      <c r="K68" s="72">
        <f t="shared" si="13"/>
        <v>340.6</v>
      </c>
      <c r="L68" s="72">
        <f t="shared" si="13"/>
        <v>383.15999999999997</v>
      </c>
      <c r="M68" s="72">
        <f t="shared" si="13"/>
        <v>384.3</v>
      </c>
      <c r="N68" s="72">
        <f t="shared" si="13"/>
        <v>367.29999999999995</v>
      </c>
      <c r="O68" s="72">
        <f t="shared" si="13"/>
        <v>439.1</v>
      </c>
      <c r="P68" s="72">
        <f t="shared" si="13"/>
        <v>531.9</v>
      </c>
      <c r="Q68" s="72">
        <f t="shared" si="13"/>
        <v>534.5</v>
      </c>
      <c r="R68" s="72">
        <f t="shared" si="13"/>
        <v>575.69999999999993</v>
      </c>
      <c r="S68" s="72">
        <f t="shared" si="13"/>
        <v>583.78000000000009</v>
      </c>
      <c r="T68" s="72">
        <f t="shared" si="13"/>
        <v>560.17999999999995</v>
      </c>
      <c r="U68" s="72">
        <f t="shared" si="13"/>
        <v>593.93000000000006</v>
      </c>
      <c r="V68" s="72">
        <f t="shared" si="13"/>
        <v>446</v>
      </c>
      <c r="W68" s="72">
        <f t="shared" si="13"/>
        <v>547.20000000000005</v>
      </c>
      <c r="X68" s="72">
        <f t="shared" si="13"/>
        <v>301.06</v>
      </c>
      <c r="Y68" s="72">
        <f t="shared" si="13"/>
        <v>378.5</v>
      </c>
      <c r="Z68" s="72">
        <f t="shared" si="13"/>
        <v>291.92999999999995</v>
      </c>
      <c r="AA68" s="72">
        <f t="shared" si="13"/>
        <v>507.63</v>
      </c>
      <c r="AB68" s="72">
        <f t="shared" si="13"/>
        <v>436</v>
      </c>
      <c r="AC68" s="72">
        <f t="shared" si="13"/>
        <v>571</v>
      </c>
      <c r="AD68" s="72">
        <f t="shared" si="13"/>
        <v>567</v>
      </c>
      <c r="AE68" s="72">
        <f t="shared" si="13"/>
        <v>545.5</v>
      </c>
      <c r="AF68" s="72">
        <f t="shared" si="13"/>
        <v>436</v>
      </c>
      <c r="AG68" s="78">
        <f>SUM(AG57:AG67)</f>
        <v>0</v>
      </c>
      <c r="AH68" s="54">
        <f t="shared" si="2"/>
        <v>593.93000000000006</v>
      </c>
      <c r="AI68" s="55">
        <f t="shared" si="3"/>
        <v>291.92999999999995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973.81</v>
      </c>
      <c r="C73" s="89">
        <f>C68+C56+C52+C38+C72</f>
        <v>963.51</v>
      </c>
      <c r="D73" s="89">
        <f t="shared" ref="D73:AG73" si="17">D68+D56+D52+D38+D72</f>
        <v>919.56</v>
      </c>
      <c r="E73" s="89">
        <f t="shared" si="17"/>
        <v>923.61000000000013</v>
      </c>
      <c r="F73" s="89">
        <f t="shared" si="17"/>
        <v>947.6400000000001</v>
      </c>
      <c r="G73" s="89">
        <f t="shared" si="17"/>
        <v>976.46</v>
      </c>
      <c r="H73" s="89">
        <f t="shared" si="17"/>
        <v>1068.6400000000001</v>
      </c>
      <c r="I73" s="89">
        <f t="shared" si="17"/>
        <v>1151.8399999999999</v>
      </c>
      <c r="J73" s="89">
        <f t="shared" si="17"/>
        <v>1254.94</v>
      </c>
      <c r="K73" s="89">
        <f t="shared" si="17"/>
        <v>1401.64</v>
      </c>
      <c r="L73" s="89">
        <f t="shared" si="17"/>
        <v>1497.1</v>
      </c>
      <c r="M73" s="89">
        <f t="shared" si="17"/>
        <v>1518.54</v>
      </c>
      <c r="N73" s="89">
        <f t="shared" si="17"/>
        <v>1437.94</v>
      </c>
      <c r="O73" s="89">
        <f t="shared" si="17"/>
        <v>1329.14</v>
      </c>
      <c r="P73" s="89">
        <f t="shared" si="17"/>
        <v>1276.24</v>
      </c>
      <c r="Q73" s="89">
        <f t="shared" si="17"/>
        <v>1225.1399999999999</v>
      </c>
      <c r="R73" s="89">
        <f t="shared" si="17"/>
        <v>1194.8400000000001</v>
      </c>
      <c r="S73" s="89">
        <f t="shared" si="17"/>
        <v>1190.2200000000003</v>
      </c>
      <c r="T73" s="89">
        <f t="shared" si="17"/>
        <v>1166.02</v>
      </c>
      <c r="U73" s="89">
        <f t="shared" si="17"/>
        <v>1208.67</v>
      </c>
      <c r="V73" s="89">
        <f t="shared" si="17"/>
        <v>1255.1400000000001</v>
      </c>
      <c r="W73" s="89">
        <f t="shared" si="17"/>
        <v>1289.94</v>
      </c>
      <c r="X73" s="89">
        <f t="shared" si="17"/>
        <v>1395.8999999999999</v>
      </c>
      <c r="Y73" s="89">
        <f t="shared" si="17"/>
        <v>1472.44</v>
      </c>
      <c r="Z73" s="89">
        <f t="shared" si="17"/>
        <v>1520.9699999999998</v>
      </c>
      <c r="AA73" s="89">
        <f t="shared" si="17"/>
        <v>1455.9699999999998</v>
      </c>
      <c r="AB73" s="89">
        <f t="shared" si="17"/>
        <v>1371.9399999999998</v>
      </c>
      <c r="AC73" s="89">
        <f t="shared" si="17"/>
        <v>1298.44</v>
      </c>
      <c r="AD73" s="89">
        <f t="shared" si="17"/>
        <v>1211.54</v>
      </c>
      <c r="AE73" s="89">
        <f t="shared" si="17"/>
        <v>1068.04</v>
      </c>
      <c r="AF73" s="89">
        <f t="shared" si="17"/>
        <v>974.54</v>
      </c>
      <c r="AG73" s="89">
        <f t="shared" si="17"/>
        <v>2144.14</v>
      </c>
      <c r="AH73" s="54">
        <f t="shared" si="2"/>
        <v>1520.9699999999998</v>
      </c>
      <c r="AI73" s="55">
        <f t="shared" si="3"/>
        <v>919.56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15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15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973.81</v>
      </c>
      <c r="C75" s="89">
        <f>C73+C74</f>
        <v>963.51</v>
      </c>
      <c r="D75" s="89">
        <f t="shared" ref="D75:AF75" si="19">D72+D68+D56+D52+D38+D74</f>
        <v>919.56</v>
      </c>
      <c r="E75" s="89">
        <f t="shared" si="19"/>
        <v>923.61000000000013</v>
      </c>
      <c r="F75" s="89">
        <f t="shared" si="19"/>
        <v>947.6400000000001</v>
      </c>
      <c r="G75" s="89">
        <f t="shared" si="19"/>
        <v>976.46</v>
      </c>
      <c r="H75" s="89">
        <f t="shared" si="19"/>
        <v>1068.6400000000001</v>
      </c>
      <c r="I75" s="89">
        <f t="shared" si="19"/>
        <v>1151.8399999999999</v>
      </c>
      <c r="J75" s="89">
        <f t="shared" si="19"/>
        <v>1254.94</v>
      </c>
      <c r="K75" s="89">
        <f t="shared" si="19"/>
        <v>1401.64</v>
      </c>
      <c r="L75" s="89">
        <f t="shared" si="19"/>
        <v>1497.1</v>
      </c>
      <c r="M75" s="89">
        <f t="shared" si="19"/>
        <v>1518.54</v>
      </c>
      <c r="N75" s="89">
        <f t="shared" si="19"/>
        <v>1437.94</v>
      </c>
      <c r="O75" s="89">
        <f t="shared" si="19"/>
        <v>1329.14</v>
      </c>
      <c r="P75" s="89">
        <f t="shared" si="19"/>
        <v>1276.24</v>
      </c>
      <c r="Q75" s="89">
        <f t="shared" si="19"/>
        <v>1240.1399999999999</v>
      </c>
      <c r="R75" s="89">
        <f t="shared" si="19"/>
        <v>1194.8400000000001</v>
      </c>
      <c r="S75" s="89">
        <f t="shared" si="19"/>
        <v>1190.2200000000003</v>
      </c>
      <c r="T75" s="89">
        <f t="shared" si="19"/>
        <v>1166.02</v>
      </c>
      <c r="U75" s="89">
        <f t="shared" si="19"/>
        <v>1208.67</v>
      </c>
      <c r="V75" s="89">
        <f t="shared" si="19"/>
        <v>1255.1400000000001</v>
      </c>
      <c r="W75" s="89">
        <f t="shared" si="19"/>
        <v>1289.94</v>
      </c>
      <c r="X75" s="89">
        <f t="shared" si="19"/>
        <v>1395.8999999999999</v>
      </c>
      <c r="Y75" s="89">
        <f t="shared" si="19"/>
        <v>1472.44</v>
      </c>
      <c r="Z75" s="89">
        <f t="shared" si="19"/>
        <v>1520.9699999999998</v>
      </c>
      <c r="AA75" s="89">
        <f t="shared" si="19"/>
        <v>1455.9699999999998</v>
      </c>
      <c r="AB75" s="89">
        <f t="shared" si="19"/>
        <v>1371.9399999999998</v>
      </c>
      <c r="AC75" s="89">
        <f t="shared" si="19"/>
        <v>1298.44</v>
      </c>
      <c r="AD75" s="89">
        <f t="shared" si="19"/>
        <v>1211.54</v>
      </c>
      <c r="AE75" s="89">
        <f t="shared" si="19"/>
        <v>1068.04</v>
      </c>
      <c r="AF75" s="89">
        <f t="shared" si="19"/>
        <v>974.54</v>
      </c>
      <c r="AG75" s="78">
        <f>AG72+AG68+AG56+AG52+AG38+AG74</f>
        <v>2144.14</v>
      </c>
      <c r="AH75" s="54">
        <f t="shared" si="2"/>
        <v>1520.9699999999998</v>
      </c>
      <c r="AI75" s="55">
        <f t="shared" si="3"/>
        <v>919.56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1947.62</v>
      </c>
      <c r="C83" s="72">
        <f t="shared" ref="C83:AG83" si="35">SUM(C70:C82)</f>
        <v>1927.02</v>
      </c>
      <c r="D83" s="72">
        <f t="shared" si="35"/>
        <v>1839.12</v>
      </c>
      <c r="E83" s="72">
        <f t="shared" si="35"/>
        <v>1847.2200000000003</v>
      </c>
      <c r="F83" s="72">
        <f t="shared" si="35"/>
        <v>1895.2800000000002</v>
      </c>
      <c r="G83" s="72">
        <f t="shared" si="35"/>
        <v>1952.92</v>
      </c>
      <c r="H83" s="72">
        <f t="shared" si="35"/>
        <v>2137.2800000000002</v>
      </c>
      <c r="I83" s="72">
        <f t="shared" si="35"/>
        <v>2303.6799999999998</v>
      </c>
      <c r="J83" s="72">
        <f t="shared" si="35"/>
        <v>2509.88</v>
      </c>
      <c r="K83" s="72">
        <f t="shared" si="35"/>
        <v>2803.28</v>
      </c>
      <c r="L83" s="72">
        <f t="shared" si="35"/>
        <v>2994.2</v>
      </c>
      <c r="M83" s="72">
        <f t="shared" si="35"/>
        <v>3037.08</v>
      </c>
      <c r="N83" s="72">
        <f t="shared" si="35"/>
        <v>2875.88</v>
      </c>
      <c r="O83" s="72">
        <f t="shared" si="35"/>
        <v>2658.28</v>
      </c>
      <c r="P83" s="72">
        <f t="shared" si="35"/>
        <v>2552.48</v>
      </c>
      <c r="Q83" s="72">
        <f t="shared" si="35"/>
        <v>2480.2799999999997</v>
      </c>
      <c r="R83" s="72">
        <f t="shared" si="35"/>
        <v>2389.6800000000003</v>
      </c>
      <c r="S83" s="72">
        <f t="shared" si="35"/>
        <v>2380.4400000000005</v>
      </c>
      <c r="T83" s="72">
        <f t="shared" si="35"/>
        <v>2332.04</v>
      </c>
      <c r="U83" s="72">
        <f t="shared" si="35"/>
        <v>2417.34</v>
      </c>
      <c r="V83" s="72">
        <f t="shared" si="35"/>
        <v>2510.2800000000002</v>
      </c>
      <c r="W83" s="72">
        <f t="shared" si="35"/>
        <v>2579.88</v>
      </c>
      <c r="X83" s="72">
        <f t="shared" si="35"/>
        <v>2791.7999999999997</v>
      </c>
      <c r="Y83" s="72">
        <f t="shared" si="35"/>
        <v>2944.88</v>
      </c>
      <c r="Z83" s="72">
        <f t="shared" si="35"/>
        <v>3041.9399999999996</v>
      </c>
      <c r="AA83" s="72">
        <f t="shared" si="35"/>
        <v>2911.9399999999996</v>
      </c>
      <c r="AB83" s="72">
        <f t="shared" si="35"/>
        <v>2743.8799999999997</v>
      </c>
      <c r="AC83" s="72">
        <f t="shared" si="35"/>
        <v>2596.88</v>
      </c>
      <c r="AD83" s="72">
        <f t="shared" si="35"/>
        <v>2423.08</v>
      </c>
      <c r="AE83" s="72">
        <f t="shared" si="35"/>
        <v>2136.08</v>
      </c>
      <c r="AF83" s="72">
        <f t="shared" si="35"/>
        <v>1949.08</v>
      </c>
      <c r="AG83" s="78">
        <f t="shared" si="35"/>
        <v>4360.08</v>
      </c>
      <c r="AH83" s="54">
        <f t="shared" si="22"/>
        <v>3041.9399999999996</v>
      </c>
      <c r="AI83" s="55">
        <f t="shared" si="23"/>
        <v>1839.12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49.987000000000002</v>
      </c>
      <c r="C84" s="96">
        <v>49.982999999999997</v>
      </c>
      <c r="D84" s="96">
        <v>50.002000000000002</v>
      </c>
      <c r="E84" s="96">
        <v>49.973999999999997</v>
      </c>
      <c r="F84" s="96">
        <v>49.921999999999997</v>
      </c>
      <c r="G84" s="96">
        <v>50.055999999999997</v>
      </c>
      <c r="H84" s="96">
        <v>50.061999999999998</v>
      </c>
      <c r="I84" s="96">
        <v>50.122</v>
      </c>
      <c r="J84" s="96">
        <v>50.040999999999997</v>
      </c>
      <c r="K84" s="96">
        <v>50.03</v>
      </c>
      <c r="L84" s="96">
        <v>50.015000000000001</v>
      </c>
      <c r="M84" s="96">
        <v>50.021000000000001</v>
      </c>
      <c r="N84" s="96">
        <v>50.054000000000002</v>
      </c>
      <c r="O84" s="96">
        <v>50.057000000000002</v>
      </c>
      <c r="P84" s="96">
        <v>50.036000000000001</v>
      </c>
      <c r="Q84" s="96">
        <v>49.939</v>
      </c>
      <c r="R84" s="96">
        <v>50.03</v>
      </c>
      <c r="S84" s="96">
        <v>49.970999999999997</v>
      </c>
      <c r="T84" s="96">
        <v>49.975000000000001</v>
      </c>
      <c r="U84" s="96">
        <v>49.945</v>
      </c>
      <c r="V84" s="96">
        <v>49.884999999999998</v>
      </c>
      <c r="W84" s="96">
        <v>50.055</v>
      </c>
      <c r="X84" s="96">
        <v>50.191000000000003</v>
      </c>
      <c r="Y84" s="96">
        <v>50.06</v>
      </c>
      <c r="Z84" s="96">
        <v>49.912999999999997</v>
      </c>
      <c r="AA84" s="96">
        <v>49.98</v>
      </c>
      <c r="AB84" s="96">
        <v>50.04</v>
      </c>
      <c r="AC84" s="96">
        <v>49.94</v>
      </c>
      <c r="AD84" s="96">
        <v>50.04</v>
      </c>
      <c r="AE84" s="96">
        <v>50.02</v>
      </c>
      <c r="AF84" s="96">
        <v>49.96</v>
      </c>
      <c r="AG84" s="97"/>
      <c r="AH84" s="54">
        <f t="shared" si="22"/>
        <v>50.191000000000003</v>
      </c>
      <c r="AI84" s="55">
        <f t="shared" si="23"/>
        <v>49.884999999999998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123.4</v>
      </c>
      <c r="C85" s="73">
        <v>123.3</v>
      </c>
      <c r="D85" s="73">
        <v>126.3</v>
      </c>
      <c r="E85" s="73">
        <v>126.2</v>
      </c>
      <c r="F85" s="73">
        <v>124.7</v>
      </c>
      <c r="G85" s="73">
        <v>128</v>
      </c>
      <c r="H85" s="73">
        <v>126.4</v>
      </c>
      <c r="I85" s="73">
        <v>124.6</v>
      </c>
      <c r="J85" s="73">
        <v>124.6</v>
      </c>
      <c r="K85" s="73">
        <v>123.7</v>
      </c>
      <c r="L85" s="73">
        <v>124.2</v>
      </c>
      <c r="M85" s="73">
        <v>124.3</v>
      </c>
      <c r="N85" s="73">
        <v>123.4</v>
      </c>
      <c r="O85" s="73">
        <v>124.6</v>
      </c>
      <c r="P85" s="73">
        <v>123.7</v>
      </c>
      <c r="Q85" s="73">
        <v>123.7</v>
      </c>
      <c r="R85" s="73">
        <v>124.2</v>
      </c>
      <c r="S85" s="73">
        <v>123.7</v>
      </c>
      <c r="T85" s="73">
        <v>125.8</v>
      </c>
      <c r="U85" s="73">
        <v>122.8</v>
      </c>
      <c r="V85" s="100">
        <v>124.5</v>
      </c>
      <c r="W85" s="100">
        <v>124.5</v>
      </c>
      <c r="X85" s="100">
        <v>128.69999999999999</v>
      </c>
      <c r="Y85" s="100">
        <v>127.3</v>
      </c>
      <c r="Z85" s="100">
        <v>125.3</v>
      </c>
      <c r="AA85" s="100">
        <v>125.7</v>
      </c>
      <c r="AB85" s="73">
        <v>126.5</v>
      </c>
      <c r="AC85" s="73">
        <v>125.5</v>
      </c>
      <c r="AD85" s="73">
        <v>127.6</v>
      </c>
      <c r="AE85" s="73">
        <v>126.7</v>
      </c>
      <c r="AF85" s="73">
        <v>124</v>
      </c>
      <c r="AG85" s="101"/>
      <c r="AH85" s="54">
        <f t="shared" si="22"/>
        <v>128.69999999999999</v>
      </c>
      <c r="AI85" s="55">
        <f t="shared" si="23"/>
        <v>122.8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128.30000000000001</v>
      </c>
      <c r="C86" s="73">
        <v>128.19999999999999</v>
      </c>
      <c r="D86" s="73">
        <v>130.6</v>
      </c>
      <c r="E86" s="73">
        <v>130.9</v>
      </c>
      <c r="F86" s="73">
        <v>129.9</v>
      </c>
      <c r="G86" s="73">
        <v>131.4</v>
      </c>
      <c r="H86" s="73">
        <v>129.9</v>
      </c>
      <c r="I86" s="73">
        <v>127.9</v>
      </c>
      <c r="J86" s="73">
        <v>127.9</v>
      </c>
      <c r="K86" s="73">
        <v>126.2</v>
      </c>
      <c r="L86" s="73">
        <v>126.7</v>
      </c>
      <c r="M86" s="73">
        <v>126.7</v>
      </c>
      <c r="N86" s="73">
        <v>125.9</v>
      </c>
      <c r="O86" s="73">
        <v>127</v>
      </c>
      <c r="P86" s="73">
        <v>126.5</v>
      </c>
      <c r="Q86" s="73">
        <v>126.7</v>
      </c>
      <c r="R86" s="73">
        <v>127.1</v>
      </c>
      <c r="S86" s="73">
        <v>127.1</v>
      </c>
      <c r="T86" s="73">
        <v>127.7</v>
      </c>
      <c r="U86" s="73">
        <v>125.1</v>
      </c>
      <c r="V86" s="100">
        <v>127</v>
      </c>
      <c r="W86" s="100">
        <v>127</v>
      </c>
      <c r="X86" s="100">
        <v>129.69999999999999</v>
      </c>
      <c r="Y86" s="100">
        <v>128.69999999999999</v>
      </c>
      <c r="Z86" s="100">
        <v>127.4</v>
      </c>
      <c r="AA86" s="100">
        <v>127.6</v>
      </c>
      <c r="AB86" s="73">
        <v>128.69999999999999</v>
      </c>
      <c r="AC86" s="73">
        <v>128.5</v>
      </c>
      <c r="AD86" s="73">
        <v>130</v>
      </c>
      <c r="AE86" s="73">
        <v>130</v>
      </c>
      <c r="AF86" s="73">
        <v>128</v>
      </c>
      <c r="AG86" s="101"/>
      <c r="AH86" s="54">
        <f t="shared" si="22"/>
        <v>131.4</v>
      </c>
      <c r="AI86" s="55">
        <f t="shared" si="23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131.19999999999999</v>
      </c>
      <c r="C87" s="73">
        <v>130.69999999999999</v>
      </c>
      <c r="D87" s="73">
        <v>130.9</v>
      </c>
      <c r="E87" s="73">
        <v>130</v>
      </c>
      <c r="F87" s="73">
        <v>130</v>
      </c>
      <c r="G87" s="73">
        <v>131.4</v>
      </c>
      <c r="H87" s="73">
        <v>129.4</v>
      </c>
      <c r="I87" s="73">
        <v>134.5</v>
      </c>
      <c r="J87" s="73">
        <v>134.5</v>
      </c>
      <c r="K87" s="73">
        <v>128.80000000000001</v>
      </c>
      <c r="L87" s="73">
        <v>128</v>
      </c>
      <c r="M87" s="73">
        <v>126.3</v>
      </c>
      <c r="N87" s="73">
        <v>127.8</v>
      </c>
      <c r="O87" s="73">
        <v>130.19999999999999</v>
      </c>
      <c r="P87" s="73">
        <v>130</v>
      </c>
      <c r="Q87" s="73">
        <v>131.69999999999999</v>
      </c>
      <c r="R87" s="73">
        <v>126.4</v>
      </c>
      <c r="S87" s="73">
        <v>125.6</v>
      </c>
      <c r="T87" s="73">
        <v>129.80000000000001</v>
      </c>
      <c r="U87" s="73">
        <v>130.6</v>
      </c>
      <c r="V87" s="73">
        <v>130</v>
      </c>
      <c r="W87" s="73">
        <v>129.9</v>
      </c>
      <c r="X87" s="100">
        <v>127.5</v>
      </c>
      <c r="Y87" s="100">
        <v>128.19999999999999</v>
      </c>
      <c r="Z87" s="100">
        <v>126.4</v>
      </c>
      <c r="AA87" s="100">
        <v>130.6</v>
      </c>
      <c r="AB87" s="73">
        <v>131</v>
      </c>
      <c r="AC87" s="73">
        <v>131</v>
      </c>
      <c r="AD87" s="73">
        <v>130</v>
      </c>
      <c r="AE87" s="73">
        <v>129.30000000000001</v>
      </c>
      <c r="AF87" s="73">
        <v>130</v>
      </c>
      <c r="AG87" s="101"/>
      <c r="AH87" s="54">
        <f t="shared" si="22"/>
        <v>134.5</v>
      </c>
      <c r="AI87" s="55">
        <f t="shared" si="23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135.9</v>
      </c>
      <c r="C88" s="73">
        <v>135.5</v>
      </c>
      <c r="D88" s="73">
        <v>134.5</v>
      </c>
      <c r="E88" s="73">
        <v>134.1</v>
      </c>
      <c r="F88" s="73">
        <v>133</v>
      </c>
      <c r="G88" s="73">
        <v>134.19999999999999</v>
      </c>
      <c r="H88" s="73">
        <v>132.19999999999999</v>
      </c>
      <c r="I88" s="73">
        <v>136.69999999999999</v>
      </c>
      <c r="J88" s="73">
        <v>136.69999999999999</v>
      </c>
      <c r="K88" s="73">
        <v>130.4</v>
      </c>
      <c r="L88" s="73">
        <v>131.5</v>
      </c>
      <c r="M88" s="73">
        <v>128.80000000000001</v>
      </c>
      <c r="N88" s="73">
        <v>130.69999999999999</v>
      </c>
      <c r="O88" s="73">
        <v>133.1</v>
      </c>
      <c r="P88" s="73">
        <v>133.30000000000001</v>
      </c>
      <c r="Q88" s="73">
        <v>135.1</v>
      </c>
      <c r="R88" s="73">
        <v>129.30000000000001</v>
      </c>
      <c r="S88" s="73">
        <v>128.4</v>
      </c>
      <c r="T88" s="73">
        <v>133.30000000000001</v>
      </c>
      <c r="U88" s="73">
        <v>134.1</v>
      </c>
      <c r="V88" s="73">
        <v>133.5</v>
      </c>
      <c r="W88" s="73">
        <v>133.5</v>
      </c>
      <c r="X88" s="100">
        <v>130.80000000000001</v>
      </c>
      <c r="Y88" s="100">
        <v>131.6</v>
      </c>
      <c r="Z88" s="100">
        <v>131.1</v>
      </c>
      <c r="AA88" s="100">
        <v>135.1</v>
      </c>
      <c r="AB88" s="73">
        <v>134</v>
      </c>
      <c r="AC88" s="73">
        <v>134</v>
      </c>
      <c r="AD88" s="73">
        <v>134</v>
      </c>
      <c r="AE88" s="73">
        <v>134</v>
      </c>
      <c r="AF88" s="73">
        <v>134.6</v>
      </c>
      <c r="AG88" s="101"/>
      <c r="AH88" s="54">
        <f t="shared" si="22"/>
        <v>136.69999999999999</v>
      </c>
      <c r="AI88" s="55">
        <f t="shared" si="23"/>
        <v>128.4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127.9</v>
      </c>
      <c r="C89" s="104">
        <v>125.9</v>
      </c>
      <c r="D89" s="104">
        <v>131.30000000000001</v>
      </c>
      <c r="E89" s="104">
        <v>133.4</v>
      </c>
      <c r="F89" s="104">
        <v>132.30000000000001</v>
      </c>
      <c r="G89" s="104">
        <v>134.69999999999999</v>
      </c>
      <c r="H89" s="104">
        <v>133.30000000000001</v>
      </c>
      <c r="I89" s="104">
        <v>130.6</v>
      </c>
      <c r="J89" s="104">
        <v>130.6</v>
      </c>
      <c r="K89" s="104">
        <v>132.4</v>
      </c>
      <c r="L89" s="104">
        <v>131.30000000000001</v>
      </c>
      <c r="M89" s="104">
        <v>133.30000000000001</v>
      </c>
      <c r="N89" s="104">
        <v>133.9</v>
      </c>
      <c r="O89" s="104">
        <v>133.9</v>
      </c>
      <c r="P89" s="104">
        <v>131.6</v>
      </c>
      <c r="Q89" s="104">
        <v>131.69999999999999</v>
      </c>
      <c r="R89" s="104">
        <v>133.30000000000001</v>
      </c>
      <c r="S89" s="104">
        <v>133.1</v>
      </c>
      <c r="T89" s="104">
        <v>132.4</v>
      </c>
      <c r="U89" s="104">
        <v>129</v>
      </c>
      <c r="V89" s="104">
        <v>133.19999999999999</v>
      </c>
      <c r="W89" s="104">
        <v>134.9</v>
      </c>
      <c r="X89" s="100">
        <v>136</v>
      </c>
      <c r="Y89" s="100">
        <v>137.1</v>
      </c>
      <c r="Z89" s="100">
        <v>135.6</v>
      </c>
      <c r="AA89" s="100">
        <v>133.5</v>
      </c>
      <c r="AB89" s="104">
        <v>135.6</v>
      </c>
      <c r="AC89" s="104">
        <v>135</v>
      </c>
      <c r="AD89" s="104">
        <v>136</v>
      </c>
      <c r="AE89" s="104">
        <v>131</v>
      </c>
      <c r="AF89" s="104">
        <v>133</v>
      </c>
      <c r="AG89" s="105"/>
      <c r="AH89" s="54">
        <f t="shared" si="22"/>
        <v>137.1</v>
      </c>
      <c r="AI89" s="55">
        <f t="shared" si="23"/>
        <v>125.9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137.1</v>
      </c>
      <c r="C90" s="73">
        <v>136.19999999999999</v>
      </c>
      <c r="D90" s="73">
        <v>138.6</v>
      </c>
      <c r="E90" s="73">
        <v>137.9</v>
      </c>
      <c r="F90" s="73">
        <v>136.80000000000001</v>
      </c>
      <c r="G90" s="73">
        <v>132.80000000000001</v>
      </c>
      <c r="H90" s="73">
        <v>132.5</v>
      </c>
      <c r="I90" s="73">
        <v>132.1</v>
      </c>
      <c r="J90" s="73">
        <v>132.1</v>
      </c>
      <c r="K90" s="73">
        <v>132</v>
      </c>
      <c r="L90" s="73">
        <v>133.1</v>
      </c>
      <c r="M90" s="73">
        <v>129.1</v>
      </c>
      <c r="N90" s="73">
        <v>125.7</v>
      </c>
      <c r="O90" s="73">
        <v>127.3</v>
      </c>
      <c r="P90" s="73">
        <v>130.9</v>
      </c>
      <c r="Q90" s="73">
        <v>133.1</v>
      </c>
      <c r="R90" s="73">
        <v>134.80000000000001</v>
      </c>
      <c r="S90" s="73">
        <v>134</v>
      </c>
      <c r="T90" s="73">
        <v>134.30000000000001</v>
      </c>
      <c r="U90" s="73">
        <v>133.69999999999999</v>
      </c>
      <c r="V90" s="73">
        <v>131.19999999999999</v>
      </c>
      <c r="W90" s="73">
        <v>132.6</v>
      </c>
      <c r="X90" s="100">
        <v>135.5</v>
      </c>
      <c r="Y90" s="100">
        <v>134</v>
      </c>
      <c r="Z90" s="100">
        <v>133.69999999999999</v>
      </c>
      <c r="AA90" s="100">
        <v>136.80000000000001</v>
      </c>
      <c r="AB90" s="73">
        <v>133.9</v>
      </c>
      <c r="AC90" s="73">
        <v>134</v>
      </c>
      <c r="AD90" s="73">
        <v>133</v>
      </c>
      <c r="AE90" s="73">
        <v>135</v>
      </c>
      <c r="AF90" s="73">
        <v>133.6</v>
      </c>
      <c r="AG90" s="101"/>
      <c r="AH90" s="54">
        <f t="shared" si="22"/>
        <v>138.6</v>
      </c>
      <c r="AI90" s="55">
        <f t="shared" si="23"/>
        <v>125.7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65.2</v>
      </c>
      <c r="C91" s="107">
        <v>65.3</v>
      </c>
      <c r="D91" s="107">
        <v>66.599999999999994</v>
      </c>
      <c r="E91" s="107">
        <v>66.599999999999994</v>
      </c>
      <c r="F91" s="107">
        <v>66</v>
      </c>
      <c r="G91" s="107">
        <v>66.400000000000006</v>
      </c>
      <c r="H91" s="107">
        <v>65.599999999999994</v>
      </c>
      <c r="I91" s="107">
        <v>65</v>
      </c>
      <c r="J91" s="107">
        <v>65.400000000000006</v>
      </c>
      <c r="K91" s="107">
        <v>63.9</v>
      </c>
      <c r="L91" s="107">
        <v>63.8</v>
      </c>
      <c r="M91" s="107">
        <v>63.9</v>
      </c>
      <c r="N91" s="107">
        <v>63.4</v>
      </c>
      <c r="O91" s="107">
        <v>63.8</v>
      </c>
      <c r="P91" s="107">
        <v>63.7</v>
      </c>
      <c r="Q91" s="107">
        <v>64</v>
      </c>
      <c r="R91" s="107">
        <v>64.5</v>
      </c>
      <c r="S91" s="107">
        <v>64.400000000000006</v>
      </c>
      <c r="T91" s="107">
        <v>64.400000000000006</v>
      </c>
      <c r="U91" s="107">
        <v>63.3</v>
      </c>
      <c r="V91" s="107">
        <v>64</v>
      </c>
      <c r="W91" s="107">
        <v>64.7</v>
      </c>
      <c r="X91" s="107">
        <v>65.3</v>
      </c>
      <c r="Y91" s="107">
        <v>65</v>
      </c>
      <c r="Z91" s="107">
        <v>64.400000000000006</v>
      </c>
      <c r="AA91" s="107">
        <v>64.400000000000006</v>
      </c>
      <c r="AB91" s="107">
        <v>65.2</v>
      </c>
      <c r="AC91" s="107">
        <v>65.400000000000006</v>
      </c>
      <c r="AD91" s="107">
        <v>65.5</v>
      </c>
      <c r="AE91" s="107">
        <v>66</v>
      </c>
      <c r="AF91" s="107">
        <v>65.099999999999994</v>
      </c>
      <c r="AG91" s="108"/>
      <c r="AH91" s="54">
        <f t="shared" si="22"/>
        <v>66.599999999999994</v>
      </c>
      <c r="AI91" s="55">
        <f t="shared" si="23"/>
        <v>63.3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195.73999999999998</v>
      </c>
      <c r="C93" s="114">
        <f>SUM(C15,C18,C21:C22,C42,C44:C45,C47,C49,C94:C97,C102,C108,C114,C123,C125,C137,C144,C147:C148,C155,C157,C159,C163:C165,C167:C169,C174,C180:C181,C183:C185,C193,C198)</f>
        <v>182.73999999999998</v>
      </c>
      <c r="D93" s="114">
        <f t="shared" ref="D93:AF93" si="37">SUM(D15,D18,D21:D22,D42,D44:D45,D47,D49,D94:D97,D102,D108,D114,D123,D125,D137,D144,D147:D148,D155,D157,D159,D163:D165,D167:D169,D174,D180:D181,D183:D185,D193,D198)</f>
        <v>178.03999999999996</v>
      </c>
      <c r="E93" s="114">
        <f t="shared" si="37"/>
        <v>172.64</v>
      </c>
      <c r="F93" s="114">
        <f t="shared" si="37"/>
        <v>178.44</v>
      </c>
      <c r="G93" s="113">
        <f t="shared" si="37"/>
        <v>206.03999999999996</v>
      </c>
      <c r="H93" s="113">
        <f t="shared" si="37"/>
        <v>234.03999999999996</v>
      </c>
      <c r="I93" s="113">
        <f t="shared" si="37"/>
        <v>289.94</v>
      </c>
      <c r="J93" s="113">
        <f t="shared" si="37"/>
        <v>352.44000000000005</v>
      </c>
      <c r="K93" s="113">
        <f t="shared" si="37"/>
        <v>383.34000000000003</v>
      </c>
      <c r="L93" s="113">
        <f t="shared" si="37"/>
        <v>415.14000000000004</v>
      </c>
      <c r="M93" s="113">
        <f t="shared" si="37"/>
        <v>410.6400000000001</v>
      </c>
      <c r="N93" s="113">
        <f t="shared" si="37"/>
        <v>379.24000000000007</v>
      </c>
      <c r="O93" s="113">
        <f t="shared" si="37"/>
        <v>379.44000000000005</v>
      </c>
      <c r="P93" s="113">
        <f t="shared" si="37"/>
        <v>352.04000000000008</v>
      </c>
      <c r="Q93" s="113">
        <f t="shared" si="37"/>
        <v>332.84000000000003</v>
      </c>
      <c r="R93" s="113">
        <f t="shared" si="37"/>
        <v>325.44</v>
      </c>
      <c r="S93" s="113">
        <f t="shared" si="37"/>
        <v>310.14</v>
      </c>
      <c r="T93" s="113">
        <f t="shared" si="37"/>
        <v>308.24</v>
      </c>
      <c r="U93" s="113">
        <f t="shared" si="37"/>
        <v>325.84000000000003</v>
      </c>
      <c r="V93" s="113">
        <f t="shared" si="37"/>
        <v>336.24</v>
      </c>
      <c r="W93" s="113">
        <f t="shared" si="37"/>
        <v>349.54</v>
      </c>
      <c r="X93" s="113">
        <f t="shared" si="37"/>
        <v>416.94</v>
      </c>
      <c r="Y93" s="113">
        <f t="shared" si="37"/>
        <v>433.84000000000003</v>
      </c>
      <c r="Z93" s="113">
        <f t="shared" si="37"/>
        <v>440.84000000000003</v>
      </c>
      <c r="AA93" s="113">
        <f t="shared" si="37"/>
        <v>419.54000000000008</v>
      </c>
      <c r="AB93" s="113">
        <f t="shared" si="37"/>
        <v>397.24</v>
      </c>
      <c r="AC93" s="113">
        <f t="shared" si="37"/>
        <v>369.34000000000003</v>
      </c>
      <c r="AD93" s="113">
        <f t="shared" si="37"/>
        <v>341.34000000000003</v>
      </c>
      <c r="AE93" s="113">
        <f t="shared" si="37"/>
        <v>271.34000000000003</v>
      </c>
      <c r="AF93" s="113">
        <f t="shared" si="37"/>
        <v>213.33999999999997</v>
      </c>
      <c r="AG93" s="115"/>
      <c r="AH93" s="54">
        <f>MAX(C93:AF93)</f>
        <v>440.84000000000003</v>
      </c>
      <c r="AI93" s="55">
        <f>MIN(C93:AF93)</f>
        <v>172.64</v>
      </c>
    </row>
    <row r="94" spans="1:88" x14ac:dyDescent="0.25">
      <c r="A94" s="116" t="s">
        <v>98</v>
      </c>
      <c r="B94" s="119">
        <v>-31.7</v>
      </c>
      <c r="C94" s="58">
        <v>-35.700000000000003</v>
      </c>
      <c r="D94" s="58">
        <v>-39.1</v>
      </c>
      <c r="E94" s="58">
        <v>-15.6</v>
      </c>
      <c r="F94" s="58">
        <v>-14.1</v>
      </c>
      <c r="G94" s="118">
        <v>17</v>
      </c>
      <c r="H94" s="118">
        <v>18.600000000000001</v>
      </c>
      <c r="I94" s="118">
        <v>60.2</v>
      </c>
      <c r="J94" s="118">
        <v>61.5</v>
      </c>
      <c r="K94" s="118">
        <v>63.5</v>
      </c>
      <c r="L94" s="118">
        <v>55.3</v>
      </c>
      <c r="M94" s="119">
        <v>51.2</v>
      </c>
      <c r="N94" s="118">
        <v>48.9</v>
      </c>
      <c r="O94" s="118">
        <v>46.7</v>
      </c>
      <c r="P94" s="118">
        <v>26.4</v>
      </c>
      <c r="Q94" s="118">
        <v>18.2</v>
      </c>
      <c r="R94" s="118">
        <v>5.6</v>
      </c>
      <c r="S94" s="118">
        <v>2.2000000000000002</v>
      </c>
      <c r="T94" s="118">
        <v>4.0999999999999996</v>
      </c>
      <c r="U94" s="119">
        <v>9.1999999999999993</v>
      </c>
      <c r="V94" s="119">
        <v>22.6</v>
      </c>
      <c r="W94" s="119">
        <v>27.7</v>
      </c>
      <c r="X94" s="118">
        <v>64.599999999999994</v>
      </c>
      <c r="Y94" s="118">
        <v>57.4</v>
      </c>
      <c r="Z94" s="118">
        <v>54.2</v>
      </c>
      <c r="AA94" s="118">
        <v>58.4</v>
      </c>
      <c r="AB94" s="118">
        <v>55</v>
      </c>
      <c r="AC94" s="119">
        <v>52</v>
      </c>
      <c r="AD94" s="119">
        <v>37</v>
      </c>
      <c r="AE94" s="119">
        <v>-2</v>
      </c>
      <c r="AF94" s="119">
        <v>-20</v>
      </c>
      <c r="AG94" s="120">
        <v>75</v>
      </c>
      <c r="AH94" s="54">
        <f t="shared" ref="AH94:AH99" si="38">IF(ABS(MAX(C94:AF94))&gt;ABS(MIN(C94:AF94)),MAX(C94:AF94),MIN(C94:AF94))</f>
        <v>64.599999999999994</v>
      </c>
      <c r="AI94" s="121">
        <f t="shared" ref="AI94:AI99" si="39">INDEX($C$9:$AF$9,1,MATCH(AH94,C94:AF94,0))</f>
        <v>0.75</v>
      </c>
    </row>
    <row r="95" spans="1:88" x14ac:dyDescent="0.25">
      <c r="A95" s="122" t="s">
        <v>99</v>
      </c>
      <c r="B95" s="73">
        <v>-27</v>
      </c>
      <c r="C95" s="60">
        <v>-28</v>
      </c>
      <c r="D95" s="60">
        <v>-31</v>
      </c>
      <c r="E95" s="60">
        <v>-36</v>
      </c>
      <c r="F95" s="60">
        <v>-34.9</v>
      </c>
      <c r="G95" s="60">
        <v>-18.899999999999999</v>
      </c>
      <c r="H95" s="60">
        <v>-9.6999999999999993</v>
      </c>
      <c r="I95" s="60">
        <v>1.4</v>
      </c>
      <c r="J95" s="60">
        <v>31.3</v>
      </c>
      <c r="K95" s="60">
        <v>30.5</v>
      </c>
      <c r="L95" s="60">
        <v>60</v>
      </c>
      <c r="M95" s="60">
        <v>69</v>
      </c>
      <c r="N95" s="60">
        <v>63</v>
      </c>
      <c r="O95" s="60">
        <v>38</v>
      </c>
      <c r="P95" s="60">
        <v>49</v>
      </c>
      <c r="Q95" s="60">
        <v>23.6</v>
      </c>
      <c r="R95" s="60">
        <v>33.200000000000003</v>
      </c>
      <c r="S95" s="60">
        <v>20.5</v>
      </c>
      <c r="T95" s="60">
        <v>27.1</v>
      </c>
      <c r="U95" s="60">
        <v>36.299999999999997</v>
      </c>
      <c r="V95" s="60">
        <v>36</v>
      </c>
      <c r="W95" s="60">
        <v>39.299999999999997</v>
      </c>
      <c r="X95" s="60">
        <v>60</v>
      </c>
      <c r="Y95" s="60">
        <v>72</v>
      </c>
      <c r="Z95" s="60">
        <v>67</v>
      </c>
      <c r="AA95" s="60">
        <v>69</v>
      </c>
      <c r="AB95" s="60">
        <v>65</v>
      </c>
      <c r="AC95" s="73">
        <v>41</v>
      </c>
      <c r="AD95" s="73">
        <v>38</v>
      </c>
      <c r="AE95" s="73">
        <v>10</v>
      </c>
      <c r="AF95" s="73">
        <v>-33</v>
      </c>
      <c r="AG95" s="120">
        <v>240</v>
      </c>
      <c r="AH95" s="54">
        <f t="shared" si="38"/>
        <v>72</v>
      </c>
      <c r="AI95" s="121">
        <f t="shared" si="39"/>
        <v>0.77083333333333337</v>
      </c>
    </row>
    <row r="96" spans="1:88" x14ac:dyDescent="0.25">
      <c r="A96" s="122" t="s">
        <v>100</v>
      </c>
      <c r="B96" s="73">
        <v>-6.6</v>
      </c>
      <c r="C96" s="60">
        <v>-10.8</v>
      </c>
      <c r="D96" s="60">
        <v>-5.2</v>
      </c>
      <c r="E96" s="60">
        <v>-4.2</v>
      </c>
      <c r="F96" s="60">
        <v>-11.5</v>
      </c>
      <c r="G96" s="60">
        <v>-6.4</v>
      </c>
      <c r="H96" s="60">
        <v>-4</v>
      </c>
      <c r="I96" s="60">
        <v>3.2</v>
      </c>
      <c r="J96" s="60">
        <v>0</v>
      </c>
      <c r="K96" s="60">
        <v>29.3</v>
      </c>
      <c r="L96" s="60">
        <v>47.5</v>
      </c>
      <c r="M96" s="60">
        <v>48.6</v>
      </c>
      <c r="N96" s="60">
        <v>37.6</v>
      </c>
      <c r="O96" s="60">
        <v>33.9</v>
      </c>
      <c r="P96" s="60">
        <v>32.799999999999997</v>
      </c>
      <c r="Q96" s="60">
        <v>26.8</v>
      </c>
      <c r="R96" s="60">
        <v>21.6</v>
      </c>
      <c r="S96" s="60">
        <v>26.7</v>
      </c>
      <c r="T96" s="60">
        <v>27.1</v>
      </c>
      <c r="U96" s="60">
        <v>16.8</v>
      </c>
      <c r="V96" s="60">
        <v>25.8</v>
      </c>
      <c r="W96" s="60">
        <v>28.2</v>
      </c>
      <c r="X96" s="60">
        <v>52.2</v>
      </c>
      <c r="Y96" s="60">
        <v>52.2</v>
      </c>
      <c r="Z96" s="60">
        <v>60.5</v>
      </c>
      <c r="AA96" s="60">
        <v>41.3</v>
      </c>
      <c r="AB96" s="60">
        <v>35</v>
      </c>
      <c r="AC96" s="73">
        <v>20</v>
      </c>
      <c r="AD96" s="73">
        <v>11</v>
      </c>
      <c r="AE96" s="73">
        <v>12</v>
      </c>
      <c r="AF96" s="73">
        <v>12</v>
      </c>
      <c r="AG96" s="120">
        <v>60</v>
      </c>
      <c r="AH96" s="54">
        <f t="shared" si="38"/>
        <v>60.5</v>
      </c>
      <c r="AI96" s="121">
        <f t="shared" si="39"/>
        <v>0.79166666666666663</v>
      </c>
    </row>
    <row r="97" spans="1:37" x14ac:dyDescent="0.25">
      <c r="A97" s="124" t="s">
        <v>101</v>
      </c>
      <c r="B97" s="126">
        <v>103.4</v>
      </c>
      <c r="C97" s="63">
        <v>105.1</v>
      </c>
      <c r="D97" s="63">
        <v>100.4</v>
      </c>
      <c r="E97" s="63">
        <v>75.3</v>
      </c>
      <c r="F97" s="63">
        <v>86.3</v>
      </c>
      <c r="G97" s="63">
        <v>60.4</v>
      </c>
      <c r="H97" s="63">
        <v>75.5</v>
      </c>
      <c r="I97" s="63">
        <v>70.8</v>
      </c>
      <c r="J97" s="63">
        <v>105.3</v>
      </c>
      <c r="K97" s="63">
        <v>105.4</v>
      </c>
      <c r="L97" s="63">
        <v>97.7</v>
      </c>
      <c r="M97" s="63">
        <v>86.6</v>
      </c>
      <c r="N97" s="63">
        <v>74.8</v>
      </c>
      <c r="O97" s="63">
        <v>106.2</v>
      </c>
      <c r="P97" s="63">
        <v>88.9</v>
      </c>
      <c r="Q97" s="63">
        <v>109.3</v>
      </c>
      <c r="R97" s="63">
        <v>110.1</v>
      </c>
      <c r="S97" s="63">
        <v>106.1</v>
      </c>
      <c r="T97" s="63">
        <v>96</v>
      </c>
      <c r="U97" s="63">
        <v>111.7</v>
      </c>
      <c r="V97" s="63">
        <v>100</v>
      </c>
      <c r="W97" s="63">
        <v>102.5</v>
      </c>
      <c r="X97" s="63">
        <v>86.2</v>
      </c>
      <c r="Y97" s="63">
        <v>98.3</v>
      </c>
      <c r="Z97" s="63">
        <v>96.9</v>
      </c>
      <c r="AA97" s="63">
        <v>88.6</v>
      </c>
      <c r="AB97" s="63">
        <v>80</v>
      </c>
      <c r="AC97" s="126">
        <v>102</v>
      </c>
      <c r="AD97" s="126">
        <v>101</v>
      </c>
      <c r="AE97" s="126">
        <v>97</v>
      </c>
      <c r="AF97" s="126">
        <v>96</v>
      </c>
      <c r="AG97" s="127">
        <v>120</v>
      </c>
      <c r="AH97" s="54">
        <f t="shared" si="38"/>
        <v>111.7</v>
      </c>
      <c r="AI97" s="121">
        <f t="shared" si="39"/>
        <v>0.66666666666666696</v>
      </c>
    </row>
    <row r="98" spans="1:37" x14ac:dyDescent="0.25">
      <c r="A98" s="124" t="s">
        <v>102</v>
      </c>
      <c r="B98" s="126">
        <v>108.5</v>
      </c>
      <c r="C98" s="63">
        <v>110.5</v>
      </c>
      <c r="D98" s="63">
        <v>105.8</v>
      </c>
      <c r="E98" s="63">
        <v>81.8</v>
      </c>
      <c r="F98" s="63">
        <v>90.8</v>
      </c>
      <c r="G98" s="63">
        <v>51.1</v>
      </c>
      <c r="H98" s="63">
        <v>60.7</v>
      </c>
      <c r="I98" s="63">
        <v>60.7</v>
      </c>
      <c r="J98" s="63">
        <v>73</v>
      </c>
      <c r="K98" s="63">
        <v>68.5</v>
      </c>
      <c r="L98" s="63">
        <v>73.599999999999994</v>
      </c>
      <c r="M98" s="63">
        <v>85.9</v>
      </c>
      <c r="N98" s="63">
        <v>98.8</v>
      </c>
      <c r="O98" s="63">
        <v>77.900000000000006</v>
      </c>
      <c r="P98" s="63">
        <v>100.5</v>
      </c>
      <c r="Q98" s="63">
        <v>93.3</v>
      </c>
      <c r="R98" s="63">
        <v>92.3</v>
      </c>
      <c r="S98" s="63">
        <v>90.4</v>
      </c>
      <c r="T98" s="63">
        <v>80.400000000000006</v>
      </c>
      <c r="U98" s="63">
        <v>97.2</v>
      </c>
      <c r="V98" s="63">
        <v>80.7</v>
      </c>
      <c r="W98" s="63">
        <v>83</v>
      </c>
      <c r="X98" s="63">
        <v>48.5</v>
      </c>
      <c r="Y98" s="63">
        <v>75</v>
      </c>
      <c r="Z98" s="63">
        <v>90.1</v>
      </c>
      <c r="AA98" s="63">
        <v>95.9</v>
      </c>
      <c r="AB98" s="63">
        <v>90</v>
      </c>
      <c r="AC98" s="126">
        <v>80</v>
      </c>
      <c r="AD98" s="126">
        <v>82</v>
      </c>
      <c r="AE98" s="126">
        <v>88</v>
      </c>
      <c r="AF98" s="126">
        <v>106</v>
      </c>
      <c r="AG98" s="127"/>
      <c r="AH98" s="54">
        <f t="shared" si="38"/>
        <v>110.5</v>
      </c>
      <c r="AI98" s="121">
        <f t="shared" si="39"/>
        <v>4.1666666666666664E-2</v>
      </c>
    </row>
    <row r="99" spans="1:37" ht="15.75" thickBot="1" x14ac:dyDescent="0.3">
      <c r="A99" s="124" t="s">
        <v>103</v>
      </c>
      <c r="B99" s="126">
        <v>53</v>
      </c>
      <c r="C99" s="63">
        <v>67.599999999999994</v>
      </c>
      <c r="D99" s="63">
        <v>75.3</v>
      </c>
      <c r="E99" s="63">
        <v>42.2</v>
      </c>
      <c r="F99" s="63">
        <v>46.5</v>
      </c>
      <c r="G99" s="63">
        <v>30.1</v>
      </c>
      <c r="H99" s="63">
        <v>28</v>
      </c>
      <c r="I99" s="63">
        <v>28</v>
      </c>
      <c r="J99" s="63">
        <v>16.7</v>
      </c>
      <c r="K99" s="63">
        <v>11.9</v>
      </c>
      <c r="L99" s="63">
        <v>21.7</v>
      </c>
      <c r="M99" s="63">
        <v>29.3</v>
      </c>
      <c r="N99" s="63">
        <v>23.7</v>
      </c>
      <c r="O99" s="63">
        <v>26.7</v>
      </c>
      <c r="P99" s="63">
        <v>34.4</v>
      </c>
      <c r="Q99" s="63">
        <v>39</v>
      </c>
      <c r="R99" s="63">
        <v>25.6</v>
      </c>
      <c r="S99" s="63">
        <v>25.6</v>
      </c>
      <c r="T99" s="63">
        <v>30</v>
      </c>
      <c r="U99" s="63">
        <v>37.299999999999997</v>
      </c>
      <c r="V99" s="63">
        <v>30.6</v>
      </c>
      <c r="W99" s="63">
        <v>30.8</v>
      </c>
      <c r="X99" s="63">
        <v>10.199999999999999</v>
      </c>
      <c r="Y99" s="63">
        <v>17.8</v>
      </c>
      <c r="Z99" s="63">
        <v>25.1</v>
      </c>
      <c r="AA99" s="63">
        <v>24.5</v>
      </c>
      <c r="AB99" s="63">
        <v>20</v>
      </c>
      <c r="AC99" s="126">
        <v>20</v>
      </c>
      <c r="AD99" s="126">
        <v>27</v>
      </c>
      <c r="AE99" s="126">
        <v>41</v>
      </c>
      <c r="AF99" s="126">
        <v>73</v>
      </c>
      <c r="AG99" s="128"/>
      <c r="AH99" s="54">
        <f t="shared" si="38"/>
        <v>75.3</v>
      </c>
      <c r="AI99" s="121">
        <f t="shared" si="39"/>
        <v>8.3333333333333301E-2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1518.54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2078/11/11)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973.81</v>
      </c>
      <c r="U213" s="174">
        <f t="shared" si="76"/>
        <v>963.51</v>
      </c>
      <c r="V213" s="174">
        <f t="shared" si="76"/>
        <v>919.56</v>
      </c>
      <c r="W213" s="174">
        <f t="shared" si="76"/>
        <v>923.61000000000013</v>
      </c>
      <c r="X213" s="174">
        <f t="shared" si="76"/>
        <v>947.6400000000001</v>
      </c>
      <c r="Y213" s="174">
        <f t="shared" si="76"/>
        <v>976.46</v>
      </c>
      <c r="Z213" s="174">
        <f t="shared" si="76"/>
        <v>1068.6400000000001</v>
      </c>
      <c r="AA213" s="174">
        <f t="shared" si="76"/>
        <v>1151.8399999999999</v>
      </c>
      <c r="AB213" s="174">
        <f t="shared" si="76"/>
        <v>1254.94</v>
      </c>
      <c r="AC213" s="174">
        <f t="shared" si="76"/>
        <v>1401.64</v>
      </c>
      <c r="AD213" s="174">
        <f t="shared" si="76"/>
        <v>1497.1</v>
      </c>
      <c r="AE213" s="174">
        <f t="shared" si="76"/>
        <v>1518.54</v>
      </c>
      <c r="AF213" s="174">
        <f t="shared" si="76"/>
        <v>1437.94</v>
      </c>
      <c r="AG213" s="174">
        <f t="shared" si="76"/>
        <v>1329.14</v>
      </c>
      <c r="AH213" s="174">
        <f t="shared" si="76"/>
        <v>1276.24</v>
      </c>
      <c r="AI213" s="174">
        <f t="shared" si="76"/>
        <v>1240.1399999999999</v>
      </c>
      <c r="AJ213" s="174">
        <f t="shared" si="76"/>
        <v>1194.8400000000001</v>
      </c>
      <c r="AK213" s="174">
        <f t="shared" si="76"/>
        <v>1190.2200000000003</v>
      </c>
      <c r="AL213" s="174">
        <f t="shared" si="76"/>
        <v>1166.02</v>
      </c>
      <c r="AM213" s="174">
        <f t="shared" si="76"/>
        <v>1208.67</v>
      </c>
      <c r="AN213" s="174">
        <f t="shared" si="76"/>
        <v>1255.1400000000001</v>
      </c>
      <c r="AO213" s="174">
        <f t="shared" si="76"/>
        <v>1289.94</v>
      </c>
      <c r="AP213" s="174">
        <f t="shared" si="76"/>
        <v>1395.8999999999999</v>
      </c>
      <c r="AQ213" s="174">
        <f t="shared" si="76"/>
        <v>1472.44</v>
      </c>
      <c r="AR213" s="174">
        <f t="shared" si="76"/>
        <v>1520.9699999999998</v>
      </c>
      <c r="AS213" s="174">
        <f t="shared" si="76"/>
        <v>1455.9699999999998</v>
      </c>
      <c r="AT213" s="174">
        <f t="shared" si="76"/>
        <v>1371.9399999999998</v>
      </c>
      <c r="AU213" s="174">
        <f t="shared" si="76"/>
        <v>1298.44</v>
      </c>
      <c r="AV213" s="174">
        <f t="shared" si="76"/>
        <v>1211.54</v>
      </c>
      <c r="AW213" s="174">
        <f t="shared" si="76"/>
        <v>1068.04</v>
      </c>
      <c r="AX213" s="174">
        <f t="shared" si="76"/>
        <v>974.54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P39:R39 M39:O42 E61:N61 O61:O67 P40:Q42 R42 M58:W59 X85:AA91 AB81:AF81 C81:R81 C56:AF56 C82:AF83 D193:AF199 B193:B199 AB84:AF91 C68:AF80 B9:AF10 B191:AF191 AF57:AF61 AG73 U212:AF212 AC94:AF99 AF43 F62:H67 P60:R67 R40:W41 V42:W42 M11:Y14 X40:Y42 S62:AF67 Z40:AE43 Z11:AF11 M37:AF37 Z13:AF14 M16:AF17 Z45:AF48 M53:AF55">
    <cfRule type="expression" dxfId="5803" priority="360">
      <formula>B$9&gt;=20/24</formula>
    </cfRule>
    <cfRule type="expression" dxfId="5802" priority="361">
      <formula>AND(B$9&gt;=14/24,B$9&lt;20/24)</formula>
    </cfRule>
    <cfRule type="expression" dxfId="5801" priority="362">
      <formula>AND(B$9&gt;=8/24,B$9&lt;14/24)</formula>
    </cfRule>
    <cfRule type="expression" dxfId="5800" priority="363">
      <formula>B$9&lt;8/24</formula>
    </cfRule>
  </conditionalFormatting>
  <conditionalFormatting sqref="AL4:AL6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799" priority="355">
      <formula>M$9&gt;=20/24</formula>
    </cfRule>
    <cfRule type="expression" dxfId="5798" priority="356">
      <formula>AND(M$9&gt;=14/24,M$9&lt;20/24)</formula>
    </cfRule>
    <cfRule type="expression" dxfId="5797" priority="357">
      <formula>AND(M$9&gt;=8/24,M$9&lt;14/24)</formula>
    </cfRule>
    <cfRule type="expression" dxfId="5796" priority="358">
      <formula>M$9&lt;8/24</formula>
    </cfRule>
  </conditionalFormatting>
  <conditionalFormatting sqref="M43:R43">
    <cfRule type="expression" dxfId="5795" priority="351">
      <formula>M$9&gt;=20/24</formula>
    </cfRule>
    <cfRule type="expression" dxfId="5794" priority="352">
      <formula>AND(M$9&gt;=14/24,M$9&lt;20/24)</formula>
    </cfRule>
    <cfRule type="expression" dxfId="5793" priority="353">
      <formula>AND(M$9&gt;=8/24,M$9&lt;14/24)</formula>
    </cfRule>
    <cfRule type="expression" dxfId="5792" priority="354">
      <formula>M$9&lt;8/24</formula>
    </cfRule>
  </conditionalFormatting>
  <conditionalFormatting sqref="S39:AE39">
    <cfRule type="expression" dxfId="5791" priority="347">
      <formula>S$9&gt;=20/24</formula>
    </cfRule>
    <cfRule type="expression" dxfId="5790" priority="348">
      <formula>AND(S$9&gt;=14/24,S$9&lt;20/24)</formula>
    </cfRule>
    <cfRule type="expression" dxfId="5789" priority="349">
      <formula>AND(S$9&gt;=8/24,S$9&lt;14/24)</formula>
    </cfRule>
    <cfRule type="expression" dxfId="5788" priority="350">
      <formula>S$9&lt;8/24</formula>
    </cfRule>
  </conditionalFormatting>
  <conditionalFormatting sqref="S57:AE57">
    <cfRule type="expression" dxfId="5787" priority="343">
      <formula>S$9&gt;=20/24</formula>
    </cfRule>
    <cfRule type="expression" dxfId="5786" priority="344">
      <formula>AND(S$9&gt;=14/24,S$9&lt;20/24)</formula>
    </cfRule>
    <cfRule type="expression" dxfId="5785" priority="345">
      <formula>AND(S$9&gt;=8/24,S$9&lt;14/24)</formula>
    </cfRule>
    <cfRule type="expression" dxfId="5784" priority="346">
      <formula>S$9&lt;8/24</formula>
    </cfRule>
  </conditionalFormatting>
  <conditionalFormatting sqref="S81:AA81">
    <cfRule type="expression" dxfId="5783" priority="339">
      <formula>S$9&gt;=20/24</formula>
    </cfRule>
    <cfRule type="expression" dxfId="5782" priority="340">
      <formula>AND(S$9&gt;=14/24,S$9&lt;20/24)</formula>
    </cfRule>
    <cfRule type="expression" dxfId="5781" priority="341">
      <formula>AND(S$9&gt;=8/24,S$9&lt;14/24)</formula>
    </cfRule>
    <cfRule type="expression" dxfId="5780" priority="342">
      <formula>S$9&lt;8/24</formula>
    </cfRule>
  </conditionalFormatting>
  <conditionalFormatting sqref="V84:AA84">
    <cfRule type="expression" dxfId="5779" priority="335">
      <formula>V$9&gt;=20/24</formula>
    </cfRule>
    <cfRule type="expression" dxfId="5778" priority="336">
      <formula>AND(V$9&gt;=14/24,V$9&lt;20/24)</formula>
    </cfRule>
    <cfRule type="expression" dxfId="5777" priority="337">
      <formula>AND(V$9&gt;=8/24,V$9&lt;14/24)</formula>
    </cfRule>
    <cfRule type="expression" dxfId="5776" priority="338">
      <formula>V$9&lt;8/24</formula>
    </cfRule>
  </conditionalFormatting>
  <conditionalFormatting sqref="M49:AF49">
    <cfRule type="expression" dxfId="5775" priority="331">
      <formula>M$9&gt;=20/24</formula>
    </cfRule>
    <cfRule type="expression" dxfId="5774" priority="332">
      <formula>AND(M$9&gt;=14/24,M$9&lt;20/24)</formula>
    </cfRule>
    <cfRule type="expression" dxfId="5773" priority="333">
      <formula>AND(M$9&gt;=8/24,M$9&lt;14/24)</formula>
    </cfRule>
    <cfRule type="expression" dxfId="5772" priority="334">
      <formula>M$9&lt;8/24</formula>
    </cfRule>
  </conditionalFormatting>
  <conditionalFormatting sqref="Z50:AF50">
    <cfRule type="expression" dxfId="5771" priority="327">
      <formula>Z$9&gt;=20/24</formula>
    </cfRule>
    <cfRule type="expression" dxfId="5770" priority="328">
      <formula>AND(Z$9&gt;=14/24,Z$9&lt;20/24)</formula>
    </cfRule>
    <cfRule type="expression" dxfId="5769" priority="329">
      <formula>AND(Z$9&gt;=8/24,Z$9&lt;14/24)</formula>
    </cfRule>
    <cfRule type="expression" dxfId="5768" priority="330">
      <formula>Z$9&lt;8/24</formula>
    </cfRule>
  </conditionalFormatting>
  <conditionalFormatting sqref="M45:AF48">
    <cfRule type="expression" dxfId="5767" priority="323">
      <formula>M$9&gt;=20/24</formula>
    </cfRule>
    <cfRule type="expression" dxfId="5766" priority="324">
      <formula>AND(M$9&gt;=14/24,M$9&lt;20/24)</formula>
    </cfRule>
    <cfRule type="expression" dxfId="5765" priority="325">
      <formula>AND(M$9&gt;=8/24,M$9&lt;14/24)</formula>
    </cfRule>
    <cfRule type="expression" dxfId="5764" priority="326">
      <formula>M$9&lt;8/24</formula>
    </cfRule>
  </conditionalFormatting>
  <conditionalFormatting sqref="S42:U43 V43:AE43 Z45:AF48">
    <cfRule type="expression" dxfId="5763" priority="315">
      <formula>S$9&gt;=20/24</formula>
    </cfRule>
    <cfRule type="expression" dxfId="5762" priority="316">
      <formula>AND(S$9&gt;=14/24,S$9&lt;20/24)</formula>
    </cfRule>
    <cfRule type="expression" dxfId="5761" priority="317">
      <formula>AND(S$9&gt;=8/24,S$9&lt;14/24)</formula>
    </cfRule>
    <cfRule type="expression" dxfId="5760" priority="318">
      <formula>S$9&lt;8/24</formula>
    </cfRule>
  </conditionalFormatting>
  <conditionalFormatting sqref="Z49:AF49">
    <cfRule type="expression" dxfId="5759" priority="311">
      <formula>Z$9&gt;=20/24</formula>
    </cfRule>
    <cfRule type="expression" dxfId="5758" priority="312">
      <formula>AND(Z$9&gt;=14/24,Z$9&lt;20/24)</formula>
    </cfRule>
    <cfRule type="expression" dxfId="5757" priority="313">
      <formula>AND(Z$9&gt;=8/24,Z$9&lt;14/24)</formula>
    </cfRule>
    <cfRule type="expression" dxfId="5756" priority="314">
      <formula>Z$9&lt;8/24</formula>
    </cfRule>
  </conditionalFormatting>
  <conditionalFormatting sqref="Z50:AF50">
    <cfRule type="expression" dxfId="5755" priority="307">
      <formula>Z$9&gt;=20/24</formula>
    </cfRule>
    <cfRule type="expression" dxfId="5754" priority="308">
      <formula>AND(Z$9&gt;=14/24,Z$9&lt;20/24)</formula>
    </cfRule>
    <cfRule type="expression" dxfId="5753" priority="309">
      <formula>AND(Z$9&gt;=8/24,Z$9&lt;14/24)</formula>
    </cfRule>
    <cfRule type="expression" dxfId="5752" priority="310">
      <formula>Z$9&lt;8/24</formula>
    </cfRule>
  </conditionalFormatting>
  <conditionalFormatting sqref="S60:T61 X60:AE61">
    <cfRule type="expression" dxfId="5751" priority="303">
      <formula>S$9&gt;=20/24</formula>
    </cfRule>
    <cfRule type="expression" dxfId="5750" priority="304">
      <formula>AND(S$9&gt;=14/24,S$9&lt;20/24)</formula>
    </cfRule>
    <cfRule type="expression" dxfId="5749" priority="305">
      <formula>AND(S$9&gt;=8/24,S$9&lt;14/24)</formula>
    </cfRule>
    <cfRule type="expression" dxfId="5748" priority="306">
      <formula>S$9&lt;8/24</formula>
    </cfRule>
  </conditionalFormatting>
  <conditionalFormatting sqref="E62 I62:L67">
    <cfRule type="expression" dxfId="5747" priority="299">
      <formula>E$9&gt;=20/24</formula>
    </cfRule>
    <cfRule type="expression" dxfId="5746" priority="300">
      <formula>AND(E$9&gt;=14/24,E$9&lt;20/24)</formula>
    </cfRule>
    <cfRule type="expression" dxfId="5745" priority="301">
      <formula>AND(E$9&gt;=8/24,E$9&lt;14/24)</formula>
    </cfRule>
    <cfRule type="expression" dxfId="5744" priority="302">
      <formula>E$9&lt;8/24</formula>
    </cfRule>
  </conditionalFormatting>
  <conditionalFormatting sqref="U94:AB97">
    <cfRule type="expression" dxfId="5743" priority="295">
      <formula>U$9&gt;=20/24</formula>
    </cfRule>
    <cfRule type="expression" dxfId="5742" priority="296">
      <formula>AND(U$9&gt;=14/24,U$9&lt;20/24)</formula>
    </cfRule>
    <cfRule type="expression" dxfId="5741" priority="297">
      <formula>AND(U$9&gt;=8/24,U$9&lt;14/24)</formula>
    </cfRule>
    <cfRule type="expression" dxfId="5740" priority="298">
      <formula>U$9&lt;8/24</formula>
    </cfRule>
  </conditionalFormatting>
  <conditionalFormatting sqref="C38:AF38 C52:AF52 C56:AF56 F11:S11 E39:T42 F43:S43 C51:AG51 M12:S14 M44:S49 T43:T49 T11:Y14 U39:Y49 Z11:AF11 F37:AF37 Z13:AF14 M16:AF17 Z39:AF50 D53:AF55">
    <cfRule type="expression" dxfId="5739" priority="294">
      <formula>C11&gt;$AG11</formula>
    </cfRule>
  </conditionalFormatting>
  <conditionalFormatting sqref="A100:A156 A84:A97 A11:A14 A16:A32 A45:A72 A80:A82 A74:A78 A35:A43 A169:A199">
    <cfRule type="expression" dxfId="5738" priority="293">
      <formula>$AH11=0</formula>
    </cfRule>
  </conditionalFormatting>
  <conditionalFormatting sqref="U98:AB98">
    <cfRule type="expression" dxfId="5737" priority="289">
      <formula>U$9&gt;=20/24</formula>
    </cfRule>
    <cfRule type="expression" dxfId="5736" priority="290">
      <formula>AND(U$9&gt;=14/24,U$9&lt;20/24)</formula>
    </cfRule>
    <cfRule type="expression" dxfId="5735" priority="291">
      <formula>AND(U$9&gt;=8/24,U$9&lt;14/24)</formula>
    </cfRule>
    <cfRule type="expression" dxfId="5734" priority="292">
      <formula>U$9&lt;8/24</formula>
    </cfRule>
  </conditionalFormatting>
  <conditionalFormatting sqref="A98">
    <cfRule type="expression" dxfId="5733" priority="288">
      <formula>$AH98=0</formula>
    </cfRule>
  </conditionalFormatting>
  <conditionalFormatting sqref="E63:E67">
    <cfRule type="expression" dxfId="5732" priority="284">
      <formula>E$9&gt;=20/24</formula>
    </cfRule>
    <cfRule type="expression" dxfId="5731" priority="285">
      <formula>AND(E$9&gt;=14/24,E$9&lt;20/24)</formula>
    </cfRule>
    <cfRule type="expression" dxfId="5730" priority="286">
      <formula>AND(E$9&gt;=8/24,E$9&lt;14/24)</formula>
    </cfRule>
    <cfRule type="expression" dxfId="5729" priority="287">
      <formula>E$9&lt;8/24</formula>
    </cfRule>
  </conditionalFormatting>
  <conditionalFormatting sqref="M62:M67">
    <cfRule type="expression" dxfId="5728" priority="280">
      <formula>M$9&gt;=20/24</formula>
    </cfRule>
    <cfRule type="expression" dxfId="5727" priority="281">
      <formula>AND(M$9&gt;=14/24,M$9&lt;20/24)</formula>
    </cfRule>
    <cfRule type="expression" dxfId="5726" priority="282">
      <formula>AND(M$9&gt;=8/24,M$9&lt;14/24)</formula>
    </cfRule>
    <cfRule type="expression" dxfId="5725" priority="283">
      <formula>M$9&lt;8/24</formula>
    </cfRule>
  </conditionalFormatting>
  <conditionalFormatting sqref="AL32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724" priority="278">
      <formula>$AH34=0</formula>
    </cfRule>
  </conditionalFormatting>
  <conditionalFormatting sqref="A83">
    <cfRule type="expression" dxfId="5723" priority="277">
      <formula>$AH83=0</formula>
    </cfRule>
  </conditionalFormatting>
  <conditionalFormatting sqref="M15:AF15">
    <cfRule type="expression" dxfId="5722" priority="273">
      <formula>M$9&gt;=20/24</formula>
    </cfRule>
    <cfRule type="expression" dxfId="5721" priority="274">
      <formula>AND(M$9&gt;=14/24,M$9&lt;20/24)</formula>
    </cfRule>
    <cfRule type="expression" dxfId="5720" priority="275">
      <formula>AND(M$9&gt;=8/24,M$9&lt;14/24)</formula>
    </cfRule>
    <cfRule type="expression" dxfId="5719" priority="276">
      <formula>M$9&lt;8/24</formula>
    </cfRule>
  </conditionalFormatting>
  <conditionalFormatting sqref="M15:AF15">
    <cfRule type="expression" dxfId="5718" priority="272">
      <formula>M15&gt;$AG15</formula>
    </cfRule>
  </conditionalFormatting>
  <conditionalFormatting sqref="A15">
    <cfRule type="expression" dxfId="5717" priority="271">
      <formula>$AH15=0</formula>
    </cfRule>
  </conditionalFormatting>
  <conditionalFormatting sqref="A163:A168">
    <cfRule type="expression" dxfId="5716" priority="270">
      <formula>$AH163=0</formula>
    </cfRule>
  </conditionalFormatting>
  <conditionalFormatting sqref="A157:A162">
    <cfRule type="expression" dxfId="5715" priority="269">
      <formula>$AH157=0</formula>
    </cfRule>
  </conditionalFormatting>
  <conditionalFormatting sqref="Z44:AF44">
    <cfRule type="expression" dxfId="5714" priority="265">
      <formula>Z$9&gt;=20/24</formula>
    </cfRule>
    <cfRule type="expression" dxfId="5713" priority="266">
      <formula>AND(Z$9&gt;=14/24,Z$9&lt;20/24)</formula>
    </cfRule>
    <cfRule type="expression" dxfId="5712" priority="267">
      <formula>AND(Z$9&gt;=8/24,Z$9&lt;14/24)</formula>
    </cfRule>
    <cfRule type="expression" dxfId="5711" priority="268">
      <formula>Z$9&lt;8/24</formula>
    </cfRule>
  </conditionalFormatting>
  <conditionalFormatting sqref="M44:Y44">
    <cfRule type="expression" dxfId="5710" priority="261">
      <formula>M$9&gt;=20/24</formula>
    </cfRule>
    <cfRule type="expression" dxfId="5709" priority="262">
      <formula>AND(M$9&gt;=14/24,M$9&lt;20/24)</formula>
    </cfRule>
    <cfRule type="expression" dxfId="5708" priority="263">
      <formula>AND(M$9&gt;=8/24,M$9&lt;14/24)</formula>
    </cfRule>
    <cfRule type="expression" dxfId="5707" priority="264">
      <formula>M$9&lt;8/24</formula>
    </cfRule>
  </conditionalFormatting>
  <conditionalFormatting sqref="Z44:AF44">
    <cfRule type="expression" dxfId="5706" priority="257">
      <formula>Z$9&gt;=20/24</formula>
    </cfRule>
    <cfRule type="expression" dxfId="5705" priority="258">
      <formula>AND(Z$9&gt;=14/24,Z$9&lt;20/24)</formula>
    </cfRule>
    <cfRule type="expression" dxfId="5704" priority="259">
      <formula>AND(Z$9&gt;=8/24,Z$9&lt;14/24)</formula>
    </cfRule>
    <cfRule type="expression" dxfId="5703" priority="260">
      <formula>Z$9&lt;8/24</formula>
    </cfRule>
  </conditionalFormatting>
  <conditionalFormatting sqref="A44">
    <cfRule type="expression" dxfId="5702" priority="256">
      <formula>$AH44=0</formula>
    </cfRule>
  </conditionalFormatting>
  <conditionalFormatting sqref="A79">
    <cfRule type="expression" dxfId="5701" priority="255">
      <formula>$AH79=0</formula>
    </cfRule>
  </conditionalFormatting>
  <conditionalFormatting sqref="A73">
    <cfRule type="expression" dxfId="5700" priority="254">
      <formula>$AH73=0</formula>
    </cfRule>
  </conditionalFormatting>
  <conditionalFormatting sqref="AL34:AL35 AL7:AL31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5699" priority="250">
      <formula>U$9&gt;=20/24</formula>
    </cfRule>
    <cfRule type="expression" dxfId="5698" priority="251">
      <formula>AND(U$9&gt;=14/24,U$9&lt;20/24)</formula>
    </cfRule>
    <cfRule type="expression" dxfId="5697" priority="252">
      <formula>AND(U$9&gt;=8/24,U$9&lt;14/24)</formula>
    </cfRule>
    <cfRule type="expression" dxfId="5696" priority="253">
      <formula>U$9&lt;8/24</formula>
    </cfRule>
  </conditionalFormatting>
  <conditionalFormatting sqref="V85:W91">
    <cfRule type="expression" dxfId="5695" priority="246">
      <formula>V$9&gt;=20/24</formula>
    </cfRule>
    <cfRule type="expression" dxfId="5694" priority="247">
      <formula>AND(V$9&gt;=14/24,V$9&lt;20/24)</formula>
    </cfRule>
    <cfRule type="expression" dxfId="5693" priority="248">
      <formula>AND(V$9&gt;=8/24,V$9&lt;14/24)</formula>
    </cfRule>
    <cfRule type="expression" dxfId="5692" priority="249">
      <formula>V$9&lt;8/24</formula>
    </cfRule>
  </conditionalFormatting>
  <conditionalFormatting sqref="S85:U91 E84:R91">
    <cfRule type="expression" dxfId="5691" priority="242">
      <formula>E$9&gt;=20/24</formula>
    </cfRule>
    <cfRule type="expression" dxfId="5690" priority="243">
      <formula>AND(E$9&gt;=14/24,E$9&lt;20/24)</formula>
    </cfRule>
    <cfRule type="expression" dxfId="5689" priority="244">
      <formula>AND(E$9&gt;=8/24,E$9&lt;14/24)</formula>
    </cfRule>
    <cfRule type="expression" dxfId="5688" priority="245">
      <formula>E$9&lt;8/24</formula>
    </cfRule>
  </conditionalFormatting>
  <conditionalFormatting sqref="S84:U84">
    <cfRule type="expression" dxfId="5687" priority="238">
      <formula>S$9&gt;=20/24</formula>
    </cfRule>
    <cfRule type="expression" dxfId="5686" priority="239">
      <formula>AND(S$9&gt;=14/24,S$9&lt;20/24)</formula>
    </cfRule>
    <cfRule type="expression" dxfId="5685" priority="240">
      <formula>AND(S$9&gt;=8/24,S$9&lt;14/24)</formula>
    </cfRule>
    <cfRule type="expression" dxfId="5684" priority="241">
      <formula>S$9&lt;8/24</formula>
    </cfRule>
  </conditionalFormatting>
  <conditionalFormatting sqref="C95:M97 C94:F94">
    <cfRule type="expression" dxfId="5683" priority="234">
      <formula>C$9&gt;=20/24</formula>
    </cfRule>
    <cfRule type="expression" dxfId="5682" priority="235">
      <formula>AND(C$9&gt;=14/24,C$9&lt;20/24)</formula>
    </cfRule>
    <cfRule type="expression" dxfId="5681" priority="236">
      <formula>AND(C$9&gt;=8/24,C$9&lt;14/24)</formula>
    </cfRule>
    <cfRule type="expression" dxfId="5680" priority="237">
      <formula>C$9&lt;8/24</formula>
    </cfRule>
  </conditionalFormatting>
  <conditionalFormatting sqref="N95:R97 O94:R94">
    <cfRule type="expression" dxfId="5679" priority="230">
      <formula>N$9&gt;=20/24</formula>
    </cfRule>
    <cfRule type="expression" dxfId="5678" priority="231">
      <formula>AND(N$9&gt;=14/24,N$9&lt;20/24)</formula>
    </cfRule>
    <cfRule type="expression" dxfId="5677" priority="232">
      <formula>AND(N$9&gt;=8/24,N$9&lt;14/24)</formula>
    </cfRule>
    <cfRule type="expression" dxfId="5676" priority="233">
      <formula>N$9&lt;8/24</formula>
    </cfRule>
  </conditionalFormatting>
  <conditionalFormatting sqref="S94:T97">
    <cfRule type="expression" dxfId="5675" priority="226">
      <formula>S$9&gt;=20/24</formula>
    </cfRule>
    <cfRule type="expression" dxfId="5674" priority="227">
      <formula>AND(S$9&gt;=14/24,S$9&lt;20/24)</formula>
    </cfRule>
    <cfRule type="expression" dxfId="5673" priority="228">
      <formula>AND(S$9&gt;=8/24,S$9&lt;14/24)</formula>
    </cfRule>
    <cfRule type="expression" dxfId="5672" priority="229">
      <formula>S$9&lt;8/24</formula>
    </cfRule>
  </conditionalFormatting>
  <conditionalFormatting sqref="C98:M98">
    <cfRule type="expression" dxfId="5671" priority="222">
      <formula>C$9&gt;=20/24</formula>
    </cfRule>
    <cfRule type="expression" dxfId="5670" priority="223">
      <formula>AND(C$9&gt;=14/24,C$9&lt;20/24)</formula>
    </cfRule>
    <cfRule type="expression" dxfId="5669" priority="224">
      <formula>AND(C$9&gt;=8/24,C$9&lt;14/24)</formula>
    </cfRule>
    <cfRule type="expression" dxfId="5668" priority="225">
      <formula>C$9&lt;8/24</formula>
    </cfRule>
  </conditionalFormatting>
  <conditionalFormatting sqref="N98:R98">
    <cfRule type="expression" dxfId="5667" priority="218">
      <formula>N$9&gt;=20/24</formula>
    </cfRule>
    <cfRule type="expression" dxfId="5666" priority="219">
      <formula>AND(N$9&gt;=14/24,N$9&lt;20/24)</formula>
    </cfRule>
    <cfRule type="expression" dxfId="5665" priority="220">
      <formula>AND(N$9&gt;=8/24,N$9&lt;14/24)</formula>
    </cfRule>
    <cfRule type="expression" dxfId="5664" priority="221">
      <formula>N$9&lt;8/24</formula>
    </cfRule>
  </conditionalFormatting>
  <conditionalFormatting sqref="S98:T98">
    <cfRule type="expression" dxfId="5663" priority="214">
      <formula>S$9&gt;=20/24</formula>
    </cfRule>
    <cfRule type="expression" dxfId="5662" priority="215">
      <formula>AND(S$9&gt;=14/24,S$9&lt;20/24)</formula>
    </cfRule>
    <cfRule type="expression" dxfId="5661" priority="216">
      <formula>AND(S$9&gt;=8/24,S$9&lt;14/24)</formula>
    </cfRule>
    <cfRule type="expression" dxfId="5660" priority="217">
      <formula>S$9&lt;8/24</formula>
    </cfRule>
  </conditionalFormatting>
  <conditionalFormatting sqref="M94:N94">
    <cfRule type="expression" dxfId="5659" priority="210">
      <formula>M$9&gt;=20/24</formula>
    </cfRule>
    <cfRule type="expression" dxfId="5658" priority="211">
      <formula>AND(M$9&gt;=14/24,M$9&lt;20/24)</formula>
    </cfRule>
    <cfRule type="expression" dxfId="5657" priority="212">
      <formula>AND(M$9&gt;=8/24,M$9&lt;14/24)</formula>
    </cfRule>
    <cfRule type="expression" dxfId="5656" priority="213">
      <formula>M$9&lt;8/24</formula>
    </cfRule>
  </conditionalFormatting>
  <conditionalFormatting sqref="G94:L94">
    <cfRule type="expression" dxfId="5655" priority="206">
      <formula>G$9&gt;=20/24</formula>
    </cfRule>
    <cfRule type="expression" dxfId="5654" priority="207">
      <formula>AND(G$9&gt;=14/24,G$9&lt;20/24)</formula>
    </cfRule>
    <cfRule type="expression" dxfId="5653" priority="208">
      <formula>AND(G$9&gt;=8/24,G$9&lt;14/24)</formula>
    </cfRule>
    <cfRule type="expression" dxfId="5652" priority="209">
      <formula>G$9&lt;8/24</formula>
    </cfRule>
  </conditionalFormatting>
  <conditionalFormatting sqref="U94:W94">
    <cfRule type="expression" dxfId="5651" priority="202">
      <formula>U$9&gt;=20/24</formula>
    </cfRule>
    <cfRule type="expression" dxfId="5650" priority="203">
      <formula>AND(U$9&gt;=14/24,U$9&lt;20/24)</formula>
    </cfRule>
    <cfRule type="expression" dxfId="5649" priority="204">
      <formula>AND(U$9&gt;=8/24,U$9&lt;14/24)</formula>
    </cfRule>
    <cfRule type="expression" dxfId="5648" priority="205">
      <formula>U$9&lt;8/24</formula>
    </cfRule>
  </conditionalFormatting>
  <conditionalFormatting sqref="N94:T94">
    <cfRule type="expression" dxfId="5647" priority="198">
      <formula>N$9&gt;=20/24</formula>
    </cfRule>
    <cfRule type="expression" dxfId="5646" priority="199">
      <formula>AND(N$9&gt;=14/24,N$9&lt;20/24)</formula>
    </cfRule>
    <cfRule type="expression" dxfId="5645" priority="200">
      <formula>AND(N$9&gt;=8/24,N$9&lt;14/24)</formula>
    </cfRule>
    <cfRule type="expression" dxfId="5644" priority="201">
      <formula>N$9&lt;8/24</formula>
    </cfRule>
  </conditionalFormatting>
  <conditionalFormatting sqref="U99:AB99">
    <cfRule type="expression" dxfId="5643" priority="194">
      <formula>U$9&gt;=20/24</formula>
    </cfRule>
    <cfRule type="expression" dxfId="5642" priority="195">
      <formula>AND(U$9&gt;=14/24,U$9&lt;20/24)</formula>
    </cfRule>
    <cfRule type="expression" dxfId="5641" priority="196">
      <formula>AND(U$9&gt;=8/24,U$9&lt;14/24)</formula>
    </cfRule>
    <cfRule type="expression" dxfId="5640" priority="197">
      <formula>U$9&lt;8/24</formula>
    </cfRule>
  </conditionalFormatting>
  <conditionalFormatting sqref="C99:M99">
    <cfRule type="expression" dxfId="5639" priority="190">
      <formula>C$9&gt;=20/24</formula>
    </cfRule>
    <cfRule type="expression" dxfId="5638" priority="191">
      <formula>AND(C$9&gt;=14/24,C$9&lt;20/24)</formula>
    </cfRule>
    <cfRule type="expression" dxfId="5637" priority="192">
      <formula>AND(C$9&gt;=8/24,C$9&lt;14/24)</formula>
    </cfRule>
    <cfRule type="expression" dxfId="5636" priority="193">
      <formula>C$9&lt;8/24</formula>
    </cfRule>
  </conditionalFormatting>
  <conditionalFormatting sqref="N99:R99">
    <cfRule type="expression" dxfId="5635" priority="186">
      <formula>N$9&gt;=20/24</formula>
    </cfRule>
    <cfRule type="expression" dxfId="5634" priority="187">
      <formula>AND(N$9&gt;=14/24,N$9&lt;20/24)</formula>
    </cfRule>
    <cfRule type="expression" dxfId="5633" priority="188">
      <formula>AND(N$9&gt;=8/24,N$9&lt;14/24)</formula>
    </cfRule>
    <cfRule type="expression" dxfId="5632" priority="189">
      <formula>N$9&lt;8/24</formula>
    </cfRule>
  </conditionalFormatting>
  <conditionalFormatting sqref="S99:T99">
    <cfRule type="expression" dxfId="5631" priority="182">
      <formula>S$9&gt;=20/24</formula>
    </cfRule>
    <cfRule type="expression" dxfId="5630" priority="183">
      <formula>AND(S$9&gt;=14/24,S$9&lt;20/24)</formula>
    </cfRule>
    <cfRule type="expression" dxfId="5629" priority="184">
      <formula>AND(S$9&gt;=8/24,S$9&lt;14/24)</formula>
    </cfRule>
    <cfRule type="expression" dxfId="5628" priority="185">
      <formula>S$9&lt;8/24</formula>
    </cfRule>
  </conditionalFormatting>
  <conditionalFormatting sqref="Z12:AF12">
    <cfRule type="expression" dxfId="5627" priority="178">
      <formula>Z$9&gt;=20/24</formula>
    </cfRule>
    <cfRule type="expression" dxfId="5626" priority="179">
      <formula>AND(Z$9&gt;=14/24,Z$9&lt;20/24)</formula>
    </cfRule>
    <cfRule type="expression" dxfId="5625" priority="180">
      <formula>AND(Z$9&gt;=8/24,Z$9&lt;14/24)</formula>
    </cfRule>
    <cfRule type="expression" dxfId="5624" priority="181">
      <formula>Z$9&lt;8/24</formula>
    </cfRule>
  </conditionalFormatting>
  <conditionalFormatting sqref="Z12:AF12">
    <cfRule type="expression" dxfId="5623" priority="174">
      <formula>Z$9&gt;=20/24</formula>
    </cfRule>
    <cfRule type="expression" dxfId="5622" priority="175">
      <formula>AND(Z$9&gt;=14/24,Z$9&lt;20/24)</formula>
    </cfRule>
    <cfRule type="expression" dxfId="5621" priority="176">
      <formula>AND(Z$9&gt;=8/24,Z$9&lt;14/24)</formula>
    </cfRule>
    <cfRule type="expression" dxfId="5620" priority="177">
      <formula>Z$9&lt;8/24</formula>
    </cfRule>
  </conditionalFormatting>
  <conditionalFormatting sqref="AB58:AE59">
    <cfRule type="expression" dxfId="5619" priority="170">
      <formula>AB$9&gt;=20/24</formula>
    </cfRule>
    <cfRule type="expression" dxfId="5618" priority="171">
      <formula>AND(AB$9&gt;=14/24,AB$9&lt;20/24)</formula>
    </cfRule>
    <cfRule type="expression" dxfId="5617" priority="172">
      <formula>AND(AB$9&gt;=8/24,AB$9&lt;14/24)</formula>
    </cfRule>
    <cfRule type="expression" dxfId="5616" priority="173">
      <formula>AB$9&lt;8/24</formula>
    </cfRule>
  </conditionalFormatting>
  <conditionalFormatting sqref="AL33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615" priority="367">
      <formula>C$9&gt;=20/24</formula>
    </cfRule>
    <cfRule type="expression" dxfId="5614" priority="368">
      <formula>AND(C$9&gt;=14/24,C$9&lt;20/24)</formula>
    </cfRule>
    <cfRule type="expression" dxfId="5613" priority="369">
      <formula>AND(C$9&gt;=8/24,C$9&lt;14/24)</formula>
    </cfRule>
    <cfRule type="expression" dxfId="5612" priority="370">
      <formula>C$9&lt;8/24</formula>
    </cfRule>
  </conditionalFormatting>
  <conditionalFormatting sqref="A200">
    <cfRule type="expression" dxfId="5611" priority="371">
      <formula>$AH200=0</formula>
    </cfRule>
  </conditionalFormatting>
  <conditionalFormatting sqref="AG212">
    <cfRule type="expression" dxfId="5610" priority="372">
      <formula>B$9&gt;=20/24</formula>
    </cfRule>
    <cfRule type="expression" dxfId="5609" priority="373">
      <formula>AND(B$9&gt;=14/24,B$9&lt;20/24)</formula>
    </cfRule>
    <cfRule type="expression" dxfId="5608" priority="374">
      <formula>AND(B$9&gt;=8/24,B$9&lt;14/24)</formula>
    </cfRule>
    <cfRule type="expression" dxfId="5607" priority="375">
      <formula>B$9&lt;8/24</formula>
    </cfRule>
  </conditionalFormatting>
  <conditionalFormatting sqref="S8">
    <cfRule type="expression" dxfId="5606" priority="164">
      <formula>U$9&gt;=20/24</formula>
    </cfRule>
    <cfRule type="expression" dxfId="5605" priority="165">
      <formula>AND(U$9&gt;=14/24,U$9&lt;20/24)</formula>
    </cfRule>
    <cfRule type="expression" dxfId="5604" priority="166">
      <formula>AND(U$9&gt;=8/24,U$9&lt;14/24)</formula>
    </cfRule>
    <cfRule type="expression" dxfId="5603" priority="167">
      <formula>U$9&lt;8/24</formula>
    </cfRule>
  </conditionalFormatting>
  <conditionalFormatting sqref="AB8">
    <cfRule type="expression" dxfId="5602" priority="160">
      <formula>AD$9&gt;=20/24</formula>
    </cfRule>
    <cfRule type="expression" dxfId="5601" priority="161">
      <formula>AND(AD$9&gt;=14/24,AD$9&lt;20/24)</formula>
    </cfRule>
    <cfRule type="expression" dxfId="5600" priority="162">
      <formula>AND(AD$9&gt;=8/24,AD$9&lt;14/24)</formula>
    </cfRule>
    <cfRule type="expression" dxfId="5599" priority="163">
      <formula>AD$9&lt;8/24</formula>
    </cfRule>
  </conditionalFormatting>
  <conditionalFormatting sqref="AH212:AX212">
    <cfRule type="expression" dxfId="5598" priority="376">
      <formula>AG$9&gt;=20/24</formula>
    </cfRule>
    <cfRule type="expression" dxfId="5597" priority="377">
      <formula>AND(AG$9&gt;=14/24,AG$9&lt;20/24)</formula>
    </cfRule>
    <cfRule type="expression" dxfId="5596" priority="378">
      <formula>AND(AG$9&gt;=8/24,AG$9&lt;14/24)</formula>
    </cfRule>
    <cfRule type="expression" dxfId="5595" priority="379">
      <formula>AG$9&lt;8/24</formula>
    </cfRule>
  </conditionalFormatting>
  <conditionalFormatting sqref="T212">
    <cfRule type="expression" dxfId="5594" priority="380">
      <formula>AX$9&gt;=20/24</formula>
    </cfRule>
    <cfRule type="expression" dxfId="5593" priority="381">
      <formula>AND(AX$9&gt;=14/24,AX$9&lt;20/24)</formula>
    </cfRule>
    <cfRule type="expression" dxfId="5592" priority="382">
      <formula>AND(AX$9&gt;=8/24,AX$9&lt;14/24)</formula>
    </cfRule>
    <cfRule type="expression" dxfId="5591" priority="383">
      <formula>AX$9&lt;8/24</formula>
    </cfRule>
  </conditionalFormatting>
  <conditionalFormatting sqref="A99">
    <cfRule type="expression" dxfId="5590" priority="159">
      <formula>$AH99=0</formula>
    </cfRule>
  </conditionalFormatting>
  <conditionalFormatting sqref="C53:C55 C84:D91">
    <cfRule type="expression" dxfId="5589" priority="154">
      <formula>C$9&gt;=20/24</formula>
    </cfRule>
    <cfRule type="expression" dxfId="5588" priority="155">
      <formula>AND(C$9&gt;=14/24,C$9&lt;20/24)</formula>
    </cfRule>
    <cfRule type="expression" dxfId="5587" priority="156">
      <formula>AND(C$9&gt;=8/24,C$9&lt;14/24)</formula>
    </cfRule>
    <cfRule type="expression" dxfId="5586" priority="157">
      <formula>C$9&lt;8/24</formula>
    </cfRule>
  </conditionalFormatting>
  <conditionalFormatting sqref="C57:D57">
    <cfRule type="expression" dxfId="5585" priority="150">
      <formula>C$9&gt;=20/24</formula>
    </cfRule>
    <cfRule type="expression" dxfId="5584" priority="151">
      <formula>AND(C$9&gt;=14/24,C$9&lt;20/24)</formula>
    </cfRule>
    <cfRule type="expression" dxfId="5583" priority="152">
      <formula>AND(C$9&gt;=8/24,C$9&lt;14/24)</formula>
    </cfRule>
    <cfRule type="expression" dxfId="5582" priority="153">
      <formula>C$9&lt;8/24</formula>
    </cfRule>
  </conditionalFormatting>
  <conditionalFormatting sqref="C60:D67">
    <cfRule type="expression" dxfId="5581" priority="146">
      <formula>C$9&gt;=20/24</formula>
    </cfRule>
    <cfRule type="expression" dxfId="5580" priority="147">
      <formula>AND(C$9&gt;=14/24,C$9&lt;20/24)</formula>
    </cfRule>
    <cfRule type="expression" dxfId="5579" priority="148">
      <formula>AND(C$9&gt;=8/24,C$9&lt;14/24)</formula>
    </cfRule>
    <cfRule type="expression" dxfId="5578" priority="149">
      <formula>C$9&lt;8/24</formula>
    </cfRule>
  </conditionalFormatting>
  <conditionalFormatting sqref="C53:C55 C39:D44 D45 E43:E45 F44:L45 M50:Y50">
    <cfRule type="expression" dxfId="5577" priority="145">
      <formula>C39&gt;$AG39</formula>
    </cfRule>
  </conditionalFormatting>
  <conditionalFormatting sqref="C58:D59">
    <cfRule type="expression" dxfId="5576" priority="141">
      <formula>C$9&gt;=20/24</formula>
    </cfRule>
    <cfRule type="expression" dxfId="5575" priority="142">
      <formula>AND(C$9&gt;=14/24,C$9&lt;20/24)</formula>
    </cfRule>
    <cfRule type="expression" dxfId="5574" priority="143">
      <formula>AND(C$9&gt;=8/24,C$9&lt;14/24)</formula>
    </cfRule>
    <cfRule type="expression" dxfId="5573" priority="144">
      <formula>C$9&lt;8/24</formula>
    </cfRule>
  </conditionalFormatting>
  <conditionalFormatting sqref="C40:D43 E43">
    <cfRule type="expression" dxfId="5572" priority="111">
      <formula>C$9&gt;=20/24</formula>
    </cfRule>
    <cfRule type="expression" dxfId="5571" priority="112">
      <formula>AND(C$9&gt;=14/24,C$9&lt;20/24)</formula>
    </cfRule>
    <cfRule type="expression" dxfId="5570" priority="113">
      <formula>AND(C$9&gt;=8/24,C$9&lt;14/24)</formula>
    </cfRule>
    <cfRule type="expression" dxfId="5569" priority="114">
      <formula>C$9&lt;8/24</formula>
    </cfRule>
  </conditionalFormatting>
  <conditionalFormatting sqref="C39:D39">
    <cfRule type="expression" dxfId="5568" priority="107">
      <formula>C$9&gt;=20/24</formula>
    </cfRule>
    <cfRule type="expression" dxfId="5567" priority="108">
      <formula>AND(C$9&gt;=14/24,C$9&lt;20/24)</formula>
    </cfRule>
    <cfRule type="expression" dxfId="5566" priority="109">
      <formula>AND(C$9&gt;=8/24,C$9&lt;14/24)</formula>
    </cfRule>
    <cfRule type="expression" dxfId="5565" priority="110">
      <formula>C$9&lt;8/24</formula>
    </cfRule>
  </conditionalFormatting>
  <conditionalFormatting sqref="D45:L45">
    <cfRule type="expression" dxfId="5564" priority="103">
      <formula>D$9&gt;=20/24</formula>
    </cfRule>
    <cfRule type="expression" dxfId="5563" priority="104">
      <formula>AND(D$9&gt;=14/24,D$9&lt;20/24)</formula>
    </cfRule>
    <cfRule type="expression" dxfId="5562" priority="105">
      <formula>AND(D$9&gt;=8/24,D$9&lt;14/24)</formula>
    </cfRule>
    <cfRule type="expression" dxfId="5561" priority="106">
      <formula>D$9&lt;8/24</formula>
    </cfRule>
  </conditionalFormatting>
  <conditionalFormatting sqref="M50:Y50">
    <cfRule type="expression" dxfId="5560" priority="95">
      <formula>M$9&gt;=20/24</formula>
    </cfRule>
    <cfRule type="expression" dxfId="5559" priority="96">
      <formula>AND(M$9&gt;=14/24,M$9&lt;20/24)</formula>
    </cfRule>
    <cfRule type="expression" dxfId="5558" priority="97">
      <formula>AND(M$9&gt;=8/24,M$9&lt;14/24)</formula>
    </cfRule>
    <cfRule type="expression" dxfId="5557" priority="98">
      <formula>M$9&lt;8/24</formula>
    </cfRule>
  </conditionalFormatting>
  <conditionalFormatting sqref="C44:L44">
    <cfRule type="expression" dxfId="5556" priority="91">
      <formula>C$9&gt;=20/24</formula>
    </cfRule>
    <cfRule type="expression" dxfId="5555" priority="92">
      <formula>AND(C$9&gt;=14/24,C$9&lt;20/24)</formula>
    </cfRule>
    <cfRule type="expression" dxfId="5554" priority="93">
      <formula>AND(C$9&gt;=8/24,C$9&lt;14/24)</formula>
    </cfRule>
    <cfRule type="expression" dxfId="5553" priority="94">
      <formula>C$9&lt;8/24</formula>
    </cfRule>
  </conditionalFormatting>
  <conditionalFormatting sqref="M18:N20 N21:N32 O18:AF32 N36:AF36">
    <cfRule type="expression" dxfId="5552" priority="87">
      <formula>M$9&gt;=20/24</formula>
    </cfRule>
    <cfRule type="expression" dxfId="5551" priority="88">
      <formula>AND(M$9&gt;=14/24,M$9&lt;20/24)</formula>
    </cfRule>
    <cfRule type="expression" dxfId="5550" priority="89">
      <formula>AND(M$9&gt;=8/24,M$9&lt;14/24)</formula>
    </cfRule>
    <cfRule type="expression" dxfId="5549" priority="90">
      <formula>M$9&lt;8/24</formula>
    </cfRule>
  </conditionalFormatting>
  <conditionalFormatting sqref="N35:AF35">
    <cfRule type="expression" dxfId="5548" priority="83">
      <formula>N$9&gt;=20/24</formula>
    </cfRule>
    <cfRule type="expression" dxfId="5547" priority="84">
      <formula>AND(N$9&gt;=14/24,N$9&lt;20/24)</formula>
    </cfRule>
    <cfRule type="expression" dxfId="5546" priority="85">
      <formula>AND(N$9&gt;=8/24,N$9&lt;14/24)</formula>
    </cfRule>
    <cfRule type="expression" dxfId="5545" priority="86">
      <formula>N$9&lt;8/24</formula>
    </cfRule>
  </conditionalFormatting>
  <conditionalFormatting sqref="M18:N20 N21:N32 O18:AF32 N34:AF36">
    <cfRule type="expression" dxfId="5544" priority="82">
      <formula>M18&gt;$AG18</formula>
    </cfRule>
  </conditionalFormatting>
  <conditionalFormatting sqref="N34:AF34">
    <cfRule type="expression" dxfId="5543" priority="78">
      <formula>N$9&gt;=20/24</formula>
    </cfRule>
    <cfRule type="expression" dxfId="5542" priority="79">
      <formula>AND(N$9&gt;=14/24,N$9&lt;20/24)</formula>
    </cfRule>
    <cfRule type="expression" dxfId="5541" priority="80">
      <formula>AND(N$9&gt;=8/24,N$9&lt;14/24)</formula>
    </cfRule>
    <cfRule type="expression" dxfId="5540" priority="81">
      <formula>N$9&lt;8/24</formula>
    </cfRule>
  </conditionalFormatting>
  <conditionalFormatting sqref="N33:AF33">
    <cfRule type="expression" dxfId="5539" priority="74">
      <formula>N$9&gt;=20/24</formula>
    </cfRule>
    <cfRule type="expression" dxfId="5538" priority="75">
      <formula>AND(N$9&gt;=14/24,N$9&lt;20/24)</formula>
    </cfRule>
    <cfRule type="expression" dxfId="5537" priority="76">
      <formula>AND(N$9&gt;=8/24,N$9&lt;14/24)</formula>
    </cfRule>
    <cfRule type="expression" dxfId="5536" priority="77">
      <formula>N$9&lt;8/24</formula>
    </cfRule>
  </conditionalFormatting>
  <conditionalFormatting sqref="N33:AF33">
    <cfRule type="expression" dxfId="5535" priority="73">
      <formula>N33&gt;$AG33</formula>
    </cfRule>
  </conditionalFormatting>
  <conditionalFormatting sqref="B53:B91 B94:B99 B43 B45:C48 B11:E11 B13:L14 B16:L17 D46:L48">
    <cfRule type="expression" dxfId="5534" priority="69">
      <formula>B$9&gt;=20/24</formula>
    </cfRule>
    <cfRule type="expression" dxfId="5533" priority="70">
      <formula>AND(B$9&gt;=14/24,B$9&lt;20/24)</formula>
    </cfRule>
    <cfRule type="expression" dxfId="5532" priority="71">
      <formula>AND(B$9&gt;=8/24,B$9&lt;14/24)</formula>
    </cfRule>
    <cfRule type="expression" dxfId="5531" priority="72">
      <formula>B$9&lt;8/24</formula>
    </cfRule>
  </conditionalFormatting>
  <conditionalFormatting sqref="B49:L49">
    <cfRule type="expression" dxfId="5530" priority="65">
      <formula>B$9&gt;=20/24</formula>
    </cfRule>
    <cfRule type="expression" dxfId="5529" priority="66">
      <formula>AND(B$9&gt;=14/24,B$9&lt;20/24)</formula>
    </cfRule>
    <cfRule type="expression" dxfId="5528" priority="67">
      <formula>AND(B$9&gt;=8/24,B$9&lt;14/24)</formula>
    </cfRule>
    <cfRule type="expression" dxfId="5527" priority="68">
      <formula>B$9&lt;8/24</formula>
    </cfRule>
  </conditionalFormatting>
  <conditionalFormatting sqref="B50:L50">
    <cfRule type="expression" dxfId="5526" priority="61">
      <formula>B$9&gt;=20/24</formula>
    </cfRule>
    <cfRule type="expression" dxfId="5525" priority="62">
      <formula>AND(B$9&gt;=14/24,B$9&lt;20/24)</formula>
    </cfRule>
    <cfRule type="expression" dxfId="5524" priority="63">
      <formula>AND(B$9&gt;=8/24,B$9&lt;14/24)</formula>
    </cfRule>
    <cfRule type="expression" dxfId="5523" priority="64">
      <formula>B$9&lt;8/24</formula>
    </cfRule>
  </conditionalFormatting>
  <conditionalFormatting sqref="B45:C48 D46:L48">
    <cfRule type="expression" dxfId="5522" priority="57">
      <formula>B$9&gt;=20/24</formula>
    </cfRule>
    <cfRule type="expression" dxfId="5521" priority="58">
      <formula>AND(B$9&gt;=14/24,B$9&lt;20/24)</formula>
    </cfRule>
    <cfRule type="expression" dxfId="5520" priority="59">
      <formula>AND(B$9&gt;=8/24,B$9&lt;14/24)</formula>
    </cfRule>
    <cfRule type="expression" dxfId="5519" priority="60">
      <formula>B$9&lt;8/24</formula>
    </cfRule>
  </conditionalFormatting>
  <conditionalFormatting sqref="B37:E37">
    <cfRule type="expression" dxfId="5518" priority="53">
      <formula>B$9&gt;=20/24</formula>
    </cfRule>
    <cfRule type="expression" dxfId="5517" priority="54">
      <formula>AND(B$9&gt;=14/24,B$9&lt;20/24)</formula>
    </cfRule>
    <cfRule type="expression" dxfId="5516" priority="55">
      <formula>AND(B$9&gt;=8/24,B$9&lt;14/24)</formula>
    </cfRule>
    <cfRule type="expression" dxfId="5515" priority="56">
      <formula>B$9&lt;8/24</formula>
    </cfRule>
  </conditionalFormatting>
  <conditionalFormatting sqref="B45:C48 D46:L48">
    <cfRule type="expression" dxfId="5514" priority="49">
      <formula>B$9&gt;=20/24</formula>
    </cfRule>
    <cfRule type="expression" dxfId="5513" priority="50">
      <formula>AND(B$9&gt;=14/24,B$9&lt;20/24)</formula>
    </cfRule>
    <cfRule type="expression" dxfId="5512" priority="51">
      <formula>AND(B$9&gt;=8/24,B$9&lt;14/24)</formula>
    </cfRule>
    <cfRule type="expression" dxfId="5511" priority="52">
      <formula>B$9&lt;8/24</formula>
    </cfRule>
  </conditionalFormatting>
  <conditionalFormatting sqref="B49:L49">
    <cfRule type="expression" dxfId="5510" priority="45">
      <formula>B$9&gt;=20/24</formula>
    </cfRule>
    <cfRule type="expression" dxfId="5509" priority="46">
      <formula>AND(B$9&gt;=14/24,B$9&lt;20/24)</formula>
    </cfRule>
    <cfRule type="expression" dxfId="5508" priority="47">
      <formula>AND(B$9&gt;=8/24,B$9&lt;14/24)</formula>
    </cfRule>
    <cfRule type="expression" dxfId="5507" priority="48">
      <formula>B$9&lt;8/24</formula>
    </cfRule>
  </conditionalFormatting>
  <conditionalFormatting sqref="B50:L50">
    <cfRule type="expression" dxfId="5506" priority="41">
      <formula>B$9&gt;=20/24</formula>
    </cfRule>
    <cfRule type="expression" dxfId="5505" priority="42">
      <formula>AND(B$9&gt;=14/24,B$9&lt;20/24)</formula>
    </cfRule>
    <cfRule type="expression" dxfId="5504" priority="43">
      <formula>AND(B$9&gt;=8/24,B$9&lt;14/24)</formula>
    </cfRule>
    <cfRule type="expression" dxfId="5503" priority="44">
      <formula>B$9&lt;8/24</formula>
    </cfRule>
  </conditionalFormatting>
  <conditionalFormatting sqref="B37:B56 C45:C50 B11:E11 C37:E37 B13:L14 B16:L17 D46:L50">
    <cfRule type="expression" dxfId="5502" priority="40">
      <formula>B11&gt;$AG11</formula>
    </cfRule>
  </conditionalFormatting>
  <conditionalFormatting sqref="B15:L15">
    <cfRule type="expression" dxfId="5501" priority="36">
      <formula>B$9&gt;=20/24</formula>
    </cfRule>
    <cfRule type="expression" dxfId="5500" priority="37">
      <formula>AND(B$9&gt;=14/24,B$9&lt;20/24)</formula>
    </cfRule>
    <cfRule type="expression" dxfId="5499" priority="38">
      <formula>AND(B$9&gt;=8/24,B$9&lt;14/24)</formula>
    </cfRule>
    <cfRule type="expression" dxfId="5498" priority="39">
      <formula>B$9&lt;8/24</formula>
    </cfRule>
  </conditionalFormatting>
  <conditionalFormatting sqref="B15:L15">
    <cfRule type="expression" dxfId="5497" priority="35">
      <formula>B15&gt;$AG15</formula>
    </cfRule>
  </conditionalFormatting>
  <conditionalFormatting sqref="B44">
    <cfRule type="expression" dxfId="5496" priority="31">
      <formula>B$9&gt;=20/24</formula>
    </cfRule>
    <cfRule type="expression" dxfId="5495" priority="32">
      <formula>AND(B$9&gt;=14/24,B$9&lt;20/24)</formula>
    </cfRule>
    <cfRule type="expression" dxfId="5494" priority="33">
      <formula>AND(B$9&gt;=8/24,B$9&lt;14/24)</formula>
    </cfRule>
    <cfRule type="expression" dxfId="5493" priority="34">
      <formula>B$9&lt;8/24</formula>
    </cfRule>
  </conditionalFormatting>
  <conditionalFormatting sqref="B44">
    <cfRule type="expression" dxfId="5492" priority="27">
      <formula>B$9&gt;=20/24</formula>
    </cfRule>
    <cfRule type="expression" dxfId="5491" priority="28">
      <formula>AND(B$9&gt;=14/24,B$9&lt;20/24)</formula>
    </cfRule>
    <cfRule type="expression" dxfId="5490" priority="29">
      <formula>AND(B$9&gt;=8/24,B$9&lt;14/24)</formula>
    </cfRule>
    <cfRule type="expression" dxfId="5489" priority="30">
      <formula>B$9&lt;8/24</formula>
    </cfRule>
  </conditionalFormatting>
  <conditionalFormatting sqref="B12:L12">
    <cfRule type="expression" dxfId="5488" priority="23">
      <formula>B$9&gt;=20/24</formula>
    </cfRule>
    <cfRule type="expression" dxfId="5487" priority="24">
      <formula>AND(B$9&gt;=14/24,B$9&lt;20/24)</formula>
    </cfRule>
    <cfRule type="expression" dxfId="5486" priority="25">
      <formula>AND(B$9&gt;=8/24,B$9&lt;14/24)</formula>
    </cfRule>
    <cfRule type="expression" dxfId="5485" priority="26">
      <formula>B$9&lt;8/24</formula>
    </cfRule>
  </conditionalFormatting>
  <conditionalFormatting sqref="B12:L12">
    <cfRule type="expression" dxfId="5484" priority="19">
      <formula>B$9&gt;=20/24</formula>
    </cfRule>
    <cfRule type="expression" dxfId="5483" priority="20">
      <formula>AND(B$9&gt;=14/24,B$9&lt;20/24)</formula>
    </cfRule>
    <cfRule type="expression" dxfId="5482" priority="21">
      <formula>AND(B$9&gt;=8/24,B$9&lt;14/24)</formula>
    </cfRule>
    <cfRule type="expression" dxfId="5481" priority="22">
      <formula>B$9&lt;8/24</formula>
    </cfRule>
  </conditionalFormatting>
  <conditionalFormatting sqref="B18:L32 M21:M32 B36:M36">
    <cfRule type="expression" dxfId="5480" priority="15">
      <formula>B$9&gt;=20/24</formula>
    </cfRule>
    <cfRule type="expression" dxfId="5479" priority="16">
      <formula>AND(B$9&gt;=14/24,B$9&lt;20/24)</formula>
    </cfRule>
    <cfRule type="expression" dxfId="5478" priority="17">
      <formula>AND(B$9&gt;=8/24,B$9&lt;14/24)</formula>
    </cfRule>
    <cfRule type="expression" dxfId="5477" priority="18">
      <formula>B$9&lt;8/24</formula>
    </cfRule>
  </conditionalFormatting>
  <conditionalFormatting sqref="B35:M35">
    <cfRule type="expression" dxfId="5476" priority="11">
      <formula>B$9&gt;=20/24</formula>
    </cfRule>
    <cfRule type="expression" dxfId="5475" priority="12">
      <formula>AND(B$9&gt;=14/24,B$9&lt;20/24)</formula>
    </cfRule>
    <cfRule type="expression" dxfId="5474" priority="13">
      <formula>AND(B$9&gt;=8/24,B$9&lt;14/24)</formula>
    </cfRule>
    <cfRule type="expression" dxfId="5473" priority="14">
      <formula>B$9&lt;8/24</formula>
    </cfRule>
  </conditionalFormatting>
  <conditionalFormatting sqref="B18:L32 M21:M32 B34:M36">
    <cfRule type="expression" dxfId="5472" priority="10">
      <formula>B18&gt;$AG18</formula>
    </cfRule>
  </conditionalFormatting>
  <conditionalFormatting sqref="B34:M34">
    <cfRule type="expression" dxfId="5471" priority="6">
      <formula>B$9&gt;=20/24</formula>
    </cfRule>
    <cfRule type="expression" dxfId="5470" priority="7">
      <formula>AND(B$9&gt;=14/24,B$9&lt;20/24)</formula>
    </cfRule>
    <cfRule type="expression" dxfId="5469" priority="8">
      <formula>AND(B$9&gt;=8/24,B$9&lt;14/24)</formula>
    </cfRule>
    <cfRule type="expression" dxfId="5468" priority="9">
      <formula>B$9&lt;8/24</formula>
    </cfRule>
  </conditionalFormatting>
  <conditionalFormatting sqref="B33:M33">
    <cfRule type="expression" dxfId="5467" priority="2">
      <formula>B$9&gt;=20/24</formula>
    </cfRule>
    <cfRule type="expression" dxfId="5466" priority="3">
      <formula>AND(B$9&gt;=14/24,B$9&lt;20/24)</formula>
    </cfRule>
    <cfRule type="expression" dxfId="5465" priority="4">
      <formula>AND(B$9&gt;=8/24,B$9&lt;14/24)</formula>
    </cfRule>
    <cfRule type="expression" dxfId="5464" priority="5">
      <formula>B$9&lt;8/24</formula>
    </cfRule>
  </conditionalFormatting>
  <conditionalFormatting sqref="B33:M33">
    <cfRule type="expression" dxfId="5463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9" id="{DCFBEE57-BB80-4177-B0E3-CCC4683A6A9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F43" sqref="AF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2078/11/12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438</v>
      </c>
      <c r="C5" s="32">
        <f t="shared" si="0"/>
        <v>434</v>
      </c>
      <c r="D5" s="32">
        <f t="shared" si="0"/>
        <v>426</v>
      </c>
      <c r="E5" s="32">
        <f t="shared" si="0"/>
        <v>404</v>
      </c>
      <c r="F5" s="32">
        <f t="shared" si="0"/>
        <v>435</v>
      </c>
      <c r="G5" s="32">
        <f t="shared" si="0"/>
        <v>453</v>
      </c>
      <c r="H5" s="32">
        <f t="shared" si="0"/>
        <v>426.8</v>
      </c>
      <c r="I5" s="32">
        <f t="shared" si="0"/>
        <v>232</v>
      </c>
      <c r="J5" s="32">
        <f t="shared" si="0"/>
        <v>271</v>
      </c>
      <c r="K5" s="32">
        <f t="shared" si="0"/>
        <v>233</v>
      </c>
      <c r="L5" s="32">
        <f t="shared" si="0"/>
        <v>246.7</v>
      </c>
      <c r="M5" s="32">
        <f t="shared" si="0"/>
        <v>438.28999999999996</v>
      </c>
      <c r="N5" s="32">
        <f t="shared" si="0"/>
        <v>336.8</v>
      </c>
      <c r="O5" s="32">
        <f t="shared" si="0"/>
        <v>509.3</v>
      </c>
      <c r="P5" s="32">
        <f t="shared" si="0"/>
        <v>578.55000000000007</v>
      </c>
      <c r="Q5" s="32">
        <f t="shared" si="0"/>
        <v>580.33000000000004</v>
      </c>
      <c r="R5" s="32">
        <f t="shared" si="0"/>
        <v>582</v>
      </c>
      <c r="S5" s="32">
        <f t="shared" si="0"/>
        <v>573.1</v>
      </c>
      <c r="T5" s="32">
        <f t="shared" si="0"/>
        <v>579.1</v>
      </c>
      <c r="U5" s="32">
        <f t="shared" si="0"/>
        <v>495</v>
      </c>
      <c r="V5" s="32">
        <f t="shared" si="0"/>
        <v>479</v>
      </c>
      <c r="W5" s="32">
        <f t="shared" si="0"/>
        <v>376.5</v>
      </c>
      <c r="X5" s="32">
        <f t="shared" si="0"/>
        <v>423</v>
      </c>
      <c r="Y5" s="32">
        <f t="shared" si="0"/>
        <v>376.1</v>
      </c>
      <c r="Z5" s="32">
        <f t="shared" si="0"/>
        <v>306.23</v>
      </c>
      <c r="AA5" s="32">
        <f t="shared" si="0"/>
        <v>490.9</v>
      </c>
      <c r="AB5" s="32">
        <f t="shared" si="0"/>
        <v>446.8</v>
      </c>
      <c r="AC5" s="32">
        <f t="shared" si="0"/>
        <v>590</v>
      </c>
      <c r="AD5" s="32">
        <f t="shared" si="0"/>
        <v>435</v>
      </c>
      <c r="AE5" s="32">
        <f t="shared" si="0"/>
        <v>427</v>
      </c>
      <c r="AF5" s="32">
        <f>B68</f>
        <v>423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1503MW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Load=919</v>
      </c>
      <c r="B7" s="37">
        <f>B75</f>
        <v>942.54</v>
      </c>
      <c r="C7" s="37">
        <f t="shared" ref="C7:AF7" si="1">C75</f>
        <v>936.54</v>
      </c>
      <c r="D7" s="37">
        <f t="shared" si="1"/>
        <v>934.33999999999992</v>
      </c>
      <c r="E7" s="37">
        <f t="shared" si="1"/>
        <v>919.1400000000001</v>
      </c>
      <c r="F7" s="37">
        <f t="shared" si="1"/>
        <v>943.74</v>
      </c>
      <c r="G7" s="37">
        <f t="shared" si="1"/>
        <v>963.1400000000001</v>
      </c>
      <c r="H7" s="37">
        <f t="shared" si="1"/>
        <v>1063.74</v>
      </c>
      <c r="I7" s="37">
        <f t="shared" si="1"/>
        <v>1152.1399999999999</v>
      </c>
      <c r="J7" s="37">
        <f t="shared" si="1"/>
        <v>1266.94</v>
      </c>
      <c r="K7" s="37">
        <f t="shared" si="1"/>
        <v>1405.3400000000001</v>
      </c>
      <c r="L7" s="37">
        <f t="shared" si="1"/>
        <v>1502.94</v>
      </c>
      <c r="M7" s="37">
        <f t="shared" si="1"/>
        <v>1403.24</v>
      </c>
      <c r="N7" s="37">
        <f t="shared" si="1"/>
        <v>1402.53</v>
      </c>
      <c r="O7" s="37">
        <f t="shared" si="1"/>
        <v>1254.54</v>
      </c>
      <c r="P7" s="37">
        <f t="shared" si="1"/>
        <v>1265.6399999999999</v>
      </c>
      <c r="Q7" s="37">
        <f t="shared" si="1"/>
        <v>1209.5900000000001</v>
      </c>
      <c r="R7" s="37">
        <f t="shared" si="1"/>
        <v>1171.47</v>
      </c>
      <c r="S7" s="37">
        <f t="shared" si="1"/>
        <v>1173.1399999999999</v>
      </c>
      <c r="T7" s="37">
        <f t="shared" si="1"/>
        <v>1179.24</v>
      </c>
      <c r="U7" s="37">
        <f t="shared" si="1"/>
        <v>1185.24</v>
      </c>
      <c r="V7" s="37">
        <f t="shared" si="1"/>
        <v>1212.24</v>
      </c>
      <c r="W7" s="37">
        <f t="shared" si="1"/>
        <v>1254.04</v>
      </c>
      <c r="X7" s="37">
        <f t="shared" si="1"/>
        <v>1334.24</v>
      </c>
      <c r="Y7" s="37">
        <f t="shared" si="1"/>
        <v>1510.4399999999998</v>
      </c>
      <c r="Z7" s="37">
        <f t="shared" si="1"/>
        <v>1514.44</v>
      </c>
      <c r="AA7" s="37">
        <f t="shared" si="1"/>
        <v>1457.87</v>
      </c>
      <c r="AB7" s="37">
        <f t="shared" si="1"/>
        <v>1298.44</v>
      </c>
      <c r="AC7" s="37">
        <f t="shared" si="1"/>
        <v>1294.54</v>
      </c>
      <c r="AD7" s="37">
        <f t="shared" si="1"/>
        <v>1220.44</v>
      </c>
      <c r="AE7" s="37">
        <f t="shared" si="1"/>
        <v>1062.3399999999999</v>
      </c>
      <c r="AF7" s="37">
        <f t="shared" si="1"/>
        <v>951.94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40</v>
      </c>
      <c r="G11" s="49">
        <v>30</v>
      </c>
      <c r="H11" s="49">
        <v>30</v>
      </c>
      <c r="I11" s="49">
        <v>100</v>
      </c>
      <c r="J11" s="49">
        <v>330</v>
      </c>
      <c r="K11" s="49">
        <v>380</v>
      </c>
      <c r="L11" s="49">
        <v>445</v>
      </c>
      <c r="M11" s="50">
        <v>340</v>
      </c>
      <c r="N11" s="51">
        <v>200</v>
      </c>
      <c r="O11" s="50">
        <v>150</v>
      </c>
      <c r="P11" s="51">
        <v>30</v>
      </c>
      <c r="Q11" s="50">
        <v>12</v>
      </c>
      <c r="R11" s="50">
        <v>12</v>
      </c>
      <c r="S11" s="50">
        <v>12</v>
      </c>
      <c r="T11" s="50">
        <v>12</v>
      </c>
      <c r="U11" s="50">
        <v>12</v>
      </c>
      <c r="V11" s="50">
        <v>30</v>
      </c>
      <c r="W11" s="50">
        <v>70</v>
      </c>
      <c r="X11" s="50">
        <v>150</v>
      </c>
      <c r="Y11" s="50">
        <v>225</v>
      </c>
      <c r="Z11" s="52">
        <v>280</v>
      </c>
      <c r="AA11" s="50">
        <v>330</v>
      </c>
      <c r="AB11" s="50">
        <v>70</v>
      </c>
      <c r="AC11" s="50">
        <v>90</v>
      </c>
      <c r="AD11" s="50">
        <v>10</v>
      </c>
      <c r="AE11" s="50">
        <v>10</v>
      </c>
      <c r="AF11" s="50">
        <v>10</v>
      </c>
      <c r="AG11" s="53">
        <v>456</v>
      </c>
      <c r="AH11" s="54">
        <f>MAX(B11:AF11)</f>
        <v>445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17.7</v>
      </c>
      <c r="C13" s="49">
        <v>17.7</v>
      </c>
      <c r="D13" s="49">
        <v>17.7</v>
      </c>
      <c r="E13" s="49">
        <v>17.7</v>
      </c>
      <c r="F13" s="49">
        <v>17.7</v>
      </c>
      <c r="G13" s="49">
        <v>17.7</v>
      </c>
      <c r="H13" s="49">
        <v>17.7</v>
      </c>
      <c r="I13" s="49">
        <v>17.7</v>
      </c>
      <c r="J13" s="49">
        <v>17.7</v>
      </c>
      <c r="K13" s="49">
        <v>17.7</v>
      </c>
      <c r="L13" s="49">
        <v>17.7</v>
      </c>
      <c r="M13" s="49">
        <v>17.7</v>
      </c>
      <c r="N13" s="49">
        <v>17.7</v>
      </c>
      <c r="O13" s="49">
        <v>17.7</v>
      </c>
      <c r="P13" s="49">
        <v>17.7</v>
      </c>
      <c r="Q13" s="49">
        <v>17.7</v>
      </c>
      <c r="R13" s="49">
        <v>17.7</v>
      </c>
      <c r="S13" s="49">
        <v>17.7</v>
      </c>
      <c r="T13" s="49">
        <v>17.7</v>
      </c>
      <c r="U13" s="49">
        <v>17.7</v>
      </c>
      <c r="V13" s="49">
        <v>17.7</v>
      </c>
      <c r="W13" s="49">
        <v>17.7</v>
      </c>
      <c r="X13" s="49">
        <v>17.7</v>
      </c>
      <c r="Y13" s="49">
        <v>17.7</v>
      </c>
      <c r="Z13" s="49">
        <v>17.7</v>
      </c>
      <c r="AA13" s="49">
        <v>17.7</v>
      </c>
      <c r="AB13" s="49">
        <v>17.7</v>
      </c>
      <c r="AC13" s="49">
        <v>17.7</v>
      </c>
      <c r="AD13" s="49">
        <v>17.100000000000001</v>
      </c>
      <c r="AE13" s="49">
        <v>16.5</v>
      </c>
      <c r="AF13" s="49">
        <v>16.600000000000001</v>
      </c>
      <c r="AG13" s="59">
        <v>52.4</v>
      </c>
      <c r="AH13" s="54">
        <f t="shared" si="2"/>
        <v>17.7</v>
      </c>
      <c r="AI13" s="55">
        <f t="shared" si="3"/>
        <v>16.5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34.200000000000003</v>
      </c>
      <c r="C14" s="49">
        <v>34.200000000000003</v>
      </c>
      <c r="D14" s="49">
        <v>34.200000000000003</v>
      </c>
      <c r="E14" s="49">
        <v>34.200000000000003</v>
      </c>
      <c r="F14" s="49">
        <v>34.200000000000003</v>
      </c>
      <c r="G14" s="49">
        <v>34.200000000000003</v>
      </c>
      <c r="H14" s="49">
        <v>34.200000000000003</v>
      </c>
      <c r="I14" s="49">
        <v>35</v>
      </c>
      <c r="J14" s="49">
        <v>35</v>
      </c>
      <c r="K14" s="49">
        <v>37</v>
      </c>
      <c r="L14" s="49">
        <v>37</v>
      </c>
      <c r="M14" s="50">
        <v>37</v>
      </c>
      <c r="N14" s="50">
        <v>37</v>
      </c>
      <c r="O14" s="50">
        <v>37</v>
      </c>
      <c r="P14" s="50">
        <v>37</v>
      </c>
      <c r="Q14" s="50">
        <v>37</v>
      </c>
      <c r="R14" s="50">
        <v>37</v>
      </c>
      <c r="S14" s="50">
        <v>37</v>
      </c>
      <c r="T14" s="50">
        <v>37</v>
      </c>
      <c r="U14" s="50">
        <v>37</v>
      </c>
      <c r="V14" s="50">
        <v>37</v>
      </c>
      <c r="W14" s="50">
        <v>37</v>
      </c>
      <c r="X14" s="50">
        <v>37</v>
      </c>
      <c r="Y14" s="50">
        <v>37</v>
      </c>
      <c r="Z14" s="50">
        <v>37</v>
      </c>
      <c r="AA14" s="50">
        <v>37</v>
      </c>
      <c r="AB14" s="50">
        <v>37</v>
      </c>
      <c r="AC14" s="50">
        <v>37</v>
      </c>
      <c r="AD14" s="50">
        <v>34.200000000000003</v>
      </c>
      <c r="AE14" s="50">
        <v>34.6</v>
      </c>
      <c r="AF14" s="50">
        <v>34</v>
      </c>
      <c r="AG14" s="59">
        <v>50</v>
      </c>
      <c r="AH14" s="54">
        <f t="shared" si="2"/>
        <v>37</v>
      </c>
      <c r="AI14" s="55">
        <f t="shared" si="3"/>
        <v>34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</v>
      </c>
      <c r="C15" s="61">
        <v>20</v>
      </c>
      <c r="D15" s="61">
        <v>20</v>
      </c>
      <c r="E15" s="61">
        <v>20</v>
      </c>
      <c r="F15" s="61">
        <v>20</v>
      </c>
      <c r="G15" s="61">
        <v>20</v>
      </c>
      <c r="H15" s="61">
        <v>20</v>
      </c>
      <c r="I15" s="61">
        <v>20</v>
      </c>
      <c r="J15" s="61">
        <v>20</v>
      </c>
      <c r="K15" s="61">
        <v>20</v>
      </c>
      <c r="L15" s="61">
        <v>20</v>
      </c>
      <c r="M15" s="50">
        <v>20</v>
      </c>
      <c r="N15" s="50">
        <v>20</v>
      </c>
      <c r="O15" s="50">
        <v>20</v>
      </c>
      <c r="P15" s="50">
        <v>20</v>
      </c>
      <c r="Q15" s="50">
        <v>20</v>
      </c>
      <c r="R15" s="50">
        <v>20</v>
      </c>
      <c r="S15" s="50">
        <v>20</v>
      </c>
      <c r="T15" s="50">
        <v>20</v>
      </c>
      <c r="U15" s="50">
        <v>20</v>
      </c>
      <c r="V15" s="50">
        <v>20</v>
      </c>
      <c r="W15" s="50">
        <v>20</v>
      </c>
      <c r="X15" s="50">
        <v>20</v>
      </c>
      <c r="Y15" s="50">
        <v>20</v>
      </c>
      <c r="Z15" s="50">
        <v>20</v>
      </c>
      <c r="AA15" s="50">
        <v>20</v>
      </c>
      <c r="AB15" s="50">
        <v>20</v>
      </c>
      <c r="AC15" s="50">
        <v>20</v>
      </c>
      <c r="AD15" s="50">
        <v>21.2</v>
      </c>
      <c r="AE15" s="50">
        <v>21.4</v>
      </c>
      <c r="AF15" s="50">
        <v>21</v>
      </c>
      <c r="AG15" s="62">
        <v>45</v>
      </c>
      <c r="AH15" s="54">
        <f t="shared" si="2"/>
        <v>21.4</v>
      </c>
      <c r="AI15" s="55">
        <f t="shared" si="3"/>
        <v>20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10</v>
      </c>
      <c r="C16" s="49">
        <v>10</v>
      </c>
      <c r="D16" s="49">
        <v>10</v>
      </c>
      <c r="E16" s="49">
        <v>10</v>
      </c>
      <c r="F16" s="49">
        <v>10</v>
      </c>
      <c r="G16" s="49">
        <v>10</v>
      </c>
      <c r="H16" s="49">
        <v>10</v>
      </c>
      <c r="I16" s="49">
        <v>10</v>
      </c>
      <c r="J16" s="49">
        <v>10</v>
      </c>
      <c r="K16" s="49">
        <v>10</v>
      </c>
      <c r="L16" s="49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>MAX(B16:AF16)</f>
        <v>10</v>
      </c>
      <c r="AI16" s="55">
        <f>MIN(B16:AF16)</f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9.4</v>
      </c>
      <c r="C19" s="49">
        <v>9.4</v>
      </c>
      <c r="D19" s="49">
        <v>9.4</v>
      </c>
      <c r="E19" s="49">
        <v>9.4</v>
      </c>
      <c r="F19" s="49">
        <v>9.4</v>
      </c>
      <c r="G19" s="49">
        <v>9.4</v>
      </c>
      <c r="H19" s="49">
        <v>9.4</v>
      </c>
      <c r="I19" s="49">
        <v>9.4</v>
      </c>
      <c r="J19" s="49">
        <v>9.4</v>
      </c>
      <c r="K19" s="49">
        <v>9.4</v>
      </c>
      <c r="L19" s="49">
        <v>9.4</v>
      </c>
      <c r="M19" s="50">
        <v>9.4</v>
      </c>
      <c r="N19" s="50">
        <v>9.4</v>
      </c>
      <c r="O19" s="50">
        <v>9.4</v>
      </c>
      <c r="P19" s="50">
        <v>9.4</v>
      </c>
      <c r="Q19" s="50">
        <v>9.4</v>
      </c>
      <c r="R19" s="50">
        <v>9.4</v>
      </c>
      <c r="S19" s="50">
        <v>9.4</v>
      </c>
      <c r="T19" s="50">
        <v>9.4</v>
      </c>
      <c r="U19" s="50">
        <v>9.4</v>
      </c>
      <c r="V19" s="50">
        <v>9.4</v>
      </c>
      <c r="W19" s="50">
        <v>9.4</v>
      </c>
      <c r="X19" s="50">
        <v>9.4</v>
      </c>
      <c r="Y19" s="50">
        <v>9.4</v>
      </c>
      <c r="Z19" s="50">
        <v>9.4</v>
      </c>
      <c r="AA19" s="50">
        <v>9.4</v>
      </c>
      <c r="AB19" s="50">
        <v>9.4</v>
      </c>
      <c r="AC19" s="50">
        <v>9.4</v>
      </c>
      <c r="AD19" s="50">
        <v>9.1999999999999993</v>
      </c>
      <c r="AE19" s="50">
        <v>9.1999999999999993</v>
      </c>
      <c r="AF19" s="50">
        <v>9.1999999999999993</v>
      </c>
      <c r="AG19" s="59">
        <v>30</v>
      </c>
      <c r="AH19" s="54">
        <f t="shared" si="2"/>
        <v>9.4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9.1999999999999993</v>
      </c>
      <c r="C22" s="49">
        <v>9.1999999999999993</v>
      </c>
      <c r="D22" s="49">
        <v>9.1999999999999993</v>
      </c>
      <c r="E22" s="49">
        <v>9.1999999999999993</v>
      </c>
      <c r="F22" s="49">
        <v>9.1999999999999993</v>
      </c>
      <c r="G22" s="49">
        <v>9.1999999999999993</v>
      </c>
      <c r="H22" s="49">
        <v>9.1999999999999993</v>
      </c>
      <c r="I22" s="49">
        <v>9.1999999999999993</v>
      </c>
      <c r="J22" s="49">
        <v>9.1999999999999993</v>
      </c>
      <c r="K22" s="49">
        <v>9.1999999999999993</v>
      </c>
      <c r="L22" s="49">
        <v>9.1999999999999993</v>
      </c>
      <c r="M22" s="50">
        <v>9.1999999999999993</v>
      </c>
      <c r="N22" s="50">
        <v>9.1999999999999993</v>
      </c>
      <c r="O22" s="50">
        <v>9.1999999999999993</v>
      </c>
      <c r="P22" s="50">
        <v>9.1999999999999993</v>
      </c>
      <c r="Q22" s="50">
        <v>9.1999999999999993</v>
      </c>
      <c r="R22" s="50">
        <v>9.1999999999999993</v>
      </c>
      <c r="S22" s="50">
        <v>9.1999999999999993</v>
      </c>
      <c r="T22" s="50">
        <v>9.1999999999999993</v>
      </c>
      <c r="U22" s="50">
        <v>9.1999999999999993</v>
      </c>
      <c r="V22" s="50">
        <v>9.1999999999999993</v>
      </c>
      <c r="W22" s="50">
        <v>9.1999999999999993</v>
      </c>
      <c r="X22" s="50">
        <v>9.1999999999999993</v>
      </c>
      <c r="Y22" s="50">
        <v>17</v>
      </c>
      <c r="Z22" s="50">
        <v>17</v>
      </c>
      <c r="AA22" s="50">
        <v>17</v>
      </c>
      <c r="AB22" s="50">
        <v>17</v>
      </c>
      <c r="AC22" s="50">
        <v>17</v>
      </c>
      <c r="AD22" s="50">
        <v>10.6</v>
      </c>
      <c r="AE22" s="50">
        <v>10.9</v>
      </c>
      <c r="AF22" s="50">
        <v>11.1</v>
      </c>
      <c r="AG22" s="59">
        <v>25</v>
      </c>
      <c r="AH22" s="54">
        <f t="shared" si="2"/>
        <v>17</v>
      </c>
      <c r="AI22" s="55">
        <f t="shared" si="3"/>
        <v>9.1999999999999993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10</v>
      </c>
      <c r="C24" s="49">
        <v>10</v>
      </c>
      <c r="D24" s="49">
        <v>10</v>
      </c>
      <c r="E24" s="49">
        <v>10</v>
      </c>
      <c r="F24" s="49">
        <v>10</v>
      </c>
      <c r="G24" s="49">
        <v>10</v>
      </c>
      <c r="H24" s="49">
        <v>10</v>
      </c>
      <c r="I24" s="49">
        <v>10</v>
      </c>
      <c r="J24" s="49">
        <v>10</v>
      </c>
      <c r="K24" s="49">
        <v>10</v>
      </c>
      <c r="L24" s="49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9.3000000000000007</v>
      </c>
      <c r="Z24" s="50">
        <v>9.3000000000000007</v>
      </c>
      <c r="AA24" s="50">
        <v>9.3000000000000007</v>
      </c>
      <c r="AB24" s="50">
        <v>9.3000000000000007</v>
      </c>
      <c r="AC24" s="50">
        <v>9.3000000000000007</v>
      </c>
      <c r="AD24" s="50">
        <v>10</v>
      </c>
      <c r="AE24" s="50">
        <v>10</v>
      </c>
      <c r="AF24" s="50">
        <v>10</v>
      </c>
      <c r="AG24" s="59">
        <v>25</v>
      </c>
      <c r="AH24" s="54">
        <f t="shared" si="2"/>
        <v>10</v>
      </c>
      <c r="AI24" s="55">
        <f t="shared" si="3"/>
        <v>9.3000000000000007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38</v>
      </c>
      <c r="C37" s="61">
        <v>38</v>
      </c>
      <c r="D37" s="61">
        <v>38</v>
      </c>
      <c r="E37" s="61">
        <v>39.4</v>
      </c>
      <c r="F37" s="61">
        <v>38.6</v>
      </c>
      <c r="G37" s="61">
        <v>38.700000000000003</v>
      </c>
      <c r="H37" s="61">
        <v>38</v>
      </c>
      <c r="I37" s="61">
        <v>38</v>
      </c>
      <c r="J37" s="61">
        <v>38.700000000000003</v>
      </c>
      <c r="K37" s="61">
        <v>38.700000000000003</v>
      </c>
      <c r="L37" s="61">
        <v>37.4</v>
      </c>
      <c r="M37" s="70">
        <v>37</v>
      </c>
      <c r="N37" s="70">
        <v>37.4</v>
      </c>
      <c r="O37" s="70">
        <v>32.200000000000003</v>
      </c>
      <c r="P37" s="70">
        <v>37.6</v>
      </c>
      <c r="Q37" s="70">
        <v>42.5</v>
      </c>
      <c r="R37" s="70">
        <v>39.6</v>
      </c>
      <c r="S37" s="70">
        <v>39.6</v>
      </c>
      <c r="T37" s="70">
        <v>39.6</v>
      </c>
      <c r="U37" s="70">
        <v>39.6</v>
      </c>
      <c r="V37" s="70">
        <v>40</v>
      </c>
      <c r="W37" s="70">
        <f>13.6+26.8</f>
        <v>40.4</v>
      </c>
      <c r="X37" s="70">
        <f>11.6+23.1</f>
        <v>34.700000000000003</v>
      </c>
      <c r="Y37" s="70">
        <f>11.3+22.3</f>
        <v>33.6</v>
      </c>
      <c r="Z37" s="70">
        <f>10.6+21.2</f>
        <v>31.799999999999997</v>
      </c>
      <c r="AA37" s="70">
        <v>31.8</v>
      </c>
      <c r="AB37" s="70">
        <f>11.3+22.4</f>
        <v>33.700000000000003</v>
      </c>
      <c r="AC37" s="70">
        <f>11.3+22.6</f>
        <v>33.900000000000006</v>
      </c>
      <c r="AD37" s="70">
        <f>11.4+22.8</f>
        <v>34.200000000000003</v>
      </c>
      <c r="AE37" s="70">
        <f>12.3+24.3</f>
        <v>36.6</v>
      </c>
      <c r="AF37" s="70">
        <f>12.6+24.8</f>
        <v>37.4</v>
      </c>
      <c r="AG37" s="67">
        <v>240</v>
      </c>
      <c r="AH37" s="54">
        <f t="shared" si="2"/>
        <v>42.5</v>
      </c>
      <c r="AI37" s="55">
        <f t="shared" si="3"/>
        <v>31.799999999999997</v>
      </c>
      <c r="AK37" s="56"/>
    </row>
    <row r="38" spans="1:88" ht="15.75" thickBot="1" x14ac:dyDescent="0.3">
      <c r="A38" s="71" t="s">
        <v>46</v>
      </c>
      <c r="B38" s="72">
        <f>SUM(B11:B36)</f>
        <v>385.2</v>
      </c>
      <c r="C38" s="72">
        <f t="shared" ref="C38:AF38" si="4">SUM(C11:C36)</f>
        <v>385.2</v>
      </c>
      <c r="D38" s="72">
        <f t="shared" si="4"/>
        <v>385.2</v>
      </c>
      <c r="E38" s="72">
        <f t="shared" si="4"/>
        <v>385.2</v>
      </c>
      <c r="F38" s="72">
        <f t="shared" si="4"/>
        <v>413.2</v>
      </c>
      <c r="G38" s="72">
        <f t="shared" si="4"/>
        <v>403.2</v>
      </c>
      <c r="H38" s="72">
        <f t="shared" si="4"/>
        <v>403.2</v>
      </c>
      <c r="I38" s="72">
        <f t="shared" si="4"/>
        <v>474</v>
      </c>
      <c r="J38" s="72">
        <f t="shared" si="4"/>
        <v>704</v>
      </c>
      <c r="K38" s="72">
        <f t="shared" si="4"/>
        <v>756.00000000000011</v>
      </c>
      <c r="L38" s="72">
        <f t="shared" si="4"/>
        <v>821.00000000000011</v>
      </c>
      <c r="M38" s="72">
        <f t="shared" si="4"/>
        <v>716</v>
      </c>
      <c r="N38" s="72">
        <f t="shared" si="4"/>
        <v>576</v>
      </c>
      <c r="O38" s="72">
        <f t="shared" si="4"/>
        <v>526</v>
      </c>
      <c r="P38" s="72">
        <f t="shared" si="4"/>
        <v>406</v>
      </c>
      <c r="Q38" s="72">
        <f t="shared" si="4"/>
        <v>388</v>
      </c>
      <c r="R38" s="72">
        <f t="shared" si="4"/>
        <v>388</v>
      </c>
      <c r="S38" s="72">
        <f t="shared" si="4"/>
        <v>388</v>
      </c>
      <c r="T38" s="72">
        <f t="shared" si="4"/>
        <v>388</v>
      </c>
      <c r="U38" s="72">
        <f t="shared" si="4"/>
        <v>388</v>
      </c>
      <c r="V38" s="72">
        <f t="shared" si="4"/>
        <v>406</v>
      </c>
      <c r="W38" s="72">
        <f t="shared" si="4"/>
        <v>446</v>
      </c>
      <c r="X38" s="72">
        <f t="shared" si="4"/>
        <v>526</v>
      </c>
      <c r="Y38" s="72">
        <f t="shared" si="4"/>
        <v>608.09999999999991</v>
      </c>
      <c r="Z38" s="72">
        <f t="shared" si="4"/>
        <v>663.09999999999991</v>
      </c>
      <c r="AA38" s="72">
        <f t="shared" si="4"/>
        <v>713.1</v>
      </c>
      <c r="AB38" s="72">
        <f t="shared" si="4"/>
        <v>453.1</v>
      </c>
      <c r="AC38" s="72">
        <f t="shared" si="4"/>
        <v>473.1</v>
      </c>
      <c r="AD38" s="72">
        <f t="shared" si="4"/>
        <v>385</v>
      </c>
      <c r="AE38" s="72">
        <f t="shared" si="4"/>
        <v>385.29999999999995</v>
      </c>
      <c r="AF38" s="72">
        <f t="shared" si="4"/>
        <v>384.59999999999997</v>
      </c>
      <c r="AG38" s="67">
        <f>SUM(AG11:AG37)</f>
        <v>1492.8299999999997</v>
      </c>
      <c r="AH38" s="54">
        <f t="shared" si="2"/>
        <v>821.00000000000011</v>
      </c>
      <c r="AI38" s="55">
        <f t="shared" si="3"/>
        <v>384.59999999999997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0</v>
      </c>
      <c r="F39" s="61">
        <v>0</v>
      </c>
      <c r="G39" s="61">
        <v>0</v>
      </c>
      <c r="H39" s="61">
        <v>40</v>
      </c>
      <c r="I39" s="61">
        <v>72</v>
      </c>
      <c r="J39" s="61">
        <v>112</v>
      </c>
      <c r="K39" s="61">
        <v>145.6</v>
      </c>
      <c r="L39" s="61">
        <v>146</v>
      </c>
      <c r="M39" s="61">
        <v>146</v>
      </c>
      <c r="N39" s="50">
        <v>121.6</v>
      </c>
      <c r="O39" s="50">
        <v>111.5</v>
      </c>
      <c r="P39" s="50">
        <v>97.3</v>
      </c>
      <c r="Q39" s="50">
        <v>62</v>
      </c>
      <c r="R39" s="50">
        <v>61.6</v>
      </c>
      <c r="S39" s="50">
        <v>61.6</v>
      </c>
      <c r="T39" s="50">
        <v>61.6</v>
      </c>
      <c r="U39" s="50">
        <v>61.6</v>
      </c>
      <c r="V39" s="50">
        <v>97.3</v>
      </c>
      <c r="W39" s="50">
        <v>110</v>
      </c>
      <c r="X39" s="50">
        <v>145.1</v>
      </c>
      <c r="Y39" s="50">
        <v>145.1</v>
      </c>
      <c r="Z39" s="50">
        <v>145</v>
      </c>
      <c r="AA39" s="50">
        <v>144.69999999999999</v>
      </c>
      <c r="AB39" s="50">
        <v>110</v>
      </c>
      <c r="AC39" s="50">
        <v>112.2</v>
      </c>
      <c r="AD39" s="50">
        <v>60</v>
      </c>
      <c r="AE39" s="50">
        <v>34</v>
      </c>
      <c r="AF39" s="49">
        <v>0</v>
      </c>
      <c r="AG39" s="62">
        <v>144</v>
      </c>
      <c r="AH39" s="54">
        <f t="shared" si="2"/>
        <v>146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35</v>
      </c>
      <c r="I40" s="61">
        <v>47</v>
      </c>
      <c r="J40" s="61">
        <v>70</v>
      </c>
      <c r="K40" s="61">
        <v>72.8</v>
      </c>
      <c r="L40" s="61">
        <v>71</v>
      </c>
      <c r="M40" s="61">
        <v>71</v>
      </c>
      <c r="N40" s="73">
        <v>50.7</v>
      </c>
      <c r="O40" s="73">
        <v>50.8</v>
      </c>
      <c r="P40" s="73">
        <v>60</v>
      </c>
      <c r="Q40" s="73">
        <v>35.6</v>
      </c>
      <c r="R40" s="73">
        <v>35.6</v>
      </c>
      <c r="S40" s="73">
        <v>35.6</v>
      </c>
      <c r="T40" s="73">
        <v>35.6</v>
      </c>
      <c r="U40" s="73">
        <v>35.6</v>
      </c>
      <c r="V40" s="73">
        <v>35</v>
      </c>
      <c r="W40" s="73">
        <v>35</v>
      </c>
      <c r="X40" s="73">
        <v>68.5</v>
      </c>
      <c r="Y40" s="73">
        <v>70.099999999999994</v>
      </c>
      <c r="Z40" s="73">
        <v>69.599999999999994</v>
      </c>
      <c r="AA40" s="73">
        <v>69.900000000000006</v>
      </c>
      <c r="AB40" s="73">
        <v>70.2</v>
      </c>
      <c r="AC40" s="73">
        <v>70.8</v>
      </c>
      <c r="AD40" s="73">
        <v>22.2</v>
      </c>
      <c r="AE40" s="73">
        <v>67.2</v>
      </c>
      <c r="AF40" s="61">
        <v>0</v>
      </c>
      <c r="AG40" s="67">
        <v>70</v>
      </c>
      <c r="AH40" s="54">
        <f t="shared" si="2"/>
        <v>72.8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37</v>
      </c>
      <c r="C41" s="61">
        <v>16</v>
      </c>
      <c r="D41" s="61">
        <v>23.4</v>
      </c>
      <c r="E41" s="61">
        <v>16</v>
      </c>
      <c r="F41" s="61">
        <v>34.6</v>
      </c>
      <c r="G41" s="61">
        <v>33</v>
      </c>
      <c r="H41" s="61">
        <v>40.6</v>
      </c>
      <c r="I41" s="61">
        <v>40.4</v>
      </c>
      <c r="J41" s="61">
        <v>57</v>
      </c>
      <c r="K41" s="61">
        <v>68</v>
      </c>
      <c r="L41" s="61">
        <v>66</v>
      </c>
      <c r="M41" s="61">
        <v>66</v>
      </c>
      <c r="N41" s="73">
        <v>45.4</v>
      </c>
      <c r="O41" s="73">
        <v>46</v>
      </c>
      <c r="P41" s="73">
        <v>33</v>
      </c>
      <c r="Q41" s="73">
        <v>22.2</v>
      </c>
      <c r="R41" s="73">
        <v>16.100000000000001</v>
      </c>
      <c r="S41" s="73">
        <v>16.100000000000001</v>
      </c>
      <c r="T41" s="73">
        <v>16.100000000000001</v>
      </c>
      <c r="U41" s="73">
        <v>16.100000000000001</v>
      </c>
      <c r="V41" s="73">
        <v>32.5</v>
      </c>
      <c r="W41" s="73">
        <v>32.5</v>
      </c>
      <c r="X41" s="73">
        <v>68.5</v>
      </c>
      <c r="Y41" s="73">
        <v>67.7</v>
      </c>
      <c r="Z41" s="73">
        <v>67.7</v>
      </c>
      <c r="AA41" s="73">
        <v>67.7</v>
      </c>
      <c r="AB41" s="73">
        <v>52.1</v>
      </c>
      <c r="AC41" s="73">
        <v>68.900000000000006</v>
      </c>
      <c r="AD41" s="73">
        <v>55</v>
      </c>
      <c r="AE41" s="73">
        <v>40.5</v>
      </c>
      <c r="AF41" s="61">
        <v>38</v>
      </c>
      <c r="AG41" s="67">
        <v>69</v>
      </c>
      <c r="AH41" s="54">
        <f t="shared" si="2"/>
        <v>68.900000000000006</v>
      </c>
      <c r="AI41" s="55">
        <f t="shared" si="3"/>
        <v>16</v>
      </c>
      <c r="AK41" s="56"/>
    </row>
    <row r="42" spans="1:88" x14ac:dyDescent="0.25">
      <c r="A42" s="66" t="s">
        <v>50</v>
      </c>
      <c r="B42" s="61">
        <v>50.4</v>
      </c>
      <c r="C42" s="61">
        <v>50.4</v>
      </c>
      <c r="D42" s="61">
        <v>44.8</v>
      </c>
      <c r="E42" s="61">
        <v>45</v>
      </c>
      <c r="F42" s="61">
        <v>45</v>
      </c>
      <c r="G42" s="61">
        <v>45</v>
      </c>
      <c r="H42" s="61">
        <v>45</v>
      </c>
      <c r="I42" s="61">
        <v>45</v>
      </c>
      <c r="J42" s="61">
        <v>45</v>
      </c>
      <c r="K42" s="61">
        <v>45</v>
      </c>
      <c r="L42" s="61">
        <v>45</v>
      </c>
      <c r="M42" s="61">
        <v>45</v>
      </c>
      <c r="N42" s="73">
        <v>48.1</v>
      </c>
      <c r="O42" s="73">
        <v>48.1</v>
      </c>
      <c r="P42" s="73">
        <v>48.1</v>
      </c>
      <c r="Q42" s="73">
        <v>48.1</v>
      </c>
      <c r="R42" s="73">
        <v>46.9</v>
      </c>
      <c r="S42" s="73">
        <v>46.9</v>
      </c>
      <c r="T42" s="73">
        <v>46.9</v>
      </c>
      <c r="U42" s="73">
        <v>46.9</v>
      </c>
      <c r="V42" s="73">
        <v>43.3</v>
      </c>
      <c r="W42" s="73">
        <v>43.3</v>
      </c>
      <c r="X42" s="73">
        <v>46.4</v>
      </c>
      <c r="Y42" s="73">
        <v>47.4</v>
      </c>
      <c r="Z42" s="73">
        <v>47.4</v>
      </c>
      <c r="AA42" s="73">
        <v>47.4</v>
      </c>
      <c r="AB42" s="73">
        <v>47.4</v>
      </c>
      <c r="AC42" s="73">
        <v>47.4</v>
      </c>
      <c r="AD42" s="73">
        <v>47.4</v>
      </c>
      <c r="AE42" s="73">
        <v>47.4</v>
      </c>
      <c r="AF42" s="61">
        <v>49.4</v>
      </c>
      <c r="AG42" s="67">
        <v>60</v>
      </c>
      <c r="AH42" s="54">
        <f t="shared" si="2"/>
        <v>50.4</v>
      </c>
      <c r="AI42" s="55">
        <f t="shared" si="3"/>
        <v>43.3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50">
        <v>0</v>
      </c>
      <c r="Q43" s="50">
        <v>0</v>
      </c>
      <c r="R43" s="50">
        <v>0</v>
      </c>
      <c r="S43" s="50">
        <v>0</v>
      </c>
      <c r="T43" s="50">
        <v>15</v>
      </c>
      <c r="U43" s="50">
        <v>15</v>
      </c>
      <c r="V43" s="50">
        <v>15</v>
      </c>
      <c r="W43" s="50">
        <v>15</v>
      </c>
      <c r="X43" s="50">
        <v>10</v>
      </c>
      <c r="Y43" s="50">
        <v>15</v>
      </c>
      <c r="Z43" s="50">
        <v>15</v>
      </c>
      <c r="AA43" s="50">
        <v>15</v>
      </c>
      <c r="AB43" s="50">
        <v>10</v>
      </c>
      <c r="AC43" s="50">
        <v>10</v>
      </c>
      <c r="AD43" s="73">
        <v>10</v>
      </c>
      <c r="AE43" s="73">
        <v>10</v>
      </c>
      <c r="AF43" s="61">
        <v>10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4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61">
        <v>11</v>
      </c>
      <c r="AA47" s="61">
        <v>11</v>
      </c>
      <c r="AB47" s="61">
        <v>11</v>
      </c>
      <c r="AC47" s="61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61">
        <v>5</v>
      </c>
      <c r="AA48" s="61">
        <v>5</v>
      </c>
      <c r="AB48" s="61">
        <v>5</v>
      </c>
      <c r="AC48" s="61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61">
        <v>4.9000000000000004</v>
      </c>
      <c r="Z49" s="61">
        <v>4.9000000000000004</v>
      </c>
      <c r="AA49" s="61">
        <v>4.9000000000000004</v>
      </c>
      <c r="AB49" s="61">
        <v>4.9000000000000004</v>
      </c>
      <c r="AC49" s="61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61">
        <v>2.5</v>
      </c>
      <c r="AA50" s="61">
        <v>2.5</v>
      </c>
      <c r="AB50" s="61">
        <v>2.5</v>
      </c>
      <c r="AC50" s="61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134.34</v>
      </c>
      <c r="C52" s="72">
        <f t="shared" ref="C52:AF52" si="6">SUM(C39:C51)</f>
        <v>113.34000000000002</v>
      </c>
      <c r="D52" s="72">
        <f t="shared" si="6"/>
        <v>115.14</v>
      </c>
      <c r="E52" s="72">
        <f t="shared" si="6"/>
        <v>107.94000000000001</v>
      </c>
      <c r="F52" s="72">
        <f t="shared" si="6"/>
        <v>126.54</v>
      </c>
      <c r="G52" s="72">
        <f t="shared" si="6"/>
        <v>124.94000000000001</v>
      </c>
      <c r="H52" s="72">
        <f t="shared" si="6"/>
        <v>207.54</v>
      </c>
      <c r="I52" s="72">
        <f t="shared" si="6"/>
        <v>251.34</v>
      </c>
      <c r="J52" s="72">
        <f t="shared" si="6"/>
        <v>330.94</v>
      </c>
      <c r="K52" s="72">
        <f t="shared" si="6"/>
        <v>378.34</v>
      </c>
      <c r="L52" s="72">
        <f t="shared" si="6"/>
        <v>374.94</v>
      </c>
      <c r="M52" s="72">
        <f t="shared" si="6"/>
        <v>374.94</v>
      </c>
      <c r="N52" s="72">
        <f t="shared" si="6"/>
        <v>312.74</v>
      </c>
      <c r="O52" s="72">
        <f t="shared" si="6"/>
        <v>303.34000000000003</v>
      </c>
      <c r="P52" s="72">
        <f t="shared" si="6"/>
        <v>281.33999999999997</v>
      </c>
      <c r="Q52" s="72">
        <f t="shared" si="6"/>
        <v>210.84</v>
      </c>
      <c r="R52" s="72">
        <f t="shared" si="6"/>
        <v>203.14000000000001</v>
      </c>
      <c r="S52" s="72">
        <f t="shared" si="6"/>
        <v>203.14000000000001</v>
      </c>
      <c r="T52" s="72">
        <f t="shared" si="6"/>
        <v>218.14000000000001</v>
      </c>
      <c r="U52" s="72">
        <f t="shared" si="6"/>
        <v>218.14000000000001</v>
      </c>
      <c r="V52" s="72">
        <f t="shared" si="6"/>
        <v>266.04000000000002</v>
      </c>
      <c r="W52" s="72">
        <f t="shared" si="6"/>
        <v>278.74</v>
      </c>
      <c r="X52" s="72">
        <f t="shared" si="6"/>
        <v>381.44</v>
      </c>
      <c r="Y52" s="72">
        <f t="shared" si="6"/>
        <v>388.23999999999995</v>
      </c>
      <c r="Z52" s="72">
        <f t="shared" si="6"/>
        <v>387.64</v>
      </c>
      <c r="AA52" s="72">
        <f t="shared" si="6"/>
        <v>387.64</v>
      </c>
      <c r="AB52" s="72">
        <f t="shared" si="6"/>
        <v>332.64</v>
      </c>
      <c r="AC52" s="72">
        <f t="shared" si="6"/>
        <v>352.24</v>
      </c>
      <c r="AD52" s="72">
        <f t="shared" si="6"/>
        <v>237.54</v>
      </c>
      <c r="AE52" s="72">
        <f t="shared" si="6"/>
        <v>242.04</v>
      </c>
      <c r="AF52" s="72">
        <f t="shared" si="6"/>
        <v>140.34</v>
      </c>
      <c r="AG52" s="78">
        <f>SUM(AG39:AG51)</f>
        <v>489.91</v>
      </c>
      <c r="AH52" s="54">
        <f t="shared" si="2"/>
        <v>388.23999999999995</v>
      </c>
      <c r="AI52" s="55">
        <f t="shared" si="3"/>
        <v>107.94000000000001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45</v>
      </c>
      <c r="M53" s="79">
        <v>40.799999999999997</v>
      </c>
      <c r="N53" s="79">
        <v>44.4</v>
      </c>
      <c r="O53" s="79">
        <v>54</v>
      </c>
      <c r="P53" s="79">
        <v>43.3</v>
      </c>
      <c r="Q53" s="50">
        <v>20.2</v>
      </c>
      <c r="R53" s="50">
        <v>0</v>
      </c>
      <c r="S53" s="50">
        <v>0</v>
      </c>
      <c r="T53" s="50">
        <v>0</v>
      </c>
      <c r="U53" s="50">
        <v>0</v>
      </c>
      <c r="V53" s="50">
        <v>30</v>
      </c>
      <c r="W53" s="50">
        <v>30</v>
      </c>
      <c r="X53" s="50">
        <v>30</v>
      </c>
      <c r="Y53" s="50">
        <v>55.1</v>
      </c>
      <c r="Z53" s="50">
        <v>55.4</v>
      </c>
      <c r="AA53" s="50">
        <v>30</v>
      </c>
      <c r="AB53" s="50">
        <v>13.7</v>
      </c>
      <c r="AC53" s="50">
        <v>14.1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55.4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21</v>
      </c>
      <c r="M54" s="79">
        <v>18.2</v>
      </c>
      <c r="N54" s="79">
        <v>22.8</v>
      </c>
      <c r="O54" s="79">
        <v>25.2</v>
      </c>
      <c r="P54" s="79">
        <v>18.8</v>
      </c>
      <c r="Q54" s="73">
        <v>8.8000000000000007</v>
      </c>
      <c r="R54" s="73">
        <v>0</v>
      </c>
      <c r="S54" s="73">
        <v>0</v>
      </c>
      <c r="T54" s="73">
        <v>0</v>
      </c>
      <c r="U54" s="73">
        <v>0</v>
      </c>
      <c r="V54" s="73">
        <v>11.2</v>
      </c>
      <c r="W54" s="73">
        <v>14.9</v>
      </c>
      <c r="X54" s="73">
        <v>14.9</v>
      </c>
      <c r="Y54" s="73">
        <v>26.4</v>
      </c>
      <c r="Z54" s="73">
        <v>23.6</v>
      </c>
      <c r="AA54" s="73">
        <v>15.3</v>
      </c>
      <c r="AB54" s="73">
        <v>5.9</v>
      </c>
      <c r="AC54" s="73">
        <v>6.2</v>
      </c>
      <c r="AD54" s="73">
        <v>5.8</v>
      </c>
      <c r="AE54" s="73">
        <v>0</v>
      </c>
      <c r="AF54" s="73">
        <v>0</v>
      </c>
      <c r="AG54" s="67">
        <v>32</v>
      </c>
      <c r="AH54" s="54">
        <f t="shared" si="2"/>
        <v>26.4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8</v>
      </c>
      <c r="M55" s="81">
        <v>6.6</v>
      </c>
      <c r="N55" s="81">
        <v>8.3000000000000007</v>
      </c>
      <c r="O55" s="81">
        <v>9.1999999999999993</v>
      </c>
      <c r="P55" s="81">
        <v>6.9</v>
      </c>
      <c r="Q55" s="80">
        <v>3.2</v>
      </c>
      <c r="R55" s="80">
        <v>0</v>
      </c>
      <c r="S55" s="80">
        <v>0</v>
      </c>
      <c r="T55" s="80">
        <v>0</v>
      </c>
      <c r="U55" s="80">
        <v>0</v>
      </c>
      <c r="V55" s="80">
        <v>4</v>
      </c>
      <c r="W55" s="80">
        <v>5.4</v>
      </c>
      <c r="X55" s="80">
        <v>5.4</v>
      </c>
      <c r="Y55" s="80">
        <v>9.6</v>
      </c>
      <c r="Z55" s="80">
        <v>8.6</v>
      </c>
      <c r="AA55" s="80">
        <v>5.6</v>
      </c>
      <c r="AB55" s="80">
        <v>2.2000000000000002</v>
      </c>
      <c r="AC55" s="80">
        <v>2.1</v>
      </c>
      <c r="AD55" s="80">
        <v>2.1</v>
      </c>
      <c r="AE55" s="80">
        <v>0</v>
      </c>
      <c r="AF55" s="80">
        <v>0</v>
      </c>
      <c r="AG55" s="82">
        <v>14</v>
      </c>
      <c r="AH55" s="54">
        <f t="shared" si="2"/>
        <v>9.6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74</v>
      </c>
      <c r="M56" s="72">
        <f t="shared" si="7"/>
        <v>65.599999999999994</v>
      </c>
      <c r="N56" s="72">
        <f t="shared" si="7"/>
        <v>75.5</v>
      </c>
      <c r="O56" s="72">
        <f t="shared" si="7"/>
        <v>88.4</v>
      </c>
      <c r="P56" s="72">
        <f t="shared" si="7"/>
        <v>69</v>
      </c>
      <c r="Q56" s="72">
        <f t="shared" si="7"/>
        <v>32.200000000000003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45.2</v>
      </c>
      <c r="W56" s="72">
        <f t="shared" si="7"/>
        <v>50.3</v>
      </c>
      <c r="X56" s="72">
        <f t="shared" si="7"/>
        <v>50.3</v>
      </c>
      <c r="Y56" s="72">
        <f t="shared" si="7"/>
        <v>91.1</v>
      </c>
      <c r="Z56" s="72">
        <f t="shared" si="7"/>
        <v>87.6</v>
      </c>
      <c r="AA56" s="72">
        <f t="shared" si="7"/>
        <v>50.9</v>
      </c>
      <c r="AB56" s="72">
        <f t="shared" si="7"/>
        <v>21.8</v>
      </c>
      <c r="AC56" s="72">
        <f t="shared" si="7"/>
        <v>22.400000000000002</v>
      </c>
      <c r="AD56" s="72">
        <f t="shared" si="7"/>
        <v>7.9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91.1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73</v>
      </c>
      <c r="C57" s="50">
        <v>71</v>
      </c>
      <c r="D57" s="50">
        <v>71</v>
      </c>
      <c r="E57" s="50">
        <v>72</v>
      </c>
      <c r="F57" s="50">
        <v>73</v>
      </c>
      <c r="G57" s="50">
        <v>76</v>
      </c>
      <c r="H57" s="50">
        <v>71</v>
      </c>
      <c r="I57" s="50">
        <v>77</v>
      </c>
      <c r="J57" s="50">
        <v>69</v>
      </c>
      <c r="K57" s="50">
        <v>70</v>
      </c>
      <c r="L57" s="50">
        <v>72</v>
      </c>
      <c r="M57" s="50">
        <v>75.599999999999994</v>
      </c>
      <c r="N57" s="50">
        <v>76.59</v>
      </c>
      <c r="O57" s="50">
        <v>71.8</v>
      </c>
      <c r="P57" s="50">
        <v>68</v>
      </c>
      <c r="Q57" s="50">
        <v>72.349999999999994</v>
      </c>
      <c r="R57" s="50">
        <v>69.23</v>
      </c>
      <c r="S57" s="50">
        <v>70</v>
      </c>
      <c r="T57" s="50">
        <v>72</v>
      </c>
      <c r="U57" s="50">
        <v>75</v>
      </c>
      <c r="V57" s="50">
        <v>75</v>
      </c>
      <c r="W57" s="50">
        <v>71.400000000000006</v>
      </c>
      <c r="X57" s="50">
        <v>72</v>
      </c>
      <c r="Y57" s="50">
        <v>71</v>
      </c>
      <c r="Z57" s="50">
        <v>67.5</v>
      </c>
      <c r="AA57" s="50">
        <v>72.53</v>
      </c>
      <c r="AB57" s="50">
        <v>65</v>
      </c>
      <c r="AC57" s="50">
        <v>63.6</v>
      </c>
      <c r="AD57" s="50">
        <v>76.2</v>
      </c>
      <c r="AE57" s="50">
        <v>75</v>
      </c>
      <c r="AF57" s="50">
        <v>68</v>
      </c>
      <c r="AG57" s="62"/>
      <c r="AH57" s="54">
        <f t="shared" si="2"/>
        <v>77</v>
      </c>
      <c r="AI57" s="55">
        <f t="shared" si="3"/>
        <v>63.6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165</v>
      </c>
      <c r="O58" s="50">
        <v>100</v>
      </c>
      <c r="P58" s="50">
        <v>140</v>
      </c>
      <c r="Q58" s="50">
        <v>135</v>
      </c>
      <c r="R58" s="50">
        <v>0</v>
      </c>
      <c r="S58" s="50">
        <v>0</v>
      </c>
      <c r="T58" s="50">
        <v>0</v>
      </c>
      <c r="U58" s="50">
        <v>82</v>
      </c>
      <c r="V58" s="50">
        <v>150</v>
      </c>
      <c r="W58" s="50">
        <v>150</v>
      </c>
      <c r="X58" s="83">
        <v>70</v>
      </c>
      <c r="Y58" s="83">
        <v>116</v>
      </c>
      <c r="Z58" s="83">
        <f>105.5+6</f>
        <v>111.5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165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350</v>
      </c>
      <c r="C59" s="73">
        <v>367</v>
      </c>
      <c r="D59" s="73">
        <v>363</v>
      </c>
      <c r="E59" s="73">
        <v>354</v>
      </c>
      <c r="F59" s="73">
        <v>331</v>
      </c>
      <c r="G59" s="73">
        <v>347</v>
      </c>
      <c r="H59" s="50">
        <v>330</v>
      </c>
      <c r="I59" s="50">
        <v>216</v>
      </c>
      <c r="J59" s="50">
        <v>30</v>
      </c>
      <c r="K59" s="50">
        <v>66</v>
      </c>
      <c r="L59" s="50">
        <v>32</v>
      </c>
      <c r="M59" s="73">
        <v>40.299999999999997</v>
      </c>
      <c r="N59" s="73">
        <v>52.1</v>
      </c>
      <c r="O59" s="73">
        <v>34.5</v>
      </c>
      <c r="P59" s="73">
        <v>177</v>
      </c>
      <c r="Q59" s="73">
        <v>248</v>
      </c>
      <c r="R59" s="73">
        <v>390</v>
      </c>
      <c r="S59" s="73">
        <v>390</v>
      </c>
      <c r="T59" s="73">
        <v>380</v>
      </c>
      <c r="U59" s="73">
        <v>290</v>
      </c>
      <c r="V59" s="73">
        <v>143</v>
      </c>
      <c r="W59" s="73">
        <v>128</v>
      </c>
      <c r="X59" s="84">
        <v>100</v>
      </c>
      <c r="Y59" s="84">
        <v>88</v>
      </c>
      <c r="Z59" s="84">
        <v>59.1</v>
      </c>
      <c r="AA59" s="84">
        <v>96.3</v>
      </c>
      <c r="AB59" s="73">
        <v>285</v>
      </c>
      <c r="AC59" s="73">
        <v>244.2</v>
      </c>
      <c r="AD59" s="73">
        <v>375</v>
      </c>
      <c r="AE59" s="73">
        <v>360</v>
      </c>
      <c r="AF59" s="73">
        <v>359</v>
      </c>
      <c r="AG59" s="85"/>
      <c r="AH59" s="54">
        <f t="shared" si="2"/>
        <v>390</v>
      </c>
      <c r="AI59" s="55">
        <f t="shared" si="3"/>
        <v>30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12</v>
      </c>
      <c r="H60" s="58">
        <v>52</v>
      </c>
      <c r="I60" s="58">
        <v>53</v>
      </c>
      <c r="J60" s="58">
        <v>55</v>
      </c>
      <c r="K60" s="58">
        <v>56</v>
      </c>
      <c r="L60" s="58">
        <v>56</v>
      </c>
      <c r="M60" s="73">
        <v>56</v>
      </c>
      <c r="N60" s="73">
        <v>56</v>
      </c>
      <c r="O60" s="73">
        <v>50</v>
      </c>
      <c r="P60" s="73">
        <v>50</v>
      </c>
      <c r="Q60" s="73">
        <v>50</v>
      </c>
      <c r="R60" s="73">
        <v>50</v>
      </c>
      <c r="S60" s="73">
        <v>50</v>
      </c>
      <c r="T60" s="73">
        <v>50</v>
      </c>
      <c r="U60" s="73">
        <v>50</v>
      </c>
      <c r="V60" s="73">
        <v>52</v>
      </c>
      <c r="W60" s="73">
        <v>52</v>
      </c>
      <c r="X60" s="73">
        <v>52</v>
      </c>
      <c r="Y60" s="73">
        <v>56</v>
      </c>
      <c r="Z60" s="73">
        <v>56</v>
      </c>
      <c r="AA60" s="73">
        <v>56</v>
      </c>
      <c r="AB60" s="73">
        <v>79.2</v>
      </c>
      <c r="AC60" s="73">
        <v>61.2</v>
      </c>
      <c r="AD60" s="73">
        <v>61.9</v>
      </c>
      <c r="AE60" s="73">
        <v>0</v>
      </c>
      <c r="AF60" s="58">
        <v>0</v>
      </c>
      <c r="AG60" s="85"/>
      <c r="AH60" s="54">
        <f t="shared" si="2"/>
        <v>79.2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80.8</v>
      </c>
      <c r="J61" s="58">
        <v>78</v>
      </c>
      <c r="K61" s="58">
        <v>79</v>
      </c>
      <c r="L61" s="58">
        <v>73</v>
      </c>
      <c r="M61" s="50">
        <v>74.8</v>
      </c>
      <c r="N61" s="50">
        <v>88.6</v>
      </c>
      <c r="O61" s="50">
        <v>80.5</v>
      </c>
      <c r="P61" s="50">
        <v>74.3</v>
      </c>
      <c r="Q61" s="50">
        <v>73.2</v>
      </c>
      <c r="R61" s="50">
        <v>71.099999999999994</v>
      </c>
      <c r="S61" s="50">
        <v>72</v>
      </c>
      <c r="T61" s="50">
        <v>71.099999999999994</v>
      </c>
      <c r="U61" s="50">
        <v>82.1</v>
      </c>
      <c r="V61" s="50">
        <v>75</v>
      </c>
      <c r="W61" s="50">
        <v>77.599999999999994</v>
      </c>
      <c r="X61" s="50">
        <v>82.5</v>
      </c>
      <c r="Y61" s="50">
        <v>92</v>
      </c>
      <c r="Z61" s="50">
        <v>82</v>
      </c>
      <c r="AA61" s="50">
        <v>81.400000000000006</v>
      </c>
      <c r="AB61" s="50">
        <v>61.7</v>
      </c>
      <c r="AC61" s="50">
        <v>77.8</v>
      </c>
      <c r="AD61" s="50">
        <v>76.900000000000006</v>
      </c>
      <c r="AE61" s="50">
        <v>0</v>
      </c>
      <c r="AF61" s="50">
        <v>0</v>
      </c>
      <c r="AG61" s="85"/>
      <c r="AH61" s="54">
        <f t="shared" si="2"/>
        <v>92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73">
        <v>0</v>
      </c>
      <c r="N62" s="73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50">
        <v>0</v>
      </c>
      <c r="N63" s="5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60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60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73">
        <v>0</v>
      </c>
      <c r="N66" s="7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0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50">
        <v>0</v>
      </c>
      <c r="N67" s="50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0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423</v>
      </c>
      <c r="C68" s="72">
        <f>SUM(C57:C67)</f>
        <v>438</v>
      </c>
      <c r="D68" s="72">
        <f t="shared" ref="D68:AF68" si="8">SUM(D57:D67)</f>
        <v>434</v>
      </c>
      <c r="E68" s="72">
        <f t="shared" si="8"/>
        <v>426</v>
      </c>
      <c r="F68" s="72">
        <f t="shared" si="8"/>
        <v>404</v>
      </c>
      <c r="G68" s="72">
        <f t="shared" si="8"/>
        <v>435</v>
      </c>
      <c r="H68" s="72">
        <f t="shared" si="8"/>
        <v>453</v>
      </c>
      <c r="I68" s="72">
        <f t="shared" si="8"/>
        <v>426.8</v>
      </c>
      <c r="J68" s="72">
        <f t="shared" si="8"/>
        <v>232</v>
      </c>
      <c r="K68" s="72">
        <f t="shared" si="8"/>
        <v>271</v>
      </c>
      <c r="L68" s="72">
        <f t="shared" si="8"/>
        <v>233</v>
      </c>
      <c r="M68" s="72">
        <f t="shared" si="8"/>
        <v>246.7</v>
      </c>
      <c r="N68" s="72">
        <f t="shared" si="8"/>
        <v>438.28999999999996</v>
      </c>
      <c r="O68" s="72">
        <f t="shared" si="8"/>
        <v>336.8</v>
      </c>
      <c r="P68" s="72">
        <f t="shared" si="8"/>
        <v>509.3</v>
      </c>
      <c r="Q68" s="72">
        <f t="shared" si="8"/>
        <v>578.55000000000007</v>
      </c>
      <c r="R68" s="72">
        <f t="shared" si="8"/>
        <v>580.33000000000004</v>
      </c>
      <c r="S68" s="72">
        <f t="shared" si="8"/>
        <v>582</v>
      </c>
      <c r="T68" s="72">
        <f t="shared" si="8"/>
        <v>573.1</v>
      </c>
      <c r="U68" s="72">
        <f t="shared" si="8"/>
        <v>579.1</v>
      </c>
      <c r="V68" s="72">
        <f t="shared" si="8"/>
        <v>495</v>
      </c>
      <c r="W68" s="72">
        <f t="shared" si="8"/>
        <v>479</v>
      </c>
      <c r="X68" s="72">
        <f t="shared" si="8"/>
        <v>376.5</v>
      </c>
      <c r="Y68" s="72">
        <f t="shared" si="8"/>
        <v>423</v>
      </c>
      <c r="Z68" s="72">
        <f t="shared" si="8"/>
        <v>376.1</v>
      </c>
      <c r="AA68" s="72">
        <f t="shared" si="8"/>
        <v>306.23</v>
      </c>
      <c r="AB68" s="72">
        <f t="shared" si="8"/>
        <v>490.9</v>
      </c>
      <c r="AC68" s="72">
        <f t="shared" si="8"/>
        <v>446.8</v>
      </c>
      <c r="AD68" s="72">
        <f t="shared" si="8"/>
        <v>590</v>
      </c>
      <c r="AE68" s="72">
        <f t="shared" si="8"/>
        <v>435</v>
      </c>
      <c r="AF68" s="72">
        <f t="shared" si="8"/>
        <v>427</v>
      </c>
      <c r="AG68" s="78">
        <f>SUM(AG57:AG67)</f>
        <v>0</v>
      </c>
      <c r="AH68" s="54">
        <f t="shared" si="2"/>
        <v>590</v>
      </c>
      <c r="AI68" s="55">
        <f t="shared" si="3"/>
        <v>232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942.54</v>
      </c>
      <c r="C73" s="89">
        <f>C68+C56+C52+C38+C72</f>
        <v>936.54</v>
      </c>
      <c r="D73" s="89">
        <f t="shared" ref="D73:AG73" si="10">D68+D56+D52+D38+D72</f>
        <v>934.33999999999992</v>
      </c>
      <c r="E73" s="89">
        <f t="shared" si="10"/>
        <v>919.1400000000001</v>
      </c>
      <c r="F73" s="89">
        <f t="shared" si="10"/>
        <v>943.74</v>
      </c>
      <c r="G73" s="89">
        <f t="shared" si="10"/>
        <v>963.1400000000001</v>
      </c>
      <c r="H73" s="89">
        <f t="shared" si="10"/>
        <v>1063.74</v>
      </c>
      <c r="I73" s="89">
        <f t="shared" si="10"/>
        <v>1152.1399999999999</v>
      </c>
      <c r="J73" s="89">
        <f t="shared" si="10"/>
        <v>1266.94</v>
      </c>
      <c r="K73" s="89">
        <f t="shared" si="10"/>
        <v>1405.3400000000001</v>
      </c>
      <c r="L73" s="89">
        <f t="shared" si="10"/>
        <v>1502.94</v>
      </c>
      <c r="M73" s="89">
        <f t="shared" si="10"/>
        <v>1403.24</v>
      </c>
      <c r="N73" s="89">
        <f t="shared" si="10"/>
        <v>1402.53</v>
      </c>
      <c r="O73" s="89">
        <f t="shared" si="10"/>
        <v>1254.54</v>
      </c>
      <c r="P73" s="89">
        <f t="shared" si="10"/>
        <v>1265.6399999999999</v>
      </c>
      <c r="Q73" s="89">
        <f t="shared" si="10"/>
        <v>1209.5900000000001</v>
      </c>
      <c r="R73" s="89">
        <f t="shared" si="10"/>
        <v>1171.47</v>
      </c>
      <c r="S73" s="89">
        <f t="shared" si="10"/>
        <v>1173.1399999999999</v>
      </c>
      <c r="T73" s="89">
        <f t="shared" si="10"/>
        <v>1179.24</v>
      </c>
      <c r="U73" s="89">
        <f t="shared" si="10"/>
        <v>1185.24</v>
      </c>
      <c r="V73" s="89">
        <f t="shared" si="10"/>
        <v>1212.24</v>
      </c>
      <c r="W73" s="89">
        <f t="shared" si="10"/>
        <v>1254.04</v>
      </c>
      <c r="X73" s="89">
        <f t="shared" si="10"/>
        <v>1334.24</v>
      </c>
      <c r="Y73" s="89">
        <f t="shared" si="10"/>
        <v>1510.4399999999998</v>
      </c>
      <c r="Z73" s="89">
        <f t="shared" si="10"/>
        <v>1514.44</v>
      </c>
      <c r="AA73" s="89">
        <f t="shared" si="10"/>
        <v>1457.87</v>
      </c>
      <c r="AB73" s="89">
        <f t="shared" si="10"/>
        <v>1298.44</v>
      </c>
      <c r="AC73" s="89">
        <f t="shared" si="10"/>
        <v>1294.54</v>
      </c>
      <c r="AD73" s="89">
        <f t="shared" si="10"/>
        <v>1220.44</v>
      </c>
      <c r="AE73" s="89">
        <f t="shared" si="10"/>
        <v>1062.3399999999999</v>
      </c>
      <c r="AF73" s="89">
        <f t="shared" si="10"/>
        <v>951.94</v>
      </c>
      <c r="AG73" s="89">
        <f t="shared" si="10"/>
        <v>2144.14</v>
      </c>
      <c r="AH73" s="54">
        <f t="shared" si="2"/>
        <v>1514.44</v>
      </c>
      <c r="AI73" s="55">
        <f t="shared" si="3"/>
        <v>919.1400000000001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942.54</v>
      </c>
      <c r="C75" s="89">
        <f>C73+C74</f>
        <v>936.54</v>
      </c>
      <c r="D75" s="89">
        <f t="shared" ref="D75:AF75" si="11">D72+D68+D56+D52+D38+D74</f>
        <v>934.33999999999992</v>
      </c>
      <c r="E75" s="89">
        <f t="shared" si="11"/>
        <v>919.1400000000001</v>
      </c>
      <c r="F75" s="89">
        <f t="shared" si="11"/>
        <v>943.74</v>
      </c>
      <c r="G75" s="89">
        <f t="shared" si="11"/>
        <v>963.1400000000001</v>
      </c>
      <c r="H75" s="89">
        <f t="shared" si="11"/>
        <v>1063.74</v>
      </c>
      <c r="I75" s="89">
        <f t="shared" si="11"/>
        <v>1152.1399999999999</v>
      </c>
      <c r="J75" s="89">
        <f t="shared" si="11"/>
        <v>1266.94</v>
      </c>
      <c r="K75" s="89">
        <f t="shared" si="11"/>
        <v>1405.3400000000001</v>
      </c>
      <c r="L75" s="89">
        <f t="shared" si="11"/>
        <v>1502.94</v>
      </c>
      <c r="M75" s="89">
        <f t="shared" si="11"/>
        <v>1403.24</v>
      </c>
      <c r="N75" s="89">
        <f t="shared" si="11"/>
        <v>1402.53</v>
      </c>
      <c r="O75" s="89">
        <f t="shared" si="11"/>
        <v>1254.54</v>
      </c>
      <c r="P75" s="89">
        <f t="shared" si="11"/>
        <v>1265.6399999999999</v>
      </c>
      <c r="Q75" s="89">
        <f t="shared" si="11"/>
        <v>1209.5900000000001</v>
      </c>
      <c r="R75" s="89">
        <f t="shared" si="11"/>
        <v>1171.47</v>
      </c>
      <c r="S75" s="89">
        <f t="shared" si="11"/>
        <v>1173.1399999999999</v>
      </c>
      <c r="T75" s="89">
        <f t="shared" si="11"/>
        <v>1179.24</v>
      </c>
      <c r="U75" s="89">
        <f t="shared" si="11"/>
        <v>1185.24</v>
      </c>
      <c r="V75" s="89">
        <f t="shared" si="11"/>
        <v>1212.24</v>
      </c>
      <c r="W75" s="89">
        <f t="shared" si="11"/>
        <v>1254.04</v>
      </c>
      <c r="X75" s="89">
        <f t="shared" si="11"/>
        <v>1334.24</v>
      </c>
      <c r="Y75" s="89">
        <f t="shared" si="11"/>
        <v>1510.4399999999998</v>
      </c>
      <c r="Z75" s="89">
        <f t="shared" si="11"/>
        <v>1514.44</v>
      </c>
      <c r="AA75" s="89">
        <f t="shared" si="11"/>
        <v>1457.87</v>
      </c>
      <c r="AB75" s="89">
        <f t="shared" si="11"/>
        <v>1298.44</v>
      </c>
      <c r="AC75" s="89">
        <f t="shared" si="11"/>
        <v>1294.54</v>
      </c>
      <c r="AD75" s="89">
        <f t="shared" si="11"/>
        <v>1220.44</v>
      </c>
      <c r="AE75" s="89">
        <f t="shared" si="11"/>
        <v>1062.3399999999999</v>
      </c>
      <c r="AF75" s="89">
        <f t="shared" si="11"/>
        <v>951.94</v>
      </c>
      <c r="AG75" s="78">
        <f>AG72+AG68+AG56+AG52+AG38+AG74</f>
        <v>2144.14</v>
      </c>
      <c r="AH75" s="54">
        <f t="shared" si="2"/>
        <v>1514.44</v>
      </c>
      <c r="AI75" s="55">
        <f t="shared" si="3"/>
        <v>919.1400000000001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1885.08</v>
      </c>
      <c r="C83" s="72">
        <f t="shared" ref="C83:AG83" si="20">SUM(C70:C82)</f>
        <v>1873.08</v>
      </c>
      <c r="D83" s="72">
        <f t="shared" si="20"/>
        <v>1868.6799999999998</v>
      </c>
      <c r="E83" s="72">
        <f t="shared" si="20"/>
        <v>1838.2800000000002</v>
      </c>
      <c r="F83" s="72">
        <f t="shared" si="20"/>
        <v>1887.48</v>
      </c>
      <c r="G83" s="72">
        <f t="shared" si="20"/>
        <v>1926.2800000000002</v>
      </c>
      <c r="H83" s="72">
        <f t="shared" si="20"/>
        <v>2127.48</v>
      </c>
      <c r="I83" s="72">
        <f t="shared" si="20"/>
        <v>2304.2799999999997</v>
      </c>
      <c r="J83" s="72">
        <f t="shared" si="20"/>
        <v>2533.88</v>
      </c>
      <c r="K83" s="72">
        <f t="shared" si="20"/>
        <v>2810.6800000000003</v>
      </c>
      <c r="L83" s="72">
        <f t="shared" si="20"/>
        <v>3005.88</v>
      </c>
      <c r="M83" s="72">
        <f t="shared" si="20"/>
        <v>2806.48</v>
      </c>
      <c r="N83" s="72">
        <f t="shared" si="20"/>
        <v>2805.06</v>
      </c>
      <c r="O83" s="72">
        <f t="shared" si="20"/>
        <v>2509.08</v>
      </c>
      <c r="P83" s="72">
        <f t="shared" si="20"/>
        <v>2531.2799999999997</v>
      </c>
      <c r="Q83" s="72">
        <f t="shared" si="20"/>
        <v>2419.1800000000003</v>
      </c>
      <c r="R83" s="72">
        <f t="shared" si="20"/>
        <v>2342.94</v>
      </c>
      <c r="S83" s="72">
        <f t="shared" si="20"/>
        <v>2346.2799999999997</v>
      </c>
      <c r="T83" s="72">
        <f t="shared" si="20"/>
        <v>2358.48</v>
      </c>
      <c r="U83" s="72">
        <f t="shared" si="20"/>
        <v>2370.48</v>
      </c>
      <c r="V83" s="72">
        <f t="shared" si="20"/>
        <v>2424.48</v>
      </c>
      <c r="W83" s="72">
        <f t="shared" si="20"/>
        <v>2508.08</v>
      </c>
      <c r="X83" s="72">
        <f t="shared" si="20"/>
        <v>2668.48</v>
      </c>
      <c r="Y83" s="72">
        <f t="shared" si="20"/>
        <v>3020.8799999999997</v>
      </c>
      <c r="Z83" s="72">
        <f t="shared" si="20"/>
        <v>3028.88</v>
      </c>
      <c r="AA83" s="72">
        <f t="shared" si="20"/>
        <v>2915.74</v>
      </c>
      <c r="AB83" s="72">
        <f t="shared" si="20"/>
        <v>2596.88</v>
      </c>
      <c r="AC83" s="72">
        <f t="shared" si="20"/>
        <v>2589.08</v>
      </c>
      <c r="AD83" s="72">
        <f t="shared" si="20"/>
        <v>2440.88</v>
      </c>
      <c r="AE83" s="72">
        <f t="shared" si="20"/>
        <v>2124.6799999999998</v>
      </c>
      <c r="AF83" s="72">
        <f t="shared" si="20"/>
        <v>1903.88</v>
      </c>
      <c r="AG83" s="78">
        <f t="shared" si="20"/>
        <v>4360.08</v>
      </c>
      <c r="AH83" s="54">
        <f t="shared" si="13"/>
        <v>3028.88</v>
      </c>
      <c r="AI83" s="55">
        <f t="shared" si="14"/>
        <v>1838.2800000000002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</v>
      </c>
      <c r="C84" s="96">
        <v>49.97</v>
      </c>
      <c r="D84" s="96">
        <v>49.93</v>
      </c>
      <c r="E84" s="96">
        <v>50.023000000000003</v>
      </c>
      <c r="F84" s="96">
        <v>49.97</v>
      </c>
      <c r="G84" s="96">
        <v>50.06</v>
      </c>
      <c r="H84" s="96">
        <v>50.058999999999997</v>
      </c>
      <c r="I84" s="96">
        <v>49.984999999999999</v>
      </c>
      <c r="J84" s="96">
        <v>49.9</v>
      </c>
      <c r="K84" s="96">
        <v>49.85</v>
      </c>
      <c r="L84" s="96">
        <v>49.887</v>
      </c>
      <c r="M84" s="96">
        <v>50.027000000000001</v>
      </c>
      <c r="N84" s="96">
        <v>50</v>
      </c>
      <c r="O84" s="96">
        <v>50.057000000000002</v>
      </c>
      <c r="P84" s="96">
        <v>49.970999999999997</v>
      </c>
      <c r="Q84" s="96">
        <v>49.999000000000002</v>
      </c>
      <c r="R84" s="96">
        <v>49.945999999999998</v>
      </c>
      <c r="S84" s="96">
        <v>49.93</v>
      </c>
      <c r="T84" s="96">
        <v>49.93</v>
      </c>
      <c r="U84" s="96">
        <v>49.93</v>
      </c>
      <c r="V84" s="96">
        <v>49.906999999999996</v>
      </c>
      <c r="W84" s="96">
        <v>49.917999999999999</v>
      </c>
      <c r="X84" s="96">
        <v>50.095999999999997</v>
      </c>
      <c r="Y84" s="96">
        <v>50.024999999999999</v>
      </c>
      <c r="Z84" s="96">
        <v>49.935000000000002</v>
      </c>
      <c r="AA84" s="96">
        <v>49.898000000000003</v>
      </c>
      <c r="AB84" s="96">
        <v>49.811999999999998</v>
      </c>
      <c r="AC84" s="96">
        <v>49.991999999999997</v>
      </c>
      <c r="AD84" s="96">
        <v>49.93</v>
      </c>
      <c r="AE84" s="96">
        <v>50.02</v>
      </c>
      <c r="AF84" s="96">
        <v>49.98</v>
      </c>
      <c r="AG84" s="97"/>
      <c r="AH84" s="54">
        <f t="shared" si="13"/>
        <v>50.095999999999997</v>
      </c>
      <c r="AI84" s="55">
        <f t="shared" si="14"/>
        <v>49.811999999999998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</v>
      </c>
      <c r="C85" s="73">
        <v>124</v>
      </c>
      <c r="D85" s="73">
        <v>123</v>
      </c>
      <c r="E85" s="73">
        <v>124</v>
      </c>
      <c r="F85" s="73">
        <v>124</v>
      </c>
      <c r="G85" s="73">
        <v>124</v>
      </c>
      <c r="H85" s="73">
        <v>124</v>
      </c>
      <c r="I85" s="73">
        <v>128</v>
      </c>
      <c r="J85" s="73">
        <v>126</v>
      </c>
      <c r="K85" s="73">
        <v>125</v>
      </c>
      <c r="L85" s="73">
        <v>125</v>
      </c>
      <c r="M85" s="73">
        <v>123.7</v>
      </c>
      <c r="N85" s="73">
        <v>124.2</v>
      </c>
      <c r="O85" s="73">
        <v>124.6</v>
      </c>
      <c r="P85" s="73">
        <v>125.9</v>
      </c>
      <c r="Q85" s="73">
        <v>124.6</v>
      </c>
      <c r="R85" s="73">
        <v>125.1</v>
      </c>
      <c r="S85" s="73">
        <v>124.6</v>
      </c>
      <c r="T85" s="73">
        <v>124.6</v>
      </c>
      <c r="U85" s="73">
        <v>124.6</v>
      </c>
      <c r="V85" s="100">
        <v>128</v>
      </c>
      <c r="W85" s="100">
        <v>125.7</v>
      </c>
      <c r="X85" s="100">
        <v>124.6</v>
      </c>
      <c r="Y85" s="100">
        <v>125.3</v>
      </c>
      <c r="Z85" s="100">
        <v>124.7</v>
      </c>
      <c r="AA85" s="100">
        <v>126.4</v>
      </c>
      <c r="AB85" s="73">
        <v>126.5</v>
      </c>
      <c r="AC85" s="73">
        <v>126.6</v>
      </c>
      <c r="AD85" s="73">
        <v>126.6</v>
      </c>
      <c r="AE85" s="73">
        <v>125</v>
      </c>
      <c r="AF85" s="73">
        <v>125.7</v>
      </c>
      <c r="AG85" s="101"/>
      <c r="AH85" s="54">
        <f t="shared" si="13"/>
        <v>128</v>
      </c>
      <c r="AI85" s="55">
        <f t="shared" si="14"/>
        <v>123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128</v>
      </c>
      <c r="C86" s="99">
        <v>128</v>
      </c>
      <c r="D86" s="73">
        <v>128</v>
      </c>
      <c r="E86" s="73">
        <v>129</v>
      </c>
      <c r="F86" s="73">
        <v>129</v>
      </c>
      <c r="G86" s="73">
        <v>129</v>
      </c>
      <c r="H86" s="73">
        <v>129</v>
      </c>
      <c r="I86" s="73">
        <v>130</v>
      </c>
      <c r="J86" s="73">
        <v>130</v>
      </c>
      <c r="K86" s="73">
        <v>128</v>
      </c>
      <c r="L86" s="73">
        <v>127.5</v>
      </c>
      <c r="M86" s="73">
        <v>126.8</v>
      </c>
      <c r="N86" s="73">
        <v>127</v>
      </c>
      <c r="O86" s="73">
        <v>127</v>
      </c>
      <c r="P86" s="73">
        <v>128.9</v>
      </c>
      <c r="Q86" s="73">
        <v>128.30000000000001</v>
      </c>
      <c r="R86" s="73">
        <v>127.6</v>
      </c>
      <c r="S86" s="73">
        <v>127.8</v>
      </c>
      <c r="T86" s="73">
        <v>127.8</v>
      </c>
      <c r="U86" s="73">
        <v>127.8</v>
      </c>
      <c r="V86" s="100">
        <v>131</v>
      </c>
      <c r="W86" s="100">
        <v>128.5</v>
      </c>
      <c r="X86" s="100">
        <v>126.8</v>
      </c>
      <c r="Y86" s="100">
        <v>127.3</v>
      </c>
      <c r="Z86" s="100">
        <v>127.1</v>
      </c>
      <c r="AA86" s="100">
        <v>128</v>
      </c>
      <c r="AB86" s="73">
        <v>129</v>
      </c>
      <c r="AC86" s="73">
        <v>129.19999999999999</v>
      </c>
      <c r="AD86" s="73">
        <v>129.30000000000001</v>
      </c>
      <c r="AE86" s="73">
        <v>128.80000000000001</v>
      </c>
      <c r="AF86" s="73">
        <v>129.9</v>
      </c>
      <c r="AG86" s="101"/>
      <c r="AH86" s="54">
        <f t="shared" si="13"/>
        <v>131</v>
      </c>
      <c r="AI86" s="55">
        <f t="shared" si="14"/>
        <v>126.8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128</v>
      </c>
      <c r="C87" s="99">
        <v>128</v>
      </c>
      <c r="D87" s="73">
        <v>128.5</v>
      </c>
      <c r="E87" s="73">
        <v>131</v>
      </c>
      <c r="F87" s="73">
        <v>132</v>
      </c>
      <c r="G87" s="73">
        <v>132</v>
      </c>
      <c r="H87" s="73">
        <v>132</v>
      </c>
      <c r="I87" s="73">
        <v>129</v>
      </c>
      <c r="J87" s="73">
        <v>129</v>
      </c>
      <c r="K87" s="73">
        <v>128</v>
      </c>
      <c r="L87" s="73">
        <v>126</v>
      </c>
      <c r="M87" s="73">
        <v>128</v>
      </c>
      <c r="N87" s="73">
        <v>128.30000000000001</v>
      </c>
      <c r="O87" s="73">
        <v>130.19999999999999</v>
      </c>
      <c r="P87" s="73">
        <v>128.5</v>
      </c>
      <c r="Q87" s="73">
        <v>132.30000000000001</v>
      </c>
      <c r="R87" s="73">
        <v>131.4</v>
      </c>
      <c r="S87" s="73">
        <v>129.4</v>
      </c>
      <c r="T87" s="73">
        <v>129.4</v>
      </c>
      <c r="U87" s="73">
        <v>129.4</v>
      </c>
      <c r="V87" s="73">
        <v>131</v>
      </c>
      <c r="W87" s="73">
        <v>128.69999999999999</v>
      </c>
      <c r="X87" s="100">
        <v>129.1</v>
      </c>
      <c r="Y87" s="100">
        <v>128.19999999999999</v>
      </c>
      <c r="Z87" s="100">
        <v>129.19999999999999</v>
      </c>
      <c r="AA87" s="100">
        <v>129.80000000000001</v>
      </c>
      <c r="AB87" s="73">
        <v>132.19999999999999</v>
      </c>
      <c r="AC87" s="73">
        <v>129.4</v>
      </c>
      <c r="AD87" s="73">
        <v>130</v>
      </c>
      <c r="AE87" s="73">
        <v>128.6</v>
      </c>
      <c r="AF87" s="73">
        <v>127.9</v>
      </c>
      <c r="AG87" s="101"/>
      <c r="AH87" s="54">
        <f t="shared" si="13"/>
        <v>132.30000000000001</v>
      </c>
      <c r="AI87" s="55">
        <f t="shared" si="14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</v>
      </c>
      <c r="C88" s="99">
        <v>132</v>
      </c>
      <c r="D88" s="73">
        <v>133</v>
      </c>
      <c r="E88" s="73">
        <v>134</v>
      </c>
      <c r="F88" s="73">
        <v>132</v>
      </c>
      <c r="G88" s="73">
        <v>132</v>
      </c>
      <c r="H88" s="73">
        <v>132</v>
      </c>
      <c r="I88" s="73">
        <v>133</v>
      </c>
      <c r="J88" s="73">
        <v>124</v>
      </c>
      <c r="K88" s="73">
        <v>132</v>
      </c>
      <c r="L88" s="73">
        <v>129</v>
      </c>
      <c r="M88" s="73">
        <v>130.5</v>
      </c>
      <c r="N88" s="73">
        <v>130.9</v>
      </c>
      <c r="O88" s="73">
        <v>133.1</v>
      </c>
      <c r="P88" s="73">
        <v>131.69999999999999</v>
      </c>
      <c r="Q88" s="73">
        <v>136</v>
      </c>
      <c r="R88" s="73">
        <v>134.30000000000001</v>
      </c>
      <c r="S88" s="73">
        <v>131.5</v>
      </c>
      <c r="T88" s="73">
        <v>131.5</v>
      </c>
      <c r="U88" s="73">
        <v>131.5</v>
      </c>
      <c r="V88" s="73">
        <v>132</v>
      </c>
      <c r="W88" s="73">
        <v>131.1</v>
      </c>
      <c r="X88" s="73">
        <v>131.1</v>
      </c>
      <c r="Y88" s="100">
        <v>129.9</v>
      </c>
      <c r="Z88" s="100">
        <v>132</v>
      </c>
      <c r="AA88" s="100">
        <v>132.5</v>
      </c>
      <c r="AB88" s="73">
        <v>136.1</v>
      </c>
      <c r="AC88" s="73">
        <v>133.80000000000001</v>
      </c>
      <c r="AD88" s="73">
        <v>134.30000000000001</v>
      </c>
      <c r="AE88" s="73">
        <v>132.4</v>
      </c>
      <c r="AF88" s="73">
        <v>131.5</v>
      </c>
      <c r="AG88" s="101"/>
      <c r="AH88" s="54">
        <f t="shared" si="13"/>
        <v>136.1</v>
      </c>
      <c r="AI88" s="55">
        <f t="shared" si="14"/>
        <v>124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130</v>
      </c>
      <c r="C89" s="103">
        <v>130</v>
      </c>
      <c r="D89" s="104">
        <v>128</v>
      </c>
      <c r="E89" s="104">
        <v>131</v>
      </c>
      <c r="F89" s="104">
        <v>134</v>
      </c>
      <c r="G89" s="104">
        <v>136</v>
      </c>
      <c r="H89" s="104">
        <v>136</v>
      </c>
      <c r="I89" s="104">
        <v>137</v>
      </c>
      <c r="J89" s="104">
        <v>137</v>
      </c>
      <c r="K89" s="104">
        <v>135</v>
      </c>
      <c r="L89" s="104">
        <v>133</v>
      </c>
      <c r="M89" s="104">
        <v>131.9</v>
      </c>
      <c r="N89" s="104">
        <v>134.5</v>
      </c>
      <c r="O89" s="104">
        <v>133.9</v>
      </c>
      <c r="P89" s="104">
        <v>130.6</v>
      </c>
      <c r="Q89" s="104">
        <v>134.30000000000001</v>
      </c>
      <c r="R89" s="104">
        <v>135.69999999999999</v>
      </c>
      <c r="S89" s="104">
        <v>135.30000000000001</v>
      </c>
      <c r="T89" s="104">
        <v>135.30000000000001</v>
      </c>
      <c r="U89" s="104">
        <v>135.30000000000001</v>
      </c>
      <c r="V89" s="104">
        <v>137</v>
      </c>
      <c r="W89" s="104">
        <v>136.19999999999999</v>
      </c>
      <c r="X89" s="104">
        <v>136.19999999999999</v>
      </c>
      <c r="Y89" s="100">
        <v>133.4</v>
      </c>
      <c r="Z89" s="100">
        <v>133.30000000000001</v>
      </c>
      <c r="AA89" s="100">
        <v>136.19999999999999</v>
      </c>
      <c r="AB89" s="104">
        <v>134.19999999999999</v>
      </c>
      <c r="AC89" s="104">
        <v>134.69999999999999</v>
      </c>
      <c r="AD89" s="104">
        <v>132.5</v>
      </c>
      <c r="AE89" s="104">
        <v>131</v>
      </c>
      <c r="AF89" s="104">
        <v>129.30000000000001</v>
      </c>
      <c r="AG89" s="105"/>
      <c r="AH89" s="54">
        <f t="shared" si="13"/>
        <v>137</v>
      </c>
      <c r="AI89" s="55">
        <f t="shared" si="14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133</v>
      </c>
      <c r="C90" s="99">
        <v>133</v>
      </c>
      <c r="D90" s="73">
        <v>135</v>
      </c>
      <c r="E90" s="73">
        <v>135</v>
      </c>
      <c r="F90" s="73">
        <v>134</v>
      </c>
      <c r="G90" s="73">
        <v>134</v>
      </c>
      <c r="H90" s="73">
        <v>134</v>
      </c>
      <c r="I90" s="73">
        <v>132</v>
      </c>
      <c r="J90" s="73">
        <v>132</v>
      </c>
      <c r="K90" s="73">
        <v>132</v>
      </c>
      <c r="L90" s="73">
        <v>130</v>
      </c>
      <c r="M90" s="73">
        <v>132.9</v>
      </c>
      <c r="N90" s="73">
        <v>129.4</v>
      </c>
      <c r="O90" s="73">
        <v>127.3</v>
      </c>
      <c r="P90" s="73">
        <v>130.5</v>
      </c>
      <c r="Q90" s="73">
        <v>135.5</v>
      </c>
      <c r="R90" s="73">
        <v>137.19999999999999</v>
      </c>
      <c r="S90" s="73">
        <v>133.4</v>
      </c>
      <c r="T90" s="73">
        <v>133.4</v>
      </c>
      <c r="U90" s="73">
        <v>133.4</v>
      </c>
      <c r="V90" s="73">
        <v>135</v>
      </c>
      <c r="W90" s="73">
        <v>135.69999999999999</v>
      </c>
      <c r="X90" s="73">
        <v>135.69999999999999</v>
      </c>
      <c r="Y90" s="100">
        <v>131.1</v>
      </c>
      <c r="Z90" s="100">
        <v>132.19999999999999</v>
      </c>
      <c r="AA90" s="100">
        <v>133.5</v>
      </c>
      <c r="AB90" s="73">
        <v>131.6</v>
      </c>
      <c r="AC90" s="73">
        <v>132</v>
      </c>
      <c r="AD90" s="73">
        <v>131.69999999999999</v>
      </c>
      <c r="AE90" s="73">
        <v>134.80000000000001</v>
      </c>
      <c r="AF90" s="73">
        <v>135.4</v>
      </c>
      <c r="AG90" s="101"/>
      <c r="AH90" s="54">
        <f t="shared" si="13"/>
        <v>137.19999999999999</v>
      </c>
      <c r="AI90" s="55">
        <f t="shared" si="14"/>
        <v>127.3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64.7</v>
      </c>
      <c r="C91" s="106">
        <v>64.7</v>
      </c>
      <c r="D91" s="107">
        <v>64.400000000000006</v>
      </c>
      <c r="E91" s="107">
        <v>65.400000000000006</v>
      </c>
      <c r="F91" s="107">
        <v>65.7</v>
      </c>
      <c r="G91" s="107">
        <v>65.400000000000006</v>
      </c>
      <c r="H91" s="107">
        <v>65</v>
      </c>
      <c r="I91" s="107">
        <v>66</v>
      </c>
      <c r="J91" s="107">
        <v>66</v>
      </c>
      <c r="K91" s="107">
        <v>65</v>
      </c>
      <c r="L91" s="107">
        <v>65</v>
      </c>
      <c r="M91" s="107">
        <v>64.099999999999994</v>
      </c>
      <c r="N91" s="107">
        <v>64.099999999999994</v>
      </c>
      <c r="O91" s="107">
        <v>63.8</v>
      </c>
      <c r="P91" s="107">
        <v>65.2</v>
      </c>
      <c r="Q91" s="107">
        <v>64.5</v>
      </c>
      <c r="R91" s="107">
        <v>64</v>
      </c>
      <c r="S91" s="107">
        <v>64.8</v>
      </c>
      <c r="T91" s="107">
        <v>64.8</v>
      </c>
      <c r="U91" s="107">
        <v>64.8</v>
      </c>
      <c r="V91" s="107">
        <v>65.5</v>
      </c>
      <c r="W91" s="107">
        <v>64.8</v>
      </c>
      <c r="X91" s="107">
        <v>64.8</v>
      </c>
      <c r="Y91" s="107">
        <v>64.400000000000006</v>
      </c>
      <c r="Z91" s="107">
        <v>64.3</v>
      </c>
      <c r="AA91" s="107">
        <v>64.7</v>
      </c>
      <c r="AB91" s="107">
        <v>65.3</v>
      </c>
      <c r="AC91" s="107">
        <v>65.3</v>
      </c>
      <c r="AD91" s="107">
        <v>65</v>
      </c>
      <c r="AE91" s="107">
        <v>65</v>
      </c>
      <c r="AF91" s="107">
        <v>65.5</v>
      </c>
      <c r="AG91" s="108"/>
      <c r="AH91" s="54">
        <f t="shared" si="13"/>
        <v>66</v>
      </c>
      <c r="AI91" s="55">
        <f t="shared" si="14"/>
        <v>63.8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193.33999999999997</v>
      </c>
      <c r="C93" s="114">
        <f>SUM(C15,C18,C21:C22,C42,C44:C45,C47,C49,C94:C97,C102,C108,C114,C123,C125,C137,C144,C147:C148,C155,C157,C159,C163:C165,C167:C169,C174,C180:C181,C183:C185,C193,C198)</f>
        <v>202.33999999999997</v>
      </c>
      <c r="D93" s="114">
        <f t="shared" ref="D93:AF93" si="21">SUM(D15,D18,D21:D22,D42,D44:D45,D47,D49,D94:D97,D102,D108,D114,D123,D125,D137,D144,D147:D148,D155,D157,D159,D163:D165,D167:D169,D174,D180:D181,D183:D185,D193,D198)</f>
        <v>178.73999999999998</v>
      </c>
      <c r="E93" s="114">
        <f t="shared" si="21"/>
        <v>172.14</v>
      </c>
      <c r="F93" s="114">
        <f t="shared" si="21"/>
        <v>173.23999999999998</v>
      </c>
      <c r="G93" s="113">
        <f t="shared" si="21"/>
        <v>211.94</v>
      </c>
      <c r="H93" s="113">
        <f t="shared" si="21"/>
        <v>228.44</v>
      </c>
      <c r="I93" s="113">
        <f t="shared" si="21"/>
        <v>257.44000000000005</v>
      </c>
      <c r="J93" s="113">
        <f t="shared" si="21"/>
        <v>301.94000000000005</v>
      </c>
      <c r="K93" s="113">
        <f t="shared" si="21"/>
        <v>340.94000000000005</v>
      </c>
      <c r="L93" s="113">
        <f t="shared" si="21"/>
        <v>396.14000000000004</v>
      </c>
      <c r="M93" s="113">
        <f t="shared" si="21"/>
        <v>391.64000000000004</v>
      </c>
      <c r="N93" s="113">
        <f t="shared" si="21"/>
        <v>374.14</v>
      </c>
      <c r="O93" s="113">
        <f t="shared" si="21"/>
        <v>380.84000000000009</v>
      </c>
      <c r="P93" s="113">
        <f t="shared" si="21"/>
        <v>348.74000000000007</v>
      </c>
      <c r="Q93" s="113">
        <f t="shared" si="21"/>
        <v>332.24000000000007</v>
      </c>
      <c r="R93" s="113">
        <f t="shared" si="21"/>
        <v>319.24</v>
      </c>
      <c r="S93" s="113">
        <f t="shared" si="21"/>
        <v>328.14</v>
      </c>
      <c r="T93" s="113">
        <f t="shared" si="21"/>
        <v>328.14</v>
      </c>
      <c r="U93" s="113">
        <f t="shared" si="21"/>
        <v>301.94000000000005</v>
      </c>
      <c r="V93" s="113">
        <f t="shared" si="21"/>
        <v>331.74</v>
      </c>
      <c r="W93" s="113">
        <f t="shared" si="21"/>
        <v>344.24</v>
      </c>
      <c r="X93" s="113">
        <f t="shared" si="21"/>
        <v>411.34000000000003</v>
      </c>
      <c r="Y93" s="113">
        <f t="shared" si="21"/>
        <v>436.54000000000008</v>
      </c>
      <c r="Z93" s="113">
        <f t="shared" si="21"/>
        <v>436.14000000000004</v>
      </c>
      <c r="AA93" s="113">
        <f t="shared" si="21"/>
        <v>417.84000000000009</v>
      </c>
      <c r="AB93" s="113">
        <f t="shared" si="21"/>
        <v>383.84000000000003</v>
      </c>
      <c r="AC93" s="113">
        <f t="shared" si="21"/>
        <v>374.64000000000004</v>
      </c>
      <c r="AD93" s="113">
        <f t="shared" si="21"/>
        <v>339.44000000000005</v>
      </c>
      <c r="AE93" s="113">
        <f t="shared" si="21"/>
        <v>264.84000000000003</v>
      </c>
      <c r="AF93" s="113">
        <f t="shared" si="21"/>
        <v>241.44</v>
      </c>
      <c r="AG93" s="115"/>
      <c r="AH93" s="54">
        <f>MAX(C93:AF93)</f>
        <v>436.54000000000008</v>
      </c>
      <c r="AI93" s="55">
        <f>MIN(C93:AF93)</f>
        <v>172.14</v>
      </c>
    </row>
    <row r="94" spans="1:88" x14ac:dyDescent="0.25">
      <c r="A94" s="116" t="s">
        <v>98</v>
      </c>
      <c r="B94" s="117">
        <v>-22</v>
      </c>
      <c r="C94" s="58">
        <v>-14</v>
      </c>
      <c r="D94" s="58">
        <v>-31</v>
      </c>
      <c r="E94" s="58">
        <v>-28</v>
      </c>
      <c r="F94" s="58">
        <v>-23</v>
      </c>
      <c r="G94" s="118">
        <v>5</v>
      </c>
      <c r="H94" s="118">
        <v>20.5</v>
      </c>
      <c r="I94" s="118">
        <v>31</v>
      </c>
      <c r="J94" s="118">
        <v>35</v>
      </c>
      <c r="K94" s="118">
        <v>40</v>
      </c>
      <c r="L94" s="118">
        <v>49.5</v>
      </c>
      <c r="M94" s="119">
        <v>48.5</v>
      </c>
      <c r="N94" s="118">
        <v>38.299999999999997</v>
      </c>
      <c r="O94" s="118">
        <v>46.7</v>
      </c>
      <c r="P94" s="118">
        <v>34.5</v>
      </c>
      <c r="Q94" s="118">
        <v>16.3</v>
      </c>
      <c r="R94" s="118">
        <v>25.1</v>
      </c>
      <c r="S94" s="118">
        <v>34</v>
      </c>
      <c r="T94" s="118">
        <v>34</v>
      </c>
      <c r="U94" s="119">
        <v>32.299999999999997</v>
      </c>
      <c r="V94" s="119">
        <v>40.799999999999997</v>
      </c>
      <c r="W94" s="119">
        <v>37.1</v>
      </c>
      <c r="X94" s="118">
        <v>68.2</v>
      </c>
      <c r="Y94" s="118">
        <v>62.3</v>
      </c>
      <c r="Z94" s="118">
        <v>57.9</v>
      </c>
      <c r="AA94" s="118">
        <v>66.400000000000006</v>
      </c>
      <c r="AB94" s="119">
        <v>70.2</v>
      </c>
      <c r="AC94" s="119">
        <v>76.099999999999994</v>
      </c>
      <c r="AD94" s="119">
        <v>37.6</v>
      </c>
      <c r="AE94" s="119">
        <v>30.9</v>
      </c>
      <c r="AF94" s="119">
        <v>14.3</v>
      </c>
      <c r="AG94" s="120">
        <v>75</v>
      </c>
      <c r="AH94" s="54">
        <f t="shared" ref="AH94:AH99" si="22">IF(ABS(MAX(C94:AF94))&gt;ABS(MIN(C94:AF94)),MAX(C94:AF94),MIN(C94:AF94))</f>
        <v>76.099999999999994</v>
      </c>
      <c r="AI94" s="121">
        <f t="shared" ref="AI94:AI99" si="23">INDEX($C$9:$AF$9,1,MATCH(AH94,C94:AF94,0))</f>
        <v>0.85416666666666663</v>
      </c>
    </row>
    <row r="95" spans="1:88" x14ac:dyDescent="0.25">
      <c r="A95" s="122" t="s">
        <v>99</v>
      </c>
      <c r="B95" s="123">
        <v>-40</v>
      </c>
      <c r="C95" s="60">
        <v>-50</v>
      </c>
      <c r="D95" s="60">
        <v>-50</v>
      </c>
      <c r="E95" s="60">
        <v>-34.799999999999997</v>
      </c>
      <c r="F95" s="60">
        <v>-34.6</v>
      </c>
      <c r="G95" s="60">
        <v>-30</v>
      </c>
      <c r="H95" s="60">
        <v>-25</v>
      </c>
      <c r="I95" s="60">
        <v>-4</v>
      </c>
      <c r="J95" s="60">
        <v>12</v>
      </c>
      <c r="K95" s="60">
        <v>30</v>
      </c>
      <c r="L95" s="60">
        <v>49</v>
      </c>
      <c r="M95" s="60">
        <v>47.5</v>
      </c>
      <c r="N95" s="60">
        <v>46.4</v>
      </c>
      <c r="O95" s="60">
        <v>38</v>
      </c>
      <c r="P95" s="60">
        <v>10</v>
      </c>
      <c r="Q95" s="60">
        <v>24</v>
      </c>
      <c r="R95" s="60">
        <v>30.6</v>
      </c>
      <c r="S95" s="60">
        <v>30.6</v>
      </c>
      <c r="T95" s="60">
        <v>30.6</v>
      </c>
      <c r="U95" s="60">
        <v>16.899999999999999</v>
      </c>
      <c r="V95" s="60">
        <v>14</v>
      </c>
      <c r="W95" s="60">
        <v>44</v>
      </c>
      <c r="X95" s="60">
        <v>55</v>
      </c>
      <c r="Y95" s="60">
        <v>61</v>
      </c>
      <c r="Z95" s="60">
        <v>69</v>
      </c>
      <c r="AA95" s="60">
        <v>42</v>
      </c>
      <c r="AB95" s="73">
        <v>28.4</v>
      </c>
      <c r="AC95" s="73">
        <v>25</v>
      </c>
      <c r="AD95" s="73">
        <f>16+16</f>
        <v>32</v>
      </c>
      <c r="AE95" s="73">
        <f>-3.3-3.9</f>
        <v>-7.1999999999999993</v>
      </c>
      <c r="AF95" s="73">
        <f>-16.2-17.9</f>
        <v>-34.099999999999994</v>
      </c>
      <c r="AG95" s="120">
        <v>240</v>
      </c>
      <c r="AH95" s="54">
        <f t="shared" si="22"/>
        <v>69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13</v>
      </c>
      <c r="C96" s="60">
        <v>12</v>
      </c>
      <c r="D96" s="60">
        <v>12</v>
      </c>
      <c r="E96" s="60">
        <v>-10.5</v>
      </c>
      <c r="F96" s="60">
        <v>-7.7</v>
      </c>
      <c r="G96" s="60">
        <v>-8</v>
      </c>
      <c r="H96" s="60">
        <v>-9</v>
      </c>
      <c r="I96" s="60">
        <v>1.5</v>
      </c>
      <c r="J96" s="60">
        <v>2</v>
      </c>
      <c r="K96" s="60">
        <v>10</v>
      </c>
      <c r="L96" s="60">
        <v>40.700000000000003</v>
      </c>
      <c r="M96" s="60">
        <v>37.6</v>
      </c>
      <c r="N96" s="60">
        <v>41.3</v>
      </c>
      <c r="O96" s="60">
        <v>33.9</v>
      </c>
      <c r="P96" s="60">
        <v>32.5</v>
      </c>
      <c r="Q96" s="60">
        <v>27.3</v>
      </c>
      <c r="R96" s="60">
        <v>7.1</v>
      </c>
      <c r="S96" s="60">
        <v>7.1</v>
      </c>
      <c r="T96" s="60">
        <v>7.1</v>
      </c>
      <c r="U96" s="60">
        <v>0</v>
      </c>
      <c r="V96" s="60">
        <v>21.7</v>
      </c>
      <c r="W96" s="60">
        <v>22.9</v>
      </c>
      <c r="X96" s="60">
        <v>44.9</v>
      </c>
      <c r="Y96" s="60">
        <v>52.6</v>
      </c>
      <c r="Z96" s="60">
        <v>48.9</v>
      </c>
      <c r="AA96" s="60">
        <v>39</v>
      </c>
      <c r="AB96" s="73">
        <v>24.1</v>
      </c>
      <c r="AC96" s="73">
        <v>24</v>
      </c>
      <c r="AD96" s="73">
        <v>10.9</v>
      </c>
      <c r="AE96" s="73">
        <v>11.3</v>
      </c>
      <c r="AF96" s="73">
        <v>11.7</v>
      </c>
      <c r="AG96" s="120">
        <v>60</v>
      </c>
      <c r="AH96" s="54">
        <f t="shared" si="22"/>
        <v>52.6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84</v>
      </c>
      <c r="C97" s="63">
        <v>96</v>
      </c>
      <c r="D97" s="63">
        <v>95</v>
      </c>
      <c r="E97" s="63">
        <v>92.5</v>
      </c>
      <c r="F97" s="63">
        <v>85.6</v>
      </c>
      <c r="G97" s="63">
        <v>92</v>
      </c>
      <c r="H97" s="63">
        <v>89</v>
      </c>
      <c r="I97" s="63">
        <v>76</v>
      </c>
      <c r="J97" s="63">
        <v>100</v>
      </c>
      <c r="K97" s="63">
        <v>108</v>
      </c>
      <c r="L97" s="63">
        <v>104</v>
      </c>
      <c r="M97" s="63">
        <v>105.1</v>
      </c>
      <c r="N97" s="63">
        <v>92.1</v>
      </c>
      <c r="O97" s="63">
        <v>106.2</v>
      </c>
      <c r="P97" s="63">
        <v>115.7</v>
      </c>
      <c r="Q97" s="63">
        <v>108.6</v>
      </c>
      <c r="R97" s="63">
        <v>101.6</v>
      </c>
      <c r="S97" s="63">
        <v>101.6</v>
      </c>
      <c r="T97" s="63">
        <v>101.6</v>
      </c>
      <c r="U97" s="63">
        <v>97.9</v>
      </c>
      <c r="V97" s="63">
        <v>104</v>
      </c>
      <c r="W97" s="63">
        <v>89</v>
      </c>
      <c r="X97" s="63">
        <v>88.9</v>
      </c>
      <c r="Y97" s="63">
        <v>97.5</v>
      </c>
      <c r="Z97" s="63">
        <v>97.2</v>
      </c>
      <c r="AA97" s="63">
        <v>107.3</v>
      </c>
      <c r="AB97" s="126">
        <v>98</v>
      </c>
      <c r="AC97" s="126">
        <v>86.4</v>
      </c>
      <c r="AD97" s="126">
        <v>101</v>
      </c>
      <c r="AE97" s="126">
        <v>71.400000000000006</v>
      </c>
      <c r="AF97" s="126">
        <v>89.3</v>
      </c>
      <c r="AG97" s="127">
        <v>120</v>
      </c>
      <c r="AH97" s="54">
        <f t="shared" si="22"/>
        <v>115.7</v>
      </c>
      <c r="AI97" s="121">
        <f t="shared" si="23"/>
        <v>0.45833333333333298</v>
      </c>
    </row>
    <row r="98" spans="1:37" x14ac:dyDescent="0.25">
      <c r="A98" s="124" t="s">
        <v>102</v>
      </c>
      <c r="B98" s="125">
        <v>93</v>
      </c>
      <c r="C98" s="63">
        <v>105</v>
      </c>
      <c r="D98" s="63">
        <v>104</v>
      </c>
      <c r="E98" s="63">
        <v>102</v>
      </c>
      <c r="F98" s="63">
        <v>93.5</v>
      </c>
      <c r="G98" s="63">
        <v>102</v>
      </c>
      <c r="H98" s="63">
        <v>91</v>
      </c>
      <c r="I98" s="63">
        <v>59</v>
      </c>
      <c r="J98" s="63">
        <v>70</v>
      </c>
      <c r="K98" s="63">
        <v>72</v>
      </c>
      <c r="L98" s="63">
        <v>85</v>
      </c>
      <c r="M98" s="63">
        <v>87</v>
      </c>
      <c r="N98" s="63">
        <v>81.400000000000006</v>
      </c>
      <c r="O98" s="63">
        <v>77.900000000000006</v>
      </c>
      <c r="P98" s="63">
        <v>44.8</v>
      </c>
      <c r="Q98" s="63">
        <v>96.1</v>
      </c>
      <c r="R98" s="63">
        <v>91.3</v>
      </c>
      <c r="S98" s="63">
        <v>91.3</v>
      </c>
      <c r="T98" s="63">
        <v>91.3</v>
      </c>
      <c r="U98" s="63">
        <v>90</v>
      </c>
      <c r="V98" s="63">
        <v>53.6</v>
      </c>
      <c r="W98" s="63">
        <v>71.099999999999994</v>
      </c>
      <c r="X98" s="63">
        <v>67</v>
      </c>
      <c r="Y98" s="63">
        <v>72</v>
      </c>
      <c r="Z98" s="63">
        <v>83.3</v>
      </c>
      <c r="AA98" s="63">
        <v>64.400000000000006</v>
      </c>
      <c r="AB98" s="126">
        <v>58</v>
      </c>
      <c r="AC98" s="126">
        <v>60.1</v>
      </c>
      <c r="AD98" s="126">
        <v>78.900000000000006</v>
      </c>
      <c r="AE98" s="126">
        <v>89</v>
      </c>
      <c r="AF98" s="126">
        <v>93.9</v>
      </c>
      <c r="AG98" s="127"/>
      <c r="AH98" s="54">
        <f t="shared" si="22"/>
        <v>105</v>
      </c>
      <c r="AI98" s="121">
        <f t="shared" si="23"/>
        <v>4.1666666666666664E-2</v>
      </c>
    </row>
    <row r="99" spans="1:37" ht="15.75" thickBot="1" x14ac:dyDescent="0.3">
      <c r="A99" s="124" t="s">
        <v>103</v>
      </c>
      <c r="B99" s="125">
        <v>67.5</v>
      </c>
      <c r="C99" s="63">
        <v>73</v>
      </c>
      <c r="D99" s="63">
        <v>71</v>
      </c>
      <c r="E99" s="63">
        <v>68</v>
      </c>
      <c r="F99" s="63">
        <v>68.5</v>
      </c>
      <c r="G99" s="63">
        <v>45</v>
      </c>
      <c r="H99" s="63">
        <v>32.6</v>
      </c>
      <c r="I99" s="63">
        <v>28</v>
      </c>
      <c r="J99" s="63">
        <v>30</v>
      </c>
      <c r="K99" s="63">
        <v>31</v>
      </c>
      <c r="L99" s="63">
        <v>32</v>
      </c>
      <c r="M99" s="63">
        <v>27.2</v>
      </c>
      <c r="N99" s="63">
        <v>24.6</v>
      </c>
      <c r="O99" s="63">
        <v>26.7</v>
      </c>
      <c r="P99" s="63">
        <v>25.4</v>
      </c>
      <c r="Q99" s="63">
        <v>30.6</v>
      </c>
      <c r="R99" s="63">
        <v>21.6</v>
      </c>
      <c r="S99" s="63">
        <v>21.6</v>
      </c>
      <c r="T99" s="63">
        <v>21.6</v>
      </c>
      <c r="U99" s="63">
        <v>14.8</v>
      </c>
      <c r="V99" s="63">
        <v>6.5</v>
      </c>
      <c r="W99" s="63">
        <v>9.9</v>
      </c>
      <c r="X99" s="63">
        <v>8</v>
      </c>
      <c r="Y99" s="63">
        <v>14.1</v>
      </c>
      <c r="Z99" s="63">
        <v>21.4</v>
      </c>
      <c r="AA99" s="63">
        <v>11.9</v>
      </c>
      <c r="AB99" s="126">
        <v>13.9</v>
      </c>
      <c r="AC99" s="126">
        <v>7.8</v>
      </c>
      <c r="AD99" s="126">
        <v>20.9</v>
      </c>
      <c r="AE99" s="126">
        <v>48.8</v>
      </c>
      <c r="AF99" s="126">
        <v>60.8</v>
      </c>
      <c r="AG99" s="128"/>
      <c r="AH99" s="54">
        <f t="shared" si="22"/>
        <v>73</v>
      </c>
      <c r="AI99" s="121">
        <f t="shared" si="23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1502.94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942.54</v>
      </c>
      <c r="U213" s="174">
        <f t="shared" si="60"/>
        <v>936.54</v>
      </c>
      <c r="V213" s="174">
        <f t="shared" si="60"/>
        <v>934.33999999999992</v>
      </c>
      <c r="W213" s="174">
        <f t="shared" si="60"/>
        <v>919.1400000000001</v>
      </c>
      <c r="X213" s="174">
        <f t="shared" si="60"/>
        <v>943.74</v>
      </c>
      <c r="Y213" s="174">
        <f t="shared" si="60"/>
        <v>963.1400000000001</v>
      </c>
      <c r="Z213" s="174">
        <f t="shared" si="60"/>
        <v>1063.74</v>
      </c>
      <c r="AA213" s="174">
        <f t="shared" si="60"/>
        <v>1152.1399999999999</v>
      </c>
      <c r="AB213" s="174">
        <f t="shared" si="60"/>
        <v>1266.94</v>
      </c>
      <c r="AC213" s="174">
        <f t="shared" si="60"/>
        <v>1405.3400000000001</v>
      </c>
      <c r="AD213" s="174">
        <f t="shared" si="60"/>
        <v>1502.94</v>
      </c>
      <c r="AE213" s="174">
        <f t="shared" si="60"/>
        <v>1403.24</v>
      </c>
      <c r="AF213" s="174">
        <f t="shared" si="60"/>
        <v>1402.53</v>
      </c>
      <c r="AG213" s="174">
        <f t="shared" si="60"/>
        <v>1254.54</v>
      </c>
      <c r="AH213" s="174">
        <f t="shared" si="60"/>
        <v>1265.6399999999999</v>
      </c>
      <c r="AI213" s="174">
        <f t="shared" si="60"/>
        <v>1209.5900000000001</v>
      </c>
      <c r="AJ213" s="174">
        <f t="shared" si="60"/>
        <v>1171.47</v>
      </c>
      <c r="AK213" s="174">
        <f t="shared" si="60"/>
        <v>1173.1399999999999</v>
      </c>
      <c r="AL213" s="174">
        <f t="shared" si="60"/>
        <v>1179.24</v>
      </c>
      <c r="AM213" s="174">
        <f t="shared" si="60"/>
        <v>1185.24</v>
      </c>
      <c r="AN213" s="174">
        <f t="shared" si="60"/>
        <v>1212.24</v>
      </c>
      <c r="AO213" s="174">
        <f t="shared" si="60"/>
        <v>1254.04</v>
      </c>
      <c r="AP213" s="174">
        <f t="shared" si="60"/>
        <v>1334.24</v>
      </c>
      <c r="AQ213" s="174">
        <f t="shared" si="60"/>
        <v>1510.4399999999998</v>
      </c>
      <c r="AR213" s="174">
        <f t="shared" si="60"/>
        <v>1514.44</v>
      </c>
      <c r="AS213" s="174">
        <f t="shared" si="60"/>
        <v>1457.87</v>
      </c>
      <c r="AT213" s="174">
        <f t="shared" si="60"/>
        <v>1298.44</v>
      </c>
      <c r="AU213" s="174">
        <f t="shared" si="60"/>
        <v>1294.54</v>
      </c>
      <c r="AV213" s="174">
        <f t="shared" si="60"/>
        <v>1220.44</v>
      </c>
      <c r="AW213" s="174">
        <f t="shared" si="60"/>
        <v>1062.3399999999999</v>
      </c>
      <c r="AX213" s="174">
        <f t="shared" si="60"/>
        <v>951.94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C57:L59 M39:O42 O61:O67 X85:AA87 AB81:AF81 B81:R81 C56:AF56 B82:AF83 D193:AF199 B193:B199 C68:AF72 AB84:AF91 B84:B91 B73:AF80 B9:AF10 B191:AF191 B53:B72 AG73 AB94:AF99 B94:B99 U212:AF212 C86:C91 I61:N61 H60:O60 C60:G67 H61:H67 I62:L67 B36:L36 P60:U67 P39:U39 M58:W59 Q37:V37 P40:Y42 M53:AF55 Y88:AA91 V62:AA67 Z40:AE43 N45:AC48 Q11:AF11 AF57:AF67">
    <cfRule type="expression" dxfId="5461" priority="290">
      <formula>B$9&gt;=20/24</formula>
    </cfRule>
    <cfRule type="expression" dxfId="5460" priority="291">
      <formula>AND(B$9&gt;=14/24,B$9&lt;20/24)</formula>
    </cfRule>
    <cfRule type="expression" dxfId="5459" priority="292">
      <formula>AND(B$9&gt;=8/24,B$9&lt;14/24)</formula>
    </cfRule>
    <cfRule type="expression" dxfId="5458" priority="293">
      <formula>B$9&lt;8/24</formula>
    </cfRule>
  </conditionalFormatting>
  <conditionalFormatting sqref="AL4:AL6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457" priority="285">
      <formula>M$9&gt;=20/24</formula>
    </cfRule>
    <cfRule type="expression" dxfId="5456" priority="286">
      <formula>AND(M$9&gt;=14/24,M$9&lt;20/24)</formula>
    </cfRule>
    <cfRule type="expression" dxfId="5455" priority="287">
      <formula>AND(M$9&gt;=8/24,M$9&lt;14/24)</formula>
    </cfRule>
    <cfRule type="expression" dxfId="5454" priority="288">
      <formula>M$9&lt;8/24</formula>
    </cfRule>
  </conditionalFormatting>
  <conditionalFormatting sqref="M43:U43">
    <cfRule type="expression" dxfId="5453" priority="281">
      <formula>M$9&gt;=20/24</formula>
    </cfRule>
    <cfRule type="expression" dxfId="5452" priority="282">
      <formula>AND(M$9&gt;=14/24,M$9&lt;20/24)</formula>
    </cfRule>
    <cfRule type="expression" dxfId="5451" priority="283">
      <formula>AND(M$9&gt;=8/24,M$9&lt;14/24)</formula>
    </cfRule>
    <cfRule type="expression" dxfId="5450" priority="284">
      <formula>M$9&lt;8/24</formula>
    </cfRule>
  </conditionalFormatting>
  <conditionalFormatting sqref="S39:AE39">
    <cfRule type="expression" dxfId="5449" priority="273">
      <formula>S$9&gt;=20/24</formula>
    </cfRule>
    <cfRule type="expression" dxfId="5448" priority="274">
      <formula>AND(S$9&gt;=14/24,S$9&lt;20/24)</formula>
    </cfRule>
    <cfRule type="expression" dxfId="5447" priority="275">
      <formula>AND(S$9&gt;=8/24,S$9&lt;14/24)</formula>
    </cfRule>
    <cfRule type="expression" dxfId="5446" priority="276">
      <formula>S$9&lt;8/24</formula>
    </cfRule>
  </conditionalFormatting>
  <conditionalFormatting sqref="S57:AE57">
    <cfRule type="expression" dxfId="5445" priority="269">
      <formula>S$9&gt;=20/24</formula>
    </cfRule>
    <cfRule type="expression" dxfId="5444" priority="270">
      <formula>AND(S$9&gt;=14/24,S$9&lt;20/24)</formula>
    </cfRule>
    <cfRule type="expression" dxfId="5443" priority="271">
      <formula>AND(S$9&gt;=8/24,S$9&lt;14/24)</formula>
    </cfRule>
    <cfRule type="expression" dxfId="5442" priority="272">
      <formula>S$9&lt;8/24</formula>
    </cfRule>
  </conditionalFormatting>
  <conditionalFormatting sqref="S81:AA81">
    <cfRule type="expression" dxfId="5441" priority="265">
      <formula>S$9&gt;=20/24</formula>
    </cfRule>
    <cfRule type="expression" dxfId="5440" priority="266">
      <formula>AND(S$9&gt;=14/24,S$9&lt;20/24)</formula>
    </cfRule>
    <cfRule type="expression" dxfId="5439" priority="267">
      <formula>AND(S$9&gt;=8/24,S$9&lt;14/24)</formula>
    </cfRule>
    <cfRule type="expression" dxfId="5438" priority="268">
      <formula>S$9&lt;8/24</formula>
    </cfRule>
  </conditionalFormatting>
  <conditionalFormatting sqref="V84:AA84">
    <cfRule type="expression" dxfId="5437" priority="261">
      <formula>V$9&gt;=20/24</formula>
    </cfRule>
    <cfRule type="expression" dxfId="5436" priority="262">
      <formula>AND(V$9&gt;=14/24,V$9&lt;20/24)</formula>
    </cfRule>
    <cfRule type="expression" dxfId="5435" priority="263">
      <formula>AND(V$9&gt;=8/24,V$9&lt;14/24)</formula>
    </cfRule>
    <cfRule type="expression" dxfId="5434" priority="264">
      <formula>V$9&lt;8/24</formula>
    </cfRule>
  </conditionalFormatting>
  <conditionalFormatting sqref="M49:AC49">
    <cfRule type="expression" dxfId="5433" priority="253">
      <formula>M$9&gt;=20/24</formula>
    </cfRule>
    <cfRule type="expression" dxfId="5432" priority="254">
      <formula>AND(M$9&gt;=14/24,M$9&lt;20/24)</formula>
    </cfRule>
    <cfRule type="expression" dxfId="5431" priority="255">
      <formula>AND(M$9&gt;=8/24,M$9&lt;14/24)</formula>
    </cfRule>
    <cfRule type="expression" dxfId="5430" priority="256">
      <formula>M$9&lt;8/24</formula>
    </cfRule>
  </conditionalFormatting>
  <conditionalFormatting sqref="M50:AC50">
    <cfRule type="expression" dxfId="5429" priority="249">
      <formula>M$9&gt;=20/24</formula>
    </cfRule>
    <cfRule type="expression" dxfId="5428" priority="250">
      <formula>AND(M$9&gt;=14/24,M$9&lt;20/24)</formula>
    </cfRule>
    <cfRule type="expression" dxfId="5427" priority="251">
      <formula>AND(M$9&gt;=8/24,M$9&lt;14/24)</formula>
    </cfRule>
    <cfRule type="expression" dxfId="5426" priority="252">
      <formula>M$9&lt;8/24</formula>
    </cfRule>
  </conditionalFormatting>
  <conditionalFormatting sqref="M45:AC48">
    <cfRule type="expression" dxfId="5425" priority="245">
      <formula>M$9&gt;=20/24</formula>
    </cfRule>
    <cfRule type="expression" dxfId="5424" priority="246">
      <formula>AND(M$9&gt;=14/24,M$9&lt;20/24)</formula>
    </cfRule>
    <cfRule type="expression" dxfId="5423" priority="247">
      <formula>AND(M$9&gt;=8/24,M$9&lt;14/24)</formula>
    </cfRule>
    <cfRule type="expression" dxfId="5422" priority="248">
      <formula>M$9&lt;8/24</formula>
    </cfRule>
  </conditionalFormatting>
  <conditionalFormatting sqref="S37:AF37">
    <cfRule type="expression" dxfId="5421" priority="241">
      <formula>S$9&gt;=20/24</formula>
    </cfRule>
    <cfRule type="expression" dxfId="5420" priority="242">
      <formula>AND(S$9&gt;=14/24,S$9&lt;20/24)</formula>
    </cfRule>
    <cfRule type="expression" dxfId="5419" priority="243">
      <formula>AND(S$9&gt;=8/24,S$9&lt;14/24)</formula>
    </cfRule>
    <cfRule type="expression" dxfId="5418" priority="244">
      <formula>S$9&lt;8/24</formula>
    </cfRule>
  </conditionalFormatting>
  <conditionalFormatting sqref="S42:T43 U43:AC43 S45:AF48">
    <cfRule type="expression" dxfId="5417" priority="233">
      <formula>S$9&gt;=20/24</formula>
    </cfRule>
    <cfRule type="expression" dxfId="5416" priority="234">
      <formula>AND(S$9&gt;=14/24,S$9&lt;20/24)</formula>
    </cfRule>
    <cfRule type="expression" dxfId="5415" priority="235">
      <formula>AND(S$9&gt;=8/24,S$9&lt;14/24)</formula>
    </cfRule>
    <cfRule type="expression" dxfId="5414" priority="236">
      <formula>S$9&lt;8/24</formula>
    </cfRule>
  </conditionalFormatting>
  <conditionalFormatting sqref="S49:AF49">
    <cfRule type="expression" dxfId="5413" priority="229">
      <formula>S$9&gt;=20/24</formula>
    </cfRule>
    <cfRule type="expression" dxfId="5412" priority="230">
      <formula>AND(S$9&gt;=14/24,S$9&lt;20/24)</formula>
    </cfRule>
    <cfRule type="expression" dxfId="5411" priority="231">
      <formula>AND(S$9&gt;=8/24,S$9&lt;14/24)</formula>
    </cfRule>
    <cfRule type="expression" dxfId="5410" priority="232">
      <formula>S$9&lt;8/24</formula>
    </cfRule>
  </conditionalFormatting>
  <conditionalFormatting sqref="S50:AF50">
    <cfRule type="expression" dxfId="5409" priority="225">
      <formula>S$9&gt;=20/24</formula>
    </cfRule>
    <cfRule type="expression" dxfId="5408" priority="226">
      <formula>AND(S$9&gt;=14/24,S$9&lt;20/24)</formula>
    </cfRule>
    <cfRule type="expression" dxfId="5407" priority="227">
      <formula>AND(S$9&gt;=8/24,S$9&lt;14/24)</formula>
    </cfRule>
    <cfRule type="expression" dxfId="5406" priority="228">
      <formula>S$9&lt;8/24</formula>
    </cfRule>
  </conditionalFormatting>
  <conditionalFormatting sqref="X60:AE61 AB62:AE67">
    <cfRule type="expression" dxfId="5405" priority="221">
      <formula>X$9&gt;=20/24</formula>
    </cfRule>
    <cfRule type="expression" dxfId="5404" priority="222">
      <formula>AND(X$9&gt;=14/24,X$9&lt;20/24)</formula>
    </cfRule>
    <cfRule type="expression" dxfId="5403" priority="223">
      <formula>AND(X$9&gt;=8/24,X$9&lt;14/24)</formula>
    </cfRule>
    <cfRule type="expression" dxfId="5402" priority="224">
      <formula>X$9&lt;8/24</formula>
    </cfRule>
  </conditionalFormatting>
  <conditionalFormatting sqref="U94:AA97">
    <cfRule type="expression" dxfId="5401" priority="213">
      <formula>U$9&gt;=20/24</formula>
    </cfRule>
    <cfRule type="expression" dxfId="5400" priority="214">
      <formula>AND(U$9&gt;=14/24,U$9&lt;20/24)</formula>
    </cfRule>
    <cfRule type="expression" dxfId="5399" priority="215">
      <formula>AND(U$9&gt;=8/24,U$9&lt;14/24)</formula>
    </cfRule>
    <cfRule type="expression" dxfId="5398" priority="216">
      <formula>U$9&lt;8/24</formula>
    </cfRule>
  </conditionalFormatting>
  <conditionalFormatting sqref="AG51 B11:L32 B34:L37 Q37:AF37 Q11:AF11 B38:AF56">
    <cfRule type="expression" dxfId="5397" priority="212">
      <formula>B11&gt;$AG11</formula>
    </cfRule>
  </conditionalFormatting>
  <conditionalFormatting sqref="A100:A156 A84:A97 A11:A14 A16:A32 A45:A72 A80:A82 A74:A78 A35:A43 A169:A199">
    <cfRule type="expression" dxfId="5396" priority="211">
      <formula>$AH11=0</formula>
    </cfRule>
  </conditionalFormatting>
  <conditionalFormatting sqref="U98:AA98">
    <cfRule type="expression" dxfId="5395" priority="207">
      <formula>U$9&gt;=20/24</formula>
    </cfRule>
    <cfRule type="expression" dxfId="5394" priority="208">
      <formula>AND(U$9&gt;=14/24,U$9&lt;20/24)</formula>
    </cfRule>
    <cfRule type="expression" dxfId="5393" priority="209">
      <formula>AND(U$9&gt;=8/24,U$9&lt;14/24)</formula>
    </cfRule>
    <cfRule type="expression" dxfId="5392" priority="210">
      <formula>U$9&lt;8/24</formula>
    </cfRule>
  </conditionalFormatting>
  <conditionalFormatting sqref="A98">
    <cfRule type="expression" dxfId="5391" priority="206">
      <formula>$AH98=0</formula>
    </cfRule>
  </conditionalFormatting>
  <conditionalFormatting sqref="M62:N67">
    <cfRule type="expression" dxfId="5390" priority="194">
      <formula>M$9&gt;=20/24</formula>
    </cfRule>
    <cfRule type="expression" dxfId="5389" priority="195">
      <formula>AND(M$9&gt;=14/24,M$9&lt;20/24)</formula>
    </cfRule>
    <cfRule type="expression" dxfId="5388" priority="196">
      <formula>AND(M$9&gt;=8/24,M$9&lt;14/24)</formula>
    </cfRule>
    <cfRule type="expression" dxfId="5387" priority="197">
      <formula>M$9&lt;8/24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386" priority="180">
      <formula>$AH34=0</formula>
    </cfRule>
  </conditionalFormatting>
  <conditionalFormatting sqref="A83">
    <cfRule type="expression" dxfId="5385" priority="179">
      <formula>$AH83=0</formula>
    </cfRule>
  </conditionalFormatting>
  <conditionalFormatting sqref="A15">
    <cfRule type="expression" dxfId="5384" priority="169">
      <formula>$AH15=0</formula>
    </cfRule>
  </conditionalFormatting>
  <conditionalFormatting sqref="A163:A168">
    <cfRule type="expression" dxfId="5383" priority="168">
      <formula>$AH163=0</formula>
    </cfRule>
  </conditionalFormatting>
  <conditionalFormatting sqref="A157:A162">
    <cfRule type="expression" dxfId="5382" priority="167">
      <formula>$AH157=0</formula>
    </cfRule>
  </conditionalFormatting>
  <conditionalFormatting sqref="Z44:AF44">
    <cfRule type="expression" dxfId="5381" priority="163">
      <formula>Z$9&gt;=20/24</formula>
    </cfRule>
    <cfRule type="expression" dxfId="5380" priority="164">
      <formula>AND(Z$9&gt;=14/24,Z$9&lt;20/24)</formula>
    </cfRule>
    <cfRule type="expression" dxfId="5379" priority="165">
      <formula>AND(Z$9&gt;=8/24,Z$9&lt;14/24)</formula>
    </cfRule>
    <cfRule type="expression" dxfId="5378" priority="166">
      <formula>Z$9&lt;8/24</formula>
    </cfRule>
  </conditionalFormatting>
  <conditionalFormatting sqref="M44:AC44">
    <cfRule type="expression" dxfId="5377" priority="159">
      <formula>M$9&gt;=20/24</formula>
    </cfRule>
    <cfRule type="expression" dxfId="5376" priority="160">
      <formula>AND(M$9&gt;=14/24,M$9&lt;20/24)</formula>
    </cfRule>
    <cfRule type="expression" dxfId="5375" priority="161">
      <formula>AND(M$9&gt;=8/24,M$9&lt;14/24)</formula>
    </cfRule>
    <cfRule type="expression" dxfId="5374" priority="162">
      <formula>M$9&lt;8/24</formula>
    </cfRule>
  </conditionalFormatting>
  <conditionalFormatting sqref="S44:AC44">
    <cfRule type="expression" dxfId="5373" priority="155">
      <formula>S$9&gt;=20/24</formula>
    </cfRule>
    <cfRule type="expression" dxfId="5372" priority="156">
      <formula>AND(S$9&gt;=14/24,S$9&lt;20/24)</formula>
    </cfRule>
    <cfRule type="expression" dxfId="5371" priority="157">
      <formula>AND(S$9&gt;=8/24,S$9&lt;14/24)</formula>
    </cfRule>
    <cfRule type="expression" dxfId="5370" priority="158">
      <formula>S$9&lt;8/24</formula>
    </cfRule>
  </conditionalFormatting>
  <conditionalFormatting sqref="A44">
    <cfRule type="expression" dxfId="5369" priority="154">
      <formula>$AH44=0</formula>
    </cfRule>
  </conditionalFormatting>
  <conditionalFormatting sqref="A79">
    <cfRule type="expression" dxfId="5368" priority="153">
      <formula>$AH79=0</formula>
    </cfRule>
  </conditionalFormatting>
  <conditionalFormatting sqref="A73">
    <cfRule type="expression" dxfId="5367" priority="152">
      <formula>$AH73=0</formula>
    </cfRule>
  </conditionalFormatting>
  <conditionalFormatting sqref="AL34:AL35 AL7:AL31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V60:W61">
    <cfRule type="expression" dxfId="5366" priority="148">
      <formula>V$9&gt;=20/24</formula>
    </cfRule>
    <cfRule type="expression" dxfId="5365" priority="149">
      <formula>AND(V$9&gt;=14/24,V$9&lt;20/24)</formula>
    </cfRule>
    <cfRule type="expression" dxfId="5364" priority="150">
      <formula>AND(V$9&gt;=8/24,V$9&lt;14/24)</formula>
    </cfRule>
    <cfRule type="expression" dxfId="5363" priority="151">
      <formula>V$9&lt;8/24</formula>
    </cfRule>
  </conditionalFormatting>
  <conditionalFormatting sqref="V85:W91 X88:X91">
    <cfRule type="expression" dxfId="5362" priority="144">
      <formula>V$9&gt;=20/24</formula>
    </cfRule>
    <cfRule type="expression" dxfId="5361" priority="145">
      <formula>AND(V$9&gt;=14/24,V$9&lt;20/24)</formula>
    </cfRule>
    <cfRule type="expression" dxfId="5360" priority="146">
      <formula>AND(V$9&gt;=8/24,V$9&lt;14/24)</formula>
    </cfRule>
    <cfRule type="expression" dxfId="5359" priority="147">
      <formula>V$9&lt;8/24</formula>
    </cfRule>
  </conditionalFormatting>
  <conditionalFormatting sqref="C84:R84 D86:D91 C85:D85 E85:U91">
    <cfRule type="expression" dxfId="5358" priority="140">
      <formula>C$9&gt;=20/24</formula>
    </cfRule>
    <cfRule type="expression" dxfId="5357" priority="141">
      <formula>AND(C$9&gt;=14/24,C$9&lt;20/24)</formula>
    </cfRule>
    <cfRule type="expression" dxfId="5356" priority="142">
      <formula>AND(C$9&gt;=8/24,C$9&lt;14/24)</formula>
    </cfRule>
    <cfRule type="expression" dxfId="5355" priority="143">
      <formula>C$9&lt;8/24</formula>
    </cfRule>
  </conditionalFormatting>
  <conditionalFormatting sqref="S84:U84">
    <cfRule type="expression" dxfId="5354" priority="136">
      <formula>S$9&gt;=20/24</formula>
    </cfRule>
    <cfRule type="expression" dxfId="5353" priority="137">
      <formula>AND(S$9&gt;=14/24,S$9&lt;20/24)</formula>
    </cfRule>
    <cfRule type="expression" dxfId="5352" priority="138">
      <formula>AND(S$9&gt;=8/24,S$9&lt;14/24)</formula>
    </cfRule>
    <cfRule type="expression" dxfId="5351" priority="139">
      <formula>S$9&lt;8/24</formula>
    </cfRule>
  </conditionalFormatting>
  <conditionalFormatting sqref="C95:M97 C94:F94">
    <cfRule type="expression" dxfId="5350" priority="132">
      <formula>C$9&gt;=20/24</formula>
    </cfRule>
    <cfRule type="expression" dxfId="5349" priority="133">
      <formula>AND(C$9&gt;=14/24,C$9&lt;20/24)</formula>
    </cfRule>
    <cfRule type="expression" dxfId="5348" priority="134">
      <formula>AND(C$9&gt;=8/24,C$9&lt;14/24)</formula>
    </cfRule>
    <cfRule type="expression" dxfId="5347" priority="135">
      <formula>C$9&lt;8/24</formula>
    </cfRule>
  </conditionalFormatting>
  <conditionalFormatting sqref="N95:N97 P94:R97 S95:T97">
    <cfRule type="expression" dxfId="5346" priority="128">
      <formula>N$9&gt;=20/24</formula>
    </cfRule>
    <cfRule type="expression" dxfId="5345" priority="129">
      <formula>AND(N$9&gt;=14/24,N$9&lt;20/24)</formula>
    </cfRule>
    <cfRule type="expression" dxfId="5344" priority="130">
      <formula>AND(N$9&gt;=8/24,N$9&lt;14/24)</formula>
    </cfRule>
    <cfRule type="expression" dxfId="5343" priority="131">
      <formula>N$9&lt;8/24</formula>
    </cfRule>
  </conditionalFormatting>
  <conditionalFormatting sqref="S94:T94">
    <cfRule type="expression" dxfId="5342" priority="124">
      <formula>S$9&gt;=20/24</formula>
    </cfRule>
    <cfRule type="expression" dxfId="5341" priority="125">
      <formula>AND(S$9&gt;=14/24,S$9&lt;20/24)</formula>
    </cfRule>
    <cfRule type="expression" dxfId="5340" priority="126">
      <formula>AND(S$9&gt;=8/24,S$9&lt;14/24)</formula>
    </cfRule>
    <cfRule type="expression" dxfId="5339" priority="127">
      <formula>S$9&lt;8/24</formula>
    </cfRule>
  </conditionalFormatting>
  <conditionalFormatting sqref="C98:M98">
    <cfRule type="expression" dxfId="5338" priority="120">
      <formula>C$9&gt;=20/24</formula>
    </cfRule>
    <cfRule type="expression" dxfId="5337" priority="121">
      <formula>AND(C$9&gt;=14/24,C$9&lt;20/24)</formula>
    </cfRule>
    <cfRule type="expression" dxfId="5336" priority="122">
      <formula>AND(C$9&gt;=8/24,C$9&lt;14/24)</formula>
    </cfRule>
    <cfRule type="expression" dxfId="5335" priority="123">
      <formula>C$9&lt;8/24</formula>
    </cfRule>
  </conditionalFormatting>
  <conditionalFormatting sqref="N98 P98:T98">
    <cfRule type="expression" dxfId="5334" priority="116">
      <formula>N$9&gt;=20/24</formula>
    </cfRule>
    <cfRule type="expression" dxfId="5333" priority="117">
      <formula>AND(N$9&gt;=14/24,N$9&lt;20/24)</formula>
    </cfRule>
    <cfRule type="expression" dxfId="5332" priority="118">
      <formula>AND(N$9&gt;=8/24,N$9&lt;14/24)</formula>
    </cfRule>
    <cfRule type="expression" dxfId="5331" priority="119">
      <formula>N$9&lt;8/24</formula>
    </cfRule>
  </conditionalFormatting>
  <conditionalFormatting sqref="M94:N94">
    <cfRule type="expression" dxfId="5330" priority="108">
      <formula>M$9&gt;=20/24</formula>
    </cfRule>
    <cfRule type="expression" dxfId="5329" priority="109">
      <formula>AND(M$9&gt;=14/24,M$9&lt;20/24)</formula>
    </cfRule>
    <cfRule type="expression" dxfId="5328" priority="110">
      <formula>AND(M$9&gt;=8/24,M$9&lt;14/24)</formula>
    </cfRule>
    <cfRule type="expression" dxfId="5327" priority="111">
      <formula>M$9&lt;8/24</formula>
    </cfRule>
  </conditionalFormatting>
  <conditionalFormatting sqref="G94:L94">
    <cfRule type="expression" dxfId="5326" priority="104">
      <formula>G$9&gt;=20/24</formula>
    </cfRule>
    <cfRule type="expression" dxfId="5325" priority="105">
      <formula>AND(G$9&gt;=14/24,G$9&lt;20/24)</formula>
    </cfRule>
    <cfRule type="expression" dxfId="5324" priority="106">
      <formula>AND(G$9&gt;=8/24,G$9&lt;14/24)</formula>
    </cfRule>
    <cfRule type="expression" dxfId="5323" priority="107">
      <formula>G$9&lt;8/24</formula>
    </cfRule>
  </conditionalFormatting>
  <conditionalFormatting sqref="U94:W94">
    <cfRule type="expression" dxfId="5322" priority="100">
      <formula>U$9&gt;=20/24</formula>
    </cfRule>
    <cfRule type="expression" dxfId="5321" priority="101">
      <formula>AND(U$9&gt;=14/24,U$9&lt;20/24)</formula>
    </cfRule>
    <cfRule type="expression" dxfId="5320" priority="102">
      <formula>AND(U$9&gt;=8/24,U$9&lt;14/24)</formula>
    </cfRule>
    <cfRule type="expression" dxfId="5319" priority="103">
      <formula>U$9&lt;8/24</formula>
    </cfRule>
  </conditionalFormatting>
  <conditionalFormatting sqref="N94 P94:T94">
    <cfRule type="expression" dxfId="5318" priority="96">
      <formula>N$9&gt;=20/24</formula>
    </cfRule>
    <cfRule type="expression" dxfId="5317" priority="97">
      <formula>AND(N$9&gt;=14/24,N$9&lt;20/24)</formula>
    </cfRule>
    <cfRule type="expression" dxfId="5316" priority="98">
      <formula>AND(N$9&gt;=8/24,N$9&lt;14/24)</formula>
    </cfRule>
    <cfRule type="expression" dxfId="5315" priority="99">
      <formula>N$9&lt;8/24</formula>
    </cfRule>
  </conditionalFormatting>
  <conditionalFormatting sqref="U99:AA99">
    <cfRule type="expression" dxfId="5314" priority="92">
      <formula>U$9&gt;=20/24</formula>
    </cfRule>
    <cfRule type="expression" dxfId="5313" priority="93">
      <formula>AND(U$9&gt;=14/24,U$9&lt;20/24)</formula>
    </cfRule>
    <cfRule type="expression" dxfId="5312" priority="94">
      <formula>AND(U$9&gt;=8/24,U$9&lt;14/24)</formula>
    </cfRule>
    <cfRule type="expression" dxfId="5311" priority="95">
      <formula>U$9&lt;8/24</formula>
    </cfRule>
  </conditionalFormatting>
  <conditionalFormatting sqref="C99:M99">
    <cfRule type="expression" dxfId="5310" priority="88">
      <formula>C$9&gt;=20/24</formula>
    </cfRule>
    <cfRule type="expression" dxfId="5309" priority="89">
      <formula>AND(C$9&gt;=14/24,C$9&lt;20/24)</formula>
    </cfRule>
    <cfRule type="expression" dxfId="5308" priority="90">
      <formula>AND(C$9&gt;=8/24,C$9&lt;14/24)</formula>
    </cfRule>
    <cfRule type="expression" dxfId="5307" priority="91">
      <formula>C$9&lt;8/24</formula>
    </cfRule>
  </conditionalFormatting>
  <conditionalFormatting sqref="N99 P99:T99">
    <cfRule type="expression" dxfId="5306" priority="84">
      <formula>N$9&gt;=20/24</formula>
    </cfRule>
    <cfRule type="expression" dxfId="5305" priority="85">
      <formula>AND(N$9&gt;=14/24,N$9&lt;20/24)</formula>
    </cfRule>
    <cfRule type="expression" dxfId="5304" priority="86">
      <formula>AND(N$9&gt;=8/24,N$9&lt;14/24)</formula>
    </cfRule>
    <cfRule type="expression" dxfId="5303" priority="87">
      <formula>N$9&lt;8/24</formula>
    </cfRule>
  </conditionalFormatting>
  <conditionalFormatting sqref="AB58:AE59">
    <cfRule type="expression" dxfId="5302" priority="64">
      <formula>AB$9&gt;=20/24</formula>
    </cfRule>
    <cfRule type="expression" dxfId="5301" priority="65">
      <formula>AND(AB$9&gt;=14/24,AB$9&lt;20/24)</formula>
    </cfRule>
    <cfRule type="expression" dxfId="5300" priority="66">
      <formula>AND(AB$9&gt;=8/24,AB$9&lt;14/24)</formula>
    </cfRule>
    <cfRule type="expression" dxfId="5299" priority="67">
      <formula>AB$9&lt;8/24</formula>
    </cfRule>
  </conditionalFormatting>
  <conditionalFormatting sqref="AL33">
    <cfRule type="iconSet" priority="6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98" priority="297">
      <formula>C$9&gt;=20/24</formula>
    </cfRule>
    <cfRule type="expression" dxfId="5297" priority="298">
      <formula>AND(C$9&gt;=14/24,C$9&lt;20/24)</formula>
    </cfRule>
    <cfRule type="expression" dxfId="5296" priority="299">
      <formula>AND(C$9&gt;=8/24,C$9&lt;14/24)</formula>
    </cfRule>
    <cfRule type="expression" dxfId="5295" priority="300">
      <formula>C$9&lt;8/24</formula>
    </cfRule>
  </conditionalFormatting>
  <conditionalFormatting sqref="A200">
    <cfRule type="expression" dxfId="5294" priority="301">
      <formula>$AH200=0</formula>
    </cfRule>
  </conditionalFormatting>
  <conditionalFormatting sqref="AG212">
    <cfRule type="expression" dxfId="5293" priority="302">
      <formula>B$9&gt;=20/24</formula>
    </cfRule>
    <cfRule type="expression" dxfId="5292" priority="303">
      <formula>AND(B$9&gt;=14/24,B$9&lt;20/24)</formula>
    </cfRule>
    <cfRule type="expression" dxfId="5291" priority="304">
      <formula>AND(B$9&gt;=8/24,B$9&lt;14/24)</formula>
    </cfRule>
    <cfRule type="expression" dxfId="5290" priority="305">
      <formula>B$9&lt;8/24</formula>
    </cfRule>
  </conditionalFormatting>
  <conditionalFormatting sqref="S8">
    <cfRule type="expression" dxfId="5289" priority="58">
      <formula>U$9&gt;=20/24</formula>
    </cfRule>
    <cfRule type="expression" dxfId="5288" priority="59">
      <formula>AND(U$9&gt;=14/24,U$9&lt;20/24)</formula>
    </cfRule>
    <cfRule type="expression" dxfId="5287" priority="60">
      <formula>AND(U$9&gt;=8/24,U$9&lt;14/24)</formula>
    </cfRule>
    <cfRule type="expression" dxfId="5286" priority="61">
      <formula>U$9&lt;8/24</formula>
    </cfRule>
  </conditionalFormatting>
  <conditionalFormatting sqref="AB8">
    <cfRule type="expression" dxfId="5285" priority="54">
      <formula>AD$9&gt;=20/24</formula>
    </cfRule>
    <cfRule type="expression" dxfId="5284" priority="55">
      <formula>AND(AD$9&gt;=14/24,AD$9&lt;20/24)</formula>
    </cfRule>
    <cfRule type="expression" dxfId="5283" priority="56">
      <formula>AND(AD$9&gt;=8/24,AD$9&lt;14/24)</formula>
    </cfRule>
    <cfRule type="expression" dxfId="5282" priority="57">
      <formula>AD$9&lt;8/24</formula>
    </cfRule>
  </conditionalFormatting>
  <conditionalFormatting sqref="AH212:AX212">
    <cfRule type="expression" dxfId="5281" priority="306">
      <formula>AG$9&gt;=20/24</formula>
    </cfRule>
    <cfRule type="expression" dxfId="5280" priority="307">
      <formula>AND(AG$9&gt;=14/24,AG$9&lt;20/24)</formula>
    </cfRule>
    <cfRule type="expression" dxfId="5279" priority="308">
      <formula>AND(AG$9&gt;=8/24,AG$9&lt;14/24)</formula>
    </cfRule>
    <cfRule type="expression" dxfId="5278" priority="309">
      <formula>AG$9&lt;8/24</formula>
    </cfRule>
  </conditionalFormatting>
  <conditionalFormatting sqref="T212">
    <cfRule type="expression" dxfId="5277" priority="310">
      <formula>AX$9&gt;=20/24</formula>
    </cfRule>
    <cfRule type="expression" dxfId="5276" priority="311">
      <formula>AND(AX$9&gt;=14/24,AX$9&lt;20/24)</formula>
    </cfRule>
    <cfRule type="expression" dxfId="5275" priority="312">
      <formula>AND(AX$9&gt;=8/24,AX$9&lt;14/24)</formula>
    </cfRule>
    <cfRule type="expression" dxfId="5274" priority="313">
      <formula>AX$9&lt;8/24</formula>
    </cfRule>
  </conditionalFormatting>
  <conditionalFormatting sqref="A99">
    <cfRule type="expression" dxfId="5273" priority="53">
      <formula>$AH99=0</formula>
    </cfRule>
  </conditionalFormatting>
  <conditionalFormatting sqref="B33:L33">
    <cfRule type="expression" dxfId="5272" priority="40">
      <formula>B33&gt;$AG33</formula>
    </cfRule>
  </conditionalFormatting>
  <conditionalFormatting sqref="O94:O97">
    <cfRule type="expression" dxfId="5271" priority="36">
      <formula>O$9&gt;=20/24</formula>
    </cfRule>
    <cfRule type="expression" dxfId="5270" priority="37">
      <formula>AND(O$9&gt;=14/24,O$9&lt;20/24)</formula>
    </cfRule>
    <cfRule type="expression" dxfId="5269" priority="38">
      <formula>AND(O$9&gt;=8/24,O$9&lt;14/24)</formula>
    </cfRule>
    <cfRule type="expression" dxfId="5268" priority="39">
      <formula>O$9&lt;8/24</formula>
    </cfRule>
  </conditionalFormatting>
  <conditionalFormatting sqref="O98">
    <cfRule type="expression" dxfId="5267" priority="32">
      <formula>O$9&gt;=20/24</formula>
    </cfRule>
    <cfRule type="expression" dxfId="5266" priority="33">
      <formula>AND(O$9&gt;=14/24,O$9&lt;20/24)</formula>
    </cfRule>
    <cfRule type="expression" dxfId="5265" priority="34">
      <formula>AND(O$9&gt;=8/24,O$9&lt;14/24)</formula>
    </cfRule>
    <cfRule type="expression" dxfId="5264" priority="35">
      <formula>O$9&lt;8/24</formula>
    </cfRule>
  </conditionalFormatting>
  <conditionalFormatting sqref="O94">
    <cfRule type="expression" dxfId="5263" priority="28">
      <formula>O$9&gt;=20/24</formula>
    </cfRule>
    <cfRule type="expression" dxfId="5262" priority="29">
      <formula>AND(O$9&gt;=14/24,O$9&lt;20/24)</formula>
    </cfRule>
    <cfRule type="expression" dxfId="5261" priority="30">
      <formula>AND(O$9&gt;=8/24,O$9&lt;14/24)</formula>
    </cfRule>
    <cfRule type="expression" dxfId="5260" priority="31">
      <formula>O$9&lt;8/24</formula>
    </cfRule>
  </conditionalFormatting>
  <conditionalFormatting sqref="O99">
    <cfRule type="expression" dxfId="5259" priority="24">
      <formula>O$9&gt;=20/24</formula>
    </cfRule>
    <cfRule type="expression" dxfId="5258" priority="25">
      <formula>AND(O$9&gt;=14/24,O$9&lt;20/24)</formula>
    </cfRule>
    <cfRule type="expression" dxfId="5257" priority="26">
      <formula>AND(O$9&gt;=8/24,O$9&lt;14/24)</formula>
    </cfRule>
    <cfRule type="expression" dxfId="5256" priority="27">
      <formula>O$9&lt;8/24</formula>
    </cfRule>
  </conditionalFormatting>
  <conditionalFormatting sqref="M36:P37 M11:P14 Q36:AF36 Q12:AF14 M16:AF32">
    <cfRule type="expression" dxfId="5255" priority="20">
      <formula>M$9&gt;=20/24</formula>
    </cfRule>
    <cfRule type="expression" dxfId="5254" priority="21">
      <formula>AND(M$9&gt;=14/24,M$9&lt;20/24)</formula>
    </cfRule>
    <cfRule type="expression" dxfId="5253" priority="22">
      <formula>AND(M$9&gt;=8/24,M$9&lt;14/24)</formula>
    </cfRule>
    <cfRule type="expression" dxfId="5252" priority="23">
      <formula>M$9&lt;8/24</formula>
    </cfRule>
  </conditionalFormatting>
  <conditionalFormatting sqref="M35:AF35">
    <cfRule type="expression" dxfId="5251" priority="16">
      <formula>M$9&gt;=20/24</formula>
    </cfRule>
    <cfRule type="expression" dxfId="5250" priority="17">
      <formula>AND(M$9&gt;=14/24,M$9&lt;20/24)</formula>
    </cfRule>
    <cfRule type="expression" dxfId="5249" priority="18">
      <formula>AND(M$9&gt;=8/24,M$9&lt;14/24)</formula>
    </cfRule>
    <cfRule type="expression" dxfId="5248" priority="19">
      <formula>M$9&lt;8/24</formula>
    </cfRule>
  </conditionalFormatting>
  <conditionalFormatting sqref="M11:P14 M34:P37 Q12:AF14 Q34:AF36 M16:AF32">
    <cfRule type="expression" dxfId="5247" priority="15">
      <formula>M11&gt;$AG11</formula>
    </cfRule>
  </conditionalFormatting>
  <conditionalFormatting sqref="M34:AF34">
    <cfRule type="expression" dxfId="5246" priority="11">
      <formula>M$9&gt;=20/24</formula>
    </cfRule>
    <cfRule type="expression" dxfId="5245" priority="12">
      <formula>AND(M$9&gt;=14/24,M$9&lt;20/24)</formula>
    </cfRule>
    <cfRule type="expression" dxfId="5244" priority="13">
      <formula>AND(M$9&gt;=8/24,M$9&lt;14/24)</formula>
    </cfRule>
    <cfRule type="expression" dxfId="5243" priority="14">
      <formula>M$9&lt;8/24</formula>
    </cfRule>
  </conditionalFormatting>
  <conditionalFormatting sqref="M15:AF15">
    <cfRule type="expression" dxfId="5242" priority="7">
      <formula>M$9&gt;=20/24</formula>
    </cfRule>
    <cfRule type="expression" dxfId="5241" priority="8">
      <formula>AND(M$9&gt;=14/24,M$9&lt;20/24)</formula>
    </cfRule>
    <cfRule type="expression" dxfId="5240" priority="9">
      <formula>AND(M$9&gt;=8/24,M$9&lt;14/24)</formula>
    </cfRule>
    <cfRule type="expression" dxfId="5239" priority="10">
      <formula>M$9&lt;8/24</formula>
    </cfRule>
  </conditionalFormatting>
  <conditionalFormatting sqref="M15:AF15">
    <cfRule type="expression" dxfId="5238" priority="6">
      <formula>M15&gt;$AG15</formula>
    </cfRule>
  </conditionalFormatting>
  <conditionalFormatting sqref="M33:AF33">
    <cfRule type="expression" dxfId="5237" priority="2">
      <formula>M$9&gt;=20/24</formula>
    </cfRule>
    <cfRule type="expression" dxfId="5236" priority="3">
      <formula>AND(M$9&gt;=14/24,M$9&lt;20/24)</formula>
    </cfRule>
    <cfRule type="expression" dxfId="5235" priority="4">
      <formula>AND(M$9&gt;=8/24,M$9&lt;14/24)</formula>
    </cfRule>
    <cfRule type="expression" dxfId="5234" priority="5">
      <formula>M$9&lt;8/24</formula>
    </cfRule>
  </conditionalFormatting>
  <conditionalFormatting sqref="M33:AF33">
    <cfRule type="expression" dxfId="5233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E1C2C285-D6DC-4A88-9BAC-56E8ADAD084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8" activePane="bottomRight" state="frozen"/>
      <selection activeCell="AF88" sqref="AF88"/>
      <selection pane="topRight" activeCell="AF88" sqref="AF88"/>
      <selection pane="bottomLeft" activeCell="AF88" sqref="AF88"/>
      <selection pane="bottomRight" activeCell="G7" sqref="G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2078/11/13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434</v>
      </c>
      <c r="C5" s="32">
        <f t="shared" si="0"/>
        <v>421</v>
      </c>
      <c r="D5" s="32">
        <f t="shared" si="0"/>
        <v>419.6</v>
      </c>
      <c r="E5" s="32">
        <f t="shared" si="0"/>
        <v>404.8</v>
      </c>
      <c r="F5" s="32">
        <f t="shared" si="0"/>
        <v>439</v>
      </c>
      <c r="G5" s="32">
        <f t="shared" si="0"/>
        <v>485.76</v>
      </c>
      <c r="H5" s="32">
        <f t="shared" si="0"/>
        <v>512.5</v>
      </c>
      <c r="I5" s="32">
        <f t="shared" si="0"/>
        <v>385.3</v>
      </c>
      <c r="J5" s="32">
        <f t="shared" si="0"/>
        <v>404</v>
      </c>
      <c r="K5" s="32">
        <f t="shared" si="0"/>
        <v>398.3</v>
      </c>
      <c r="L5" s="32">
        <f t="shared" si="0"/>
        <v>392.50000000000006</v>
      </c>
      <c r="M5" s="32">
        <f t="shared" si="0"/>
        <v>409.46</v>
      </c>
      <c r="N5" s="32">
        <f t="shared" si="0"/>
        <v>428.03</v>
      </c>
      <c r="O5" s="32">
        <f t="shared" si="0"/>
        <v>435.77000000000004</v>
      </c>
      <c r="P5" s="32">
        <f t="shared" si="0"/>
        <v>533.42000000000007</v>
      </c>
      <c r="Q5" s="32">
        <f t="shared" si="0"/>
        <v>550.99</v>
      </c>
      <c r="R5" s="32">
        <f t="shared" si="0"/>
        <v>571.91</v>
      </c>
      <c r="S5" s="32">
        <f t="shared" si="0"/>
        <v>650.58000000000004</v>
      </c>
      <c r="T5" s="32">
        <f t="shared" si="0"/>
        <v>613.30000000000007</v>
      </c>
      <c r="U5" s="32">
        <f t="shared" si="0"/>
        <v>473.63</v>
      </c>
      <c r="V5" s="32">
        <f t="shared" si="0"/>
        <v>418.59</v>
      </c>
      <c r="W5" s="32">
        <f t="shared" si="0"/>
        <v>370.8</v>
      </c>
      <c r="X5" s="32">
        <f t="shared" si="0"/>
        <v>399.8</v>
      </c>
      <c r="Y5" s="32">
        <f t="shared" si="0"/>
        <v>351</v>
      </c>
      <c r="Z5" s="32">
        <f t="shared" si="0"/>
        <v>338.4</v>
      </c>
      <c r="AA5" s="32">
        <f t="shared" si="0"/>
        <v>305.84000000000003</v>
      </c>
      <c r="AB5" s="32">
        <f t="shared" si="0"/>
        <v>513.20000000000005</v>
      </c>
      <c r="AC5" s="32">
        <f t="shared" si="0"/>
        <v>518.20000000000005</v>
      </c>
      <c r="AD5" s="32">
        <f t="shared" si="0"/>
        <v>418</v>
      </c>
      <c r="AE5" s="32">
        <f t="shared" si="0"/>
        <v>391.20000000000005</v>
      </c>
      <c r="AF5" s="32">
        <f>B68</f>
        <v>427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1490MW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Load=920</v>
      </c>
      <c r="B7" s="37">
        <f>B75</f>
        <v>948.74</v>
      </c>
      <c r="C7" s="37">
        <f t="shared" ref="C7:AF7" si="1">C75</f>
        <v>935.54</v>
      </c>
      <c r="D7" s="37">
        <f t="shared" si="1"/>
        <v>921.54</v>
      </c>
      <c r="E7" s="37">
        <f t="shared" si="1"/>
        <v>920.44</v>
      </c>
      <c r="F7" s="37">
        <f t="shared" si="1"/>
        <v>925.64</v>
      </c>
      <c r="G7" s="37">
        <f t="shared" si="1"/>
        <v>983.34</v>
      </c>
      <c r="H7" s="37">
        <f t="shared" si="1"/>
        <v>1066.3</v>
      </c>
      <c r="I7" s="37">
        <f t="shared" si="1"/>
        <v>1157.1399999999999</v>
      </c>
      <c r="J7" s="37">
        <f t="shared" si="1"/>
        <v>1302.74</v>
      </c>
      <c r="K7" s="37">
        <f t="shared" si="1"/>
        <v>1388.94</v>
      </c>
      <c r="L7" s="37">
        <f t="shared" si="1"/>
        <v>1472.94</v>
      </c>
      <c r="M7" s="37">
        <f t="shared" si="1"/>
        <v>1489.54</v>
      </c>
      <c r="N7" s="37">
        <f t="shared" si="1"/>
        <v>1442.2</v>
      </c>
      <c r="O7" s="37">
        <f t="shared" si="1"/>
        <v>1343.97</v>
      </c>
      <c r="P7" s="37">
        <f t="shared" si="1"/>
        <v>1286.1099999999999</v>
      </c>
      <c r="Q7" s="37">
        <f t="shared" si="1"/>
        <v>1186.56</v>
      </c>
      <c r="R7" s="37">
        <f t="shared" si="1"/>
        <v>1172.6300000000001</v>
      </c>
      <c r="S7" s="37">
        <f t="shared" si="1"/>
        <v>1173.75</v>
      </c>
      <c r="T7" s="37">
        <f t="shared" si="1"/>
        <v>1246.92</v>
      </c>
      <c r="U7" s="37">
        <f t="shared" si="1"/>
        <v>1272.1399999999999</v>
      </c>
      <c r="V7" s="37">
        <f t="shared" si="1"/>
        <v>1249.97</v>
      </c>
      <c r="W7" s="37">
        <f t="shared" si="1"/>
        <v>1268.4299999999998</v>
      </c>
      <c r="X7" s="37">
        <f t="shared" si="1"/>
        <v>1342.3400000000001</v>
      </c>
      <c r="Y7" s="37">
        <f t="shared" si="1"/>
        <v>1440.24</v>
      </c>
      <c r="Z7" s="37">
        <f t="shared" si="1"/>
        <v>1461.3400000000001</v>
      </c>
      <c r="AA7" s="37">
        <f t="shared" si="1"/>
        <v>1367.74</v>
      </c>
      <c r="AB7" s="37">
        <f t="shared" si="1"/>
        <v>1283.8800000000001</v>
      </c>
      <c r="AC7" s="37">
        <f t="shared" si="1"/>
        <v>1219.44</v>
      </c>
      <c r="AD7" s="37">
        <f t="shared" si="1"/>
        <v>1168.24</v>
      </c>
      <c r="AE7" s="37">
        <f t="shared" si="1"/>
        <v>1020.74</v>
      </c>
      <c r="AF7" s="37">
        <f t="shared" si="1"/>
        <v>985.1400000000001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10</v>
      </c>
      <c r="C11" s="50">
        <v>10</v>
      </c>
      <c r="D11" s="50">
        <v>10</v>
      </c>
      <c r="E11" s="50">
        <v>10</v>
      </c>
      <c r="F11" s="49">
        <v>30</v>
      </c>
      <c r="G11" s="49">
        <v>30</v>
      </c>
      <c r="H11" s="49">
        <v>25</v>
      </c>
      <c r="I11" s="49">
        <v>74</v>
      </c>
      <c r="J11" s="49">
        <v>200</v>
      </c>
      <c r="K11" s="49">
        <v>250</v>
      </c>
      <c r="L11" s="49">
        <v>280</v>
      </c>
      <c r="M11" s="50">
        <v>280</v>
      </c>
      <c r="N11" s="50">
        <v>225</v>
      </c>
      <c r="O11" s="50">
        <v>170</v>
      </c>
      <c r="P11" s="50">
        <v>110</v>
      </c>
      <c r="Q11" s="50">
        <v>13</v>
      </c>
      <c r="R11" s="50">
        <v>13</v>
      </c>
      <c r="S11" s="50">
        <v>10</v>
      </c>
      <c r="T11" s="50">
        <v>10</v>
      </c>
      <c r="U11" s="50">
        <v>10</v>
      </c>
      <c r="V11" s="50">
        <v>40</v>
      </c>
      <c r="W11" s="50">
        <v>100</v>
      </c>
      <c r="X11" s="50">
        <v>100</v>
      </c>
      <c r="Y11" s="50">
        <v>180</v>
      </c>
      <c r="Z11" s="52">
        <v>280</v>
      </c>
      <c r="AA11" s="52">
        <v>280</v>
      </c>
      <c r="AB11" s="50">
        <v>224</v>
      </c>
      <c r="AC11" s="50">
        <v>60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280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16.8</v>
      </c>
      <c r="C13" s="49">
        <v>17.100000000000001</v>
      </c>
      <c r="D13" s="49">
        <v>17</v>
      </c>
      <c r="E13" s="49">
        <v>17</v>
      </c>
      <c r="F13" s="49">
        <v>17</v>
      </c>
      <c r="G13" s="49">
        <v>17</v>
      </c>
      <c r="H13" s="49">
        <v>17</v>
      </c>
      <c r="I13" s="49">
        <v>17</v>
      </c>
      <c r="J13" s="49">
        <v>17</v>
      </c>
      <c r="K13" s="49">
        <v>17</v>
      </c>
      <c r="L13" s="49">
        <v>17</v>
      </c>
      <c r="M13" s="49">
        <v>17</v>
      </c>
      <c r="N13" s="49">
        <v>17</v>
      </c>
      <c r="O13" s="49">
        <v>17</v>
      </c>
      <c r="P13" s="49">
        <v>17</v>
      </c>
      <c r="Q13" s="49">
        <v>17</v>
      </c>
      <c r="R13" s="49">
        <v>17</v>
      </c>
      <c r="S13" s="49">
        <v>17</v>
      </c>
      <c r="T13" s="49">
        <v>17</v>
      </c>
      <c r="U13" s="49">
        <v>17</v>
      </c>
      <c r="V13" s="49">
        <v>17</v>
      </c>
      <c r="W13" s="49">
        <v>17</v>
      </c>
      <c r="X13" s="49">
        <v>17</v>
      </c>
      <c r="Y13" s="49">
        <v>17</v>
      </c>
      <c r="Z13" s="50">
        <v>18.100000000000001</v>
      </c>
      <c r="AA13" s="50">
        <v>18.100000000000001</v>
      </c>
      <c r="AB13" s="50">
        <v>18.100000000000001</v>
      </c>
      <c r="AC13" s="50">
        <v>18.100000000000001</v>
      </c>
      <c r="AD13" s="50">
        <v>18.100000000000001</v>
      </c>
      <c r="AE13" s="50">
        <v>18.100000000000001</v>
      </c>
      <c r="AF13" s="50">
        <v>18.100000000000001</v>
      </c>
      <c r="AG13" s="59">
        <v>52.4</v>
      </c>
      <c r="AH13" s="54">
        <f t="shared" si="2"/>
        <v>18.100000000000001</v>
      </c>
      <c r="AI13" s="55">
        <f t="shared" si="3"/>
        <v>16.8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33.700000000000003</v>
      </c>
      <c r="C14" s="50">
        <v>34.4</v>
      </c>
      <c r="D14" s="50">
        <v>33.799999999999997</v>
      </c>
      <c r="E14" s="50">
        <v>33.799999999999997</v>
      </c>
      <c r="F14" s="50">
        <v>33.799999999999997</v>
      </c>
      <c r="G14" s="50">
        <v>33.799999999999997</v>
      </c>
      <c r="H14" s="50">
        <v>33.799999999999997</v>
      </c>
      <c r="I14" s="50">
        <v>33.799999999999997</v>
      </c>
      <c r="J14" s="50">
        <v>33.799999999999997</v>
      </c>
      <c r="K14" s="50">
        <v>33.799999999999997</v>
      </c>
      <c r="L14" s="50">
        <v>33.799999999999997</v>
      </c>
      <c r="M14" s="50">
        <v>33.799999999999997</v>
      </c>
      <c r="N14" s="50">
        <v>33.799999999999997</v>
      </c>
      <c r="O14" s="50">
        <v>33.799999999999997</v>
      </c>
      <c r="P14" s="50">
        <v>33.799999999999997</v>
      </c>
      <c r="Q14" s="50">
        <v>33.799999999999997</v>
      </c>
      <c r="R14" s="50">
        <v>33.799999999999997</v>
      </c>
      <c r="S14" s="50">
        <v>33.799999999999997</v>
      </c>
      <c r="T14" s="50">
        <v>33.799999999999997</v>
      </c>
      <c r="U14" s="50">
        <v>33.799999999999997</v>
      </c>
      <c r="V14" s="50">
        <v>33.799999999999997</v>
      </c>
      <c r="W14" s="50">
        <v>33.799999999999997</v>
      </c>
      <c r="X14" s="50">
        <v>33.799999999999997</v>
      </c>
      <c r="Y14" s="50">
        <v>33.799999999999997</v>
      </c>
      <c r="Z14" s="50">
        <v>34.5</v>
      </c>
      <c r="AA14" s="50">
        <v>34.5</v>
      </c>
      <c r="AB14" s="50">
        <v>34.5</v>
      </c>
      <c r="AC14" s="50">
        <v>34.5</v>
      </c>
      <c r="AD14" s="50">
        <v>34.5</v>
      </c>
      <c r="AE14" s="50">
        <v>34.5</v>
      </c>
      <c r="AF14" s="50">
        <v>34.5</v>
      </c>
      <c r="AG14" s="59">
        <v>50</v>
      </c>
      <c r="AH14" s="54">
        <f t="shared" si="2"/>
        <v>34.5</v>
      </c>
      <c r="AI14" s="55">
        <f t="shared" si="3"/>
        <v>33.700000000000003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20.399999999999999</v>
      </c>
      <c r="C15" s="50">
        <v>20.6</v>
      </c>
      <c r="D15" s="50">
        <v>20.6</v>
      </c>
      <c r="E15" s="50">
        <v>20.6</v>
      </c>
      <c r="F15" s="50">
        <v>20.6</v>
      </c>
      <c r="G15" s="50">
        <v>20.6</v>
      </c>
      <c r="H15" s="50">
        <v>20.6</v>
      </c>
      <c r="I15" s="50">
        <v>20.6</v>
      </c>
      <c r="J15" s="50">
        <v>20.6</v>
      </c>
      <c r="K15" s="50">
        <v>20.6</v>
      </c>
      <c r="L15" s="50">
        <v>20.6</v>
      </c>
      <c r="M15" s="50">
        <v>20.6</v>
      </c>
      <c r="N15" s="50">
        <v>20.6</v>
      </c>
      <c r="O15" s="50">
        <v>20.6</v>
      </c>
      <c r="P15" s="50">
        <v>20.6</v>
      </c>
      <c r="Q15" s="50">
        <v>20.6</v>
      </c>
      <c r="R15" s="50">
        <v>20.6</v>
      </c>
      <c r="S15" s="50">
        <v>20.6</v>
      </c>
      <c r="T15" s="50">
        <v>20.6</v>
      </c>
      <c r="U15" s="50">
        <v>20.6</v>
      </c>
      <c r="V15" s="50">
        <v>20.6</v>
      </c>
      <c r="W15" s="50">
        <v>20.6</v>
      </c>
      <c r="X15" s="50">
        <v>20.6</v>
      </c>
      <c r="Y15" s="50">
        <v>20.6</v>
      </c>
      <c r="Z15" s="50">
        <v>20.399999999999999</v>
      </c>
      <c r="AA15" s="50">
        <v>20.399999999999999</v>
      </c>
      <c r="AB15" s="50">
        <v>20.399999999999999</v>
      </c>
      <c r="AC15" s="50">
        <v>20.399999999999999</v>
      </c>
      <c r="AD15" s="50">
        <v>20.399999999999999</v>
      </c>
      <c r="AE15" s="50">
        <v>20.399999999999999</v>
      </c>
      <c r="AF15" s="50">
        <v>20.399999999999999</v>
      </c>
      <c r="AG15" s="62">
        <v>45</v>
      </c>
      <c r="AH15" s="54">
        <f t="shared" si="2"/>
        <v>20.6</v>
      </c>
      <c r="AI15" s="55">
        <f t="shared" si="3"/>
        <v>20.399999999999999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10</v>
      </c>
      <c r="C16" s="50">
        <v>10</v>
      </c>
      <c r="D16" s="50">
        <v>10</v>
      </c>
      <c r="E16" s="50">
        <v>10</v>
      </c>
      <c r="F16" s="50">
        <v>10</v>
      </c>
      <c r="G16" s="50">
        <v>10</v>
      </c>
      <c r="H16" s="50">
        <v>10</v>
      </c>
      <c r="I16" s="50">
        <v>10</v>
      </c>
      <c r="J16" s="50">
        <v>10</v>
      </c>
      <c r="K16" s="50">
        <v>10</v>
      </c>
      <c r="L16" s="50">
        <v>10</v>
      </c>
      <c r="M16" s="50">
        <v>10</v>
      </c>
      <c r="N16" s="50">
        <v>10</v>
      </c>
      <c r="O16" s="50">
        <v>10</v>
      </c>
      <c r="P16" s="50">
        <v>10</v>
      </c>
      <c r="Q16" s="50">
        <v>10</v>
      </c>
      <c r="R16" s="50">
        <v>10</v>
      </c>
      <c r="S16" s="50">
        <v>10</v>
      </c>
      <c r="T16" s="50">
        <v>10</v>
      </c>
      <c r="U16" s="50">
        <v>10</v>
      </c>
      <c r="V16" s="50">
        <v>10</v>
      </c>
      <c r="W16" s="50">
        <v>10</v>
      </c>
      <c r="X16" s="50">
        <v>10</v>
      </c>
      <c r="Y16" s="50">
        <v>10</v>
      </c>
      <c r="Z16" s="50">
        <v>10</v>
      </c>
      <c r="AA16" s="50">
        <v>10</v>
      </c>
      <c r="AB16" s="50">
        <v>10</v>
      </c>
      <c r="AC16" s="50">
        <v>10</v>
      </c>
      <c r="AD16" s="50">
        <v>10</v>
      </c>
      <c r="AE16" s="50">
        <v>10</v>
      </c>
      <c r="AF16" s="50">
        <v>10</v>
      </c>
      <c r="AG16" s="59">
        <v>45</v>
      </c>
      <c r="AH16" s="54">
        <f t="shared" si="2"/>
        <v>10</v>
      </c>
      <c r="AI16" s="55">
        <f t="shared" si="3"/>
        <v>10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9.1999999999999993</v>
      </c>
      <c r="C19" s="50">
        <v>9.1999999999999993</v>
      </c>
      <c r="D19" s="50">
        <v>9.1999999999999993</v>
      </c>
      <c r="E19" s="50">
        <v>9.1999999999999993</v>
      </c>
      <c r="F19" s="50">
        <v>9.1999999999999993</v>
      </c>
      <c r="G19" s="50">
        <v>9.1999999999999993</v>
      </c>
      <c r="H19" s="50">
        <v>9.1999999999999993</v>
      </c>
      <c r="I19" s="50">
        <v>9.1999999999999993</v>
      </c>
      <c r="J19" s="50">
        <v>9.1999999999999993</v>
      </c>
      <c r="K19" s="50">
        <v>9.1999999999999993</v>
      </c>
      <c r="L19" s="50">
        <v>9.1999999999999993</v>
      </c>
      <c r="M19" s="50">
        <v>9.1999999999999993</v>
      </c>
      <c r="N19" s="50">
        <v>9.1999999999999993</v>
      </c>
      <c r="O19" s="50">
        <v>9.1999999999999993</v>
      </c>
      <c r="P19" s="50">
        <v>9.1999999999999993</v>
      </c>
      <c r="Q19" s="50">
        <v>9.1999999999999993</v>
      </c>
      <c r="R19" s="50">
        <v>9.1999999999999993</v>
      </c>
      <c r="S19" s="50">
        <v>9.1999999999999993</v>
      </c>
      <c r="T19" s="50">
        <v>9.1999999999999993</v>
      </c>
      <c r="U19" s="50">
        <v>9.1999999999999993</v>
      </c>
      <c r="V19" s="50">
        <v>9.1999999999999993</v>
      </c>
      <c r="W19" s="50">
        <v>9.1999999999999993</v>
      </c>
      <c r="X19" s="50">
        <v>9.1999999999999993</v>
      </c>
      <c r="Y19" s="50">
        <v>9.1999999999999993</v>
      </c>
      <c r="Z19" s="50">
        <v>9.4</v>
      </c>
      <c r="AA19" s="50">
        <v>9.4</v>
      </c>
      <c r="AB19" s="50">
        <v>9.4</v>
      </c>
      <c r="AC19" s="50">
        <v>9.4</v>
      </c>
      <c r="AD19" s="50">
        <v>9.4</v>
      </c>
      <c r="AE19" s="50">
        <v>9.4</v>
      </c>
      <c r="AF19" s="50">
        <v>9.4</v>
      </c>
      <c r="AG19" s="59">
        <v>30</v>
      </c>
      <c r="AH19" s="54">
        <f t="shared" si="2"/>
        <v>9.4</v>
      </c>
      <c r="AI19" s="55">
        <f t="shared" si="3"/>
        <v>9.1999999999999993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11.1</v>
      </c>
      <c r="C22" s="50">
        <v>11.6</v>
      </c>
      <c r="D22" s="50">
        <v>11.7</v>
      </c>
      <c r="E22" s="50">
        <v>11.7</v>
      </c>
      <c r="F22" s="50">
        <v>11.7</v>
      </c>
      <c r="G22" s="50">
        <v>11.7</v>
      </c>
      <c r="H22" s="50">
        <v>11.7</v>
      </c>
      <c r="I22" s="50">
        <v>11.7</v>
      </c>
      <c r="J22" s="50">
        <v>11.7</v>
      </c>
      <c r="K22" s="50">
        <v>11.7</v>
      </c>
      <c r="L22" s="50">
        <v>11.7</v>
      </c>
      <c r="M22" s="50">
        <v>11.7</v>
      </c>
      <c r="N22" s="50">
        <v>11.7</v>
      </c>
      <c r="O22" s="50">
        <v>11.7</v>
      </c>
      <c r="P22" s="50">
        <v>11.7</v>
      </c>
      <c r="Q22" s="50">
        <v>11.7</v>
      </c>
      <c r="R22" s="50">
        <v>11.7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11.7</v>
      </c>
      <c r="Z22" s="50">
        <v>17</v>
      </c>
      <c r="AA22" s="50">
        <v>17</v>
      </c>
      <c r="AB22" s="50">
        <v>17</v>
      </c>
      <c r="AC22" s="50">
        <v>17</v>
      </c>
      <c r="AD22" s="50">
        <v>17</v>
      </c>
      <c r="AE22" s="50">
        <v>17</v>
      </c>
      <c r="AF22" s="50">
        <v>17</v>
      </c>
      <c r="AG22" s="59">
        <v>25</v>
      </c>
      <c r="AH22" s="54">
        <f t="shared" si="2"/>
        <v>17</v>
      </c>
      <c r="AI22" s="55">
        <f t="shared" si="3"/>
        <v>11.1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</v>
      </c>
      <c r="C24" s="50">
        <v>10</v>
      </c>
      <c r="D24" s="50">
        <v>10</v>
      </c>
      <c r="E24" s="50">
        <v>10</v>
      </c>
      <c r="F24" s="50">
        <v>10</v>
      </c>
      <c r="G24" s="50">
        <v>10</v>
      </c>
      <c r="H24" s="50">
        <v>10</v>
      </c>
      <c r="I24" s="50">
        <v>10</v>
      </c>
      <c r="J24" s="50">
        <v>10</v>
      </c>
      <c r="K24" s="50">
        <v>10</v>
      </c>
      <c r="L24" s="50">
        <v>10</v>
      </c>
      <c r="M24" s="50">
        <v>10</v>
      </c>
      <c r="N24" s="50">
        <v>10</v>
      </c>
      <c r="O24" s="50">
        <v>10</v>
      </c>
      <c r="P24" s="50">
        <v>10</v>
      </c>
      <c r="Q24" s="50">
        <v>10</v>
      </c>
      <c r="R24" s="50">
        <v>10</v>
      </c>
      <c r="S24" s="50">
        <v>10</v>
      </c>
      <c r="T24" s="50">
        <v>10</v>
      </c>
      <c r="U24" s="50">
        <v>10</v>
      </c>
      <c r="V24" s="50">
        <v>10</v>
      </c>
      <c r="W24" s="50">
        <v>10</v>
      </c>
      <c r="X24" s="50">
        <v>10</v>
      </c>
      <c r="Y24" s="50">
        <v>10</v>
      </c>
      <c r="Z24" s="50">
        <v>10.4</v>
      </c>
      <c r="AA24" s="50">
        <v>10.4</v>
      </c>
      <c r="AB24" s="50">
        <v>10.4</v>
      </c>
      <c r="AC24" s="50">
        <v>10.4</v>
      </c>
      <c r="AD24" s="50">
        <v>10.4</v>
      </c>
      <c r="AE24" s="50">
        <v>10.4</v>
      </c>
      <c r="AF24" s="50">
        <v>10.4</v>
      </c>
      <c r="AG24" s="59">
        <v>25</v>
      </c>
      <c r="AH24" s="54">
        <f t="shared" si="2"/>
        <v>10.4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4</v>
      </c>
      <c r="C29" s="50">
        <v>4</v>
      </c>
      <c r="D29" s="50">
        <v>4</v>
      </c>
      <c r="E29" s="50">
        <v>4</v>
      </c>
      <c r="F29" s="50">
        <v>4</v>
      </c>
      <c r="G29" s="50">
        <v>4</v>
      </c>
      <c r="H29" s="50">
        <v>4</v>
      </c>
      <c r="I29" s="50">
        <v>4</v>
      </c>
      <c r="J29" s="50">
        <v>4</v>
      </c>
      <c r="K29" s="50">
        <v>4</v>
      </c>
      <c r="L29" s="50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f>12.6+24.9</f>
        <v>37.5</v>
      </c>
      <c r="C37" s="70">
        <f>12.8+25.3</f>
        <v>38.1</v>
      </c>
      <c r="D37" s="70">
        <f>12.9+25.4</f>
        <v>38.299999999999997</v>
      </c>
      <c r="E37" s="61">
        <f>12.8+25.7</f>
        <v>38.5</v>
      </c>
      <c r="F37" s="61">
        <f>12.8+25.7</f>
        <v>38.5</v>
      </c>
      <c r="G37" s="61">
        <f>12.8+25.7</f>
        <v>38.5</v>
      </c>
      <c r="H37" s="61">
        <f>12.2+23.5</f>
        <v>35.700000000000003</v>
      </c>
      <c r="I37" s="61">
        <f>12+23</f>
        <v>35</v>
      </c>
      <c r="J37" s="61">
        <f>11.9+23.1</f>
        <v>35</v>
      </c>
      <c r="K37" s="61">
        <f>12+23.2</f>
        <v>35.200000000000003</v>
      </c>
      <c r="L37" s="61">
        <f>11.7+22.9</f>
        <v>34.599999999999994</v>
      </c>
      <c r="M37" s="70">
        <f>11.5+22.7</f>
        <v>34.200000000000003</v>
      </c>
      <c r="N37" s="70">
        <v>35.6</v>
      </c>
      <c r="O37" s="70">
        <v>38.299999999999997</v>
      </c>
      <c r="P37" s="70">
        <v>38.700000000000003</v>
      </c>
      <c r="Q37" s="70">
        <v>40.1</v>
      </c>
      <c r="R37" s="70">
        <v>40.6</v>
      </c>
      <c r="S37" s="70">
        <v>38</v>
      </c>
      <c r="T37" s="70">
        <v>37</v>
      </c>
      <c r="U37" s="70">
        <v>37</v>
      </c>
      <c r="V37" s="70">
        <v>39</v>
      </c>
      <c r="W37" s="70">
        <v>37</v>
      </c>
      <c r="X37" s="70">
        <v>37.9</v>
      </c>
      <c r="Y37" s="70">
        <v>37.9</v>
      </c>
      <c r="Z37" s="70">
        <v>37.9</v>
      </c>
      <c r="AA37" s="70">
        <v>37.9</v>
      </c>
      <c r="AB37" s="70">
        <v>36.9</v>
      </c>
      <c r="AC37" s="70">
        <v>40</v>
      </c>
      <c r="AD37" s="70">
        <v>38</v>
      </c>
      <c r="AE37" s="70">
        <v>43</v>
      </c>
      <c r="AF37" s="70">
        <v>40.4</v>
      </c>
      <c r="AG37" s="67">
        <v>240</v>
      </c>
      <c r="AH37" s="54">
        <f t="shared" si="2"/>
        <v>43</v>
      </c>
      <c r="AI37" s="55">
        <f t="shared" si="3"/>
        <v>34.200000000000003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383.9</v>
      </c>
      <c r="C38" s="72">
        <f t="shared" ref="C38:AF38" si="5">SUM(C11:C36)</f>
        <v>385.59999999999997</v>
      </c>
      <c r="D38" s="72">
        <f t="shared" si="5"/>
        <v>385</v>
      </c>
      <c r="E38" s="72">
        <f t="shared" si="5"/>
        <v>385</v>
      </c>
      <c r="F38" s="72">
        <f t="shared" si="5"/>
        <v>405</v>
      </c>
      <c r="G38" s="72">
        <f t="shared" si="5"/>
        <v>405</v>
      </c>
      <c r="H38" s="72">
        <f t="shared" si="5"/>
        <v>400</v>
      </c>
      <c r="I38" s="72">
        <f t="shared" si="5"/>
        <v>449</v>
      </c>
      <c r="J38" s="72">
        <f t="shared" si="5"/>
        <v>575</v>
      </c>
      <c r="K38" s="72">
        <f t="shared" si="5"/>
        <v>625</v>
      </c>
      <c r="L38" s="72">
        <f t="shared" si="5"/>
        <v>655</v>
      </c>
      <c r="M38" s="72">
        <f t="shared" si="5"/>
        <v>655</v>
      </c>
      <c r="N38" s="72">
        <f t="shared" si="5"/>
        <v>600</v>
      </c>
      <c r="O38" s="72">
        <f t="shared" si="5"/>
        <v>545</v>
      </c>
      <c r="P38" s="72">
        <f t="shared" si="5"/>
        <v>485</v>
      </c>
      <c r="Q38" s="72">
        <f t="shared" si="5"/>
        <v>388</v>
      </c>
      <c r="R38" s="72">
        <f t="shared" si="5"/>
        <v>388</v>
      </c>
      <c r="S38" s="72">
        <f t="shared" si="5"/>
        <v>385</v>
      </c>
      <c r="T38" s="72">
        <f t="shared" si="5"/>
        <v>385</v>
      </c>
      <c r="U38" s="72">
        <f t="shared" si="5"/>
        <v>385</v>
      </c>
      <c r="V38" s="72">
        <f t="shared" si="5"/>
        <v>415</v>
      </c>
      <c r="W38" s="72">
        <f t="shared" si="5"/>
        <v>475</v>
      </c>
      <c r="X38" s="72">
        <f t="shared" si="5"/>
        <v>475</v>
      </c>
      <c r="Y38" s="72">
        <f t="shared" si="5"/>
        <v>555</v>
      </c>
      <c r="Z38" s="72">
        <f t="shared" si="5"/>
        <v>662.5</v>
      </c>
      <c r="AA38" s="72">
        <f t="shared" si="5"/>
        <v>662.5</v>
      </c>
      <c r="AB38" s="72">
        <f t="shared" si="5"/>
        <v>606.5</v>
      </c>
      <c r="AC38" s="72">
        <f t="shared" si="5"/>
        <v>442.5</v>
      </c>
      <c r="AD38" s="72">
        <f t="shared" si="5"/>
        <v>394.5</v>
      </c>
      <c r="AE38" s="72">
        <f t="shared" si="5"/>
        <v>394.5</v>
      </c>
      <c r="AF38" s="72">
        <f t="shared" si="5"/>
        <v>394.5</v>
      </c>
      <c r="AG38" s="67">
        <f>SUM(AG11:AG37)</f>
        <v>1492.8299999999997</v>
      </c>
      <c r="AH38" s="54">
        <f t="shared" si="2"/>
        <v>662.5</v>
      </c>
      <c r="AI38" s="55">
        <f t="shared" si="3"/>
        <v>383.9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25.6</v>
      </c>
      <c r="I39" s="61">
        <v>40.5</v>
      </c>
      <c r="J39" s="61">
        <v>123</v>
      </c>
      <c r="K39" s="61">
        <v>140</v>
      </c>
      <c r="L39" s="61">
        <v>148.19999999999999</v>
      </c>
      <c r="M39" s="50">
        <v>148.1</v>
      </c>
      <c r="N39" s="50">
        <v>122</v>
      </c>
      <c r="O39" s="50">
        <v>111.3</v>
      </c>
      <c r="P39" s="50">
        <v>110</v>
      </c>
      <c r="Q39" s="50">
        <v>76</v>
      </c>
      <c r="R39" s="50">
        <v>70.8</v>
      </c>
      <c r="S39" s="50">
        <v>66</v>
      </c>
      <c r="T39" s="50">
        <v>71.099999999999994</v>
      </c>
      <c r="U39" s="50">
        <v>80</v>
      </c>
      <c r="V39" s="50">
        <v>91.1</v>
      </c>
      <c r="W39" s="50">
        <v>111.3</v>
      </c>
      <c r="X39" s="50">
        <v>145.4</v>
      </c>
      <c r="Y39" s="50">
        <v>145.19999999999999</v>
      </c>
      <c r="Z39" s="50">
        <v>131.5</v>
      </c>
      <c r="AA39" s="50">
        <v>46.4</v>
      </c>
      <c r="AB39" s="50">
        <v>121.9</v>
      </c>
      <c r="AC39" s="50">
        <v>95</v>
      </c>
      <c r="AD39" s="50">
        <v>97.1</v>
      </c>
      <c r="AE39" s="50">
        <v>60</v>
      </c>
      <c r="AF39" s="49">
        <v>40</v>
      </c>
      <c r="AG39" s="62">
        <v>144</v>
      </c>
      <c r="AH39" s="54">
        <f t="shared" si="2"/>
        <v>148.19999999999999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22.3</v>
      </c>
      <c r="I40" s="61">
        <v>22.5</v>
      </c>
      <c r="J40" s="61">
        <v>60</v>
      </c>
      <c r="K40" s="61">
        <v>60.5</v>
      </c>
      <c r="L40" s="61">
        <v>70.400000000000006</v>
      </c>
      <c r="M40" s="73">
        <v>70.400000000000006</v>
      </c>
      <c r="N40" s="73">
        <v>60.5</v>
      </c>
      <c r="O40" s="73">
        <v>49.2</v>
      </c>
      <c r="P40" s="73">
        <v>55.6</v>
      </c>
      <c r="Q40" s="73">
        <v>35.5</v>
      </c>
      <c r="R40" s="73">
        <v>29.8</v>
      </c>
      <c r="S40" s="73">
        <v>23.7</v>
      </c>
      <c r="T40" s="73">
        <v>30.2</v>
      </c>
      <c r="U40" s="73">
        <v>35</v>
      </c>
      <c r="V40" s="73">
        <v>60.7</v>
      </c>
      <c r="W40" s="73">
        <v>59.3</v>
      </c>
      <c r="X40" s="73">
        <v>69.900000000000006</v>
      </c>
      <c r="Y40" s="73">
        <v>70.7</v>
      </c>
      <c r="Z40" s="73">
        <v>71</v>
      </c>
      <c r="AA40" s="73">
        <v>70</v>
      </c>
      <c r="AB40" s="73">
        <v>69.8</v>
      </c>
      <c r="AC40" s="73">
        <v>35</v>
      </c>
      <c r="AD40" s="73">
        <v>23.4</v>
      </c>
      <c r="AE40" s="73">
        <v>22.3</v>
      </c>
      <c r="AF40" s="61">
        <v>34.9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36</v>
      </c>
      <c r="C41" s="61">
        <v>16.399999999999999</v>
      </c>
      <c r="D41" s="61">
        <v>16</v>
      </c>
      <c r="E41" s="61">
        <v>16.3</v>
      </c>
      <c r="F41" s="61">
        <v>16.5</v>
      </c>
      <c r="G41" s="61">
        <v>40</v>
      </c>
      <c r="H41" s="61">
        <v>34.1</v>
      </c>
      <c r="I41" s="61">
        <v>34.1</v>
      </c>
      <c r="J41" s="61">
        <v>60.9</v>
      </c>
      <c r="K41" s="61">
        <v>60.9</v>
      </c>
      <c r="L41" s="61">
        <v>62.2</v>
      </c>
      <c r="M41" s="73">
        <v>66.8</v>
      </c>
      <c r="N41" s="73">
        <v>66.900000000000006</v>
      </c>
      <c r="O41" s="73">
        <v>44.4</v>
      </c>
      <c r="P41" s="73">
        <v>40.799999999999997</v>
      </c>
      <c r="Q41" s="73">
        <v>33.299999999999997</v>
      </c>
      <c r="R41" s="73">
        <v>22.7</v>
      </c>
      <c r="S41" s="73">
        <v>17.100000000000001</v>
      </c>
      <c r="T41" s="73">
        <v>0</v>
      </c>
      <c r="U41" s="73">
        <v>22.7</v>
      </c>
      <c r="V41" s="73">
        <v>46.5</v>
      </c>
      <c r="W41" s="73">
        <v>52.5</v>
      </c>
      <c r="X41" s="73">
        <v>67.2</v>
      </c>
      <c r="Y41" s="73">
        <v>67.5</v>
      </c>
      <c r="Z41" s="73">
        <v>67.8</v>
      </c>
      <c r="AA41" s="73">
        <v>67.8</v>
      </c>
      <c r="AB41" s="73">
        <v>35.200000000000003</v>
      </c>
      <c r="AC41" s="73">
        <v>34.5</v>
      </c>
      <c r="AD41" s="73">
        <v>35.799999999999997</v>
      </c>
      <c r="AE41" s="73">
        <v>22.6</v>
      </c>
      <c r="AF41" s="61">
        <v>23</v>
      </c>
      <c r="AG41" s="67">
        <v>69</v>
      </c>
      <c r="AH41" s="54">
        <f t="shared" si="2"/>
        <v>67.8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48.9</v>
      </c>
      <c r="C42" s="61">
        <v>46.6</v>
      </c>
      <c r="D42" s="61">
        <v>46.6</v>
      </c>
      <c r="E42" s="61">
        <v>46.6</v>
      </c>
      <c r="F42" s="61">
        <v>46.4</v>
      </c>
      <c r="G42" s="61">
        <v>46.4</v>
      </c>
      <c r="H42" s="61">
        <v>45.6</v>
      </c>
      <c r="I42" s="61">
        <v>45.6</v>
      </c>
      <c r="J42" s="61">
        <v>45.6</v>
      </c>
      <c r="K42" s="61">
        <v>45.6</v>
      </c>
      <c r="L42" s="61">
        <v>45.6</v>
      </c>
      <c r="M42" s="73">
        <v>47.4</v>
      </c>
      <c r="N42" s="73">
        <v>47.4</v>
      </c>
      <c r="O42" s="73">
        <v>47.4</v>
      </c>
      <c r="P42" s="73">
        <v>47.4</v>
      </c>
      <c r="Q42" s="73">
        <v>47.4</v>
      </c>
      <c r="R42" s="73">
        <v>47.4</v>
      </c>
      <c r="S42" s="73">
        <v>47.1</v>
      </c>
      <c r="T42" s="73">
        <v>47.1</v>
      </c>
      <c r="U42" s="73">
        <v>47.9</v>
      </c>
      <c r="V42" s="73">
        <v>44.1</v>
      </c>
      <c r="W42" s="73">
        <v>44.1</v>
      </c>
      <c r="X42" s="73">
        <v>44.1</v>
      </c>
      <c r="Y42" s="73">
        <v>44.1</v>
      </c>
      <c r="Z42" s="73">
        <v>44</v>
      </c>
      <c r="AA42" s="73">
        <v>44</v>
      </c>
      <c r="AB42" s="73">
        <v>46.1</v>
      </c>
      <c r="AC42" s="73">
        <v>46.3</v>
      </c>
      <c r="AD42" s="73">
        <v>46.3</v>
      </c>
      <c r="AE42" s="73">
        <v>50.4</v>
      </c>
      <c r="AF42" s="61">
        <v>48.3</v>
      </c>
      <c r="AG42" s="67">
        <v>60</v>
      </c>
      <c r="AH42" s="54">
        <f t="shared" si="2"/>
        <v>50.4</v>
      </c>
      <c r="AI42" s="55">
        <f t="shared" si="3"/>
        <v>44</v>
      </c>
      <c r="AK42" s="56"/>
    </row>
    <row r="43" spans="1:88" x14ac:dyDescent="0.25">
      <c r="A43" s="66" t="s">
        <v>51</v>
      </c>
      <c r="B43" s="61">
        <v>10</v>
      </c>
      <c r="C43" s="61">
        <v>10</v>
      </c>
      <c r="D43" s="61">
        <v>10</v>
      </c>
      <c r="E43" s="61">
        <v>10</v>
      </c>
      <c r="F43" s="61">
        <v>10</v>
      </c>
      <c r="G43" s="61">
        <v>10</v>
      </c>
      <c r="H43" s="61">
        <v>10</v>
      </c>
      <c r="I43" s="61">
        <v>10</v>
      </c>
      <c r="J43" s="61">
        <v>10</v>
      </c>
      <c r="K43" s="61">
        <v>10</v>
      </c>
      <c r="L43" s="61">
        <v>10</v>
      </c>
      <c r="M43" s="50">
        <v>15</v>
      </c>
      <c r="N43" s="50">
        <v>12</v>
      </c>
      <c r="O43" s="50">
        <v>12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10</v>
      </c>
      <c r="Y43" s="50">
        <v>15</v>
      </c>
      <c r="Z43" s="73">
        <v>15</v>
      </c>
      <c r="AA43" s="73">
        <v>15</v>
      </c>
      <c r="AB43" s="73">
        <v>15</v>
      </c>
      <c r="AC43" s="73">
        <v>10</v>
      </c>
      <c r="AD43" s="73">
        <v>10</v>
      </c>
      <c r="AE43" s="73">
        <v>10</v>
      </c>
      <c r="AF43" s="61">
        <v>10.3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74">
        <v>16</v>
      </c>
      <c r="I45" s="74">
        <v>16</v>
      </c>
      <c r="J45" s="74">
        <v>16</v>
      </c>
      <c r="K45" s="74">
        <v>16</v>
      </c>
      <c r="L45" s="74">
        <v>16</v>
      </c>
      <c r="M45" s="74">
        <v>16</v>
      </c>
      <c r="N45" s="74">
        <v>16</v>
      </c>
      <c r="O45" s="74">
        <v>16</v>
      </c>
      <c r="P45" s="74">
        <v>16</v>
      </c>
      <c r="Q45" s="74">
        <v>16</v>
      </c>
      <c r="R45" s="74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11</v>
      </c>
      <c r="C47" s="50">
        <v>11</v>
      </c>
      <c r="D47" s="50">
        <v>11</v>
      </c>
      <c r="E47" s="50">
        <v>11</v>
      </c>
      <c r="F47" s="50">
        <v>11</v>
      </c>
      <c r="G47" s="50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74">
        <v>5</v>
      </c>
      <c r="I48" s="74">
        <v>5</v>
      </c>
      <c r="J48" s="74">
        <v>5</v>
      </c>
      <c r="K48" s="74">
        <v>5</v>
      </c>
      <c r="L48" s="74">
        <v>5</v>
      </c>
      <c r="M48" s="74">
        <v>5</v>
      </c>
      <c r="N48" s="74">
        <v>5</v>
      </c>
      <c r="O48" s="74">
        <v>5</v>
      </c>
      <c r="P48" s="74">
        <v>5</v>
      </c>
      <c r="Q48" s="74">
        <v>5</v>
      </c>
      <c r="R48" s="74">
        <v>5</v>
      </c>
      <c r="S48" s="74">
        <v>5</v>
      </c>
      <c r="T48" s="74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4.9000000000000004</v>
      </c>
      <c r="C49" s="50">
        <v>4.9000000000000004</v>
      </c>
      <c r="D49" s="50">
        <v>4.9000000000000004</v>
      </c>
      <c r="E49" s="50">
        <v>4.9000000000000004</v>
      </c>
      <c r="F49" s="50">
        <v>4.9000000000000004</v>
      </c>
      <c r="G49" s="50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61">
        <v>4.9000000000000004</v>
      </c>
      <c r="Z49" s="50">
        <v>4.9000000000000004</v>
      </c>
      <c r="AA49" s="50">
        <v>4.9000000000000004</v>
      </c>
      <c r="AB49" s="50">
        <v>4.9000000000000004</v>
      </c>
      <c r="AC49" s="50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137.84</v>
      </c>
      <c r="C52" s="72">
        <f t="shared" ref="C52:AF52" si="9">SUM(C39:C51)</f>
        <v>115.94000000000001</v>
      </c>
      <c r="D52" s="72">
        <f t="shared" si="9"/>
        <v>115.54</v>
      </c>
      <c r="E52" s="72">
        <f t="shared" si="9"/>
        <v>115.84000000000002</v>
      </c>
      <c r="F52" s="72">
        <f t="shared" si="9"/>
        <v>115.84000000000002</v>
      </c>
      <c r="G52" s="72">
        <f t="shared" si="9"/>
        <v>139.34</v>
      </c>
      <c r="H52" s="72">
        <f t="shared" si="9"/>
        <v>180.54</v>
      </c>
      <c r="I52" s="72">
        <f t="shared" si="9"/>
        <v>195.64</v>
      </c>
      <c r="J52" s="72">
        <f t="shared" si="9"/>
        <v>342.44</v>
      </c>
      <c r="K52" s="72">
        <f t="shared" si="9"/>
        <v>359.94</v>
      </c>
      <c r="L52" s="72">
        <f t="shared" si="9"/>
        <v>379.34000000000003</v>
      </c>
      <c r="M52" s="72">
        <f t="shared" si="9"/>
        <v>390.64</v>
      </c>
      <c r="N52" s="72">
        <f t="shared" si="9"/>
        <v>351.74</v>
      </c>
      <c r="O52" s="72">
        <f t="shared" si="9"/>
        <v>307.24</v>
      </c>
      <c r="P52" s="72">
        <f t="shared" si="9"/>
        <v>306.73999999999995</v>
      </c>
      <c r="Q52" s="72">
        <f t="shared" si="9"/>
        <v>245.14000000000001</v>
      </c>
      <c r="R52" s="72">
        <f t="shared" si="9"/>
        <v>213.64</v>
      </c>
      <c r="S52" s="72">
        <f t="shared" si="9"/>
        <v>196.84</v>
      </c>
      <c r="T52" s="72">
        <f t="shared" si="9"/>
        <v>191.34</v>
      </c>
      <c r="U52" s="72">
        <f t="shared" si="9"/>
        <v>228.54</v>
      </c>
      <c r="V52" s="72">
        <f t="shared" si="9"/>
        <v>285.33999999999997</v>
      </c>
      <c r="W52" s="72">
        <f t="shared" si="9"/>
        <v>310.14</v>
      </c>
      <c r="X52" s="72">
        <f t="shared" si="9"/>
        <v>379.54</v>
      </c>
      <c r="Y52" s="72">
        <f t="shared" si="9"/>
        <v>385.44</v>
      </c>
      <c r="Z52" s="72">
        <f t="shared" si="9"/>
        <v>372.24</v>
      </c>
      <c r="AA52" s="72">
        <f t="shared" si="9"/>
        <v>286.14</v>
      </c>
      <c r="AB52" s="72">
        <f t="shared" si="9"/>
        <v>330.94</v>
      </c>
      <c r="AC52" s="72">
        <f t="shared" si="9"/>
        <v>263.74</v>
      </c>
      <c r="AD52" s="72">
        <f t="shared" si="9"/>
        <v>255.54000000000002</v>
      </c>
      <c r="AE52" s="72">
        <f t="shared" si="9"/>
        <v>208.24</v>
      </c>
      <c r="AF52" s="72">
        <f t="shared" si="9"/>
        <v>199.44</v>
      </c>
      <c r="AG52" s="78">
        <f>SUM(AG39:AG51)</f>
        <v>489.91</v>
      </c>
      <c r="AH52" s="54">
        <f t="shared" si="2"/>
        <v>390.64</v>
      </c>
      <c r="AI52" s="55">
        <f t="shared" si="3"/>
        <v>115.54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25.4</v>
      </c>
      <c r="M53" s="79">
        <v>30.7</v>
      </c>
      <c r="N53" s="79">
        <v>30.4</v>
      </c>
      <c r="O53" s="79">
        <v>24.4</v>
      </c>
      <c r="P53" s="79">
        <v>30</v>
      </c>
      <c r="Q53" s="50">
        <v>0</v>
      </c>
      <c r="R53" s="50">
        <v>0</v>
      </c>
      <c r="S53" s="50">
        <v>0</v>
      </c>
      <c r="T53" s="50">
        <v>0</v>
      </c>
      <c r="U53" s="50">
        <v>13.9</v>
      </c>
      <c r="V53" s="50">
        <v>39.9</v>
      </c>
      <c r="W53" s="50">
        <v>39.9</v>
      </c>
      <c r="X53" s="50">
        <v>59.5</v>
      </c>
      <c r="Y53" s="50">
        <v>60</v>
      </c>
      <c r="Z53" s="50">
        <v>45</v>
      </c>
      <c r="AA53" s="50">
        <v>50</v>
      </c>
      <c r="AB53" s="50">
        <v>20.399999999999999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10.9</v>
      </c>
      <c r="M54" s="79">
        <v>15.2</v>
      </c>
      <c r="N54" s="79">
        <v>15.1</v>
      </c>
      <c r="O54" s="79">
        <v>10.5</v>
      </c>
      <c r="P54" s="79">
        <v>6.3</v>
      </c>
      <c r="Q54" s="50">
        <v>0</v>
      </c>
      <c r="R54" s="50">
        <v>0</v>
      </c>
      <c r="S54" s="50">
        <v>0</v>
      </c>
      <c r="T54" s="50">
        <v>0</v>
      </c>
      <c r="U54" s="50">
        <v>8.3000000000000007</v>
      </c>
      <c r="V54" s="73">
        <v>11.8</v>
      </c>
      <c r="W54" s="73">
        <v>18.2</v>
      </c>
      <c r="X54" s="73">
        <v>27.5</v>
      </c>
      <c r="Y54" s="73">
        <v>29</v>
      </c>
      <c r="Z54" s="73">
        <v>22.6</v>
      </c>
      <c r="AA54" s="73">
        <v>22.5</v>
      </c>
      <c r="AB54" s="73">
        <v>14.8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29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4</v>
      </c>
      <c r="M55" s="81">
        <v>5.5</v>
      </c>
      <c r="N55" s="81">
        <v>5.5</v>
      </c>
      <c r="O55" s="81">
        <v>3.8</v>
      </c>
      <c r="P55" s="81">
        <v>2.2999999999999998</v>
      </c>
      <c r="Q55" s="50">
        <v>0</v>
      </c>
      <c r="R55" s="50">
        <v>0</v>
      </c>
      <c r="S55" s="50">
        <v>0</v>
      </c>
      <c r="T55" s="50">
        <v>0</v>
      </c>
      <c r="U55" s="50">
        <v>3.1</v>
      </c>
      <c r="V55" s="80">
        <v>4.3</v>
      </c>
      <c r="W55" s="80">
        <v>6.6</v>
      </c>
      <c r="X55" s="80">
        <v>10</v>
      </c>
      <c r="Y55" s="80">
        <v>11</v>
      </c>
      <c r="Z55" s="80">
        <v>8</v>
      </c>
      <c r="AA55" s="80">
        <v>8.1999999999999993</v>
      </c>
      <c r="AB55" s="80">
        <v>5.4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0</v>
      </c>
      <c r="L56" s="72">
        <f t="shared" si="11"/>
        <v>40.299999999999997</v>
      </c>
      <c r="M56" s="72">
        <f t="shared" si="11"/>
        <v>51.4</v>
      </c>
      <c r="N56" s="72">
        <f t="shared" si="11"/>
        <v>51</v>
      </c>
      <c r="O56" s="72">
        <f t="shared" si="11"/>
        <v>38.699999999999996</v>
      </c>
      <c r="P56" s="72">
        <f t="shared" si="11"/>
        <v>38.599999999999994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2">
        <f t="shared" si="11"/>
        <v>0</v>
      </c>
      <c r="U56" s="72">
        <f t="shared" si="11"/>
        <v>25.300000000000004</v>
      </c>
      <c r="V56" s="72">
        <f t="shared" si="11"/>
        <v>56</v>
      </c>
      <c r="W56" s="72">
        <f t="shared" si="11"/>
        <v>64.699999999999989</v>
      </c>
      <c r="X56" s="72">
        <f t="shared" si="11"/>
        <v>97</v>
      </c>
      <c r="Y56" s="72">
        <f t="shared" si="11"/>
        <v>100</v>
      </c>
      <c r="Z56" s="72">
        <f t="shared" si="11"/>
        <v>75.599999999999994</v>
      </c>
      <c r="AA56" s="72">
        <f t="shared" si="11"/>
        <v>80.7</v>
      </c>
      <c r="AB56" s="72">
        <f t="shared" si="11"/>
        <v>40.6</v>
      </c>
      <c r="AC56" s="72">
        <f t="shared" si="11"/>
        <v>0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100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</v>
      </c>
      <c r="C57" s="50">
        <v>65</v>
      </c>
      <c r="D57" s="50">
        <v>64</v>
      </c>
      <c r="E57" s="50">
        <v>63.6</v>
      </c>
      <c r="F57" s="50">
        <v>66.8</v>
      </c>
      <c r="G57" s="50">
        <v>74</v>
      </c>
      <c r="H57" s="50">
        <v>71.36</v>
      </c>
      <c r="I57" s="50">
        <v>74.3</v>
      </c>
      <c r="J57" s="50">
        <v>67.2</v>
      </c>
      <c r="K57" s="50">
        <v>74</v>
      </c>
      <c r="L57" s="50">
        <v>78.3</v>
      </c>
      <c r="M57" s="50">
        <v>75.8</v>
      </c>
      <c r="N57" s="50">
        <v>71.56</v>
      </c>
      <c r="O57" s="50">
        <v>66.63</v>
      </c>
      <c r="P57" s="50">
        <v>76.37</v>
      </c>
      <c r="Q57" s="50">
        <v>69.12</v>
      </c>
      <c r="R57" s="50">
        <v>69.59</v>
      </c>
      <c r="S57" s="50">
        <v>75.81</v>
      </c>
      <c r="T57" s="50">
        <v>73.180000000000007</v>
      </c>
      <c r="U57" s="50">
        <v>74</v>
      </c>
      <c r="V57" s="50">
        <v>72.430000000000007</v>
      </c>
      <c r="W57" s="50">
        <v>68</v>
      </c>
      <c r="X57" s="50">
        <v>66</v>
      </c>
      <c r="Y57" s="50">
        <v>69</v>
      </c>
      <c r="Z57" s="50">
        <v>65</v>
      </c>
      <c r="AA57" s="50">
        <v>71</v>
      </c>
      <c r="AB57" s="50">
        <v>61.64</v>
      </c>
      <c r="AC57" s="50">
        <v>70</v>
      </c>
      <c r="AD57" s="50">
        <v>64</v>
      </c>
      <c r="AE57" s="50">
        <v>65</v>
      </c>
      <c r="AF57" s="50">
        <v>63.1</v>
      </c>
      <c r="AG57" s="62"/>
      <c r="AH57" s="54">
        <f t="shared" si="2"/>
        <v>78.3</v>
      </c>
      <c r="AI57" s="55">
        <f t="shared" si="3"/>
        <v>61.64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123</v>
      </c>
      <c r="K58" s="73">
        <v>130</v>
      </c>
      <c r="L58" s="73">
        <v>145</v>
      </c>
      <c r="M58" s="50">
        <v>130</v>
      </c>
      <c r="N58" s="50">
        <v>123</v>
      </c>
      <c r="O58" s="50">
        <v>157.69999999999999</v>
      </c>
      <c r="P58" s="50">
        <v>150.30000000000001</v>
      </c>
      <c r="Q58" s="50">
        <v>80.8</v>
      </c>
      <c r="R58" s="50">
        <v>66.599999999999994</v>
      </c>
      <c r="S58" s="50">
        <v>0</v>
      </c>
      <c r="T58" s="50">
        <v>0</v>
      </c>
      <c r="U58" s="50">
        <v>0</v>
      </c>
      <c r="V58" s="50">
        <v>96</v>
      </c>
      <c r="W58" s="50">
        <v>132</v>
      </c>
      <c r="X58" s="83">
        <v>85</v>
      </c>
      <c r="Y58" s="83">
        <v>84</v>
      </c>
      <c r="Z58" s="83">
        <v>89.8</v>
      </c>
      <c r="AA58" s="83">
        <v>85.3</v>
      </c>
      <c r="AB58" s="73">
        <v>72.7</v>
      </c>
      <c r="AC58" s="73">
        <v>76.7</v>
      </c>
      <c r="AD58" s="73">
        <v>71.2</v>
      </c>
      <c r="AE58" s="73">
        <v>0</v>
      </c>
      <c r="AF58" s="73">
        <v>0</v>
      </c>
      <c r="AG58" s="67"/>
      <c r="AH58" s="54">
        <f t="shared" si="2"/>
        <v>157.69999999999999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358</v>
      </c>
      <c r="C59" s="73">
        <v>369</v>
      </c>
      <c r="D59" s="73">
        <v>357</v>
      </c>
      <c r="E59" s="73">
        <v>356</v>
      </c>
      <c r="F59" s="73">
        <v>338</v>
      </c>
      <c r="G59" s="73">
        <v>365</v>
      </c>
      <c r="H59" s="50">
        <v>358</v>
      </c>
      <c r="I59" s="50">
        <v>381</v>
      </c>
      <c r="J59" s="50">
        <v>59.8</v>
      </c>
      <c r="K59" s="50">
        <v>60</v>
      </c>
      <c r="L59" s="50">
        <v>37.700000000000003</v>
      </c>
      <c r="M59" s="73">
        <v>44.8</v>
      </c>
      <c r="N59" s="73">
        <v>58.6</v>
      </c>
      <c r="O59" s="73">
        <v>50.7</v>
      </c>
      <c r="P59" s="73">
        <v>50.7</v>
      </c>
      <c r="Q59" s="73">
        <v>222.5</v>
      </c>
      <c r="R59" s="73">
        <v>275.8</v>
      </c>
      <c r="S59" s="73">
        <v>353</v>
      </c>
      <c r="T59" s="73">
        <v>422</v>
      </c>
      <c r="U59" s="73">
        <v>390</v>
      </c>
      <c r="V59" s="73">
        <v>159</v>
      </c>
      <c r="W59" s="73">
        <v>99.99</v>
      </c>
      <c r="X59" s="84">
        <v>85</v>
      </c>
      <c r="Y59" s="84">
        <v>104</v>
      </c>
      <c r="Z59" s="84">
        <v>61.6</v>
      </c>
      <c r="AA59" s="84">
        <v>50.8</v>
      </c>
      <c r="AB59" s="73">
        <v>48.2</v>
      </c>
      <c r="AC59" s="73">
        <v>242.8</v>
      </c>
      <c r="AD59" s="73">
        <v>265.3</v>
      </c>
      <c r="AE59" s="73">
        <v>353</v>
      </c>
      <c r="AF59" s="73">
        <v>328.1</v>
      </c>
      <c r="AG59" s="85"/>
      <c r="AH59" s="54">
        <f t="shared" si="2"/>
        <v>422</v>
      </c>
      <c r="AI59" s="55">
        <f t="shared" si="3"/>
        <v>37.700000000000003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56.4</v>
      </c>
      <c r="I60" s="58">
        <v>57.2</v>
      </c>
      <c r="J60" s="58">
        <v>59.5</v>
      </c>
      <c r="K60" s="58">
        <v>60.9</v>
      </c>
      <c r="L60" s="58">
        <v>61.3</v>
      </c>
      <c r="M60" s="73">
        <v>61.1</v>
      </c>
      <c r="N60" s="73">
        <v>63</v>
      </c>
      <c r="O60" s="73">
        <v>52.7</v>
      </c>
      <c r="P60" s="73">
        <v>58.1</v>
      </c>
      <c r="Q60" s="73">
        <v>57.3</v>
      </c>
      <c r="R60" s="73">
        <v>48.4</v>
      </c>
      <c r="S60" s="73">
        <v>54</v>
      </c>
      <c r="T60" s="73">
        <v>55.3</v>
      </c>
      <c r="U60" s="73">
        <v>56.2</v>
      </c>
      <c r="V60" s="73">
        <v>55</v>
      </c>
      <c r="W60" s="73">
        <v>50.9</v>
      </c>
      <c r="X60" s="73">
        <v>50</v>
      </c>
      <c r="Y60" s="73">
        <v>54</v>
      </c>
      <c r="Z60" s="73">
        <v>55.9</v>
      </c>
      <c r="AA60" s="73">
        <v>56.4</v>
      </c>
      <c r="AB60" s="73">
        <v>50.5</v>
      </c>
      <c r="AC60" s="73">
        <v>53.6</v>
      </c>
      <c r="AD60" s="73">
        <v>36.200000000000003</v>
      </c>
      <c r="AE60" s="73">
        <v>0</v>
      </c>
      <c r="AF60" s="73">
        <v>0</v>
      </c>
      <c r="AG60" s="85"/>
      <c r="AH60" s="54">
        <f t="shared" si="2"/>
        <v>63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75.8</v>
      </c>
      <c r="K61" s="58">
        <v>79.099999999999994</v>
      </c>
      <c r="L61" s="58">
        <v>76</v>
      </c>
      <c r="M61" s="50">
        <v>80.8</v>
      </c>
      <c r="N61" s="50">
        <v>83.3</v>
      </c>
      <c r="O61" s="50">
        <v>90.3</v>
      </c>
      <c r="P61" s="50">
        <v>90.3</v>
      </c>
      <c r="Q61" s="50">
        <v>93.7</v>
      </c>
      <c r="R61" s="50">
        <v>80.599999999999994</v>
      </c>
      <c r="S61" s="50">
        <v>79.099999999999994</v>
      </c>
      <c r="T61" s="50">
        <v>90.1</v>
      </c>
      <c r="U61" s="50">
        <v>83.1</v>
      </c>
      <c r="V61" s="50">
        <v>81.2</v>
      </c>
      <c r="W61" s="50">
        <v>67.7</v>
      </c>
      <c r="X61" s="50">
        <v>84.8</v>
      </c>
      <c r="Y61" s="50">
        <v>88.8</v>
      </c>
      <c r="Z61" s="50">
        <v>78.7</v>
      </c>
      <c r="AA61" s="50">
        <v>74.900000000000006</v>
      </c>
      <c r="AB61" s="50">
        <v>72.8</v>
      </c>
      <c r="AC61" s="50">
        <v>70.099999999999994</v>
      </c>
      <c r="AD61" s="50">
        <v>81.5</v>
      </c>
      <c r="AE61" s="50">
        <v>0</v>
      </c>
      <c r="AF61" s="50">
        <v>0</v>
      </c>
      <c r="AG61" s="85"/>
      <c r="AH61" s="54">
        <f t="shared" si="2"/>
        <v>93.7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58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60">
        <v>0</v>
      </c>
      <c r="P64" s="60">
        <v>0</v>
      </c>
      <c r="Q64" s="60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60">
        <v>0</v>
      </c>
      <c r="P65" s="60">
        <v>0</v>
      </c>
      <c r="Q65" s="60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63">
        <v>10</v>
      </c>
      <c r="O66" s="63">
        <v>10</v>
      </c>
      <c r="P66" s="63">
        <v>10</v>
      </c>
      <c r="Q66" s="63">
        <v>10</v>
      </c>
      <c r="R66" s="63">
        <v>10</v>
      </c>
      <c r="S66" s="63">
        <v>10</v>
      </c>
      <c r="T66" s="63">
        <v>10</v>
      </c>
      <c r="U66" s="63">
        <v>10</v>
      </c>
      <c r="V66" s="63">
        <v>10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63">
        <v>0</v>
      </c>
      <c r="O67" s="60">
        <v>0</v>
      </c>
      <c r="P67" s="60">
        <v>0</v>
      </c>
      <c r="Q67" s="60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427</v>
      </c>
      <c r="C68" s="72">
        <f>SUM(C57:C67)</f>
        <v>434</v>
      </c>
      <c r="D68" s="72">
        <f t="shared" ref="D68:AF68" si="13">SUM(D57:D67)</f>
        <v>421</v>
      </c>
      <c r="E68" s="72">
        <f t="shared" si="13"/>
        <v>419.6</v>
      </c>
      <c r="F68" s="72">
        <f t="shared" si="13"/>
        <v>404.8</v>
      </c>
      <c r="G68" s="72">
        <f t="shared" si="13"/>
        <v>439</v>
      </c>
      <c r="H68" s="72">
        <f t="shared" si="13"/>
        <v>485.76</v>
      </c>
      <c r="I68" s="72">
        <f t="shared" si="13"/>
        <v>512.5</v>
      </c>
      <c r="J68" s="72">
        <f t="shared" si="13"/>
        <v>385.3</v>
      </c>
      <c r="K68" s="72">
        <f t="shared" si="13"/>
        <v>404</v>
      </c>
      <c r="L68" s="72">
        <f t="shared" si="13"/>
        <v>398.3</v>
      </c>
      <c r="M68" s="72">
        <f t="shared" si="13"/>
        <v>392.50000000000006</v>
      </c>
      <c r="N68" s="72">
        <f t="shared" si="13"/>
        <v>409.46</v>
      </c>
      <c r="O68" s="72">
        <f t="shared" si="13"/>
        <v>428.03</v>
      </c>
      <c r="P68" s="72">
        <f t="shared" si="13"/>
        <v>435.77000000000004</v>
      </c>
      <c r="Q68" s="72">
        <f t="shared" si="13"/>
        <v>533.42000000000007</v>
      </c>
      <c r="R68" s="72">
        <f t="shared" si="13"/>
        <v>550.99</v>
      </c>
      <c r="S68" s="72">
        <f t="shared" si="13"/>
        <v>571.91</v>
      </c>
      <c r="T68" s="72">
        <f t="shared" si="13"/>
        <v>650.58000000000004</v>
      </c>
      <c r="U68" s="72">
        <f t="shared" si="13"/>
        <v>613.30000000000007</v>
      </c>
      <c r="V68" s="72">
        <f t="shared" si="13"/>
        <v>473.63</v>
      </c>
      <c r="W68" s="72">
        <f t="shared" si="13"/>
        <v>418.59</v>
      </c>
      <c r="X68" s="72">
        <f t="shared" si="13"/>
        <v>370.8</v>
      </c>
      <c r="Y68" s="72">
        <f t="shared" si="13"/>
        <v>399.8</v>
      </c>
      <c r="Z68" s="72">
        <f t="shared" si="13"/>
        <v>351</v>
      </c>
      <c r="AA68" s="72">
        <f t="shared" si="13"/>
        <v>338.4</v>
      </c>
      <c r="AB68" s="72">
        <f t="shared" si="13"/>
        <v>305.84000000000003</v>
      </c>
      <c r="AC68" s="72">
        <f t="shared" si="13"/>
        <v>513.20000000000005</v>
      </c>
      <c r="AD68" s="72">
        <f t="shared" si="13"/>
        <v>518.20000000000005</v>
      </c>
      <c r="AE68" s="72">
        <f t="shared" si="13"/>
        <v>418</v>
      </c>
      <c r="AF68" s="72">
        <f t="shared" si="13"/>
        <v>391.20000000000005</v>
      </c>
      <c r="AG68" s="78">
        <f>SUM(AG57:AG67)</f>
        <v>0</v>
      </c>
      <c r="AH68" s="54">
        <f t="shared" si="2"/>
        <v>650.58000000000004</v>
      </c>
      <c r="AI68" s="55">
        <f t="shared" si="3"/>
        <v>305.84000000000003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948.74</v>
      </c>
      <c r="C73" s="89">
        <f>C68+C56+C52+C38+C72</f>
        <v>935.54</v>
      </c>
      <c r="D73" s="89">
        <f t="shared" ref="D73:AG73" si="17">D68+D56+D52+D38+D72</f>
        <v>921.54</v>
      </c>
      <c r="E73" s="89">
        <f t="shared" si="17"/>
        <v>920.44</v>
      </c>
      <c r="F73" s="89">
        <f t="shared" si="17"/>
        <v>925.64</v>
      </c>
      <c r="G73" s="89">
        <f t="shared" si="17"/>
        <v>983.34</v>
      </c>
      <c r="H73" s="89">
        <f t="shared" si="17"/>
        <v>1066.3</v>
      </c>
      <c r="I73" s="89">
        <f t="shared" si="17"/>
        <v>1157.1399999999999</v>
      </c>
      <c r="J73" s="89">
        <f t="shared" si="17"/>
        <v>1302.74</v>
      </c>
      <c r="K73" s="89">
        <f t="shared" si="17"/>
        <v>1388.94</v>
      </c>
      <c r="L73" s="89">
        <f t="shared" si="17"/>
        <v>1472.94</v>
      </c>
      <c r="M73" s="89">
        <f t="shared" si="17"/>
        <v>1489.54</v>
      </c>
      <c r="N73" s="89">
        <f t="shared" si="17"/>
        <v>1412.2</v>
      </c>
      <c r="O73" s="89">
        <f t="shared" si="17"/>
        <v>1318.97</v>
      </c>
      <c r="P73" s="89">
        <f t="shared" si="17"/>
        <v>1266.1099999999999</v>
      </c>
      <c r="Q73" s="89">
        <f t="shared" si="17"/>
        <v>1166.56</v>
      </c>
      <c r="R73" s="89">
        <f t="shared" si="17"/>
        <v>1152.6300000000001</v>
      </c>
      <c r="S73" s="89">
        <f t="shared" si="17"/>
        <v>1153.75</v>
      </c>
      <c r="T73" s="89">
        <f t="shared" si="17"/>
        <v>1226.92</v>
      </c>
      <c r="U73" s="89">
        <f t="shared" si="17"/>
        <v>1252.1399999999999</v>
      </c>
      <c r="V73" s="89">
        <f t="shared" si="17"/>
        <v>1229.97</v>
      </c>
      <c r="W73" s="89">
        <f t="shared" si="17"/>
        <v>1268.4299999999998</v>
      </c>
      <c r="X73" s="89">
        <f t="shared" si="17"/>
        <v>1322.3400000000001</v>
      </c>
      <c r="Y73" s="89">
        <f t="shared" si="17"/>
        <v>1440.24</v>
      </c>
      <c r="Z73" s="89">
        <f t="shared" si="17"/>
        <v>1461.3400000000001</v>
      </c>
      <c r="AA73" s="89">
        <f t="shared" si="17"/>
        <v>1367.74</v>
      </c>
      <c r="AB73" s="89">
        <f t="shared" si="17"/>
        <v>1283.8800000000001</v>
      </c>
      <c r="AC73" s="89">
        <f t="shared" si="17"/>
        <v>1219.44</v>
      </c>
      <c r="AD73" s="89">
        <f t="shared" si="17"/>
        <v>1168.24</v>
      </c>
      <c r="AE73" s="89">
        <f t="shared" si="17"/>
        <v>1020.74</v>
      </c>
      <c r="AF73" s="89">
        <f t="shared" si="17"/>
        <v>985.1400000000001</v>
      </c>
      <c r="AG73" s="89">
        <f t="shared" si="17"/>
        <v>2144.14</v>
      </c>
      <c r="AH73" s="54">
        <f t="shared" si="2"/>
        <v>1489.54</v>
      </c>
      <c r="AI73" s="55">
        <f t="shared" si="3"/>
        <v>920.44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>
        <v>30</v>
      </c>
      <c r="O74" s="91">
        <v>25</v>
      </c>
      <c r="P74" s="91">
        <v>20</v>
      </c>
      <c r="Q74" s="91">
        <v>20</v>
      </c>
      <c r="R74" s="91">
        <v>20</v>
      </c>
      <c r="S74" s="91">
        <v>20</v>
      </c>
      <c r="T74" s="91">
        <v>20</v>
      </c>
      <c r="U74" s="91">
        <v>20</v>
      </c>
      <c r="V74" s="91">
        <v>20</v>
      </c>
      <c r="W74" s="91">
        <v>0</v>
      </c>
      <c r="X74" s="91">
        <v>20</v>
      </c>
      <c r="Y74" s="91">
        <v>0</v>
      </c>
      <c r="Z74" s="91">
        <v>0</v>
      </c>
      <c r="AA74" s="91">
        <v>0</v>
      </c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948.74</v>
      </c>
      <c r="C75" s="89">
        <f>C73+C74</f>
        <v>935.54</v>
      </c>
      <c r="D75" s="89">
        <f t="shared" ref="D75:AF75" si="19">D72+D68+D56+D52+D38+D74</f>
        <v>921.54</v>
      </c>
      <c r="E75" s="89">
        <f t="shared" si="19"/>
        <v>920.44</v>
      </c>
      <c r="F75" s="89">
        <f t="shared" si="19"/>
        <v>925.64</v>
      </c>
      <c r="G75" s="89">
        <f t="shared" si="19"/>
        <v>983.34</v>
      </c>
      <c r="H75" s="89">
        <f t="shared" si="19"/>
        <v>1066.3</v>
      </c>
      <c r="I75" s="89">
        <f t="shared" si="19"/>
        <v>1157.1399999999999</v>
      </c>
      <c r="J75" s="89">
        <f t="shared" si="19"/>
        <v>1302.74</v>
      </c>
      <c r="K75" s="89">
        <f t="shared" si="19"/>
        <v>1388.94</v>
      </c>
      <c r="L75" s="89">
        <f t="shared" si="19"/>
        <v>1472.94</v>
      </c>
      <c r="M75" s="89">
        <f t="shared" si="19"/>
        <v>1489.54</v>
      </c>
      <c r="N75" s="89">
        <f t="shared" si="19"/>
        <v>1442.2</v>
      </c>
      <c r="O75" s="89">
        <f t="shared" si="19"/>
        <v>1343.97</v>
      </c>
      <c r="P75" s="89">
        <f t="shared" si="19"/>
        <v>1286.1099999999999</v>
      </c>
      <c r="Q75" s="89">
        <f t="shared" si="19"/>
        <v>1186.56</v>
      </c>
      <c r="R75" s="89">
        <f t="shared" si="19"/>
        <v>1172.6300000000001</v>
      </c>
      <c r="S75" s="89">
        <f t="shared" si="19"/>
        <v>1173.75</v>
      </c>
      <c r="T75" s="89">
        <f t="shared" si="19"/>
        <v>1246.92</v>
      </c>
      <c r="U75" s="89">
        <f t="shared" si="19"/>
        <v>1272.1399999999999</v>
      </c>
      <c r="V75" s="89">
        <f t="shared" si="19"/>
        <v>1249.97</v>
      </c>
      <c r="W75" s="89">
        <f t="shared" si="19"/>
        <v>1268.4299999999998</v>
      </c>
      <c r="X75" s="89">
        <f t="shared" si="19"/>
        <v>1342.3400000000001</v>
      </c>
      <c r="Y75" s="89">
        <f t="shared" si="19"/>
        <v>1440.24</v>
      </c>
      <c r="Z75" s="89">
        <f t="shared" si="19"/>
        <v>1461.3400000000001</v>
      </c>
      <c r="AA75" s="89">
        <f t="shared" si="19"/>
        <v>1367.74</v>
      </c>
      <c r="AB75" s="89">
        <f t="shared" si="19"/>
        <v>1283.8800000000001</v>
      </c>
      <c r="AC75" s="89">
        <f t="shared" si="19"/>
        <v>1219.44</v>
      </c>
      <c r="AD75" s="89">
        <f t="shared" si="19"/>
        <v>1168.24</v>
      </c>
      <c r="AE75" s="89">
        <f t="shared" si="19"/>
        <v>1020.74</v>
      </c>
      <c r="AF75" s="89">
        <f t="shared" si="19"/>
        <v>985.1400000000001</v>
      </c>
      <c r="AG75" s="78">
        <f>AG72+AG68+AG56+AG52+AG38+AG74</f>
        <v>2144.14</v>
      </c>
      <c r="AH75" s="54">
        <f t="shared" si="2"/>
        <v>1489.54</v>
      </c>
      <c r="AI75" s="55">
        <f t="shared" si="3"/>
        <v>920.44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1897.48</v>
      </c>
      <c r="C83" s="72">
        <f t="shared" ref="C83:AG83" si="35">SUM(C70:C82)</f>
        <v>1871.08</v>
      </c>
      <c r="D83" s="72">
        <f t="shared" si="35"/>
        <v>1843.08</v>
      </c>
      <c r="E83" s="72">
        <f t="shared" si="35"/>
        <v>1840.88</v>
      </c>
      <c r="F83" s="72">
        <f t="shared" si="35"/>
        <v>1851.28</v>
      </c>
      <c r="G83" s="72">
        <f t="shared" si="35"/>
        <v>1966.68</v>
      </c>
      <c r="H83" s="72">
        <f t="shared" si="35"/>
        <v>2132.6</v>
      </c>
      <c r="I83" s="72">
        <f t="shared" si="35"/>
        <v>2314.2799999999997</v>
      </c>
      <c r="J83" s="72">
        <f t="shared" si="35"/>
        <v>2605.48</v>
      </c>
      <c r="K83" s="72">
        <f t="shared" si="35"/>
        <v>2777.88</v>
      </c>
      <c r="L83" s="72">
        <f t="shared" si="35"/>
        <v>2945.88</v>
      </c>
      <c r="M83" s="72">
        <f t="shared" si="35"/>
        <v>2979.08</v>
      </c>
      <c r="N83" s="72">
        <f t="shared" si="35"/>
        <v>2884.4</v>
      </c>
      <c r="O83" s="72">
        <f t="shared" si="35"/>
        <v>2687.94</v>
      </c>
      <c r="P83" s="72">
        <f t="shared" si="35"/>
        <v>2572.2199999999998</v>
      </c>
      <c r="Q83" s="72">
        <f t="shared" si="35"/>
        <v>2373.12</v>
      </c>
      <c r="R83" s="72">
        <f t="shared" si="35"/>
        <v>2345.2600000000002</v>
      </c>
      <c r="S83" s="72">
        <f t="shared" si="35"/>
        <v>2347.5</v>
      </c>
      <c r="T83" s="72">
        <f t="shared" si="35"/>
        <v>2493.84</v>
      </c>
      <c r="U83" s="72">
        <f t="shared" si="35"/>
        <v>2544.2799999999997</v>
      </c>
      <c r="V83" s="72">
        <f t="shared" si="35"/>
        <v>2499.94</v>
      </c>
      <c r="W83" s="72">
        <f t="shared" si="35"/>
        <v>2536.8599999999997</v>
      </c>
      <c r="X83" s="72">
        <f t="shared" si="35"/>
        <v>2684.6800000000003</v>
      </c>
      <c r="Y83" s="72">
        <f t="shared" si="35"/>
        <v>2880.48</v>
      </c>
      <c r="Z83" s="72">
        <f t="shared" si="35"/>
        <v>2922.6800000000003</v>
      </c>
      <c r="AA83" s="72">
        <f t="shared" si="35"/>
        <v>2735.48</v>
      </c>
      <c r="AB83" s="72">
        <f t="shared" si="35"/>
        <v>2567.7600000000002</v>
      </c>
      <c r="AC83" s="72">
        <f t="shared" si="35"/>
        <v>2438.88</v>
      </c>
      <c r="AD83" s="72">
        <f t="shared" si="35"/>
        <v>2336.48</v>
      </c>
      <c r="AE83" s="72">
        <f t="shared" si="35"/>
        <v>2041.48</v>
      </c>
      <c r="AF83" s="72">
        <f t="shared" si="35"/>
        <v>1970.2800000000002</v>
      </c>
      <c r="AG83" s="78">
        <f t="shared" si="35"/>
        <v>4360.08</v>
      </c>
      <c r="AH83" s="54">
        <f t="shared" si="22"/>
        <v>2979.08</v>
      </c>
      <c r="AI83" s="55">
        <f t="shared" si="23"/>
        <v>1840.88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50.03</v>
      </c>
      <c r="C84" s="96">
        <v>49.91</v>
      </c>
      <c r="D84" s="96">
        <v>49.99</v>
      </c>
      <c r="E84" s="96">
        <v>50.048000000000002</v>
      </c>
      <c r="F84" s="96">
        <v>49.945</v>
      </c>
      <c r="G84" s="96">
        <v>50.058</v>
      </c>
      <c r="H84" s="96">
        <v>49.954000000000001</v>
      </c>
      <c r="I84" s="96">
        <v>50.036000000000001</v>
      </c>
      <c r="J84" s="96">
        <v>49.902999999999999</v>
      </c>
      <c r="K84" s="96">
        <v>49.957000000000001</v>
      </c>
      <c r="L84" s="96">
        <v>50.024000000000001</v>
      </c>
      <c r="M84" s="96">
        <v>50</v>
      </c>
      <c r="N84" s="96">
        <v>50.036999999999999</v>
      </c>
      <c r="O84" s="96">
        <v>50.094000000000001</v>
      </c>
      <c r="P84" s="96">
        <v>50.078000000000003</v>
      </c>
      <c r="Q84" s="96">
        <v>49.994999999999997</v>
      </c>
      <c r="R84" s="96">
        <v>50.027000000000001</v>
      </c>
      <c r="S84" s="96">
        <v>50.024000000000001</v>
      </c>
      <c r="T84" s="96">
        <v>50.021000000000001</v>
      </c>
      <c r="U84" s="96">
        <v>49.98</v>
      </c>
      <c r="V84" s="96">
        <v>49.951000000000001</v>
      </c>
      <c r="W84" s="96">
        <v>50.002000000000002</v>
      </c>
      <c r="X84" s="96">
        <v>50.1</v>
      </c>
      <c r="Y84" s="96">
        <v>50.094999999999999</v>
      </c>
      <c r="Z84" s="96">
        <v>49.993000000000002</v>
      </c>
      <c r="AA84" s="96">
        <v>50</v>
      </c>
      <c r="AB84" s="96">
        <v>50.08</v>
      </c>
      <c r="AC84" s="96">
        <v>50.097999999999999</v>
      </c>
      <c r="AD84" s="96">
        <v>49.93</v>
      </c>
      <c r="AE84" s="96">
        <v>50.079000000000001</v>
      </c>
      <c r="AF84" s="96">
        <v>49.973999999999997</v>
      </c>
      <c r="AG84" s="97"/>
      <c r="AH84" s="54">
        <f t="shared" si="22"/>
        <v>50.1</v>
      </c>
      <c r="AI84" s="55">
        <f t="shared" si="23"/>
        <v>49.902999999999999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124.2</v>
      </c>
      <c r="C85" s="73">
        <v>123</v>
      </c>
      <c r="D85" s="73">
        <v>125.2</v>
      </c>
      <c r="E85" s="73">
        <v>123.7</v>
      </c>
      <c r="F85" s="73">
        <v>124.8</v>
      </c>
      <c r="G85" s="73">
        <v>125.8</v>
      </c>
      <c r="H85" s="73">
        <v>124.5</v>
      </c>
      <c r="I85" s="73">
        <v>122.6</v>
      </c>
      <c r="J85" s="73">
        <v>124.7</v>
      </c>
      <c r="K85" s="73">
        <v>123.7</v>
      </c>
      <c r="L85" s="73">
        <v>123.7</v>
      </c>
      <c r="M85" s="73">
        <v>124.2</v>
      </c>
      <c r="N85" s="73">
        <v>125.6</v>
      </c>
      <c r="O85" s="73">
        <v>126.7</v>
      </c>
      <c r="P85" s="73">
        <v>126.8</v>
      </c>
      <c r="Q85" s="73">
        <v>124.6</v>
      </c>
      <c r="R85" s="73">
        <v>124</v>
      </c>
      <c r="S85" s="73">
        <v>124.4</v>
      </c>
      <c r="T85" s="73">
        <v>119.7</v>
      </c>
      <c r="U85" s="100">
        <v>124.7</v>
      </c>
      <c r="V85" s="100">
        <v>126.9</v>
      </c>
      <c r="W85" s="100">
        <v>126.3</v>
      </c>
      <c r="X85" s="100">
        <v>126.3</v>
      </c>
      <c r="Y85" s="100">
        <v>127</v>
      </c>
      <c r="Z85" s="100">
        <v>125</v>
      </c>
      <c r="AA85" s="100">
        <v>125</v>
      </c>
      <c r="AB85" s="73">
        <v>126.2</v>
      </c>
      <c r="AC85" s="73">
        <v>126.5</v>
      </c>
      <c r="AD85" s="73">
        <v>126.6</v>
      </c>
      <c r="AE85" s="73">
        <v>124.3</v>
      </c>
      <c r="AF85" s="73">
        <v>124.6</v>
      </c>
      <c r="AG85" s="101"/>
      <c r="AH85" s="54">
        <f t="shared" si="22"/>
        <v>127</v>
      </c>
      <c r="AI85" s="55">
        <f t="shared" si="23"/>
        <v>119.7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128.9</v>
      </c>
      <c r="C86" s="73">
        <v>127.9</v>
      </c>
      <c r="D86" s="73">
        <v>129.5</v>
      </c>
      <c r="E86" s="73">
        <v>128.5</v>
      </c>
      <c r="F86" s="73">
        <v>129.4</v>
      </c>
      <c r="G86" s="73">
        <v>129.9</v>
      </c>
      <c r="H86" s="73">
        <v>128.69999999999999</v>
      </c>
      <c r="I86" s="73">
        <v>127.1</v>
      </c>
      <c r="J86" s="73">
        <v>127</v>
      </c>
      <c r="K86" s="73">
        <v>126.1</v>
      </c>
      <c r="L86" s="73">
        <v>126.1</v>
      </c>
      <c r="M86" s="73">
        <v>126.4</v>
      </c>
      <c r="N86" s="73">
        <v>128.1</v>
      </c>
      <c r="O86" s="73">
        <v>128.9</v>
      </c>
      <c r="P86" s="73">
        <v>129.1</v>
      </c>
      <c r="Q86" s="73">
        <v>127</v>
      </c>
      <c r="R86" s="73">
        <v>126.2</v>
      </c>
      <c r="S86" s="73">
        <v>126.6</v>
      </c>
      <c r="T86" s="73">
        <v>123.1</v>
      </c>
      <c r="U86" s="100">
        <v>127.2</v>
      </c>
      <c r="V86" s="100">
        <v>129.1</v>
      </c>
      <c r="W86" s="100">
        <v>128.5</v>
      </c>
      <c r="X86" s="100">
        <v>128.5</v>
      </c>
      <c r="Y86" s="100">
        <v>129</v>
      </c>
      <c r="Z86" s="100">
        <v>127</v>
      </c>
      <c r="AA86" s="100">
        <v>127</v>
      </c>
      <c r="AB86" s="73">
        <v>128.6</v>
      </c>
      <c r="AC86" s="73">
        <v>129.1</v>
      </c>
      <c r="AD86" s="73">
        <v>129.30000000000001</v>
      </c>
      <c r="AE86" s="73">
        <v>128.69999999999999</v>
      </c>
      <c r="AF86" s="73">
        <v>128.80000000000001</v>
      </c>
      <c r="AG86" s="101"/>
      <c r="AH86" s="54">
        <f t="shared" si="22"/>
        <v>129.9</v>
      </c>
      <c r="AI86" s="55">
        <f t="shared" si="23"/>
        <v>123.1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127.1</v>
      </c>
      <c r="C87" s="73">
        <v>127.8</v>
      </c>
      <c r="D87" s="73">
        <v>127.1</v>
      </c>
      <c r="E87" s="73">
        <v>126.3</v>
      </c>
      <c r="F87" s="73">
        <v>128.6</v>
      </c>
      <c r="G87" s="73">
        <v>130.6</v>
      </c>
      <c r="H87" s="73">
        <v>129.19999999999999</v>
      </c>
      <c r="I87" s="73">
        <v>126.7</v>
      </c>
      <c r="J87" s="73">
        <v>129.19999999999999</v>
      </c>
      <c r="K87" s="73">
        <v>128.80000000000001</v>
      </c>
      <c r="L87" s="73">
        <v>128.80000000000001</v>
      </c>
      <c r="M87" s="73">
        <v>129.9</v>
      </c>
      <c r="N87" s="73">
        <v>129.19999999999999</v>
      </c>
      <c r="O87" s="73">
        <v>127.5</v>
      </c>
      <c r="P87" s="73">
        <v>128.5</v>
      </c>
      <c r="Q87" s="73">
        <v>132.5</v>
      </c>
      <c r="R87" s="73">
        <v>131.69999999999999</v>
      </c>
      <c r="S87" s="73">
        <v>127.1</v>
      </c>
      <c r="T87" s="73">
        <v>127</v>
      </c>
      <c r="U87" s="73">
        <v>128</v>
      </c>
      <c r="V87" s="73">
        <v>132.4</v>
      </c>
      <c r="W87" s="73">
        <v>129.19999999999999</v>
      </c>
      <c r="X87" s="73">
        <v>129.19999999999999</v>
      </c>
      <c r="Y87" s="100">
        <v>128</v>
      </c>
      <c r="Z87" s="100">
        <v>129</v>
      </c>
      <c r="AA87" s="100">
        <v>129</v>
      </c>
      <c r="AB87" s="73">
        <v>130.5</v>
      </c>
      <c r="AC87" s="73">
        <v>130.5</v>
      </c>
      <c r="AD87" s="73">
        <v>130</v>
      </c>
      <c r="AE87" s="73">
        <v>130.1</v>
      </c>
      <c r="AF87" s="73">
        <v>128.5</v>
      </c>
      <c r="AG87" s="101"/>
      <c r="AH87" s="54">
        <f t="shared" si="22"/>
        <v>132.5</v>
      </c>
      <c r="AI87" s="55">
        <f t="shared" si="23"/>
        <v>126.3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131</v>
      </c>
      <c r="C88" s="73">
        <v>130.9</v>
      </c>
      <c r="D88" s="73">
        <v>130.4</v>
      </c>
      <c r="E88" s="73">
        <v>130.19999999999999</v>
      </c>
      <c r="F88" s="73">
        <v>132.1</v>
      </c>
      <c r="G88" s="73">
        <v>133.30000000000001</v>
      </c>
      <c r="H88" s="73">
        <v>131.69999999999999</v>
      </c>
      <c r="I88" s="73">
        <v>129.5</v>
      </c>
      <c r="J88" s="73">
        <v>132.6</v>
      </c>
      <c r="K88" s="73">
        <v>131.5</v>
      </c>
      <c r="L88" s="73">
        <v>131.5</v>
      </c>
      <c r="M88" s="73">
        <v>132.6</v>
      </c>
      <c r="N88" s="73">
        <v>132.80000000000001</v>
      </c>
      <c r="O88" s="73">
        <v>132.80000000000001</v>
      </c>
      <c r="P88" s="73">
        <v>132.69999999999999</v>
      </c>
      <c r="Q88" s="73">
        <v>134.9</v>
      </c>
      <c r="R88" s="73">
        <v>133.9</v>
      </c>
      <c r="S88" s="73">
        <v>131.5</v>
      </c>
      <c r="T88" s="73">
        <v>129.4</v>
      </c>
      <c r="U88" s="73">
        <v>130.9</v>
      </c>
      <c r="V88" s="73">
        <v>134.6</v>
      </c>
      <c r="W88" s="73">
        <v>131.80000000000001</v>
      </c>
      <c r="X88" s="73">
        <v>131.80000000000001</v>
      </c>
      <c r="Y88" s="100">
        <v>130</v>
      </c>
      <c r="Z88" s="100">
        <v>131</v>
      </c>
      <c r="AA88" s="100">
        <v>131</v>
      </c>
      <c r="AB88" s="73">
        <v>134.4</v>
      </c>
      <c r="AC88" s="73">
        <v>132.69999999999999</v>
      </c>
      <c r="AD88" s="73">
        <v>134.30000000000001</v>
      </c>
      <c r="AE88" s="73">
        <v>133.30000000000001</v>
      </c>
      <c r="AF88" s="73">
        <v>131.9</v>
      </c>
      <c r="AG88" s="101"/>
      <c r="AH88" s="54">
        <f t="shared" si="22"/>
        <v>134.9</v>
      </c>
      <c r="AI88" s="55">
        <f t="shared" si="23"/>
        <v>129.4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127.2</v>
      </c>
      <c r="C89" s="104">
        <v>126.9</v>
      </c>
      <c r="D89" s="104">
        <v>130.4</v>
      </c>
      <c r="E89" s="104">
        <v>130</v>
      </c>
      <c r="F89" s="104">
        <v>129.4</v>
      </c>
      <c r="G89" s="104">
        <v>135.9</v>
      </c>
      <c r="H89" s="104">
        <v>135.30000000000001</v>
      </c>
      <c r="I89" s="104">
        <v>132.4</v>
      </c>
      <c r="J89" s="104">
        <v>133.69999999999999</v>
      </c>
      <c r="K89" s="104">
        <v>132.19999999999999</v>
      </c>
      <c r="L89" s="104">
        <v>132.19999999999999</v>
      </c>
      <c r="M89" s="104">
        <v>134.19999999999999</v>
      </c>
      <c r="N89" s="104">
        <v>133.19999999999999</v>
      </c>
      <c r="O89" s="104">
        <v>133.19999999999999</v>
      </c>
      <c r="P89" s="104">
        <v>135.19999999999999</v>
      </c>
      <c r="Q89" s="104">
        <v>137.30000000000001</v>
      </c>
      <c r="R89" s="104">
        <v>131.19999999999999</v>
      </c>
      <c r="S89" s="104">
        <v>132.19999999999999</v>
      </c>
      <c r="T89" s="104">
        <v>131.5</v>
      </c>
      <c r="U89" s="104">
        <v>133.69999999999999</v>
      </c>
      <c r="V89" s="104">
        <v>135.6</v>
      </c>
      <c r="W89" s="104">
        <v>134.6</v>
      </c>
      <c r="X89" s="104">
        <v>134.6</v>
      </c>
      <c r="Y89" s="100">
        <v>136</v>
      </c>
      <c r="Z89" s="100">
        <v>134</v>
      </c>
      <c r="AA89" s="100">
        <v>134</v>
      </c>
      <c r="AB89" s="104">
        <v>134.30000000000001</v>
      </c>
      <c r="AC89" s="104">
        <v>134.1</v>
      </c>
      <c r="AD89" s="104">
        <v>132.5</v>
      </c>
      <c r="AE89" s="104">
        <v>132.6</v>
      </c>
      <c r="AF89" s="104">
        <v>130.9</v>
      </c>
      <c r="AG89" s="105"/>
      <c r="AH89" s="54">
        <f t="shared" si="22"/>
        <v>137.30000000000001</v>
      </c>
      <c r="AI89" s="55">
        <f t="shared" si="23"/>
        <v>126.9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134.6</v>
      </c>
      <c r="C90" s="73">
        <v>135</v>
      </c>
      <c r="D90" s="73">
        <v>136</v>
      </c>
      <c r="E90" s="73">
        <v>136.5</v>
      </c>
      <c r="F90" s="73">
        <v>135.9</v>
      </c>
      <c r="G90" s="73">
        <v>134.9</v>
      </c>
      <c r="H90" s="73">
        <v>133.5</v>
      </c>
      <c r="I90" s="73">
        <v>131.5</v>
      </c>
      <c r="J90" s="73">
        <v>131.1</v>
      </c>
      <c r="K90" s="73">
        <v>131.6</v>
      </c>
      <c r="L90" s="73">
        <v>131.6</v>
      </c>
      <c r="M90" s="73">
        <v>130.6</v>
      </c>
      <c r="N90" s="73">
        <v>128.19999999999999</v>
      </c>
      <c r="O90" s="73">
        <v>128.19999999999999</v>
      </c>
      <c r="P90" s="73">
        <v>130.30000000000001</v>
      </c>
      <c r="Q90" s="73">
        <v>134.6</v>
      </c>
      <c r="R90" s="73">
        <v>136.80000000000001</v>
      </c>
      <c r="S90" s="73">
        <v>136.5</v>
      </c>
      <c r="T90" s="73">
        <v>130.19999999999999</v>
      </c>
      <c r="U90" s="73">
        <v>131.4</v>
      </c>
      <c r="V90" s="73">
        <v>133.80000000000001</v>
      </c>
      <c r="W90" s="73">
        <v>135.6</v>
      </c>
      <c r="X90" s="73">
        <v>135.6</v>
      </c>
      <c r="Y90" s="100">
        <v>132</v>
      </c>
      <c r="Z90" s="100">
        <v>131</v>
      </c>
      <c r="AA90" s="100">
        <v>131</v>
      </c>
      <c r="AB90" s="73">
        <v>134.6</v>
      </c>
      <c r="AC90" s="73">
        <v>136.69999999999999</v>
      </c>
      <c r="AD90" s="73">
        <v>131.69999999999999</v>
      </c>
      <c r="AE90" s="73">
        <v>137.5</v>
      </c>
      <c r="AF90" s="73">
        <v>137.4</v>
      </c>
      <c r="AG90" s="101"/>
      <c r="AH90" s="54">
        <f t="shared" si="22"/>
        <v>137.5</v>
      </c>
      <c r="AI90" s="55">
        <f t="shared" si="23"/>
        <v>128.19999999999999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65.2</v>
      </c>
      <c r="C91" s="107">
        <v>64.900000000000006</v>
      </c>
      <c r="D91" s="107">
        <v>65.8</v>
      </c>
      <c r="E91" s="107">
        <v>65</v>
      </c>
      <c r="F91" s="107">
        <v>65.400000000000006</v>
      </c>
      <c r="G91" s="107">
        <v>65.5</v>
      </c>
      <c r="H91" s="107">
        <v>64.8</v>
      </c>
      <c r="I91" s="107">
        <v>64.3</v>
      </c>
      <c r="J91" s="107">
        <v>64.3</v>
      </c>
      <c r="K91" s="107">
        <v>63.7</v>
      </c>
      <c r="L91" s="107">
        <v>63.7</v>
      </c>
      <c r="M91" s="107">
        <v>63.8</v>
      </c>
      <c r="N91" s="107">
        <v>64.8</v>
      </c>
      <c r="O91" s="107">
        <v>64.8</v>
      </c>
      <c r="P91" s="107">
        <v>65.2</v>
      </c>
      <c r="Q91" s="107">
        <v>63.7</v>
      </c>
      <c r="R91" s="107">
        <v>63.1</v>
      </c>
      <c r="S91" s="107">
        <v>63.3</v>
      </c>
      <c r="T91" s="107">
        <v>61.8</v>
      </c>
      <c r="U91" s="107">
        <v>63.9</v>
      </c>
      <c r="V91" s="107">
        <v>65.400000000000006</v>
      </c>
      <c r="W91" s="107">
        <v>65.2</v>
      </c>
      <c r="X91" s="107">
        <v>65.2</v>
      </c>
      <c r="Y91" s="107">
        <v>65</v>
      </c>
      <c r="Z91" s="107">
        <v>65</v>
      </c>
      <c r="AA91" s="107">
        <v>65</v>
      </c>
      <c r="AB91" s="107">
        <v>65.2</v>
      </c>
      <c r="AC91" s="107">
        <v>65.2</v>
      </c>
      <c r="AD91" s="107">
        <v>65</v>
      </c>
      <c r="AE91" s="107">
        <v>65.2</v>
      </c>
      <c r="AF91" s="107">
        <v>65.099999999999994</v>
      </c>
      <c r="AG91" s="108"/>
      <c r="AH91" s="54">
        <f t="shared" si="22"/>
        <v>65.8</v>
      </c>
      <c r="AI91" s="55">
        <f t="shared" si="23"/>
        <v>61.8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188.54</v>
      </c>
      <c r="C93" s="114">
        <f>SUM(C15,C18,C21:C22,C42,C44:C45,C47,C49,C94:C97,C102,C108,C114,C123,C125,C137,C144,C147:C148,C155,C157,C159,C163:C165,C167:C169,C174,C180:C181,C183:C185,C193,C198)</f>
        <v>171.94</v>
      </c>
      <c r="D93" s="114">
        <f t="shared" ref="D93:AF93" si="37">SUM(D15,D18,D21:D22,D42,D44:D45,D47,D49,D94:D97,D102,D108,D114,D123,D125,D137,D144,D147:D148,D155,D157,D159,D163:D165,D167:D169,D174,D180:D181,D183:D185,D193,D198)</f>
        <v>170.54</v>
      </c>
      <c r="E93" s="114">
        <f t="shared" si="37"/>
        <v>168.04</v>
      </c>
      <c r="F93" s="114">
        <f t="shared" si="37"/>
        <v>179.23999999999995</v>
      </c>
      <c r="G93" s="113">
        <f t="shared" si="37"/>
        <v>208.43999999999997</v>
      </c>
      <c r="H93" s="113">
        <f t="shared" si="37"/>
        <v>236.14</v>
      </c>
      <c r="I93" s="113">
        <f t="shared" si="37"/>
        <v>260.24000000000012</v>
      </c>
      <c r="J93" s="113">
        <f t="shared" si="37"/>
        <v>318.84000000000003</v>
      </c>
      <c r="K93" s="113">
        <f t="shared" si="37"/>
        <v>344.14000000000004</v>
      </c>
      <c r="L93" s="113">
        <f t="shared" si="37"/>
        <v>371.14000000000004</v>
      </c>
      <c r="M93" s="113">
        <f t="shared" si="37"/>
        <v>390.24</v>
      </c>
      <c r="N93" s="113">
        <f t="shared" si="37"/>
        <v>381.24</v>
      </c>
      <c r="O93" s="113">
        <f t="shared" si="37"/>
        <v>363.44000000000005</v>
      </c>
      <c r="P93" s="113">
        <f t="shared" si="37"/>
        <v>351.64000000000004</v>
      </c>
      <c r="Q93" s="113">
        <f t="shared" si="37"/>
        <v>328.64</v>
      </c>
      <c r="R93" s="113">
        <f t="shared" si="37"/>
        <v>323.34000000000003</v>
      </c>
      <c r="S93" s="113">
        <f t="shared" si="37"/>
        <v>320.34000000000003</v>
      </c>
      <c r="T93" s="113">
        <f t="shared" si="37"/>
        <v>325.14000000000004</v>
      </c>
      <c r="U93" s="113">
        <f t="shared" si="37"/>
        <v>334.94000000000005</v>
      </c>
      <c r="V93" s="113">
        <f t="shared" si="37"/>
        <v>335.34000000000003</v>
      </c>
      <c r="W93" s="113">
        <f t="shared" si="37"/>
        <v>353.74000000000007</v>
      </c>
      <c r="X93" s="113">
        <f t="shared" si="37"/>
        <v>155.13999999999999</v>
      </c>
      <c r="Y93" s="113">
        <f t="shared" si="37"/>
        <v>424.44000000000005</v>
      </c>
      <c r="Z93" s="113">
        <f t="shared" si="37"/>
        <v>430.24000000000007</v>
      </c>
      <c r="AA93" s="113">
        <f t="shared" si="37"/>
        <v>409.94000000000005</v>
      </c>
      <c r="AB93" s="113">
        <f t="shared" si="37"/>
        <v>383.34000000000003</v>
      </c>
      <c r="AC93" s="113">
        <f t="shared" si="37"/>
        <v>357.64000000000004</v>
      </c>
      <c r="AD93" s="113">
        <f t="shared" si="37"/>
        <v>343.94000000000005</v>
      </c>
      <c r="AE93" s="113">
        <f t="shared" si="37"/>
        <v>263.24</v>
      </c>
      <c r="AF93" s="113">
        <f t="shared" si="37"/>
        <v>214.23999999999998</v>
      </c>
      <c r="AG93" s="115"/>
      <c r="AH93" s="54">
        <f>MAX(C93:AF93)</f>
        <v>430.24000000000007</v>
      </c>
      <c r="AI93" s="55">
        <f>MIN(C93:AF93)</f>
        <v>155.13999999999999</v>
      </c>
    </row>
    <row r="94" spans="1:88" x14ac:dyDescent="0.25">
      <c r="A94" s="116" t="s">
        <v>98</v>
      </c>
      <c r="B94" s="119">
        <v>-25.1</v>
      </c>
      <c r="C94" s="58">
        <v>-35</v>
      </c>
      <c r="D94" s="58">
        <v>-32.4</v>
      </c>
      <c r="E94" s="58">
        <v>-31.3</v>
      </c>
      <c r="F94" s="58">
        <v>-33.9</v>
      </c>
      <c r="G94" s="118">
        <v>15.9</v>
      </c>
      <c r="H94" s="118">
        <v>8.9</v>
      </c>
      <c r="I94" s="118">
        <v>9.9</v>
      </c>
      <c r="J94" s="118">
        <v>56.2</v>
      </c>
      <c r="K94" s="118">
        <v>53.5</v>
      </c>
      <c r="L94" s="118">
        <v>52.3</v>
      </c>
      <c r="M94" s="119">
        <v>54.5</v>
      </c>
      <c r="N94" s="118">
        <v>48.3</v>
      </c>
      <c r="O94" s="118">
        <v>39.9</v>
      </c>
      <c r="P94" s="118">
        <v>51.5</v>
      </c>
      <c r="Q94" s="118">
        <v>34.5</v>
      </c>
      <c r="R94" s="118">
        <v>15.9</v>
      </c>
      <c r="S94" s="118">
        <v>11.3</v>
      </c>
      <c r="T94" s="118">
        <v>7.9</v>
      </c>
      <c r="U94" s="119">
        <v>17</v>
      </c>
      <c r="V94" s="119">
        <v>48.4</v>
      </c>
      <c r="W94" s="119">
        <v>52.9</v>
      </c>
      <c r="X94" s="118"/>
      <c r="Y94" s="118">
        <v>77.400000000000006</v>
      </c>
      <c r="Z94" s="118">
        <v>75.400000000000006</v>
      </c>
      <c r="AA94" s="118">
        <v>56.8</v>
      </c>
      <c r="AB94" s="119">
        <v>73</v>
      </c>
      <c r="AC94" s="119">
        <v>49.5</v>
      </c>
      <c r="AD94" s="119">
        <v>37.6</v>
      </c>
      <c r="AE94" s="119">
        <v>29</v>
      </c>
      <c r="AF94" s="119">
        <v>16.8</v>
      </c>
      <c r="AG94" s="120">
        <v>75</v>
      </c>
      <c r="AH94" s="54">
        <f t="shared" ref="AH94:AH99" si="38">IF(ABS(MAX(C94:AF94))&gt;ABS(MIN(C94:AF94)),MAX(C94:AF94),MIN(C94:AF94))</f>
        <v>77.400000000000006</v>
      </c>
      <c r="AI94" s="121">
        <f t="shared" ref="AI94:AI99" si="39">INDEX($C$9:$AF$9,1,MATCH(AH94,C94:AF94,0))</f>
        <v>0.77083333333333337</v>
      </c>
    </row>
    <row r="95" spans="1:88" x14ac:dyDescent="0.25">
      <c r="A95" s="122" t="s">
        <v>99</v>
      </c>
      <c r="B95" s="73">
        <f>-23.1-25</f>
        <v>-48.1</v>
      </c>
      <c r="C95" s="60">
        <f>-24.3-27.9</f>
        <v>-52.2</v>
      </c>
      <c r="D95" s="60">
        <f>-24.8-27.7</f>
        <v>-52.5</v>
      </c>
      <c r="E95" s="60">
        <v>-57.8</v>
      </c>
      <c r="F95" s="60">
        <v>-47.2</v>
      </c>
      <c r="G95" s="60">
        <v>-48</v>
      </c>
      <c r="H95" s="60">
        <v>-32.9</v>
      </c>
      <c r="I95" s="60">
        <v>-24.7</v>
      </c>
      <c r="J95" s="60">
        <v>12.2</v>
      </c>
      <c r="K95" s="60">
        <v>22</v>
      </c>
      <c r="L95" s="60">
        <v>46</v>
      </c>
      <c r="M95" s="60">
        <v>38</v>
      </c>
      <c r="N95" s="60">
        <v>30.6</v>
      </c>
      <c r="O95" s="60">
        <v>33.1</v>
      </c>
      <c r="P95" s="60">
        <v>12.8</v>
      </c>
      <c r="Q95" s="60">
        <v>21.1</v>
      </c>
      <c r="R95" s="60">
        <v>42.9</v>
      </c>
      <c r="S95" s="60">
        <v>50</v>
      </c>
      <c r="T95" s="60">
        <v>56</v>
      </c>
      <c r="U95" s="60">
        <v>55</v>
      </c>
      <c r="V95" s="60">
        <v>46</v>
      </c>
      <c r="W95" s="60">
        <v>51</v>
      </c>
      <c r="X95" s="60"/>
      <c r="Y95" s="60">
        <v>47.5</v>
      </c>
      <c r="Z95" s="60">
        <v>56</v>
      </c>
      <c r="AA95" s="60">
        <v>60</v>
      </c>
      <c r="AB95" s="73">
        <v>36.299999999999997</v>
      </c>
      <c r="AC95" s="73">
        <v>24</v>
      </c>
      <c r="AD95" s="73">
        <v>32</v>
      </c>
      <c r="AE95" s="73">
        <v>6</v>
      </c>
      <c r="AF95" s="73">
        <v>2.2000000000000002</v>
      </c>
      <c r="AG95" s="120">
        <v>240</v>
      </c>
      <c r="AH95" s="54">
        <f t="shared" si="38"/>
        <v>60</v>
      </c>
      <c r="AI95" s="121">
        <f t="shared" si="39"/>
        <v>0.8125</v>
      </c>
    </row>
    <row r="96" spans="1:88" x14ac:dyDescent="0.25">
      <c r="A96" s="122" t="s">
        <v>100</v>
      </c>
      <c r="B96" s="73">
        <v>10.8</v>
      </c>
      <c r="C96" s="60">
        <v>11.3</v>
      </c>
      <c r="D96" s="60">
        <v>10.9</v>
      </c>
      <c r="E96" s="60">
        <v>9.5</v>
      </c>
      <c r="F96" s="60">
        <v>9.8000000000000007</v>
      </c>
      <c r="G96" s="60">
        <v>9.8000000000000007</v>
      </c>
      <c r="H96" s="60">
        <v>9.8000000000000007</v>
      </c>
      <c r="I96" s="60">
        <v>9</v>
      </c>
      <c r="J96" s="60">
        <v>8.1999999999999993</v>
      </c>
      <c r="K96" s="60">
        <v>19</v>
      </c>
      <c r="L96" s="60">
        <v>33</v>
      </c>
      <c r="M96" s="60">
        <v>38</v>
      </c>
      <c r="N96" s="60">
        <v>26.2</v>
      </c>
      <c r="O96" s="60">
        <v>23.6</v>
      </c>
      <c r="P96" s="60">
        <v>26</v>
      </c>
      <c r="Q96" s="60">
        <v>7.2</v>
      </c>
      <c r="R96" s="60">
        <v>0</v>
      </c>
      <c r="S96" s="60">
        <v>0</v>
      </c>
      <c r="T96" s="60">
        <v>0</v>
      </c>
      <c r="U96" s="60">
        <v>0</v>
      </c>
      <c r="V96" s="60">
        <v>34</v>
      </c>
      <c r="W96" s="60">
        <v>35.1</v>
      </c>
      <c r="X96" s="60"/>
      <c r="Y96" s="60">
        <v>49.7</v>
      </c>
      <c r="Z96" s="60">
        <v>28.7</v>
      </c>
      <c r="AA96" s="60">
        <v>43</v>
      </c>
      <c r="AB96" s="73">
        <v>27.4</v>
      </c>
      <c r="AC96" s="73">
        <v>13.4</v>
      </c>
      <c r="AD96" s="73">
        <v>10.9</v>
      </c>
      <c r="AE96" s="73">
        <v>4</v>
      </c>
      <c r="AF96" s="73">
        <v>-4.5999999999999996</v>
      </c>
      <c r="AG96" s="120">
        <v>60</v>
      </c>
      <c r="AH96" s="54">
        <f t="shared" si="38"/>
        <v>49.7</v>
      </c>
      <c r="AI96" s="121">
        <f t="shared" si="39"/>
        <v>0.77083333333333337</v>
      </c>
    </row>
    <row r="97" spans="1:37" x14ac:dyDescent="0.25">
      <c r="A97" s="124" t="s">
        <v>101</v>
      </c>
      <c r="B97" s="126">
        <v>91.8</v>
      </c>
      <c r="C97" s="63">
        <v>90.3</v>
      </c>
      <c r="D97" s="63">
        <v>86.9</v>
      </c>
      <c r="E97" s="63">
        <v>90</v>
      </c>
      <c r="F97" s="63">
        <v>93.1</v>
      </c>
      <c r="G97" s="63">
        <v>73.3</v>
      </c>
      <c r="H97" s="63">
        <v>93.7</v>
      </c>
      <c r="I97" s="63">
        <v>109.4</v>
      </c>
      <c r="J97" s="63">
        <v>85.6</v>
      </c>
      <c r="K97" s="63">
        <v>93</v>
      </c>
      <c r="L97" s="63">
        <v>83.2</v>
      </c>
      <c r="M97" s="63">
        <v>101.3</v>
      </c>
      <c r="N97" s="63">
        <v>117.7</v>
      </c>
      <c r="O97" s="63">
        <v>108.4</v>
      </c>
      <c r="P97" s="63">
        <v>102.9</v>
      </c>
      <c r="Q97" s="63">
        <v>107.4</v>
      </c>
      <c r="R97" s="63">
        <v>106.1</v>
      </c>
      <c r="S97" s="63">
        <v>100.9</v>
      </c>
      <c r="T97" s="63">
        <v>103.1</v>
      </c>
      <c r="U97" s="63">
        <v>104</v>
      </c>
      <c r="V97" s="63">
        <v>51.8</v>
      </c>
      <c r="W97" s="63">
        <v>59.6</v>
      </c>
      <c r="X97" s="63"/>
      <c r="Y97" s="63">
        <v>94.7</v>
      </c>
      <c r="Z97" s="63">
        <v>110</v>
      </c>
      <c r="AA97" s="63">
        <v>90</v>
      </c>
      <c r="AB97" s="126">
        <v>84.4</v>
      </c>
      <c r="AC97" s="126">
        <v>108.3</v>
      </c>
      <c r="AD97" s="126">
        <v>101</v>
      </c>
      <c r="AE97" s="126">
        <v>57.7</v>
      </c>
      <c r="AF97" s="126">
        <v>35.4</v>
      </c>
      <c r="AG97" s="127">
        <v>120</v>
      </c>
      <c r="AH97" s="54">
        <f t="shared" si="38"/>
        <v>117.7</v>
      </c>
      <c r="AI97" s="121">
        <f t="shared" si="39"/>
        <v>0.375</v>
      </c>
    </row>
    <row r="98" spans="1:37" x14ac:dyDescent="0.25">
      <c r="A98" s="124" t="s">
        <v>102</v>
      </c>
      <c r="B98" s="126">
        <v>101.2</v>
      </c>
      <c r="C98" s="63">
        <v>100.1</v>
      </c>
      <c r="D98" s="63">
        <v>96.5</v>
      </c>
      <c r="E98" s="63">
        <v>100.5</v>
      </c>
      <c r="F98" s="63">
        <v>100.9</v>
      </c>
      <c r="G98" s="63">
        <v>105</v>
      </c>
      <c r="H98" s="63">
        <v>97</v>
      </c>
      <c r="I98" s="63">
        <v>107.7</v>
      </c>
      <c r="J98" s="63">
        <v>61.2</v>
      </c>
      <c r="K98" s="63">
        <v>78</v>
      </c>
      <c r="L98" s="63">
        <v>84.1</v>
      </c>
      <c r="M98" s="63">
        <v>76.8</v>
      </c>
      <c r="N98" s="63">
        <v>56.4</v>
      </c>
      <c r="O98" s="63">
        <v>57.3</v>
      </c>
      <c r="P98" s="63">
        <v>31.8</v>
      </c>
      <c r="Q98" s="63">
        <v>68.8</v>
      </c>
      <c r="R98" s="63">
        <v>86.7</v>
      </c>
      <c r="S98" s="63">
        <v>92.8</v>
      </c>
      <c r="T98" s="63">
        <v>113</v>
      </c>
      <c r="U98" s="63">
        <v>91</v>
      </c>
      <c r="V98" s="63">
        <v>62</v>
      </c>
      <c r="W98" s="63">
        <v>73.599999999999994</v>
      </c>
      <c r="X98" s="63"/>
      <c r="Y98" s="63">
        <v>50.7</v>
      </c>
      <c r="Z98" s="63">
        <v>67.900000000000006</v>
      </c>
      <c r="AA98" s="63">
        <v>74</v>
      </c>
      <c r="AB98" s="126">
        <v>51.5</v>
      </c>
      <c r="AC98" s="126">
        <v>60</v>
      </c>
      <c r="AD98" s="126">
        <v>78.900000000000006</v>
      </c>
      <c r="AE98" s="126">
        <v>99.4</v>
      </c>
      <c r="AF98" s="126">
        <v>105</v>
      </c>
      <c r="AG98" s="127"/>
      <c r="AH98" s="54">
        <f t="shared" si="38"/>
        <v>113</v>
      </c>
      <c r="AI98" s="121">
        <f t="shared" si="39"/>
        <v>0.625</v>
      </c>
    </row>
    <row r="99" spans="1:37" ht="15.75" thickBot="1" x14ac:dyDescent="0.3">
      <c r="A99" s="124" t="s">
        <v>103</v>
      </c>
      <c r="B99" s="126">
        <v>74.8</v>
      </c>
      <c r="C99" s="63">
        <v>73.8</v>
      </c>
      <c r="D99" s="63">
        <v>68.400000000000006</v>
      </c>
      <c r="E99" s="63">
        <v>66.099999999999994</v>
      </c>
      <c r="F99" s="63">
        <v>70</v>
      </c>
      <c r="G99" s="63">
        <v>68</v>
      </c>
      <c r="H99" s="63">
        <v>35.200000000000003</v>
      </c>
      <c r="I99" s="63">
        <v>38.299999999999997</v>
      </c>
      <c r="J99" s="63">
        <v>18.3</v>
      </c>
      <c r="K99" s="63">
        <v>20</v>
      </c>
      <c r="L99" s="63">
        <v>19.7</v>
      </c>
      <c r="M99" s="63">
        <v>15.9</v>
      </c>
      <c r="N99" s="63">
        <v>24.9</v>
      </c>
      <c r="O99" s="63">
        <v>22.8</v>
      </c>
      <c r="P99" s="63">
        <v>11.6</v>
      </c>
      <c r="Q99" s="63">
        <v>14.4</v>
      </c>
      <c r="R99" s="63">
        <v>28.5</v>
      </c>
      <c r="S99" s="63">
        <v>31.3</v>
      </c>
      <c r="T99" s="63">
        <v>32.1</v>
      </c>
      <c r="U99" s="63">
        <v>32.200000000000003</v>
      </c>
      <c r="V99" s="63">
        <v>20.7</v>
      </c>
      <c r="W99" s="63">
        <v>12.2</v>
      </c>
      <c r="X99" s="63"/>
      <c r="Y99" s="63">
        <v>-7.5</v>
      </c>
      <c r="Z99" s="63">
        <v>1</v>
      </c>
      <c r="AA99" s="63">
        <v>-15.4</v>
      </c>
      <c r="AB99" s="126">
        <v>-13.5</v>
      </c>
      <c r="AC99" s="126">
        <v>-4.0999999999999996</v>
      </c>
      <c r="AD99" s="126">
        <v>20.9</v>
      </c>
      <c r="AE99" s="126">
        <v>25.4</v>
      </c>
      <c r="AF99" s="126">
        <v>47.1</v>
      </c>
      <c r="AG99" s="128"/>
      <c r="AH99" s="54">
        <f t="shared" si="38"/>
        <v>73.8</v>
      </c>
      <c r="AI99" s="121">
        <f t="shared" si="39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1489.54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13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2078/11/13)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948.74</v>
      </c>
      <c r="U213" s="174">
        <f t="shared" si="76"/>
        <v>935.54</v>
      </c>
      <c r="V213" s="174">
        <f t="shared" si="76"/>
        <v>921.54</v>
      </c>
      <c r="W213" s="174">
        <f t="shared" si="76"/>
        <v>920.44</v>
      </c>
      <c r="X213" s="174">
        <f t="shared" si="76"/>
        <v>925.64</v>
      </c>
      <c r="Y213" s="174">
        <f t="shared" si="76"/>
        <v>983.34</v>
      </c>
      <c r="Z213" s="174">
        <f t="shared" si="76"/>
        <v>1066.3</v>
      </c>
      <c r="AA213" s="174">
        <f t="shared" si="76"/>
        <v>1157.1399999999999</v>
      </c>
      <c r="AB213" s="174">
        <f t="shared" si="76"/>
        <v>1302.74</v>
      </c>
      <c r="AC213" s="174">
        <f t="shared" si="76"/>
        <v>1388.94</v>
      </c>
      <c r="AD213" s="174">
        <f t="shared" si="76"/>
        <v>1472.94</v>
      </c>
      <c r="AE213" s="174">
        <f t="shared" si="76"/>
        <v>1489.54</v>
      </c>
      <c r="AF213" s="174">
        <f t="shared" si="76"/>
        <v>1442.2</v>
      </c>
      <c r="AG213" s="174">
        <f t="shared" si="76"/>
        <v>1343.97</v>
      </c>
      <c r="AH213" s="174">
        <f t="shared" si="76"/>
        <v>1286.1099999999999</v>
      </c>
      <c r="AI213" s="174">
        <f t="shared" si="76"/>
        <v>1186.56</v>
      </c>
      <c r="AJ213" s="174">
        <f t="shared" si="76"/>
        <v>1172.6300000000001</v>
      </c>
      <c r="AK213" s="174">
        <f t="shared" si="76"/>
        <v>1173.75</v>
      </c>
      <c r="AL213" s="174">
        <f t="shared" si="76"/>
        <v>1246.92</v>
      </c>
      <c r="AM213" s="174">
        <f t="shared" si="76"/>
        <v>1272.1399999999999</v>
      </c>
      <c r="AN213" s="174">
        <f t="shared" si="76"/>
        <v>1249.97</v>
      </c>
      <c r="AO213" s="174">
        <f t="shared" si="76"/>
        <v>1268.4299999999998</v>
      </c>
      <c r="AP213" s="174">
        <f t="shared" si="76"/>
        <v>1342.3400000000001</v>
      </c>
      <c r="AQ213" s="174">
        <f t="shared" si="76"/>
        <v>1440.24</v>
      </c>
      <c r="AR213" s="174">
        <f t="shared" si="76"/>
        <v>1461.3400000000001</v>
      </c>
      <c r="AS213" s="174">
        <f t="shared" si="76"/>
        <v>1367.74</v>
      </c>
      <c r="AT213" s="174">
        <f t="shared" si="76"/>
        <v>1283.8800000000001</v>
      </c>
      <c r="AU213" s="174">
        <f t="shared" si="76"/>
        <v>1219.44</v>
      </c>
      <c r="AV213" s="174">
        <f t="shared" si="76"/>
        <v>1168.24</v>
      </c>
      <c r="AW213" s="174">
        <f t="shared" si="76"/>
        <v>1020.74</v>
      </c>
      <c r="AX213" s="174">
        <f t="shared" si="76"/>
        <v>985.1400000000001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C67 C60:O60 P39:R39 M39:O42 C61:N61 P40:Q42 R42 R40:T41 M58:W58 AB81:AF81 C81:R81 C56:AF56 C82:AF83 D193:AF199 B193:B199 AB84:AF91 B9:AF10 B191:AF191 AF57:AF59 AG73 AB94:AF99 U212:AF212 D62:D67 O61:O65 M59:O59 Q59:W59 P59:P65 O66:P67 N45:R48 Q60:R65 Q67:R67 Q66:S66 S46:T48 M53:AF55 U40:Y42 C68:AF80 M11:AD11 Z40:AE43 Y85:AA91 Z12:AD14 Z16:AF31 AE11:AF14 N36:AF36">
    <cfRule type="expression" dxfId="5231" priority="299">
      <formula>B$9&gt;=20/24</formula>
    </cfRule>
    <cfRule type="expression" dxfId="5230" priority="300">
      <formula>AND(B$9&gt;=14/24,B$9&lt;20/24)</formula>
    </cfRule>
    <cfRule type="expression" dxfId="5229" priority="301">
      <formula>AND(B$9&gt;=8/24,B$9&lt;14/24)</formula>
    </cfRule>
    <cfRule type="expression" dxfId="5228" priority="302">
      <formula>B$9&lt;8/24</formula>
    </cfRule>
  </conditionalFormatting>
  <conditionalFormatting sqref="AL4:AL6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5227" priority="294">
      <formula>M$9&gt;=20/24</formula>
    </cfRule>
    <cfRule type="expression" dxfId="5226" priority="295">
      <formula>AND(M$9&gt;=14/24,M$9&lt;20/24)</formula>
    </cfRule>
    <cfRule type="expression" dxfId="5225" priority="296">
      <formula>AND(M$9&gt;=8/24,M$9&lt;14/24)</formula>
    </cfRule>
    <cfRule type="expression" dxfId="5224" priority="297">
      <formula>M$9&lt;8/24</formula>
    </cfRule>
  </conditionalFormatting>
  <conditionalFormatting sqref="M43:R43">
    <cfRule type="expression" dxfId="5223" priority="290">
      <formula>M$9&gt;=20/24</formula>
    </cfRule>
    <cfRule type="expression" dxfId="5222" priority="291">
      <formula>AND(M$9&gt;=14/24,M$9&lt;20/24)</formula>
    </cfRule>
    <cfRule type="expression" dxfId="5221" priority="292">
      <formula>AND(M$9&gt;=8/24,M$9&lt;14/24)</formula>
    </cfRule>
    <cfRule type="expression" dxfId="5220" priority="293">
      <formula>M$9&lt;8/24</formula>
    </cfRule>
  </conditionalFormatting>
  <conditionalFormatting sqref="Z32:AF32">
    <cfRule type="expression" dxfId="5219" priority="286">
      <formula>Z$9&gt;=20/24</formula>
    </cfRule>
    <cfRule type="expression" dxfId="5218" priority="287">
      <formula>AND(Z$9&gt;=14/24,Z$9&lt;20/24)</formula>
    </cfRule>
    <cfRule type="expression" dxfId="5217" priority="288">
      <formula>AND(Z$9&gt;=8/24,Z$9&lt;14/24)</formula>
    </cfRule>
    <cfRule type="expression" dxfId="5216" priority="289">
      <formula>Z$9&lt;8/24</formula>
    </cfRule>
  </conditionalFormatting>
  <conditionalFormatting sqref="S39:AE39">
    <cfRule type="expression" dxfId="5215" priority="282">
      <formula>S$9&gt;=20/24</formula>
    </cfRule>
    <cfRule type="expression" dxfId="5214" priority="283">
      <formula>AND(S$9&gt;=14/24,S$9&lt;20/24)</formula>
    </cfRule>
    <cfRule type="expression" dxfId="5213" priority="284">
      <formula>AND(S$9&gt;=8/24,S$9&lt;14/24)</formula>
    </cfRule>
    <cfRule type="expression" dxfId="5212" priority="285">
      <formula>S$9&lt;8/24</formula>
    </cfRule>
  </conditionalFormatting>
  <conditionalFormatting sqref="S57:AE57">
    <cfRule type="expression" dxfId="5211" priority="278">
      <formula>S$9&gt;=20/24</formula>
    </cfRule>
    <cfRule type="expression" dxfId="5210" priority="279">
      <formula>AND(S$9&gt;=14/24,S$9&lt;20/24)</formula>
    </cfRule>
    <cfRule type="expression" dxfId="5209" priority="280">
      <formula>AND(S$9&gt;=8/24,S$9&lt;14/24)</formula>
    </cfRule>
    <cfRule type="expression" dxfId="5208" priority="281">
      <formula>S$9&lt;8/24</formula>
    </cfRule>
  </conditionalFormatting>
  <conditionalFormatting sqref="S81:AA81">
    <cfRule type="expression" dxfId="5207" priority="274">
      <formula>S$9&gt;=20/24</formula>
    </cfRule>
    <cfRule type="expression" dxfId="5206" priority="275">
      <formula>AND(S$9&gt;=14/24,S$9&lt;20/24)</formula>
    </cfRule>
    <cfRule type="expression" dxfId="5205" priority="276">
      <formula>AND(S$9&gt;=8/24,S$9&lt;14/24)</formula>
    </cfRule>
    <cfRule type="expression" dxfId="5204" priority="277">
      <formula>S$9&lt;8/24</formula>
    </cfRule>
  </conditionalFormatting>
  <conditionalFormatting sqref="U84:AA84">
    <cfRule type="expression" dxfId="5203" priority="270">
      <formula>U$9&gt;=20/24</formula>
    </cfRule>
    <cfRule type="expression" dxfId="5202" priority="271">
      <formula>AND(U$9&gt;=14/24,U$9&lt;20/24)</formula>
    </cfRule>
    <cfRule type="expression" dxfId="5201" priority="272">
      <formula>AND(U$9&gt;=8/24,U$9&lt;14/24)</formula>
    </cfRule>
    <cfRule type="expression" dxfId="5200" priority="273">
      <formula>U$9&lt;8/24</formula>
    </cfRule>
  </conditionalFormatting>
  <conditionalFormatting sqref="M49:Y49">
    <cfRule type="expression" dxfId="5199" priority="262">
      <formula>M$9&gt;=20/24</formula>
    </cfRule>
    <cfRule type="expression" dxfId="5198" priority="263">
      <formula>AND(M$9&gt;=14/24,M$9&lt;20/24)</formula>
    </cfRule>
    <cfRule type="expression" dxfId="5197" priority="264">
      <formula>AND(M$9&gt;=8/24,M$9&lt;14/24)</formula>
    </cfRule>
    <cfRule type="expression" dxfId="5196" priority="265">
      <formula>M$9&lt;8/24</formula>
    </cfRule>
  </conditionalFormatting>
  <conditionalFormatting sqref="M50:Y50">
    <cfRule type="expression" dxfId="5195" priority="258">
      <formula>M$9&gt;=20/24</formula>
    </cfRule>
    <cfRule type="expression" dxfId="5194" priority="259">
      <formula>AND(M$9&gt;=14/24,M$9&lt;20/24)</formula>
    </cfRule>
    <cfRule type="expression" dxfId="5193" priority="260">
      <formula>AND(M$9&gt;=8/24,M$9&lt;14/24)</formula>
    </cfRule>
    <cfRule type="expression" dxfId="5192" priority="261">
      <formula>M$9&lt;8/24</formula>
    </cfRule>
  </conditionalFormatting>
  <conditionalFormatting sqref="M45:R48 S46:T48">
    <cfRule type="expression" dxfId="5191" priority="254">
      <formula>M$9&gt;=20/24</formula>
    </cfRule>
    <cfRule type="expression" dxfId="5190" priority="255">
      <formula>AND(M$9&gt;=14/24,M$9&lt;20/24)</formula>
    </cfRule>
    <cfRule type="expression" dxfId="5189" priority="256">
      <formula>AND(M$9&gt;=8/24,M$9&lt;14/24)</formula>
    </cfRule>
    <cfRule type="expression" dxfId="5188" priority="257">
      <formula>M$9&lt;8/24</formula>
    </cfRule>
  </conditionalFormatting>
  <conditionalFormatting sqref="S37:AF37">
    <cfRule type="expression" dxfId="5187" priority="250">
      <formula>S$9&gt;=20/24</formula>
    </cfRule>
    <cfRule type="expression" dxfId="5186" priority="251">
      <formula>AND(S$9&gt;=14/24,S$9&lt;20/24)</formula>
    </cfRule>
    <cfRule type="expression" dxfId="5185" priority="252">
      <formula>AND(S$9&gt;=8/24,S$9&lt;14/24)</formula>
    </cfRule>
    <cfRule type="expression" dxfId="5184" priority="253">
      <formula>S$9&lt;8/24</formula>
    </cfRule>
  </conditionalFormatting>
  <conditionalFormatting sqref="Z35:AF35">
    <cfRule type="expression" dxfId="5183" priority="246">
      <formula>Z$9&gt;=20/24</formula>
    </cfRule>
    <cfRule type="expression" dxfId="5182" priority="247">
      <formula>AND(Z$9&gt;=14/24,Z$9&lt;20/24)</formula>
    </cfRule>
    <cfRule type="expression" dxfId="5181" priority="248">
      <formula>AND(Z$9&gt;=8/24,Z$9&lt;14/24)</formula>
    </cfRule>
    <cfRule type="expression" dxfId="5180" priority="249">
      <formula>Z$9&lt;8/24</formula>
    </cfRule>
  </conditionalFormatting>
  <conditionalFormatting sqref="S42:T43 U43:Y43 S45:AF48">
    <cfRule type="expression" dxfId="5179" priority="242">
      <formula>S$9&gt;=20/24</formula>
    </cfRule>
    <cfRule type="expression" dxfId="5178" priority="243">
      <formula>AND(S$9&gt;=14/24,S$9&lt;20/24)</formula>
    </cfRule>
    <cfRule type="expression" dxfId="5177" priority="244">
      <formula>AND(S$9&gt;=8/24,S$9&lt;14/24)</formula>
    </cfRule>
    <cfRule type="expression" dxfId="5176" priority="245">
      <formula>S$9&lt;8/24</formula>
    </cfRule>
  </conditionalFormatting>
  <conditionalFormatting sqref="S49:AF49">
    <cfRule type="expression" dxfId="5175" priority="238">
      <formula>S$9&gt;=20/24</formula>
    </cfRule>
    <cfRule type="expression" dxfId="5174" priority="239">
      <formula>AND(S$9&gt;=14/24,S$9&lt;20/24)</formula>
    </cfRule>
    <cfRule type="expression" dxfId="5173" priority="240">
      <formula>AND(S$9&gt;=8/24,S$9&lt;14/24)</formula>
    </cfRule>
    <cfRule type="expression" dxfId="5172" priority="241">
      <formula>S$9&lt;8/24</formula>
    </cfRule>
  </conditionalFormatting>
  <conditionalFormatting sqref="S50:AF50">
    <cfRule type="expression" dxfId="5171" priority="234">
      <formula>S$9&gt;=20/24</formula>
    </cfRule>
    <cfRule type="expression" dxfId="5170" priority="235">
      <formula>AND(S$9&gt;=14/24,S$9&lt;20/24)</formula>
    </cfRule>
    <cfRule type="expression" dxfId="5169" priority="236">
      <formula>AND(S$9&gt;=8/24,S$9&lt;14/24)</formula>
    </cfRule>
    <cfRule type="expression" dxfId="5168" priority="237">
      <formula>S$9&lt;8/24</formula>
    </cfRule>
  </conditionalFormatting>
  <conditionalFormatting sqref="S60:T65 X60:AE61 S67:T67 T66 Z62:AE67 AF60:AF67">
    <cfRule type="expression" dxfId="5167" priority="230">
      <formula>S$9&gt;=20/24</formula>
    </cfRule>
    <cfRule type="expression" dxfId="5166" priority="231">
      <formula>AND(S$9&gt;=14/24,S$9&lt;20/24)</formula>
    </cfRule>
    <cfRule type="expression" dxfId="5165" priority="232">
      <formula>AND(S$9&gt;=8/24,S$9&lt;14/24)</formula>
    </cfRule>
    <cfRule type="expression" dxfId="5164" priority="233">
      <formula>S$9&lt;8/24</formula>
    </cfRule>
  </conditionalFormatting>
  <conditionalFormatting sqref="C62 I63:I67 J62:L67 E62:I62">
    <cfRule type="expression" dxfId="5163" priority="226">
      <formula>C$9&gt;=20/24</formula>
    </cfRule>
    <cfRule type="expression" dxfId="5162" priority="227">
      <formula>AND(C$9&gt;=14/24,C$9&lt;20/24)</formula>
    </cfRule>
    <cfRule type="expression" dxfId="5161" priority="228">
      <formula>AND(C$9&gt;=8/24,C$9&lt;14/24)</formula>
    </cfRule>
    <cfRule type="expression" dxfId="5160" priority="229">
      <formula>C$9&lt;8/24</formula>
    </cfRule>
  </conditionalFormatting>
  <conditionalFormatting sqref="U94:AA97">
    <cfRule type="expression" dxfId="5159" priority="222">
      <formula>U$9&gt;=20/24</formula>
    </cfRule>
    <cfRule type="expression" dxfId="5158" priority="223">
      <formula>AND(U$9&gt;=14/24,U$9&lt;20/24)</formula>
    </cfRule>
    <cfRule type="expression" dxfId="5157" priority="224">
      <formula>AND(U$9&gt;=8/24,U$9&lt;14/24)</formula>
    </cfRule>
    <cfRule type="expression" dxfId="5156" priority="225">
      <formula>U$9&lt;8/24</formula>
    </cfRule>
  </conditionalFormatting>
  <conditionalFormatting sqref="AG51 C38:AF41 E37:S37 C42:G43 N36:S36 C51:AF56 F11:AD11 Z12:AD32 AE11:AF32 Z34:AF35 T36:AF37 H42:AF50">
    <cfRule type="expression" dxfId="5155" priority="221">
      <formula>C11&gt;$AG11</formula>
    </cfRule>
  </conditionalFormatting>
  <conditionalFormatting sqref="A100:A156 A84:A97 A11:A14 A16:A32 A45:A72 A80:A82 A74:A78 A35:A43 A169:A199">
    <cfRule type="expression" dxfId="5154" priority="220">
      <formula>$AH11=0</formula>
    </cfRule>
  </conditionalFormatting>
  <conditionalFormatting sqref="U98:AA98">
    <cfRule type="expression" dxfId="5153" priority="216">
      <formula>U$9&gt;=20/24</formula>
    </cfRule>
    <cfRule type="expression" dxfId="5152" priority="217">
      <formula>AND(U$9&gt;=14/24,U$9&lt;20/24)</formula>
    </cfRule>
    <cfRule type="expression" dxfId="5151" priority="218">
      <formula>AND(U$9&gt;=8/24,U$9&lt;14/24)</formula>
    </cfRule>
    <cfRule type="expression" dxfId="5150" priority="219">
      <formula>U$9&lt;8/24</formula>
    </cfRule>
  </conditionalFormatting>
  <conditionalFormatting sqref="A98">
    <cfRule type="expression" dxfId="5149" priority="215">
      <formula>$AH98=0</formula>
    </cfRule>
  </conditionalFormatting>
  <conditionalFormatting sqref="E63:H67">
    <cfRule type="expression" dxfId="5148" priority="207">
      <formula>E$9&gt;=20/24</formula>
    </cfRule>
    <cfRule type="expression" dxfId="5147" priority="208">
      <formula>AND(E$9&gt;=14/24,E$9&lt;20/24)</formula>
    </cfRule>
    <cfRule type="expression" dxfId="5146" priority="209">
      <formula>AND(E$9&gt;=8/24,E$9&lt;14/24)</formula>
    </cfRule>
    <cfRule type="expression" dxfId="5145" priority="210">
      <formula>E$9&lt;8/24</formula>
    </cfRule>
  </conditionalFormatting>
  <conditionalFormatting sqref="M62:M67">
    <cfRule type="expression" dxfId="5144" priority="203">
      <formula>M$9&gt;=20/24</formula>
    </cfRule>
    <cfRule type="expression" dxfId="5143" priority="204">
      <formula>AND(M$9&gt;=14/24,M$9&lt;20/24)</formula>
    </cfRule>
    <cfRule type="expression" dxfId="5142" priority="205">
      <formula>AND(M$9&gt;=8/24,M$9&lt;14/24)</formula>
    </cfRule>
    <cfRule type="expression" dxfId="5141" priority="206">
      <formula>M$9&lt;8/24</formula>
    </cfRule>
  </conditionalFormatting>
  <conditionalFormatting sqref="AL32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5140" priority="198">
      <formula>Z$9&gt;=20/24</formula>
    </cfRule>
    <cfRule type="expression" dxfId="5139" priority="199">
      <formula>AND(Z$9&gt;=14/24,Z$9&lt;20/24)</formula>
    </cfRule>
    <cfRule type="expression" dxfId="5138" priority="200">
      <formula>AND(Z$9&gt;=8/24,Z$9&lt;14/24)</formula>
    </cfRule>
    <cfRule type="expression" dxfId="5137" priority="201">
      <formula>Z$9&lt;8/24</formula>
    </cfRule>
  </conditionalFormatting>
  <conditionalFormatting sqref="A34">
    <cfRule type="expression" dxfId="5136" priority="189">
      <formula>$AH34=0</formula>
    </cfRule>
  </conditionalFormatting>
  <conditionalFormatting sqref="A83">
    <cfRule type="expression" dxfId="5135" priority="188">
      <formula>$AH83=0</formula>
    </cfRule>
  </conditionalFormatting>
  <conditionalFormatting sqref="Z15:AF15">
    <cfRule type="expression" dxfId="5134" priority="184">
      <formula>Z$9&gt;=20/24</formula>
    </cfRule>
    <cfRule type="expression" dxfId="5133" priority="185">
      <formula>AND(Z$9&gt;=14/24,Z$9&lt;20/24)</formula>
    </cfRule>
    <cfRule type="expression" dxfId="5132" priority="186">
      <formula>AND(Z$9&gt;=8/24,Z$9&lt;14/24)</formula>
    </cfRule>
    <cfRule type="expression" dxfId="5131" priority="187">
      <formula>Z$9&lt;8/24</formula>
    </cfRule>
  </conditionalFormatting>
  <conditionalFormatting sqref="A15">
    <cfRule type="expression" dxfId="5130" priority="178">
      <formula>$AH15=0</formula>
    </cfRule>
  </conditionalFormatting>
  <conditionalFormatting sqref="A163:A168">
    <cfRule type="expression" dxfId="5129" priority="177">
      <formula>$AH163=0</formula>
    </cfRule>
  </conditionalFormatting>
  <conditionalFormatting sqref="A157:A162">
    <cfRule type="expression" dxfId="5128" priority="176">
      <formula>$AH157=0</formula>
    </cfRule>
  </conditionalFormatting>
  <conditionalFormatting sqref="Z44:AF44">
    <cfRule type="expression" dxfId="5127" priority="172">
      <formula>Z$9&gt;=20/24</formula>
    </cfRule>
    <cfRule type="expression" dxfId="5126" priority="173">
      <formula>AND(Z$9&gt;=14/24,Z$9&lt;20/24)</formula>
    </cfRule>
    <cfRule type="expression" dxfId="5125" priority="174">
      <formula>AND(Z$9&gt;=8/24,Z$9&lt;14/24)</formula>
    </cfRule>
    <cfRule type="expression" dxfId="5124" priority="175">
      <formula>Z$9&lt;8/24</formula>
    </cfRule>
  </conditionalFormatting>
  <conditionalFormatting sqref="M44:R44">
    <cfRule type="expression" dxfId="5123" priority="168">
      <formula>M$9&gt;=20/24</formula>
    </cfRule>
    <cfRule type="expression" dxfId="5122" priority="169">
      <formula>AND(M$9&gt;=14/24,M$9&lt;20/24)</formula>
    </cfRule>
    <cfRule type="expression" dxfId="5121" priority="170">
      <formula>AND(M$9&gt;=8/24,M$9&lt;14/24)</formula>
    </cfRule>
    <cfRule type="expression" dxfId="5120" priority="171">
      <formula>M$9&lt;8/24</formula>
    </cfRule>
  </conditionalFormatting>
  <conditionalFormatting sqref="S44:Y44">
    <cfRule type="expression" dxfId="5119" priority="164">
      <formula>S$9&gt;=20/24</formula>
    </cfRule>
    <cfRule type="expression" dxfId="5118" priority="165">
      <formula>AND(S$9&gt;=14/24,S$9&lt;20/24)</formula>
    </cfRule>
    <cfRule type="expression" dxfId="5117" priority="166">
      <formula>AND(S$9&gt;=8/24,S$9&lt;14/24)</formula>
    </cfRule>
    <cfRule type="expression" dxfId="5116" priority="167">
      <formula>S$9&lt;8/24</formula>
    </cfRule>
  </conditionalFormatting>
  <conditionalFormatting sqref="A44">
    <cfRule type="expression" dxfId="5115" priority="163">
      <formula>$AH44=0</formula>
    </cfRule>
  </conditionalFormatting>
  <conditionalFormatting sqref="A79">
    <cfRule type="expression" dxfId="5114" priority="162">
      <formula>$AH79=0</formula>
    </cfRule>
  </conditionalFormatting>
  <conditionalFormatting sqref="A73">
    <cfRule type="expression" dxfId="5113" priority="161">
      <formula>$AH73=0</formula>
    </cfRule>
  </conditionalFormatting>
  <conditionalFormatting sqref="AL34:AL35 AL7:AL31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U60:W67 X62:Y67">
    <cfRule type="expression" dxfId="5112" priority="157">
      <formula>U$9&gt;=20/24</formula>
    </cfRule>
    <cfRule type="expression" dxfId="5111" priority="158">
      <formula>AND(U$9&gt;=14/24,U$9&lt;20/24)</formula>
    </cfRule>
    <cfRule type="expression" dxfId="5110" priority="159">
      <formula>AND(U$9&gt;=8/24,U$9&lt;14/24)</formula>
    </cfRule>
    <cfRule type="expression" dxfId="5109" priority="160">
      <formula>U$9&lt;8/24</formula>
    </cfRule>
  </conditionalFormatting>
  <conditionalFormatting sqref="U85:X91">
    <cfRule type="expression" dxfId="5108" priority="153">
      <formula>U$9&gt;=20/24</formula>
    </cfRule>
    <cfRule type="expression" dxfId="5107" priority="154">
      <formula>AND(U$9&gt;=14/24,U$9&lt;20/24)</formula>
    </cfRule>
    <cfRule type="expression" dxfId="5106" priority="155">
      <formula>AND(U$9&gt;=8/24,U$9&lt;14/24)</formula>
    </cfRule>
    <cfRule type="expression" dxfId="5105" priority="156">
      <formula>U$9&lt;8/24</formula>
    </cfRule>
  </conditionalFormatting>
  <conditionalFormatting sqref="S85:T91 C84:R91">
    <cfRule type="expression" dxfId="5104" priority="149">
      <formula>C$9&gt;=20/24</formula>
    </cfRule>
    <cfRule type="expression" dxfId="5103" priority="150">
      <formula>AND(C$9&gt;=14/24,C$9&lt;20/24)</formula>
    </cfRule>
    <cfRule type="expression" dxfId="5102" priority="151">
      <formula>AND(C$9&gt;=8/24,C$9&lt;14/24)</formula>
    </cfRule>
    <cfRule type="expression" dxfId="5101" priority="152">
      <formula>C$9&lt;8/24</formula>
    </cfRule>
  </conditionalFormatting>
  <conditionalFormatting sqref="S84:T84">
    <cfRule type="expression" dxfId="5100" priority="145">
      <formula>S$9&gt;=20/24</formula>
    </cfRule>
    <cfRule type="expression" dxfId="5099" priority="146">
      <formula>AND(S$9&gt;=14/24,S$9&lt;20/24)</formula>
    </cfRule>
    <cfRule type="expression" dxfId="5098" priority="147">
      <formula>AND(S$9&gt;=8/24,S$9&lt;14/24)</formula>
    </cfRule>
    <cfRule type="expression" dxfId="5097" priority="148">
      <formula>S$9&lt;8/24</formula>
    </cfRule>
  </conditionalFormatting>
  <conditionalFormatting sqref="C95:M97 C94:F94">
    <cfRule type="expression" dxfId="5096" priority="141">
      <formula>C$9&gt;=20/24</formula>
    </cfRule>
    <cfRule type="expression" dxfId="5095" priority="142">
      <formula>AND(C$9&gt;=14/24,C$9&lt;20/24)</formula>
    </cfRule>
    <cfRule type="expression" dxfId="5094" priority="143">
      <formula>AND(C$9&gt;=8/24,C$9&lt;14/24)</formula>
    </cfRule>
    <cfRule type="expression" dxfId="5093" priority="144">
      <formula>C$9&lt;8/24</formula>
    </cfRule>
  </conditionalFormatting>
  <conditionalFormatting sqref="N95:R97 O94:R94">
    <cfRule type="expression" dxfId="5092" priority="137">
      <formula>N$9&gt;=20/24</formula>
    </cfRule>
    <cfRule type="expression" dxfId="5091" priority="138">
      <formula>AND(N$9&gt;=14/24,N$9&lt;20/24)</formula>
    </cfRule>
    <cfRule type="expression" dxfId="5090" priority="139">
      <formula>AND(N$9&gt;=8/24,N$9&lt;14/24)</formula>
    </cfRule>
    <cfRule type="expression" dxfId="5089" priority="140">
      <formula>N$9&lt;8/24</formula>
    </cfRule>
  </conditionalFormatting>
  <conditionalFormatting sqref="S94:T97">
    <cfRule type="expression" dxfId="5088" priority="133">
      <formula>S$9&gt;=20/24</formula>
    </cfRule>
    <cfRule type="expression" dxfId="5087" priority="134">
      <formula>AND(S$9&gt;=14/24,S$9&lt;20/24)</formula>
    </cfRule>
    <cfRule type="expression" dxfId="5086" priority="135">
      <formula>AND(S$9&gt;=8/24,S$9&lt;14/24)</formula>
    </cfRule>
    <cfRule type="expression" dxfId="5085" priority="136">
      <formula>S$9&lt;8/24</formula>
    </cfRule>
  </conditionalFormatting>
  <conditionalFormatting sqref="C98:M98">
    <cfRule type="expression" dxfId="5084" priority="129">
      <formula>C$9&gt;=20/24</formula>
    </cfRule>
    <cfRule type="expression" dxfId="5083" priority="130">
      <formula>AND(C$9&gt;=14/24,C$9&lt;20/24)</formula>
    </cfRule>
    <cfRule type="expression" dxfId="5082" priority="131">
      <formula>AND(C$9&gt;=8/24,C$9&lt;14/24)</formula>
    </cfRule>
    <cfRule type="expression" dxfId="5081" priority="132">
      <formula>C$9&lt;8/24</formula>
    </cfRule>
  </conditionalFormatting>
  <conditionalFormatting sqref="N98:R98">
    <cfRule type="expression" dxfId="5080" priority="125">
      <formula>N$9&gt;=20/24</formula>
    </cfRule>
    <cfRule type="expression" dxfId="5079" priority="126">
      <formula>AND(N$9&gt;=14/24,N$9&lt;20/24)</formula>
    </cfRule>
    <cfRule type="expression" dxfId="5078" priority="127">
      <formula>AND(N$9&gt;=8/24,N$9&lt;14/24)</formula>
    </cfRule>
    <cfRule type="expression" dxfId="5077" priority="128">
      <formula>N$9&lt;8/24</formula>
    </cfRule>
  </conditionalFormatting>
  <conditionalFormatting sqref="S98:T98">
    <cfRule type="expression" dxfId="5076" priority="121">
      <formula>S$9&gt;=20/24</formula>
    </cfRule>
    <cfRule type="expression" dxfId="5075" priority="122">
      <formula>AND(S$9&gt;=14/24,S$9&lt;20/24)</formula>
    </cfRule>
    <cfRule type="expression" dxfId="5074" priority="123">
      <formula>AND(S$9&gt;=8/24,S$9&lt;14/24)</formula>
    </cfRule>
    <cfRule type="expression" dxfId="5073" priority="124">
      <formula>S$9&lt;8/24</formula>
    </cfRule>
  </conditionalFormatting>
  <conditionalFormatting sqref="M94:N94">
    <cfRule type="expression" dxfId="5072" priority="117">
      <formula>M$9&gt;=20/24</formula>
    </cfRule>
    <cfRule type="expression" dxfId="5071" priority="118">
      <formula>AND(M$9&gt;=14/24,M$9&lt;20/24)</formula>
    </cfRule>
    <cfRule type="expression" dxfId="5070" priority="119">
      <formula>AND(M$9&gt;=8/24,M$9&lt;14/24)</formula>
    </cfRule>
    <cfRule type="expression" dxfId="5069" priority="120">
      <formula>M$9&lt;8/24</formula>
    </cfRule>
  </conditionalFormatting>
  <conditionalFormatting sqref="G94:L94">
    <cfRule type="expression" dxfId="5068" priority="113">
      <formula>G$9&gt;=20/24</formula>
    </cfRule>
    <cfRule type="expression" dxfId="5067" priority="114">
      <formula>AND(G$9&gt;=14/24,G$9&lt;20/24)</formula>
    </cfRule>
    <cfRule type="expression" dxfId="5066" priority="115">
      <formula>AND(G$9&gt;=8/24,G$9&lt;14/24)</formula>
    </cfRule>
    <cfRule type="expression" dxfId="5065" priority="116">
      <formula>G$9&lt;8/24</formula>
    </cfRule>
  </conditionalFormatting>
  <conditionalFormatting sqref="U94:W94">
    <cfRule type="expression" dxfId="5064" priority="109">
      <formula>U$9&gt;=20/24</formula>
    </cfRule>
    <cfRule type="expression" dxfId="5063" priority="110">
      <formula>AND(U$9&gt;=14/24,U$9&lt;20/24)</formula>
    </cfRule>
    <cfRule type="expression" dxfId="5062" priority="111">
      <formula>AND(U$9&gt;=8/24,U$9&lt;14/24)</formula>
    </cfRule>
    <cfRule type="expression" dxfId="5061" priority="112">
      <formula>U$9&lt;8/24</formula>
    </cfRule>
  </conditionalFormatting>
  <conditionalFormatting sqref="N94:T94">
    <cfRule type="expression" dxfId="5060" priority="105">
      <formula>N$9&gt;=20/24</formula>
    </cfRule>
    <cfRule type="expression" dxfId="5059" priority="106">
      <formula>AND(N$9&gt;=14/24,N$9&lt;20/24)</formula>
    </cfRule>
    <cfRule type="expression" dxfId="5058" priority="107">
      <formula>AND(N$9&gt;=8/24,N$9&lt;14/24)</formula>
    </cfRule>
    <cfRule type="expression" dxfId="5057" priority="108">
      <formula>N$9&lt;8/24</formula>
    </cfRule>
  </conditionalFormatting>
  <conditionalFormatting sqref="U99:AA99">
    <cfRule type="expression" dxfId="5056" priority="101">
      <formula>U$9&gt;=20/24</formula>
    </cfRule>
    <cfRule type="expression" dxfId="5055" priority="102">
      <formula>AND(U$9&gt;=14/24,U$9&lt;20/24)</formula>
    </cfRule>
    <cfRule type="expression" dxfId="5054" priority="103">
      <formula>AND(U$9&gt;=8/24,U$9&lt;14/24)</formula>
    </cfRule>
    <cfRule type="expression" dxfId="5053" priority="104">
      <formula>U$9&lt;8/24</formula>
    </cfRule>
  </conditionalFormatting>
  <conditionalFormatting sqref="C99:M99">
    <cfRule type="expression" dxfId="5052" priority="97">
      <formula>C$9&gt;=20/24</formula>
    </cfRule>
    <cfRule type="expression" dxfId="5051" priority="98">
      <formula>AND(C$9&gt;=14/24,C$9&lt;20/24)</formula>
    </cfRule>
    <cfRule type="expression" dxfId="5050" priority="99">
      <formula>AND(C$9&gt;=8/24,C$9&lt;14/24)</formula>
    </cfRule>
    <cfRule type="expression" dxfId="5049" priority="100">
      <formula>C$9&lt;8/24</formula>
    </cfRule>
  </conditionalFormatting>
  <conditionalFormatting sqref="N99:R99">
    <cfRule type="expression" dxfId="5048" priority="93">
      <formula>N$9&gt;=20/24</formula>
    </cfRule>
    <cfRule type="expression" dxfId="5047" priority="94">
      <formula>AND(N$9&gt;=14/24,N$9&lt;20/24)</formula>
    </cfRule>
    <cfRule type="expression" dxfId="5046" priority="95">
      <formula>AND(N$9&gt;=8/24,N$9&lt;14/24)</formula>
    </cfRule>
    <cfRule type="expression" dxfId="5045" priority="96">
      <formula>N$9&lt;8/24</formula>
    </cfRule>
  </conditionalFormatting>
  <conditionalFormatting sqref="S99:T99">
    <cfRule type="expression" dxfId="5044" priority="89">
      <formula>S$9&gt;=20/24</formula>
    </cfRule>
    <cfRule type="expression" dxfId="5043" priority="90">
      <formula>AND(S$9&gt;=14/24,S$9&lt;20/24)</formula>
    </cfRule>
    <cfRule type="expression" dxfId="5042" priority="91">
      <formula>AND(S$9&gt;=8/24,S$9&lt;14/24)</formula>
    </cfRule>
    <cfRule type="expression" dxfId="5041" priority="92">
      <formula>S$9&lt;8/24</formula>
    </cfRule>
  </conditionalFormatting>
  <conditionalFormatting sqref="U12:Y12">
    <cfRule type="expression" dxfId="5040" priority="85">
      <formula>U$9&gt;=20/24</formula>
    </cfRule>
    <cfRule type="expression" dxfId="5039" priority="86">
      <formula>AND(U$9&gt;=14/24,U$9&lt;20/24)</formula>
    </cfRule>
    <cfRule type="expression" dxfId="5038" priority="87">
      <formula>AND(U$9&gt;=8/24,U$9&lt;14/24)</formula>
    </cfRule>
    <cfRule type="expression" dxfId="5037" priority="88">
      <formula>U$9&lt;8/24</formula>
    </cfRule>
  </conditionalFormatting>
  <conditionalFormatting sqref="U12:Y12">
    <cfRule type="expression" dxfId="5036" priority="77">
      <formula>U$9&gt;=20/24</formula>
    </cfRule>
    <cfRule type="expression" dxfId="5035" priority="78">
      <formula>AND(U$9&gt;=14/24,U$9&lt;20/24)</formula>
    </cfRule>
    <cfRule type="expression" dxfId="5034" priority="79">
      <formula>AND(U$9&gt;=8/24,U$9&lt;14/24)</formula>
    </cfRule>
    <cfRule type="expression" dxfId="5033" priority="80">
      <formula>U$9&lt;8/24</formula>
    </cfRule>
  </conditionalFormatting>
  <conditionalFormatting sqref="AB58:AE59">
    <cfRule type="expression" dxfId="5032" priority="73">
      <formula>AB$9&gt;=20/24</formula>
    </cfRule>
    <cfRule type="expression" dxfId="5031" priority="74">
      <formula>AND(AB$9&gt;=14/24,AB$9&lt;20/24)</formula>
    </cfRule>
    <cfRule type="expression" dxfId="5030" priority="75">
      <formula>AND(AB$9&gt;=8/24,AB$9&lt;14/24)</formula>
    </cfRule>
    <cfRule type="expression" dxfId="5029" priority="76">
      <formula>AB$9&lt;8/24</formula>
    </cfRule>
  </conditionalFormatting>
  <conditionalFormatting sqref="AL33">
    <cfRule type="iconSet" priority="7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28" priority="306">
      <formula>C$9&gt;=20/24</formula>
    </cfRule>
    <cfRule type="expression" dxfId="5027" priority="307">
      <formula>AND(C$9&gt;=14/24,C$9&lt;20/24)</formula>
    </cfRule>
    <cfRule type="expression" dxfId="5026" priority="308">
      <formula>AND(C$9&gt;=8/24,C$9&lt;14/24)</formula>
    </cfRule>
    <cfRule type="expression" dxfId="5025" priority="309">
      <formula>C$9&lt;8/24</formula>
    </cfRule>
  </conditionalFormatting>
  <conditionalFormatting sqref="A200">
    <cfRule type="expression" dxfId="5024" priority="310">
      <formula>$AH200=0</formula>
    </cfRule>
  </conditionalFormatting>
  <conditionalFormatting sqref="AG212">
    <cfRule type="expression" dxfId="5023" priority="311">
      <formula>B$9&gt;=20/24</formula>
    </cfRule>
    <cfRule type="expression" dxfId="5022" priority="312">
      <formula>AND(B$9&gt;=14/24,B$9&lt;20/24)</formula>
    </cfRule>
    <cfRule type="expression" dxfId="5021" priority="313">
      <formula>AND(B$9&gt;=8/24,B$9&lt;14/24)</formula>
    </cfRule>
    <cfRule type="expression" dxfId="5020" priority="314">
      <formula>B$9&lt;8/24</formula>
    </cfRule>
  </conditionalFormatting>
  <conditionalFormatting sqref="S8">
    <cfRule type="expression" dxfId="5019" priority="67">
      <formula>U$9&gt;=20/24</formula>
    </cfRule>
    <cfRule type="expression" dxfId="5018" priority="68">
      <formula>AND(U$9&gt;=14/24,U$9&lt;20/24)</formula>
    </cfRule>
    <cfRule type="expression" dxfId="5017" priority="69">
      <formula>AND(U$9&gt;=8/24,U$9&lt;14/24)</formula>
    </cfRule>
    <cfRule type="expression" dxfId="5016" priority="70">
      <formula>U$9&lt;8/24</formula>
    </cfRule>
  </conditionalFormatting>
  <conditionalFormatting sqref="AB8">
    <cfRule type="expression" dxfId="5015" priority="63">
      <formula>AD$9&gt;=20/24</formula>
    </cfRule>
    <cfRule type="expression" dxfId="5014" priority="64">
      <formula>AND(AD$9&gt;=14/24,AD$9&lt;20/24)</formula>
    </cfRule>
    <cfRule type="expression" dxfId="5013" priority="65">
      <formula>AND(AD$9&gt;=8/24,AD$9&lt;14/24)</formula>
    </cfRule>
    <cfRule type="expression" dxfId="5012" priority="66">
      <formula>AD$9&lt;8/24</formula>
    </cfRule>
  </conditionalFormatting>
  <conditionalFormatting sqref="AH212:AX212">
    <cfRule type="expression" dxfId="5011" priority="315">
      <formula>AG$9&gt;=20/24</formula>
    </cfRule>
    <cfRule type="expression" dxfId="5010" priority="316">
      <formula>AND(AG$9&gt;=14/24,AG$9&lt;20/24)</formula>
    </cfRule>
    <cfRule type="expression" dxfId="5009" priority="317">
      <formula>AND(AG$9&gt;=8/24,AG$9&lt;14/24)</formula>
    </cfRule>
    <cfRule type="expression" dxfId="5008" priority="318">
      <formula>AG$9&lt;8/24</formula>
    </cfRule>
  </conditionalFormatting>
  <conditionalFormatting sqref="T212">
    <cfRule type="expression" dxfId="5007" priority="319">
      <formula>AX$9&gt;=20/24</formula>
    </cfRule>
    <cfRule type="expression" dxfId="5006" priority="320">
      <formula>AND(AX$9&gt;=14/24,AX$9&lt;20/24)</formula>
    </cfRule>
    <cfRule type="expression" dxfId="5005" priority="321">
      <formula>AND(AX$9&gt;=8/24,AX$9&lt;14/24)</formula>
    </cfRule>
    <cfRule type="expression" dxfId="5004" priority="322">
      <formula>AX$9&lt;8/24</formula>
    </cfRule>
  </conditionalFormatting>
  <conditionalFormatting sqref="A99">
    <cfRule type="expression" dxfId="5003" priority="62">
      <formula>$AH99=0</formula>
    </cfRule>
  </conditionalFormatting>
  <conditionalFormatting sqref="Z33:AF33">
    <cfRule type="expression" dxfId="5002" priority="54">
      <formula>Z$9&gt;=20/24</formula>
    </cfRule>
    <cfRule type="expression" dxfId="5001" priority="55">
      <formula>AND(Z$9&gt;=14/24,Z$9&lt;20/24)</formula>
    </cfRule>
    <cfRule type="expression" dxfId="5000" priority="56">
      <formula>AND(Z$9&gt;=8/24,Z$9&lt;14/24)</formula>
    </cfRule>
    <cfRule type="expression" dxfId="4999" priority="57">
      <formula>Z$9&lt;8/24</formula>
    </cfRule>
  </conditionalFormatting>
  <conditionalFormatting sqref="Z33:AF33">
    <cfRule type="expression" dxfId="4998" priority="49">
      <formula>Z33&gt;$AG33</formula>
    </cfRule>
  </conditionalFormatting>
  <conditionalFormatting sqref="B94:B99 B53:B91 B11:E11">
    <cfRule type="expression" dxfId="4997" priority="45">
      <formula>B$9&gt;=20/24</formula>
    </cfRule>
    <cfRule type="expression" dxfId="4996" priority="46">
      <formula>AND(B$9&gt;=14/24,B$9&lt;20/24)</formula>
    </cfRule>
    <cfRule type="expression" dxfId="4995" priority="47">
      <formula>AND(B$9&gt;=8/24,B$9&lt;14/24)</formula>
    </cfRule>
    <cfRule type="expression" dxfId="4994" priority="48">
      <formula>B$9&lt;8/24</formula>
    </cfRule>
  </conditionalFormatting>
  <conditionalFormatting sqref="B37:D37">
    <cfRule type="expression" dxfId="4993" priority="41">
      <formula>B$9&gt;=20/24</formula>
    </cfRule>
    <cfRule type="expression" dxfId="4992" priority="42">
      <formula>AND(B$9&gt;=14/24,B$9&lt;20/24)</formula>
    </cfRule>
    <cfRule type="expression" dxfId="4991" priority="43">
      <formula>AND(B$9&gt;=8/24,B$9&lt;14/24)</formula>
    </cfRule>
    <cfRule type="expression" dxfId="4990" priority="44">
      <formula>B$9&lt;8/24</formula>
    </cfRule>
  </conditionalFormatting>
  <conditionalFormatting sqref="B45:G48">
    <cfRule type="expression" dxfId="4989" priority="37">
      <formula>B$9&gt;=20/24</formula>
    </cfRule>
    <cfRule type="expression" dxfId="4988" priority="38">
      <formula>AND(B$9&gt;=14/24,B$9&lt;20/24)</formula>
    </cfRule>
    <cfRule type="expression" dxfId="4987" priority="39">
      <formula>AND(B$9&gt;=8/24,B$9&lt;14/24)</formula>
    </cfRule>
    <cfRule type="expression" dxfId="4986" priority="40">
      <formula>B$9&lt;8/24</formula>
    </cfRule>
  </conditionalFormatting>
  <conditionalFormatting sqref="B49:G49">
    <cfRule type="expression" dxfId="4985" priority="33">
      <formula>B$9&gt;=20/24</formula>
    </cfRule>
    <cfRule type="expression" dxfId="4984" priority="34">
      <formula>AND(B$9&gt;=14/24,B$9&lt;20/24)</formula>
    </cfRule>
    <cfRule type="expression" dxfId="4983" priority="35">
      <formula>AND(B$9&gt;=8/24,B$9&lt;14/24)</formula>
    </cfRule>
    <cfRule type="expression" dxfId="4982" priority="36">
      <formula>B$9&lt;8/24</formula>
    </cfRule>
  </conditionalFormatting>
  <conditionalFormatting sqref="B50:G50">
    <cfRule type="expression" dxfId="4981" priority="29">
      <formula>B$9&gt;=20/24</formula>
    </cfRule>
    <cfRule type="expression" dxfId="4980" priority="30">
      <formula>AND(B$9&gt;=14/24,B$9&lt;20/24)</formula>
    </cfRule>
    <cfRule type="expression" dxfId="4979" priority="31">
      <formula>AND(B$9&gt;=8/24,B$9&lt;14/24)</formula>
    </cfRule>
    <cfRule type="expression" dxfId="4978" priority="32">
      <formula>B$9&lt;8/24</formula>
    </cfRule>
  </conditionalFormatting>
  <conditionalFormatting sqref="B37:B56 C37:D37 B11:E11 C44:G50">
    <cfRule type="expression" dxfId="4977" priority="28">
      <formula>B11&gt;$AG11</formula>
    </cfRule>
  </conditionalFormatting>
  <conditionalFormatting sqref="B44:G44">
    <cfRule type="expression" dxfId="4976" priority="24">
      <formula>B$9&gt;=20/24</formula>
    </cfRule>
    <cfRule type="expression" dxfId="4975" priority="25">
      <formula>AND(B$9&gt;=14/24,B$9&lt;20/24)</formula>
    </cfRule>
    <cfRule type="expression" dxfId="4974" priority="26">
      <formula>AND(B$9&gt;=8/24,B$9&lt;14/24)</formula>
    </cfRule>
    <cfRule type="expression" dxfId="4973" priority="27">
      <formula>B$9&lt;8/24</formula>
    </cfRule>
  </conditionalFormatting>
  <conditionalFormatting sqref="B36:M36 B12:T14 U13:Y14 B16:Y32">
    <cfRule type="expression" dxfId="4972" priority="20">
      <formula>B$9&gt;=20/24</formula>
    </cfRule>
    <cfRule type="expression" dxfId="4971" priority="21">
      <formula>AND(B$9&gt;=14/24,B$9&lt;20/24)</formula>
    </cfRule>
    <cfRule type="expression" dxfId="4970" priority="22">
      <formula>AND(B$9&gt;=8/24,B$9&lt;14/24)</formula>
    </cfRule>
    <cfRule type="expression" dxfId="4969" priority="23">
      <formula>B$9&lt;8/24</formula>
    </cfRule>
  </conditionalFormatting>
  <conditionalFormatting sqref="B35:Y35">
    <cfRule type="expression" dxfId="4968" priority="16">
      <formula>B$9&gt;=20/24</formula>
    </cfRule>
    <cfRule type="expression" dxfId="4967" priority="17">
      <formula>AND(B$9&gt;=14/24,B$9&lt;20/24)</formula>
    </cfRule>
    <cfRule type="expression" dxfId="4966" priority="18">
      <formula>AND(B$9&gt;=8/24,B$9&lt;14/24)</formula>
    </cfRule>
    <cfRule type="expression" dxfId="4965" priority="19">
      <formula>B$9&lt;8/24</formula>
    </cfRule>
  </conditionalFormatting>
  <conditionalFormatting sqref="B34:M36 B12:T14 U13:Y14 N34:Y35 B16:Y32">
    <cfRule type="expression" dxfId="4964" priority="15">
      <formula>B12&gt;$AG12</formula>
    </cfRule>
  </conditionalFormatting>
  <conditionalFormatting sqref="B34:Y34">
    <cfRule type="expression" dxfId="4963" priority="11">
      <formula>B$9&gt;=20/24</formula>
    </cfRule>
    <cfRule type="expression" dxfId="4962" priority="12">
      <formula>AND(B$9&gt;=14/24,B$9&lt;20/24)</formula>
    </cfRule>
    <cfRule type="expression" dxfId="4961" priority="13">
      <formula>AND(B$9&gt;=8/24,B$9&lt;14/24)</formula>
    </cfRule>
    <cfRule type="expression" dxfId="4960" priority="14">
      <formula>B$9&lt;8/24</formula>
    </cfRule>
  </conditionalFormatting>
  <conditionalFormatting sqref="B15:Y15">
    <cfRule type="expression" dxfId="4959" priority="7">
      <formula>B$9&gt;=20/24</formula>
    </cfRule>
    <cfRule type="expression" dxfId="4958" priority="8">
      <formula>AND(B$9&gt;=14/24,B$9&lt;20/24)</formula>
    </cfRule>
    <cfRule type="expression" dxfId="4957" priority="9">
      <formula>AND(B$9&gt;=8/24,B$9&lt;14/24)</formula>
    </cfRule>
    <cfRule type="expression" dxfId="4956" priority="10">
      <formula>B$9&lt;8/24</formula>
    </cfRule>
  </conditionalFormatting>
  <conditionalFormatting sqref="B15:Y15">
    <cfRule type="expression" dxfId="4955" priority="6">
      <formula>B15&gt;$AG15</formula>
    </cfRule>
  </conditionalFormatting>
  <conditionalFormatting sqref="B33:Y33">
    <cfRule type="expression" dxfId="4954" priority="2">
      <formula>B$9&gt;=20/24</formula>
    </cfRule>
    <cfRule type="expression" dxfId="4953" priority="3">
      <formula>AND(B$9&gt;=14/24,B$9&lt;20/24)</formula>
    </cfRule>
    <cfRule type="expression" dxfId="4952" priority="4">
      <formula>AND(B$9&gt;=8/24,B$9&lt;14/24)</formula>
    </cfRule>
    <cfRule type="expression" dxfId="4951" priority="5">
      <formula>B$9&lt;8/24</formula>
    </cfRule>
  </conditionalFormatting>
  <conditionalFormatting sqref="B33:Y33">
    <cfRule type="expression" dxfId="4950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" id="{C72FA4A7-3A83-44A2-A2D0-40132361828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K59" sqref="K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8.28515625" bestFit="1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2078/11/14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371.6</v>
      </c>
      <c r="C5" s="32">
        <f t="shared" si="0"/>
        <v>432.1</v>
      </c>
      <c r="D5" s="32">
        <f t="shared" si="0"/>
        <v>417.4</v>
      </c>
      <c r="E5" s="32">
        <f t="shared" si="0"/>
        <v>403</v>
      </c>
      <c r="F5" s="32">
        <f t="shared" si="0"/>
        <v>445.4</v>
      </c>
      <c r="G5" s="32">
        <f t="shared" si="0"/>
        <v>485.5</v>
      </c>
      <c r="H5" s="32">
        <f t="shared" si="0"/>
        <v>571.6</v>
      </c>
      <c r="I5" s="32">
        <f t="shared" si="0"/>
        <v>323</v>
      </c>
      <c r="J5" s="32">
        <f t="shared" si="0"/>
        <v>346.6</v>
      </c>
      <c r="K5" s="32">
        <f t="shared" si="0"/>
        <v>367.09999999999997</v>
      </c>
      <c r="L5" s="32">
        <f t="shared" si="0"/>
        <v>334.1</v>
      </c>
      <c r="M5" s="32">
        <f t="shared" si="0"/>
        <v>300.8</v>
      </c>
      <c r="N5" s="32">
        <f t="shared" si="0"/>
        <v>388.7</v>
      </c>
      <c r="O5" s="32">
        <f t="shared" si="0"/>
        <v>310.3</v>
      </c>
      <c r="P5" s="32">
        <f t="shared" si="0"/>
        <v>381.3</v>
      </c>
      <c r="Q5" s="32">
        <f t="shared" si="0"/>
        <v>319</v>
      </c>
      <c r="R5" s="32">
        <f t="shared" si="0"/>
        <v>325.7</v>
      </c>
      <c r="S5" s="32">
        <f t="shared" si="0"/>
        <v>333</v>
      </c>
      <c r="T5" s="32">
        <f t="shared" si="0"/>
        <v>351.6</v>
      </c>
      <c r="U5" s="32">
        <f t="shared" si="0"/>
        <v>349.7</v>
      </c>
      <c r="V5" s="32">
        <f t="shared" si="0"/>
        <v>405</v>
      </c>
      <c r="W5" s="32">
        <f t="shared" si="0"/>
        <v>357</v>
      </c>
      <c r="X5" s="32">
        <f t="shared" si="0"/>
        <v>312</v>
      </c>
      <c r="Y5" s="32">
        <f t="shared" si="0"/>
        <v>258</v>
      </c>
      <c r="Z5" s="32">
        <f t="shared" si="0"/>
        <v>360.7</v>
      </c>
      <c r="AA5" s="32">
        <f t="shared" si="0"/>
        <v>388.90000000000003</v>
      </c>
      <c r="AB5" s="32">
        <f t="shared" si="0"/>
        <v>476.59999999999997</v>
      </c>
      <c r="AC5" s="32">
        <f t="shared" si="0"/>
        <v>446.90000000000003</v>
      </c>
      <c r="AD5" s="32">
        <f t="shared" si="0"/>
        <v>399</v>
      </c>
      <c r="AE5" s="32">
        <f t="shared" si="0"/>
        <v>397.2</v>
      </c>
      <c r="AF5" s="32">
        <f>B68</f>
        <v>388.7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1376MW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Load=907</v>
      </c>
      <c r="B7" s="37">
        <f>B75</f>
        <v>972.44</v>
      </c>
      <c r="C7" s="37">
        <f t="shared" ref="C7:AF7" si="1">C75</f>
        <v>940.74</v>
      </c>
      <c r="D7" s="37">
        <f t="shared" si="1"/>
        <v>929.24</v>
      </c>
      <c r="E7" s="37">
        <f t="shared" si="1"/>
        <v>908.24</v>
      </c>
      <c r="F7" s="37">
        <f t="shared" si="1"/>
        <v>907.34</v>
      </c>
      <c r="G7" s="37">
        <f t="shared" si="1"/>
        <v>968.63999999999987</v>
      </c>
      <c r="H7" s="37">
        <f t="shared" si="1"/>
        <v>1009.6400000000001</v>
      </c>
      <c r="I7" s="37">
        <f t="shared" si="1"/>
        <v>1097.44</v>
      </c>
      <c r="J7" s="37">
        <f t="shared" si="1"/>
        <v>1201.04</v>
      </c>
      <c r="K7" s="37">
        <f t="shared" si="1"/>
        <v>1290.3399999999999</v>
      </c>
      <c r="L7" s="37">
        <f t="shared" si="1"/>
        <v>1349.7399999999998</v>
      </c>
      <c r="M7" s="37">
        <f t="shared" si="1"/>
        <v>1339.94</v>
      </c>
      <c r="N7" s="37">
        <f t="shared" si="1"/>
        <v>1375.6399999999999</v>
      </c>
      <c r="O7" s="37">
        <f t="shared" si="1"/>
        <v>1231.6399999999999</v>
      </c>
      <c r="P7" s="37">
        <f t="shared" si="1"/>
        <v>1132.74</v>
      </c>
      <c r="Q7" s="37">
        <f t="shared" si="1"/>
        <v>1126.6399999999999</v>
      </c>
      <c r="R7" s="37">
        <f t="shared" si="1"/>
        <v>1063.04</v>
      </c>
      <c r="S7" s="37">
        <f t="shared" si="1"/>
        <v>1023.14</v>
      </c>
      <c r="T7" s="37">
        <f t="shared" si="1"/>
        <v>996.54</v>
      </c>
      <c r="U7" s="37">
        <f t="shared" si="1"/>
        <v>1027.94</v>
      </c>
      <c r="V7" s="37">
        <f t="shared" si="1"/>
        <v>1001.24</v>
      </c>
      <c r="W7" s="37">
        <f t="shared" si="1"/>
        <v>1075.94</v>
      </c>
      <c r="X7" s="37">
        <f t="shared" si="1"/>
        <v>1190.04</v>
      </c>
      <c r="Y7" s="37">
        <f t="shared" si="1"/>
        <v>1397.6399999999999</v>
      </c>
      <c r="Z7" s="37">
        <f t="shared" si="1"/>
        <v>1427.44</v>
      </c>
      <c r="AA7" s="37">
        <f t="shared" si="1"/>
        <v>1381.1399999999999</v>
      </c>
      <c r="AB7" s="37">
        <f t="shared" si="1"/>
        <v>1298.8400000000001</v>
      </c>
      <c r="AC7" s="37">
        <f t="shared" si="1"/>
        <v>1273.94</v>
      </c>
      <c r="AD7" s="37">
        <f t="shared" si="1"/>
        <v>1161.1399999999999</v>
      </c>
      <c r="AE7" s="37">
        <f t="shared" si="1"/>
        <v>1018.3399999999999</v>
      </c>
      <c r="AF7" s="37">
        <f t="shared" si="1"/>
        <v>934.13999999999987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220</v>
      </c>
      <c r="K11" s="49">
        <v>250</v>
      </c>
      <c r="L11" s="49">
        <v>250</v>
      </c>
      <c r="M11" s="50">
        <v>250</v>
      </c>
      <c r="N11" s="50">
        <v>250</v>
      </c>
      <c r="O11" s="50">
        <v>90</v>
      </c>
      <c r="P11" s="50">
        <v>95</v>
      </c>
      <c r="Q11" s="50">
        <v>95</v>
      </c>
      <c r="R11" s="51">
        <v>90</v>
      </c>
      <c r="S11" s="50">
        <v>85</v>
      </c>
      <c r="T11" s="50">
        <v>65</v>
      </c>
      <c r="U11" s="50">
        <v>65</v>
      </c>
      <c r="V11" s="50">
        <v>45</v>
      </c>
      <c r="W11" s="50">
        <v>40</v>
      </c>
      <c r="X11" s="50">
        <v>94</v>
      </c>
      <c r="Y11" s="50">
        <v>280</v>
      </c>
      <c r="Z11" s="52">
        <v>356</v>
      </c>
      <c r="AA11" s="50">
        <v>220</v>
      </c>
      <c r="AB11" s="50">
        <v>150</v>
      </c>
      <c r="AC11" s="50">
        <v>50</v>
      </c>
      <c r="AD11" s="50">
        <v>20</v>
      </c>
      <c r="AE11" s="50">
        <v>20</v>
      </c>
      <c r="AF11" s="50">
        <v>15</v>
      </c>
      <c r="AG11" s="53">
        <v>456</v>
      </c>
      <c r="AH11" s="54">
        <f>MAX(B11:AF11)</f>
        <v>356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58">
        <v>30</v>
      </c>
      <c r="U12" s="58">
        <v>30</v>
      </c>
      <c r="V12" s="58">
        <v>30</v>
      </c>
      <c r="W12" s="58">
        <v>30</v>
      </c>
      <c r="X12" s="58">
        <v>30</v>
      </c>
      <c r="Y12" s="58">
        <v>30</v>
      </c>
      <c r="Z12" s="58">
        <v>30</v>
      </c>
      <c r="AA12" s="58">
        <v>30</v>
      </c>
      <c r="AB12" s="58">
        <v>30</v>
      </c>
      <c r="AC12" s="58">
        <v>31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18.100000000000001</v>
      </c>
      <c r="C13" s="49">
        <v>18.100000000000001</v>
      </c>
      <c r="D13" s="49">
        <v>18.100000000000001</v>
      </c>
      <c r="E13" s="49">
        <v>18.100000000000001</v>
      </c>
      <c r="F13" s="49">
        <v>15.4</v>
      </c>
      <c r="G13" s="49">
        <v>18.100000000000001</v>
      </c>
      <c r="H13" s="49">
        <v>18.100000000000001</v>
      </c>
      <c r="I13" s="49">
        <v>19.399999999999999</v>
      </c>
      <c r="J13" s="49">
        <v>19.399999999999999</v>
      </c>
      <c r="K13" s="49">
        <v>18.399999999999999</v>
      </c>
      <c r="L13" s="49">
        <v>18.399999999999999</v>
      </c>
      <c r="M13" s="49">
        <v>18.399999999999999</v>
      </c>
      <c r="N13" s="49">
        <v>18.399999999999999</v>
      </c>
      <c r="O13" s="49">
        <v>18.399999999999999</v>
      </c>
      <c r="P13" s="49">
        <v>18.399999999999999</v>
      </c>
      <c r="Q13" s="49">
        <v>18.399999999999999</v>
      </c>
      <c r="R13" s="49">
        <v>17.8</v>
      </c>
      <c r="S13" s="49">
        <v>17.8</v>
      </c>
      <c r="T13" s="58">
        <v>16.399999999999999</v>
      </c>
      <c r="U13" s="58">
        <v>16.399999999999999</v>
      </c>
      <c r="V13" s="58">
        <v>16.399999999999999</v>
      </c>
      <c r="W13" s="58">
        <v>16.399999999999999</v>
      </c>
      <c r="X13" s="58">
        <v>16.399999999999999</v>
      </c>
      <c r="Y13" s="58">
        <v>16.399999999999999</v>
      </c>
      <c r="Z13" s="58">
        <v>16.399999999999999</v>
      </c>
      <c r="AA13" s="58">
        <v>16.399999999999999</v>
      </c>
      <c r="AB13" s="58">
        <v>16.399999999999999</v>
      </c>
      <c r="AC13" s="58">
        <v>17.3</v>
      </c>
      <c r="AD13" s="58">
        <v>17.3</v>
      </c>
      <c r="AE13" s="58">
        <v>17.3</v>
      </c>
      <c r="AF13" s="58">
        <v>17.3</v>
      </c>
      <c r="AG13" s="59">
        <v>52.4</v>
      </c>
      <c r="AH13" s="54">
        <f t="shared" si="2"/>
        <v>19.399999999999999</v>
      </c>
      <c r="AI13" s="55">
        <f t="shared" si="3"/>
        <v>15.4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34.5</v>
      </c>
      <c r="C14" s="49">
        <v>34.5</v>
      </c>
      <c r="D14" s="49">
        <v>34.5</v>
      </c>
      <c r="E14" s="49">
        <v>34.5</v>
      </c>
      <c r="F14" s="49">
        <v>33.9</v>
      </c>
      <c r="G14" s="49">
        <v>34.200000000000003</v>
      </c>
      <c r="H14" s="49">
        <v>34.200000000000003</v>
      </c>
      <c r="I14" s="49">
        <v>34.5</v>
      </c>
      <c r="J14" s="49">
        <v>34.5</v>
      </c>
      <c r="K14" s="49">
        <v>34.200000000000003</v>
      </c>
      <c r="L14" s="49">
        <v>33.700000000000003</v>
      </c>
      <c r="M14" s="50">
        <v>33.700000000000003</v>
      </c>
      <c r="N14" s="50">
        <v>33.700000000000003</v>
      </c>
      <c r="O14" s="50">
        <v>33.700000000000003</v>
      </c>
      <c r="P14" s="50">
        <v>33.700000000000003</v>
      </c>
      <c r="Q14" s="50">
        <v>33.700000000000003</v>
      </c>
      <c r="R14" s="50">
        <v>33.700000000000003</v>
      </c>
      <c r="S14" s="50">
        <v>33.700000000000003</v>
      </c>
      <c r="T14" s="60">
        <v>33.200000000000003</v>
      </c>
      <c r="U14" s="60">
        <v>33.200000000000003</v>
      </c>
      <c r="V14" s="60">
        <v>33.200000000000003</v>
      </c>
      <c r="W14" s="60">
        <v>33.200000000000003</v>
      </c>
      <c r="X14" s="60">
        <v>33.200000000000003</v>
      </c>
      <c r="Y14" s="60">
        <v>33.200000000000003</v>
      </c>
      <c r="Z14" s="60">
        <v>33.200000000000003</v>
      </c>
      <c r="AA14" s="60">
        <v>33.200000000000003</v>
      </c>
      <c r="AB14" s="60">
        <v>33.200000000000003</v>
      </c>
      <c r="AC14" s="60">
        <v>33.200000000000003</v>
      </c>
      <c r="AD14" s="60">
        <v>33.200000000000003</v>
      </c>
      <c r="AE14" s="60">
        <v>33.200000000000003</v>
      </c>
      <c r="AF14" s="60">
        <v>33.200000000000003</v>
      </c>
      <c r="AG14" s="59">
        <v>50</v>
      </c>
      <c r="AH14" s="54">
        <f t="shared" si="2"/>
        <v>34.5</v>
      </c>
      <c r="AI14" s="55">
        <f t="shared" si="3"/>
        <v>33.200000000000003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20.399999999999999</v>
      </c>
      <c r="C15" s="61">
        <v>20.399999999999999</v>
      </c>
      <c r="D15" s="61">
        <v>20.399999999999999</v>
      </c>
      <c r="E15" s="61">
        <v>20.399999999999999</v>
      </c>
      <c r="F15" s="61">
        <v>20.2</v>
      </c>
      <c r="G15" s="61">
        <v>19.3</v>
      </c>
      <c r="H15" s="61">
        <v>19.3</v>
      </c>
      <c r="I15" s="61">
        <v>19.3</v>
      </c>
      <c r="J15" s="61">
        <v>19.3</v>
      </c>
      <c r="K15" s="61">
        <v>19.7</v>
      </c>
      <c r="L15" s="61">
        <v>19.7</v>
      </c>
      <c r="M15" s="50">
        <v>19.7</v>
      </c>
      <c r="N15" s="50">
        <v>19.7</v>
      </c>
      <c r="O15" s="50">
        <v>19.7</v>
      </c>
      <c r="P15" s="50">
        <v>19.7</v>
      </c>
      <c r="Q15" s="50">
        <v>19.7</v>
      </c>
      <c r="R15" s="50">
        <v>19.7</v>
      </c>
      <c r="S15" s="50">
        <v>19.7</v>
      </c>
      <c r="T15" s="50">
        <v>19.7</v>
      </c>
      <c r="U15" s="50">
        <v>19.7</v>
      </c>
      <c r="V15" s="50">
        <v>19.7</v>
      </c>
      <c r="W15" s="50">
        <v>19.7</v>
      </c>
      <c r="X15" s="50">
        <v>19.7</v>
      </c>
      <c r="Y15" s="50">
        <v>19.7</v>
      </c>
      <c r="Z15" s="50">
        <v>19.7</v>
      </c>
      <c r="AA15" s="50">
        <v>19.7</v>
      </c>
      <c r="AB15" s="50">
        <v>19.7</v>
      </c>
      <c r="AC15" s="50">
        <v>19.7</v>
      </c>
      <c r="AD15" s="50">
        <v>19.7</v>
      </c>
      <c r="AE15" s="50">
        <v>19.7</v>
      </c>
      <c r="AF15" s="50">
        <v>19.7</v>
      </c>
      <c r="AG15" s="62">
        <v>45</v>
      </c>
      <c r="AH15" s="54">
        <f t="shared" si="2"/>
        <v>20.399999999999999</v>
      </c>
      <c r="AI15" s="55">
        <f t="shared" si="3"/>
        <v>19.3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9.4</v>
      </c>
      <c r="C19" s="49">
        <v>9.4</v>
      </c>
      <c r="D19" s="49">
        <v>9.4</v>
      </c>
      <c r="E19" s="49">
        <v>9.4</v>
      </c>
      <c r="F19" s="49">
        <v>9.4</v>
      </c>
      <c r="G19" s="49">
        <v>9.4</v>
      </c>
      <c r="H19" s="49">
        <v>9.4</v>
      </c>
      <c r="I19" s="49">
        <v>9.4</v>
      </c>
      <c r="J19" s="49">
        <v>9.4</v>
      </c>
      <c r="K19" s="49">
        <v>9.4</v>
      </c>
      <c r="L19" s="49">
        <v>9.4</v>
      </c>
      <c r="M19" s="50">
        <v>9.4</v>
      </c>
      <c r="N19" s="50">
        <v>9.4</v>
      </c>
      <c r="O19" s="50">
        <v>9.4</v>
      </c>
      <c r="P19" s="50">
        <v>9.4</v>
      </c>
      <c r="Q19" s="50">
        <v>9.4</v>
      </c>
      <c r="R19" s="50">
        <v>9.4</v>
      </c>
      <c r="S19" s="50">
        <v>9.4</v>
      </c>
      <c r="T19" s="50">
        <v>9.4</v>
      </c>
      <c r="U19" s="50">
        <v>9.4</v>
      </c>
      <c r="V19" s="50">
        <v>9.4</v>
      </c>
      <c r="W19" s="50">
        <v>9.4</v>
      </c>
      <c r="X19" s="50">
        <v>9.4</v>
      </c>
      <c r="Y19" s="50">
        <v>9.4</v>
      </c>
      <c r="Z19" s="50">
        <v>9.4</v>
      </c>
      <c r="AA19" s="50">
        <v>9.4</v>
      </c>
      <c r="AB19" s="50">
        <v>9.4</v>
      </c>
      <c r="AC19" s="50">
        <v>9.4</v>
      </c>
      <c r="AD19" s="50">
        <v>9.4</v>
      </c>
      <c r="AE19" s="50">
        <v>9.4</v>
      </c>
      <c r="AF19" s="50">
        <v>9.4</v>
      </c>
      <c r="AG19" s="59">
        <v>30</v>
      </c>
      <c r="AH19" s="54">
        <f t="shared" si="2"/>
        <v>9.4</v>
      </c>
      <c r="AI19" s="55">
        <f t="shared" si="3"/>
        <v>9.4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50">
        <v>10</v>
      </c>
      <c r="N22" s="50">
        <v>10</v>
      </c>
      <c r="O22" s="50">
        <v>10</v>
      </c>
      <c r="P22" s="50">
        <v>10</v>
      </c>
      <c r="Q22" s="50">
        <v>10</v>
      </c>
      <c r="R22" s="50">
        <v>10</v>
      </c>
      <c r="S22" s="50">
        <v>10</v>
      </c>
      <c r="T22" s="50">
        <v>10</v>
      </c>
      <c r="U22" s="50">
        <v>10</v>
      </c>
      <c r="V22" s="50">
        <v>10</v>
      </c>
      <c r="W22" s="50">
        <v>10</v>
      </c>
      <c r="X22" s="50">
        <v>10</v>
      </c>
      <c r="Y22" s="50">
        <v>10</v>
      </c>
      <c r="Z22" s="50">
        <v>17</v>
      </c>
      <c r="AA22" s="50">
        <v>17</v>
      </c>
      <c r="AB22" s="50">
        <v>17</v>
      </c>
      <c r="AC22" s="50">
        <v>17</v>
      </c>
      <c r="AD22" s="50">
        <v>17</v>
      </c>
      <c r="AE22" s="50">
        <v>17</v>
      </c>
      <c r="AF22" s="50">
        <v>17</v>
      </c>
      <c r="AG22" s="59">
        <v>25</v>
      </c>
      <c r="AH22" s="54">
        <f t="shared" si="2"/>
        <v>17</v>
      </c>
      <c r="AI22" s="55">
        <f t="shared" si="3"/>
        <v>10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10.4</v>
      </c>
      <c r="C24" s="49">
        <v>10.4</v>
      </c>
      <c r="D24" s="49">
        <v>10.4</v>
      </c>
      <c r="E24" s="49">
        <v>10.4</v>
      </c>
      <c r="F24" s="49">
        <v>10.8</v>
      </c>
      <c r="G24" s="49">
        <v>10.1</v>
      </c>
      <c r="H24" s="49">
        <v>10.1</v>
      </c>
      <c r="I24" s="49">
        <v>10</v>
      </c>
      <c r="J24" s="49">
        <v>10</v>
      </c>
      <c r="K24" s="49">
        <v>10.199999999999999</v>
      </c>
      <c r="L24" s="49">
        <v>10.199999999999999</v>
      </c>
      <c r="M24" s="50">
        <v>10.199999999999999</v>
      </c>
      <c r="N24" s="50">
        <v>10.199999999999999</v>
      </c>
      <c r="O24" s="50">
        <v>10.199999999999999</v>
      </c>
      <c r="P24" s="50">
        <v>10.199999999999999</v>
      </c>
      <c r="Q24" s="50">
        <v>10.199999999999999</v>
      </c>
      <c r="R24" s="50">
        <v>10.199999999999999</v>
      </c>
      <c r="S24" s="50">
        <v>10.199999999999999</v>
      </c>
      <c r="T24" s="50">
        <v>10.199999999999999</v>
      </c>
      <c r="U24" s="50">
        <v>10.199999999999999</v>
      </c>
      <c r="V24" s="50">
        <v>10.199999999999999</v>
      </c>
      <c r="W24" s="50">
        <v>10.199999999999999</v>
      </c>
      <c r="X24" s="50">
        <v>10.199999999999999</v>
      </c>
      <c r="Y24" s="50">
        <v>10.199999999999999</v>
      </c>
      <c r="Z24" s="50">
        <v>11</v>
      </c>
      <c r="AA24" s="50">
        <v>11</v>
      </c>
      <c r="AB24" s="50">
        <v>11</v>
      </c>
      <c r="AC24" s="50">
        <v>11</v>
      </c>
      <c r="AD24" s="50">
        <v>11</v>
      </c>
      <c r="AE24" s="50">
        <v>11</v>
      </c>
      <c r="AF24" s="50">
        <v>11</v>
      </c>
      <c r="AG24" s="59">
        <v>25</v>
      </c>
      <c r="AH24" s="54">
        <f t="shared" si="2"/>
        <v>11</v>
      </c>
      <c r="AI24" s="55">
        <f t="shared" si="3"/>
        <v>10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4</v>
      </c>
      <c r="N29" s="50">
        <v>4</v>
      </c>
      <c r="O29" s="50">
        <v>4</v>
      </c>
      <c r="P29" s="50">
        <v>4</v>
      </c>
      <c r="Q29" s="50">
        <v>4</v>
      </c>
      <c r="R29" s="50">
        <v>4</v>
      </c>
      <c r="S29" s="50">
        <v>4</v>
      </c>
      <c r="T29" s="50">
        <v>4</v>
      </c>
      <c r="U29" s="50">
        <v>4</v>
      </c>
      <c r="V29" s="50">
        <v>4</v>
      </c>
      <c r="W29" s="50">
        <v>4</v>
      </c>
      <c r="X29" s="50">
        <v>4</v>
      </c>
      <c r="Y29" s="50">
        <v>4</v>
      </c>
      <c r="Z29" s="50">
        <v>4</v>
      </c>
      <c r="AA29" s="50">
        <v>4</v>
      </c>
      <c r="AB29" s="50">
        <v>4</v>
      </c>
      <c r="AC29" s="50">
        <v>4</v>
      </c>
      <c r="AD29" s="50">
        <v>4</v>
      </c>
      <c r="AE29" s="50">
        <v>4</v>
      </c>
      <c r="AF29" s="50">
        <v>4</v>
      </c>
      <c r="AG29" s="59">
        <v>22.1</v>
      </c>
      <c r="AH29" s="54">
        <f t="shared" si="2"/>
        <v>4</v>
      </c>
      <c r="AI29" s="55">
        <f t="shared" si="3"/>
        <v>4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40.4</v>
      </c>
      <c r="C37" s="61">
        <v>40.299999999999997</v>
      </c>
      <c r="D37" s="61">
        <v>39.299999999999997</v>
      </c>
      <c r="E37" s="61">
        <v>39.6</v>
      </c>
      <c r="F37" s="61">
        <f>27+13.4</f>
        <v>40.4</v>
      </c>
      <c r="G37" s="61">
        <f>28.2+13.6</f>
        <v>41.8</v>
      </c>
      <c r="H37" s="61">
        <f>26.8+13.2</f>
        <v>40</v>
      </c>
      <c r="I37" s="61">
        <f>26.4+13</f>
        <v>39.4</v>
      </c>
      <c r="J37" s="61">
        <f>25.8+12.7</f>
        <v>38.5</v>
      </c>
      <c r="K37" s="61">
        <f>25.5+12.6</f>
        <v>38.1</v>
      </c>
      <c r="L37" s="61">
        <f>24.9+12.1</f>
        <v>37</v>
      </c>
      <c r="M37" s="70">
        <v>36.299999999999997</v>
      </c>
      <c r="N37" s="70">
        <v>37.9</v>
      </c>
      <c r="O37" s="70">
        <v>37.799999999999997</v>
      </c>
      <c r="P37" s="70">
        <v>38.5</v>
      </c>
      <c r="Q37" s="70">
        <v>40</v>
      </c>
      <c r="R37" s="70">
        <v>40.299999999999997</v>
      </c>
      <c r="S37" s="70">
        <v>38.6</v>
      </c>
      <c r="T37" s="70">
        <v>39</v>
      </c>
      <c r="U37" s="70">
        <v>36.799999999999997</v>
      </c>
      <c r="V37" s="70">
        <v>36.799999999999997</v>
      </c>
      <c r="W37" s="70">
        <v>36.799999999999997</v>
      </c>
      <c r="X37" s="70">
        <v>36.799999999999997</v>
      </c>
      <c r="Y37" s="70">
        <v>36.799999999999997</v>
      </c>
      <c r="Z37" s="70">
        <v>36.799999999999997</v>
      </c>
      <c r="AA37" s="70">
        <v>36.799999999999997</v>
      </c>
      <c r="AB37" s="70">
        <v>36.799999999999997</v>
      </c>
      <c r="AC37" s="70">
        <f>11.6+22.1</f>
        <v>33.700000000000003</v>
      </c>
      <c r="AD37" s="70">
        <f>11.9+23</f>
        <v>34.9</v>
      </c>
      <c r="AE37" s="70">
        <f>11.9+23</f>
        <v>34.9</v>
      </c>
      <c r="AF37" s="70">
        <f>13.2+26.2</f>
        <v>39.4</v>
      </c>
      <c r="AG37" s="67">
        <v>240</v>
      </c>
      <c r="AH37" s="54">
        <f t="shared" si="2"/>
        <v>41.8</v>
      </c>
      <c r="AI37" s="55">
        <f t="shared" si="3"/>
        <v>33.700000000000003</v>
      </c>
      <c r="AK37" s="56"/>
    </row>
    <row r="38" spans="1:88" ht="15.75" thickBot="1" x14ac:dyDescent="0.3">
      <c r="A38" s="71" t="s">
        <v>46</v>
      </c>
      <c r="B38" s="72">
        <f>SUM(B11:B36)</f>
        <v>386</v>
      </c>
      <c r="C38" s="72">
        <f t="shared" ref="C38:AF38" si="4">SUM(C11:C36)</f>
        <v>386</v>
      </c>
      <c r="D38" s="72">
        <f t="shared" si="4"/>
        <v>386</v>
      </c>
      <c r="E38" s="72">
        <f t="shared" si="4"/>
        <v>386</v>
      </c>
      <c r="F38" s="72">
        <f t="shared" si="4"/>
        <v>382.9</v>
      </c>
      <c r="G38" s="72">
        <f t="shared" si="4"/>
        <v>384.3</v>
      </c>
      <c r="H38" s="72">
        <f t="shared" si="4"/>
        <v>384.3</v>
      </c>
      <c r="I38" s="72">
        <f t="shared" si="4"/>
        <v>385.79999999999995</v>
      </c>
      <c r="J38" s="72">
        <f t="shared" si="4"/>
        <v>593.79999999999995</v>
      </c>
      <c r="K38" s="72">
        <f t="shared" si="4"/>
        <v>623.09999999999991</v>
      </c>
      <c r="L38" s="72">
        <f t="shared" si="4"/>
        <v>622.59999999999991</v>
      </c>
      <c r="M38" s="72">
        <f t="shared" si="4"/>
        <v>622.59999999999991</v>
      </c>
      <c r="N38" s="72">
        <f t="shared" si="4"/>
        <v>622.59999999999991</v>
      </c>
      <c r="O38" s="72">
        <f t="shared" si="4"/>
        <v>462.6</v>
      </c>
      <c r="P38" s="72">
        <f t="shared" si="4"/>
        <v>467.59999999999997</v>
      </c>
      <c r="Q38" s="72">
        <f t="shared" si="4"/>
        <v>467.59999999999997</v>
      </c>
      <c r="R38" s="72">
        <f t="shared" si="4"/>
        <v>462</v>
      </c>
      <c r="S38" s="72">
        <f t="shared" si="4"/>
        <v>457</v>
      </c>
      <c r="T38" s="72">
        <f t="shared" si="4"/>
        <v>434.09999999999997</v>
      </c>
      <c r="U38" s="72">
        <f t="shared" si="4"/>
        <v>434.09999999999997</v>
      </c>
      <c r="V38" s="72">
        <f t="shared" si="4"/>
        <v>414.1</v>
      </c>
      <c r="W38" s="72">
        <f t="shared" si="4"/>
        <v>409.1</v>
      </c>
      <c r="X38" s="72">
        <f t="shared" si="4"/>
        <v>463.1</v>
      </c>
      <c r="Y38" s="72">
        <f t="shared" si="4"/>
        <v>649.09999999999991</v>
      </c>
      <c r="Z38" s="72">
        <f t="shared" si="4"/>
        <v>732.9</v>
      </c>
      <c r="AA38" s="72">
        <f t="shared" si="4"/>
        <v>596.89999999999986</v>
      </c>
      <c r="AB38" s="72">
        <f t="shared" si="4"/>
        <v>526.9</v>
      </c>
      <c r="AC38" s="72">
        <f t="shared" si="4"/>
        <v>428.8</v>
      </c>
      <c r="AD38" s="72">
        <f t="shared" si="4"/>
        <v>398.79999999999995</v>
      </c>
      <c r="AE38" s="72">
        <f t="shared" si="4"/>
        <v>398.79999999999995</v>
      </c>
      <c r="AF38" s="72">
        <f t="shared" si="4"/>
        <v>393.79999999999995</v>
      </c>
      <c r="AG38" s="67">
        <f>SUM(AG11:AG37)</f>
        <v>1492.8299999999997</v>
      </c>
      <c r="AH38" s="54">
        <f t="shared" si="2"/>
        <v>732.9</v>
      </c>
      <c r="AI38" s="55">
        <f t="shared" si="3"/>
        <v>382.9</v>
      </c>
      <c r="AK38" s="56"/>
    </row>
    <row r="39" spans="1:88" x14ac:dyDescent="0.25">
      <c r="A39" s="57" t="s">
        <v>47</v>
      </c>
      <c r="B39" s="49">
        <v>30.6</v>
      </c>
      <c r="C39" s="49">
        <v>30.6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61">
        <v>75</v>
      </c>
      <c r="K39" s="61">
        <v>92.1</v>
      </c>
      <c r="L39" s="61">
        <v>133.1</v>
      </c>
      <c r="M39" s="50">
        <v>136.9</v>
      </c>
      <c r="N39" s="50">
        <v>136.80000000000001</v>
      </c>
      <c r="O39" s="50">
        <v>111.4</v>
      </c>
      <c r="P39" s="50">
        <v>111.5</v>
      </c>
      <c r="Q39" s="50">
        <v>60.1</v>
      </c>
      <c r="R39" s="50">
        <v>61.7</v>
      </c>
      <c r="S39" s="50">
        <v>40.4</v>
      </c>
      <c r="T39" s="50">
        <v>30</v>
      </c>
      <c r="U39" s="50">
        <v>65.900000000000006</v>
      </c>
      <c r="V39" s="50">
        <v>65.599999999999994</v>
      </c>
      <c r="W39" s="50">
        <v>90</v>
      </c>
      <c r="X39" s="50">
        <v>145</v>
      </c>
      <c r="Y39" s="50">
        <v>145</v>
      </c>
      <c r="Z39" s="50">
        <v>145</v>
      </c>
      <c r="AA39" s="50">
        <v>145</v>
      </c>
      <c r="AB39" s="50">
        <v>144.6</v>
      </c>
      <c r="AC39" s="50">
        <v>143.6</v>
      </c>
      <c r="AD39" s="50">
        <v>110.9</v>
      </c>
      <c r="AE39" s="50">
        <v>70</v>
      </c>
      <c r="AF39" s="50">
        <v>0</v>
      </c>
      <c r="AG39" s="62">
        <v>144</v>
      </c>
      <c r="AH39" s="54">
        <f t="shared" si="2"/>
        <v>145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34.9</v>
      </c>
      <c r="C40" s="61">
        <v>23.3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60</v>
      </c>
      <c r="K40" s="61">
        <v>57.7</v>
      </c>
      <c r="L40" s="61">
        <v>60.6</v>
      </c>
      <c r="M40" s="73">
        <v>60.2</v>
      </c>
      <c r="N40" s="73">
        <v>70.400000000000006</v>
      </c>
      <c r="O40" s="73">
        <v>71.3</v>
      </c>
      <c r="P40" s="73">
        <v>36.4</v>
      </c>
      <c r="Q40" s="73">
        <v>23.6</v>
      </c>
      <c r="R40" s="73">
        <v>24.1</v>
      </c>
      <c r="S40" s="73">
        <v>23.6</v>
      </c>
      <c r="T40" s="73">
        <v>25</v>
      </c>
      <c r="U40" s="73">
        <v>25.6</v>
      </c>
      <c r="V40" s="73">
        <v>36.299999999999997</v>
      </c>
      <c r="W40" s="73">
        <v>36.299999999999997</v>
      </c>
      <c r="X40" s="73">
        <v>70</v>
      </c>
      <c r="Y40" s="73">
        <v>70</v>
      </c>
      <c r="Z40" s="73">
        <v>70</v>
      </c>
      <c r="AA40" s="73">
        <v>70</v>
      </c>
      <c r="AB40" s="73">
        <v>70.3</v>
      </c>
      <c r="AC40" s="73">
        <v>56.4</v>
      </c>
      <c r="AD40" s="73">
        <v>35.9</v>
      </c>
      <c r="AE40" s="73">
        <v>0</v>
      </c>
      <c r="AF40" s="73">
        <v>0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41</v>
      </c>
      <c r="C41" s="61">
        <v>41</v>
      </c>
      <c r="D41" s="61">
        <v>22.9</v>
      </c>
      <c r="E41" s="61">
        <v>16.600000000000001</v>
      </c>
      <c r="F41" s="61">
        <v>23.2</v>
      </c>
      <c r="G41" s="61">
        <v>40.700000000000003</v>
      </c>
      <c r="H41" s="61">
        <v>41.6</v>
      </c>
      <c r="I41" s="61">
        <v>41.8</v>
      </c>
      <c r="J41" s="61">
        <v>46</v>
      </c>
      <c r="K41" s="61">
        <v>66.5</v>
      </c>
      <c r="L41" s="61">
        <v>62</v>
      </c>
      <c r="M41" s="73">
        <v>62.1</v>
      </c>
      <c r="N41" s="73">
        <v>61.6</v>
      </c>
      <c r="O41" s="73">
        <v>34</v>
      </c>
      <c r="P41" s="73">
        <v>34.200000000000003</v>
      </c>
      <c r="Q41" s="73">
        <v>34</v>
      </c>
      <c r="R41" s="73">
        <v>35.4</v>
      </c>
      <c r="S41" s="73">
        <v>16.399999999999999</v>
      </c>
      <c r="T41" s="73">
        <v>16.5</v>
      </c>
      <c r="U41" s="73">
        <v>22.8</v>
      </c>
      <c r="V41" s="73">
        <v>41</v>
      </c>
      <c r="W41" s="73">
        <v>41</v>
      </c>
      <c r="X41" s="73">
        <v>58</v>
      </c>
      <c r="Y41" s="73">
        <v>68</v>
      </c>
      <c r="Z41" s="73">
        <v>68</v>
      </c>
      <c r="AA41" s="73">
        <v>68</v>
      </c>
      <c r="AB41" s="73">
        <v>67.599999999999994</v>
      </c>
      <c r="AC41" s="73">
        <v>68</v>
      </c>
      <c r="AD41" s="73">
        <v>68.099999999999994</v>
      </c>
      <c r="AE41" s="73">
        <v>50</v>
      </c>
      <c r="AF41" s="73">
        <v>52.6</v>
      </c>
      <c r="AG41" s="67">
        <v>69</v>
      </c>
      <c r="AH41" s="54">
        <f t="shared" si="2"/>
        <v>68.099999999999994</v>
      </c>
      <c r="AI41" s="55">
        <f t="shared" si="3"/>
        <v>16.399999999999999</v>
      </c>
      <c r="AK41" s="56"/>
    </row>
    <row r="42" spans="1:88" x14ac:dyDescent="0.25">
      <c r="A42" s="66" t="s">
        <v>50</v>
      </c>
      <c r="B42" s="61">
        <v>48.3</v>
      </c>
      <c r="C42" s="61">
        <v>45.3</v>
      </c>
      <c r="D42" s="61">
        <v>45.3</v>
      </c>
      <c r="E42" s="61">
        <v>45.3</v>
      </c>
      <c r="F42" s="61">
        <v>45.3</v>
      </c>
      <c r="G42" s="61">
        <v>45.3</v>
      </c>
      <c r="H42" s="61">
        <v>45.3</v>
      </c>
      <c r="I42" s="61">
        <v>45.3</v>
      </c>
      <c r="J42" s="61">
        <v>45.3</v>
      </c>
      <c r="K42" s="61">
        <v>46.4</v>
      </c>
      <c r="L42" s="61">
        <v>46.4</v>
      </c>
      <c r="M42" s="73">
        <v>46.1</v>
      </c>
      <c r="N42" s="73">
        <v>46.1</v>
      </c>
      <c r="O42" s="73">
        <v>44.3</v>
      </c>
      <c r="P42" s="73">
        <v>45.3</v>
      </c>
      <c r="Q42" s="73">
        <v>47.1</v>
      </c>
      <c r="R42" s="73">
        <v>47.4</v>
      </c>
      <c r="S42" s="73">
        <v>47.1</v>
      </c>
      <c r="T42" s="73">
        <v>45</v>
      </c>
      <c r="U42" s="73">
        <v>45</v>
      </c>
      <c r="V42" s="73">
        <v>41.6</v>
      </c>
      <c r="W42" s="73">
        <v>41.6</v>
      </c>
      <c r="X42" s="73">
        <v>44</v>
      </c>
      <c r="Y42" s="73">
        <v>47.6</v>
      </c>
      <c r="Z42" s="73">
        <v>47.6</v>
      </c>
      <c r="AA42" s="73">
        <v>47.6</v>
      </c>
      <c r="AB42" s="73">
        <v>47.6</v>
      </c>
      <c r="AC42" s="73">
        <v>47.6</v>
      </c>
      <c r="AD42" s="73">
        <v>47.6</v>
      </c>
      <c r="AE42" s="73">
        <v>47.6</v>
      </c>
      <c r="AF42" s="73">
        <v>47.6</v>
      </c>
      <c r="AG42" s="67">
        <v>60</v>
      </c>
      <c r="AH42" s="54">
        <f t="shared" si="2"/>
        <v>48.3</v>
      </c>
      <c r="AI42" s="55">
        <f t="shared" si="3"/>
        <v>41.6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10</v>
      </c>
      <c r="I43" s="61">
        <v>10</v>
      </c>
      <c r="J43" s="61">
        <v>15</v>
      </c>
      <c r="K43" s="61">
        <v>15</v>
      </c>
      <c r="L43" s="61">
        <v>15</v>
      </c>
      <c r="M43" s="50">
        <v>15</v>
      </c>
      <c r="N43" s="50">
        <v>15</v>
      </c>
      <c r="O43" s="50">
        <v>15</v>
      </c>
      <c r="P43" s="50">
        <v>15</v>
      </c>
      <c r="Q43" s="50">
        <v>10</v>
      </c>
      <c r="R43" s="50">
        <v>10.5</v>
      </c>
      <c r="S43" s="50">
        <v>10</v>
      </c>
      <c r="T43" s="50">
        <v>10</v>
      </c>
      <c r="U43" s="50">
        <v>10</v>
      </c>
      <c r="V43" s="50">
        <v>10</v>
      </c>
      <c r="W43" s="50">
        <v>10</v>
      </c>
      <c r="X43" s="50">
        <v>10</v>
      </c>
      <c r="Y43" s="50">
        <v>15</v>
      </c>
      <c r="Z43" s="50">
        <v>15</v>
      </c>
      <c r="AA43" s="50">
        <v>15</v>
      </c>
      <c r="AB43" s="50">
        <v>10</v>
      </c>
      <c r="AC43" s="50">
        <v>10</v>
      </c>
      <c r="AD43" s="50">
        <v>10</v>
      </c>
      <c r="AE43" s="50">
        <v>10</v>
      </c>
      <c r="AF43" s="50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50">
        <v>11</v>
      </c>
      <c r="N47" s="50">
        <v>11</v>
      </c>
      <c r="O47" s="50">
        <v>11</v>
      </c>
      <c r="P47" s="50">
        <v>11</v>
      </c>
      <c r="Q47" s="50">
        <v>11</v>
      </c>
      <c r="R47" s="50">
        <v>11</v>
      </c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50">
        <v>4.9000000000000004</v>
      </c>
      <c r="N49" s="50">
        <v>4.9000000000000004</v>
      </c>
      <c r="O49" s="50">
        <v>4.9000000000000004</v>
      </c>
      <c r="P49" s="50">
        <v>4.9000000000000004</v>
      </c>
      <c r="Q49" s="50">
        <v>4.9000000000000004</v>
      </c>
      <c r="R49" s="50">
        <v>4.9000000000000004</v>
      </c>
      <c r="S49" s="50">
        <v>4.9000000000000004</v>
      </c>
      <c r="T49" s="50">
        <v>4.9000000000000004</v>
      </c>
      <c r="U49" s="50">
        <v>4.9000000000000004</v>
      </c>
      <c r="V49" s="50">
        <v>4.9000000000000004</v>
      </c>
      <c r="W49" s="50">
        <v>4.9000000000000004</v>
      </c>
      <c r="X49" s="50">
        <v>4.9000000000000004</v>
      </c>
      <c r="Y49" s="50">
        <v>4.9000000000000004</v>
      </c>
      <c r="Z49" s="50">
        <v>4.9000000000000004</v>
      </c>
      <c r="AA49" s="50">
        <v>4.9000000000000004</v>
      </c>
      <c r="AB49" s="50">
        <v>4.9000000000000004</v>
      </c>
      <c r="AC49" s="50">
        <v>4.9000000000000004</v>
      </c>
      <c r="AD49" s="50">
        <v>4.9000000000000004</v>
      </c>
      <c r="AE49" s="50">
        <v>4.9000000000000004</v>
      </c>
      <c r="AF49" s="50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197.74</v>
      </c>
      <c r="C52" s="72">
        <f t="shared" ref="C52:AF52" si="6">SUM(C39:C51)</f>
        <v>183.14</v>
      </c>
      <c r="D52" s="72">
        <f t="shared" si="6"/>
        <v>111.14</v>
      </c>
      <c r="E52" s="72">
        <f t="shared" si="6"/>
        <v>104.84000000000002</v>
      </c>
      <c r="F52" s="72">
        <f t="shared" si="6"/>
        <v>121.44000000000001</v>
      </c>
      <c r="G52" s="72">
        <f t="shared" si="6"/>
        <v>138.94</v>
      </c>
      <c r="H52" s="72">
        <f t="shared" si="6"/>
        <v>139.84</v>
      </c>
      <c r="I52" s="72">
        <f t="shared" si="6"/>
        <v>140.04</v>
      </c>
      <c r="J52" s="72">
        <f t="shared" si="6"/>
        <v>284.24</v>
      </c>
      <c r="K52" s="72">
        <f t="shared" si="6"/>
        <v>320.64</v>
      </c>
      <c r="L52" s="72">
        <f t="shared" si="6"/>
        <v>360.03999999999996</v>
      </c>
      <c r="M52" s="72">
        <f t="shared" si="6"/>
        <v>363.24000000000007</v>
      </c>
      <c r="N52" s="72">
        <f t="shared" si="6"/>
        <v>372.84000000000003</v>
      </c>
      <c r="O52" s="72">
        <f t="shared" si="6"/>
        <v>318.94</v>
      </c>
      <c r="P52" s="72">
        <f t="shared" si="6"/>
        <v>285.34000000000003</v>
      </c>
      <c r="Q52" s="72">
        <f t="shared" si="6"/>
        <v>217.74</v>
      </c>
      <c r="R52" s="72">
        <f t="shared" si="6"/>
        <v>222.04000000000002</v>
      </c>
      <c r="S52" s="72">
        <f t="shared" si="6"/>
        <v>180.44</v>
      </c>
      <c r="T52" s="72">
        <f t="shared" si="6"/>
        <v>169.44</v>
      </c>
      <c r="U52" s="72">
        <f t="shared" si="6"/>
        <v>212.24</v>
      </c>
      <c r="V52" s="72">
        <f t="shared" si="6"/>
        <v>237.43999999999997</v>
      </c>
      <c r="W52" s="72">
        <f t="shared" si="6"/>
        <v>261.84000000000003</v>
      </c>
      <c r="X52" s="72">
        <f t="shared" si="6"/>
        <v>369.94</v>
      </c>
      <c r="Y52" s="72">
        <f t="shared" si="6"/>
        <v>388.54</v>
      </c>
      <c r="Z52" s="72">
        <f t="shared" si="6"/>
        <v>388.54</v>
      </c>
      <c r="AA52" s="72">
        <f t="shared" si="6"/>
        <v>388.54</v>
      </c>
      <c r="AB52" s="72">
        <f t="shared" si="6"/>
        <v>383.04</v>
      </c>
      <c r="AC52" s="72">
        <f t="shared" si="6"/>
        <v>368.54</v>
      </c>
      <c r="AD52" s="72">
        <f t="shared" si="6"/>
        <v>315.44</v>
      </c>
      <c r="AE52" s="72">
        <f t="shared" si="6"/>
        <v>220.54</v>
      </c>
      <c r="AF52" s="72">
        <f t="shared" si="6"/>
        <v>143.13999999999999</v>
      </c>
      <c r="AG52" s="78">
        <f>SUM(AG39:AG51)</f>
        <v>489.91</v>
      </c>
      <c r="AH52" s="54">
        <f t="shared" si="2"/>
        <v>388.54</v>
      </c>
      <c r="AI52" s="55">
        <f t="shared" si="3"/>
        <v>104.84000000000002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79">
        <v>0</v>
      </c>
      <c r="N53" s="79">
        <v>29.7</v>
      </c>
      <c r="O53" s="79">
        <v>19.8</v>
      </c>
      <c r="P53" s="79">
        <v>20.5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30</v>
      </c>
      <c r="Z53" s="50">
        <v>30</v>
      </c>
      <c r="AA53" s="50">
        <v>14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30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79">
        <v>0</v>
      </c>
      <c r="N54" s="79">
        <v>14.4</v>
      </c>
      <c r="O54" s="79">
        <v>8.5</v>
      </c>
      <c r="P54" s="79">
        <v>13.9</v>
      </c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0</v>
      </c>
      <c r="Y54" s="73">
        <v>13</v>
      </c>
      <c r="Z54" s="73">
        <v>13</v>
      </c>
      <c r="AA54" s="73">
        <v>15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15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81">
        <v>0</v>
      </c>
      <c r="N55" s="81">
        <v>5.3</v>
      </c>
      <c r="O55" s="81">
        <v>3.1</v>
      </c>
      <c r="P55" s="81">
        <v>5.0999999999999996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80">
        <v>5</v>
      </c>
      <c r="Z55" s="80">
        <v>5</v>
      </c>
      <c r="AA55" s="80">
        <v>6</v>
      </c>
      <c r="AB55" s="80">
        <v>0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0</v>
      </c>
      <c r="M56" s="72">
        <f t="shared" si="7"/>
        <v>0</v>
      </c>
      <c r="N56" s="72">
        <f t="shared" si="7"/>
        <v>49.4</v>
      </c>
      <c r="O56" s="72">
        <f t="shared" si="7"/>
        <v>31.400000000000002</v>
      </c>
      <c r="P56" s="72">
        <f t="shared" si="7"/>
        <v>39.5</v>
      </c>
      <c r="Q56" s="72">
        <f t="shared" si="7"/>
        <v>0</v>
      </c>
      <c r="R56" s="72">
        <f t="shared" si="7"/>
        <v>0</v>
      </c>
      <c r="S56" s="72">
        <f>SUM(S53:S55)</f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0</v>
      </c>
      <c r="Y56" s="72">
        <f t="shared" si="7"/>
        <v>48</v>
      </c>
      <c r="Z56" s="72">
        <f t="shared" si="7"/>
        <v>48</v>
      </c>
      <c r="AA56" s="72">
        <f t="shared" si="7"/>
        <v>35</v>
      </c>
      <c r="AB56" s="72">
        <f t="shared" si="7"/>
        <v>0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49.4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68.7</v>
      </c>
      <c r="C57" s="50">
        <v>66.599999999999994</v>
      </c>
      <c r="D57" s="50">
        <v>67.900000000000006</v>
      </c>
      <c r="E57" s="50">
        <v>66.900000000000006</v>
      </c>
      <c r="F57" s="50">
        <v>58</v>
      </c>
      <c r="G57" s="50">
        <v>65</v>
      </c>
      <c r="H57" s="50">
        <v>65.900000000000006</v>
      </c>
      <c r="I57" s="50">
        <v>77</v>
      </c>
      <c r="J57" s="50">
        <v>73.599999999999994</v>
      </c>
      <c r="K57" s="50">
        <v>72</v>
      </c>
      <c r="L57" s="50">
        <v>72.599999999999994</v>
      </c>
      <c r="M57" s="50">
        <v>76</v>
      </c>
      <c r="N57" s="50">
        <v>68.2</v>
      </c>
      <c r="O57" s="50">
        <v>69.3</v>
      </c>
      <c r="P57" s="50">
        <v>69</v>
      </c>
      <c r="Q57" s="50">
        <v>71.5</v>
      </c>
      <c r="R57" s="50">
        <v>64.900000000000006</v>
      </c>
      <c r="S57" s="50">
        <v>59.5</v>
      </c>
      <c r="T57" s="50">
        <v>71</v>
      </c>
      <c r="U57" s="50">
        <v>74.599999999999994</v>
      </c>
      <c r="V57" s="50">
        <v>73.7</v>
      </c>
      <c r="W57" s="50">
        <v>75</v>
      </c>
      <c r="X57" s="50">
        <v>77</v>
      </c>
      <c r="Y57" s="50">
        <v>68</v>
      </c>
      <c r="Z57" s="50">
        <v>74</v>
      </c>
      <c r="AA57" s="50">
        <v>69</v>
      </c>
      <c r="AB57" s="50">
        <v>67.8</v>
      </c>
      <c r="AC57" s="50">
        <v>65.099999999999994</v>
      </c>
      <c r="AD57" s="50">
        <v>69</v>
      </c>
      <c r="AE57" s="50">
        <v>65</v>
      </c>
      <c r="AF57" s="50">
        <v>65</v>
      </c>
      <c r="AG57" s="62"/>
      <c r="AH57" s="54">
        <f t="shared" si="2"/>
        <v>77</v>
      </c>
      <c r="AI57" s="55">
        <f t="shared" si="3"/>
        <v>58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75.2</v>
      </c>
      <c r="K58" s="73">
        <v>90.1</v>
      </c>
      <c r="L58" s="73">
        <v>91.6</v>
      </c>
      <c r="M58" s="50">
        <v>87.1</v>
      </c>
      <c r="N58" s="50">
        <v>78.7</v>
      </c>
      <c r="O58" s="50">
        <v>71.099999999999994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91.6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320</v>
      </c>
      <c r="C59" s="73">
        <v>305</v>
      </c>
      <c r="D59" s="73">
        <v>364.2</v>
      </c>
      <c r="E59" s="73">
        <v>350.5</v>
      </c>
      <c r="F59" s="73">
        <v>345</v>
      </c>
      <c r="G59" s="73">
        <v>338</v>
      </c>
      <c r="H59" s="50">
        <v>370</v>
      </c>
      <c r="I59" s="50">
        <v>360</v>
      </c>
      <c r="J59" s="50">
        <v>50</v>
      </c>
      <c r="K59" s="50">
        <v>55</v>
      </c>
      <c r="L59" s="50">
        <v>62.5</v>
      </c>
      <c r="M59" s="73">
        <v>60.6</v>
      </c>
      <c r="N59" s="73">
        <v>29.6</v>
      </c>
      <c r="O59" s="73">
        <v>185.7</v>
      </c>
      <c r="P59" s="73">
        <v>196.8</v>
      </c>
      <c r="Q59" s="73">
        <v>284.5</v>
      </c>
      <c r="R59" s="73">
        <v>244.1</v>
      </c>
      <c r="S59" s="73">
        <v>256.2</v>
      </c>
      <c r="T59" s="73">
        <v>252</v>
      </c>
      <c r="U59" s="73">
        <v>267</v>
      </c>
      <c r="V59" s="73">
        <v>266</v>
      </c>
      <c r="W59" s="73">
        <v>330</v>
      </c>
      <c r="X59" s="84">
        <v>280</v>
      </c>
      <c r="Y59" s="84">
        <v>151</v>
      </c>
      <c r="Z59" s="84">
        <v>50</v>
      </c>
      <c r="AA59" s="84">
        <v>163</v>
      </c>
      <c r="AB59" s="73">
        <v>190</v>
      </c>
      <c r="AC59" s="73">
        <v>336.2</v>
      </c>
      <c r="AD59" s="73">
        <v>314.10000000000002</v>
      </c>
      <c r="AE59" s="73">
        <v>334</v>
      </c>
      <c r="AF59" s="73">
        <v>332.2</v>
      </c>
      <c r="AG59" s="85"/>
      <c r="AH59" s="54">
        <f t="shared" si="2"/>
        <v>370</v>
      </c>
      <c r="AI59" s="55">
        <f t="shared" si="3"/>
        <v>29.6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42.4</v>
      </c>
      <c r="H60" s="58">
        <v>49.6</v>
      </c>
      <c r="I60" s="58">
        <v>52.7</v>
      </c>
      <c r="J60" s="58">
        <v>40.5</v>
      </c>
      <c r="K60" s="58">
        <v>49</v>
      </c>
      <c r="L60" s="58">
        <v>59.4</v>
      </c>
      <c r="M60" s="73">
        <v>53.3</v>
      </c>
      <c r="N60" s="73">
        <v>61.3</v>
      </c>
      <c r="O60" s="73">
        <v>52.6</v>
      </c>
      <c r="P60" s="73">
        <v>34.5</v>
      </c>
      <c r="Q60" s="73">
        <v>15.3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38</v>
      </c>
      <c r="Z60" s="73">
        <v>59</v>
      </c>
      <c r="AA60" s="73">
        <v>59</v>
      </c>
      <c r="AB60" s="73">
        <v>55.8</v>
      </c>
      <c r="AC60" s="73">
        <v>0</v>
      </c>
      <c r="AD60" s="73">
        <v>0</v>
      </c>
      <c r="AE60" s="73">
        <v>0</v>
      </c>
      <c r="AF60" s="73">
        <v>0</v>
      </c>
      <c r="AG60" s="85"/>
      <c r="AH60" s="54">
        <f t="shared" si="2"/>
        <v>61.3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81.900000000000006</v>
      </c>
      <c r="J61" s="58">
        <v>83.7</v>
      </c>
      <c r="K61" s="58">
        <v>80.5</v>
      </c>
      <c r="L61" s="58">
        <v>81</v>
      </c>
      <c r="M61" s="50">
        <v>47.1</v>
      </c>
      <c r="N61" s="50">
        <v>53</v>
      </c>
      <c r="O61" s="50">
        <v>0</v>
      </c>
      <c r="P61" s="50">
        <v>0</v>
      </c>
      <c r="Q61" s="50">
        <v>0</v>
      </c>
      <c r="R61" s="73">
        <v>0</v>
      </c>
      <c r="S61" s="73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55</v>
      </c>
      <c r="Z61" s="50">
        <v>75</v>
      </c>
      <c r="AA61" s="50">
        <v>69.7</v>
      </c>
      <c r="AB61" s="50">
        <v>75.3</v>
      </c>
      <c r="AC61" s="50">
        <v>75.3</v>
      </c>
      <c r="AD61" s="50">
        <v>63.8</v>
      </c>
      <c r="AE61" s="50">
        <v>0</v>
      </c>
      <c r="AF61" s="50">
        <v>0</v>
      </c>
      <c r="AG61" s="85"/>
      <c r="AH61" s="54">
        <f t="shared" si="2"/>
        <v>83.7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50">
        <v>0</v>
      </c>
      <c r="Q62" s="50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0">
        <v>0</v>
      </c>
      <c r="Q63" s="50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0">
        <v>0</v>
      </c>
      <c r="Q64" s="50">
        <v>0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0">
        <v>0</v>
      </c>
      <c r="Q65" s="50">
        <v>0</v>
      </c>
      <c r="R65" s="73">
        <v>0</v>
      </c>
      <c r="S65" s="73">
        <v>0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10</v>
      </c>
      <c r="N66" s="58">
        <v>10</v>
      </c>
      <c r="O66" s="58">
        <v>10</v>
      </c>
      <c r="P66" s="58">
        <v>10</v>
      </c>
      <c r="Q66" s="58">
        <v>10</v>
      </c>
      <c r="R66" s="58">
        <v>10</v>
      </c>
      <c r="S66" s="58">
        <v>10</v>
      </c>
      <c r="T66" s="58">
        <v>10</v>
      </c>
      <c r="U66" s="58">
        <v>10</v>
      </c>
      <c r="V66" s="58">
        <v>10</v>
      </c>
      <c r="W66" s="58">
        <v>0</v>
      </c>
      <c r="X66" s="58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10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0">
        <v>0</v>
      </c>
      <c r="Q67" s="50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388.7</v>
      </c>
      <c r="C68" s="72">
        <f>SUM(C57:C67)</f>
        <v>371.6</v>
      </c>
      <c r="D68" s="72">
        <f t="shared" ref="D68:AF68" si="8">SUM(D57:D67)</f>
        <v>432.1</v>
      </c>
      <c r="E68" s="72">
        <f t="shared" si="8"/>
        <v>417.4</v>
      </c>
      <c r="F68" s="72">
        <f t="shared" si="8"/>
        <v>403</v>
      </c>
      <c r="G68" s="72">
        <f t="shared" si="8"/>
        <v>445.4</v>
      </c>
      <c r="H68" s="72">
        <f t="shared" si="8"/>
        <v>485.5</v>
      </c>
      <c r="I68" s="72">
        <f t="shared" si="8"/>
        <v>571.6</v>
      </c>
      <c r="J68" s="72">
        <f t="shared" si="8"/>
        <v>323</v>
      </c>
      <c r="K68" s="72">
        <f t="shared" si="8"/>
        <v>346.6</v>
      </c>
      <c r="L68" s="72">
        <f t="shared" si="8"/>
        <v>367.09999999999997</v>
      </c>
      <c r="M68" s="72">
        <f t="shared" si="8"/>
        <v>334.1</v>
      </c>
      <c r="N68" s="72">
        <f t="shared" si="8"/>
        <v>300.8</v>
      </c>
      <c r="O68" s="72">
        <f t="shared" si="8"/>
        <v>388.7</v>
      </c>
      <c r="P68" s="72">
        <f t="shared" si="8"/>
        <v>310.3</v>
      </c>
      <c r="Q68" s="72">
        <f t="shared" si="8"/>
        <v>381.3</v>
      </c>
      <c r="R68" s="72">
        <f t="shared" si="8"/>
        <v>319</v>
      </c>
      <c r="S68" s="72">
        <f t="shared" si="8"/>
        <v>325.7</v>
      </c>
      <c r="T68" s="72">
        <f t="shared" si="8"/>
        <v>333</v>
      </c>
      <c r="U68" s="72">
        <f t="shared" si="8"/>
        <v>351.6</v>
      </c>
      <c r="V68" s="72">
        <f t="shared" si="8"/>
        <v>349.7</v>
      </c>
      <c r="W68" s="72">
        <f t="shared" si="8"/>
        <v>405</v>
      </c>
      <c r="X68" s="72">
        <f t="shared" si="8"/>
        <v>357</v>
      </c>
      <c r="Y68" s="72">
        <f t="shared" si="8"/>
        <v>312</v>
      </c>
      <c r="Z68" s="72">
        <f t="shared" si="8"/>
        <v>258</v>
      </c>
      <c r="AA68" s="72">
        <f t="shared" si="8"/>
        <v>360.7</v>
      </c>
      <c r="AB68" s="72">
        <f t="shared" si="8"/>
        <v>388.90000000000003</v>
      </c>
      <c r="AC68" s="72">
        <f t="shared" si="8"/>
        <v>476.59999999999997</v>
      </c>
      <c r="AD68" s="72">
        <f t="shared" si="8"/>
        <v>446.90000000000003</v>
      </c>
      <c r="AE68" s="72">
        <f t="shared" si="8"/>
        <v>399</v>
      </c>
      <c r="AF68" s="72">
        <f t="shared" si="8"/>
        <v>397.2</v>
      </c>
      <c r="AG68" s="78">
        <f>SUM(AG57:AG67)</f>
        <v>0</v>
      </c>
      <c r="AH68" s="54">
        <f t="shared" si="2"/>
        <v>571.6</v>
      </c>
      <c r="AI68" s="55">
        <f t="shared" si="3"/>
        <v>258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972.44</v>
      </c>
      <c r="C73" s="89">
        <f>C68+C56+C52+C38+C72</f>
        <v>940.74</v>
      </c>
      <c r="D73" s="89">
        <f t="shared" ref="D73:AG73" si="10">D68+D56+D52+D38+D72</f>
        <v>929.24</v>
      </c>
      <c r="E73" s="89">
        <f t="shared" si="10"/>
        <v>908.24</v>
      </c>
      <c r="F73" s="89">
        <f t="shared" si="10"/>
        <v>907.34</v>
      </c>
      <c r="G73" s="89">
        <f t="shared" si="10"/>
        <v>968.63999999999987</v>
      </c>
      <c r="H73" s="89">
        <f t="shared" si="10"/>
        <v>1009.6400000000001</v>
      </c>
      <c r="I73" s="89">
        <f t="shared" si="10"/>
        <v>1097.44</v>
      </c>
      <c r="J73" s="89">
        <f t="shared" si="10"/>
        <v>1201.04</v>
      </c>
      <c r="K73" s="89">
        <f t="shared" si="10"/>
        <v>1290.3399999999999</v>
      </c>
      <c r="L73" s="89">
        <f t="shared" si="10"/>
        <v>1349.7399999999998</v>
      </c>
      <c r="M73" s="89">
        <f t="shared" si="10"/>
        <v>1319.94</v>
      </c>
      <c r="N73" s="89">
        <f t="shared" si="10"/>
        <v>1345.6399999999999</v>
      </c>
      <c r="O73" s="89">
        <f t="shared" si="10"/>
        <v>1201.6399999999999</v>
      </c>
      <c r="P73" s="89">
        <f t="shared" si="10"/>
        <v>1102.74</v>
      </c>
      <c r="Q73" s="89">
        <f t="shared" si="10"/>
        <v>1066.6399999999999</v>
      </c>
      <c r="R73" s="89">
        <f t="shared" si="10"/>
        <v>1003.04</v>
      </c>
      <c r="S73" s="89">
        <f t="shared" si="10"/>
        <v>963.14</v>
      </c>
      <c r="T73" s="89">
        <f t="shared" si="10"/>
        <v>936.54</v>
      </c>
      <c r="U73" s="89">
        <f t="shared" si="10"/>
        <v>997.94</v>
      </c>
      <c r="V73" s="89">
        <f t="shared" si="10"/>
        <v>1001.24</v>
      </c>
      <c r="W73" s="89">
        <f t="shared" si="10"/>
        <v>1075.94</v>
      </c>
      <c r="X73" s="89">
        <f t="shared" si="10"/>
        <v>1190.04</v>
      </c>
      <c r="Y73" s="89">
        <f t="shared" si="10"/>
        <v>1397.6399999999999</v>
      </c>
      <c r="Z73" s="89">
        <f t="shared" si="10"/>
        <v>1427.44</v>
      </c>
      <c r="AA73" s="89">
        <f t="shared" si="10"/>
        <v>1381.1399999999999</v>
      </c>
      <c r="AB73" s="89">
        <f t="shared" si="10"/>
        <v>1298.8400000000001</v>
      </c>
      <c r="AC73" s="89">
        <f t="shared" si="10"/>
        <v>1273.94</v>
      </c>
      <c r="AD73" s="89">
        <f t="shared" si="10"/>
        <v>1161.1399999999999</v>
      </c>
      <c r="AE73" s="89">
        <f t="shared" si="10"/>
        <v>1018.3399999999999</v>
      </c>
      <c r="AF73" s="89">
        <f t="shared" si="10"/>
        <v>934.13999999999987</v>
      </c>
      <c r="AG73" s="89">
        <f t="shared" si="10"/>
        <v>2144.14</v>
      </c>
      <c r="AH73" s="54">
        <f t="shared" si="2"/>
        <v>1427.44</v>
      </c>
      <c r="AI73" s="55">
        <f t="shared" si="3"/>
        <v>907.34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>
        <v>20</v>
      </c>
      <c r="N74" s="91">
        <v>30</v>
      </c>
      <c r="O74" s="91">
        <v>30</v>
      </c>
      <c r="P74" s="91">
        <v>30</v>
      </c>
      <c r="Q74" s="91">
        <v>60</v>
      </c>
      <c r="R74" s="91">
        <v>60</v>
      </c>
      <c r="S74" s="91">
        <v>60</v>
      </c>
      <c r="T74" s="91">
        <v>60</v>
      </c>
      <c r="U74" s="91">
        <v>30</v>
      </c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60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972.44</v>
      </c>
      <c r="C75" s="89">
        <f>C73+C74</f>
        <v>940.74</v>
      </c>
      <c r="D75" s="89">
        <f t="shared" ref="D75:AF75" si="11">D72+D68+D56+D52+D38+D74</f>
        <v>929.24</v>
      </c>
      <c r="E75" s="89">
        <f t="shared" si="11"/>
        <v>908.24</v>
      </c>
      <c r="F75" s="89">
        <f t="shared" si="11"/>
        <v>907.34</v>
      </c>
      <c r="G75" s="89">
        <f t="shared" si="11"/>
        <v>968.63999999999987</v>
      </c>
      <c r="H75" s="89">
        <f t="shared" si="11"/>
        <v>1009.6400000000001</v>
      </c>
      <c r="I75" s="89">
        <f t="shared" si="11"/>
        <v>1097.44</v>
      </c>
      <c r="J75" s="89">
        <f t="shared" si="11"/>
        <v>1201.04</v>
      </c>
      <c r="K75" s="89">
        <f t="shared" si="11"/>
        <v>1290.3399999999999</v>
      </c>
      <c r="L75" s="89">
        <f t="shared" si="11"/>
        <v>1349.7399999999998</v>
      </c>
      <c r="M75" s="89">
        <f t="shared" si="11"/>
        <v>1339.94</v>
      </c>
      <c r="N75" s="89">
        <f t="shared" si="11"/>
        <v>1375.6399999999999</v>
      </c>
      <c r="O75" s="89">
        <f t="shared" si="11"/>
        <v>1231.6399999999999</v>
      </c>
      <c r="P75" s="89">
        <f t="shared" si="11"/>
        <v>1132.74</v>
      </c>
      <c r="Q75" s="89">
        <f t="shared" si="11"/>
        <v>1126.6399999999999</v>
      </c>
      <c r="R75" s="89">
        <f t="shared" si="11"/>
        <v>1063.04</v>
      </c>
      <c r="S75" s="89">
        <f t="shared" si="11"/>
        <v>1023.14</v>
      </c>
      <c r="T75" s="89">
        <f t="shared" si="11"/>
        <v>996.54</v>
      </c>
      <c r="U75" s="89">
        <f t="shared" si="11"/>
        <v>1027.94</v>
      </c>
      <c r="V75" s="89">
        <f t="shared" si="11"/>
        <v>1001.24</v>
      </c>
      <c r="W75" s="89">
        <f t="shared" si="11"/>
        <v>1075.94</v>
      </c>
      <c r="X75" s="89">
        <f t="shared" si="11"/>
        <v>1190.04</v>
      </c>
      <c r="Y75" s="89">
        <f t="shared" si="11"/>
        <v>1397.6399999999999</v>
      </c>
      <c r="Z75" s="89">
        <f t="shared" si="11"/>
        <v>1427.44</v>
      </c>
      <c r="AA75" s="89">
        <f t="shared" si="11"/>
        <v>1381.1399999999999</v>
      </c>
      <c r="AB75" s="89">
        <f t="shared" si="11"/>
        <v>1298.8400000000001</v>
      </c>
      <c r="AC75" s="89">
        <f t="shared" si="11"/>
        <v>1273.94</v>
      </c>
      <c r="AD75" s="89">
        <f t="shared" si="11"/>
        <v>1161.1399999999999</v>
      </c>
      <c r="AE75" s="89">
        <f t="shared" si="11"/>
        <v>1018.3399999999999</v>
      </c>
      <c r="AF75" s="89">
        <f t="shared" si="11"/>
        <v>934.13999999999987</v>
      </c>
      <c r="AG75" s="78">
        <f>AG72+AG68+AG56+AG52+AG38+AG74</f>
        <v>2144.14</v>
      </c>
      <c r="AH75" s="54">
        <f t="shared" si="2"/>
        <v>1427.44</v>
      </c>
      <c r="AI75" s="55">
        <f t="shared" si="3"/>
        <v>907.34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1944.88</v>
      </c>
      <c r="C83" s="72">
        <f t="shared" ref="C83:AG83" si="20">SUM(C70:C82)</f>
        <v>1881.48</v>
      </c>
      <c r="D83" s="72">
        <f t="shared" si="20"/>
        <v>1858.48</v>
      </c>
      <c r="E83" s="72">
        <f t="shared" si="20"/>
        <v>1816.48</v>
      </c>
      <c r="F83" s="72">
        <f t="shared" si="20"/>
        <v>1814.68</v>
      </c>
      <c r="G83" s="72">
        <f t="shared" si="20"/>
        <v>1937.2799999999997</v>
      </c>
      <c r="H83" s="72">
        <f t="shared" si="20"/>
        <v>2019.2800000000002</v>
      </c>
      <c r="I83" s="72">
        <f t="shared" si="20"/>
        <v>2194.88</v>
      </c>
      <c r="J83" s="72">
        <f t="shared" si="20"/>
        <v>2402.08</v>
      </c>
      <c r="K83" s="72">
        <f t="shared" si="20"/>
        <v>2580.6799999999998</v>
      </c>
      <c r="L83" s="72">
        <f t="shared" si="20"/>
        <v>2699.4799999999996</v>
      </c>
      <c r="M83" s="72">
        <f t="shared" si="20"/>
        <v>2679.88</v>
      </c>
      <c r="N83" s="72">
        <f t="shared" si="20"/>
        <v>2751.2799999999997</v>
      </c>
      <c r="O83" s="72">
        <f t="shared" si="20"/>
        <v>2463.2799999999997</v>
      </c>
      <c r="P83" s="72">
        <f t="shared" si="20"/>
        <v>2265.48</v>
      </c>
      <c r="Q83" s="72">
        <f t="shared" si="20"/>
        <v>2253.2799999999997</v>
      </c>
      <c r="R83" s="72">
        <f t="shared" si="20"/>
        <v>2126.08</v>
      </c>
      <c r="S83" s="72">
        <f t="shared" si="20"/>
        <v>2046.28</v>
      </c>
      <c r="T83" s="72">
        <f t="shared" si="20"/>
        <v>1993.08</v>
      </c>
      <c r="U83" s="72">
        <f t="shared" si="20"/>
        <v>2055.88</v>
      </c>
      <c r="V83" s="72">
        <f t="shared" si="20"/>
        <v>2002.48</v>
      </c>
      <c r="W83" s="72">
        <f t="shared" si="20"/>
        <v>2151.88</v>
      </c>
      <c r="X83" s="72">
        <f t="shared" si="20"/>
        <v>2380.08</v>
      </c>
      <c r="Y83" s="72">
        <f t="shared" si="20"/>
        <v>2795.2799999999997</v>
      </c>
      <c r="Z83" s="72">
        <f t="shared" si="20"/>
        <v>2854.88</v>
      </c>
      <c r="AA83" s="72">
        <f t="shared" si="20"/>
        <v>2762.2799999999997</v>
      </c>
      <c r="AB83" s="72">
        <f t="shared" si="20"/>
        <v>2597.6800000000003</v>
      </c>
      <c r="AC83" s="72">
        <f t="shared" si="20"/>
        <v>2547.88</v>
      </c>
      <c r="AD83" s="72">
        <f t="shared" si="20"/>
        <v>2322.2799999999997</v>
      </c>
      <c r="AE83" s="72">
        <f t="shared" si="20"/>
        <v>2036.6799999999998</v>
      </c>
      <c r="AF83" s="72">
        <f t="shared" si="20"/>
        <v>1868.2799999999997</v>
      </c>
      <c r="AG83" s="78">
        <f t="shared" si="20"/>
        <v>4360.08</v>
      </c>
      <c r="AH83" s="54">
        <f t="shared" si="13"/>
        <v>2854.88</v>
      </c>
      <c r="AI83" s="55">
        <f t="shared" si="14"/>
        <v>1814.68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50.042000000000002</v>
      </c>
      <c r="C84" s="96">
        <v>50.008000000000003</v>
      </c>
      <c r="D84" s="96">
        <v>50.03</v>
      </c>
      <c r="E84" s="96">
        <v>50.036999999999999</v>
      </c>
      <c r="F84" s="96">
        <v>50.052</v>
      </c>
      <c r="G84" s="96">
        <v>50.015000000000001</v>
      </c>
      <c r="H84" s="96">
        <v>50.02</v>
      </c>
      <c r="I84" s="96">
        <v>49.966000000000001</v>
      </c>
      <c r="J84" s="96">
        <v>50.018999999999998</v>
      </c>
      <c r="K84" s="96">
        <v>50.066000000000003</v>
      </c>
      <c r="L84" s="96">
        <v>50.027000000000001</v>
      </c>
      <c r="M84" s="96">
        <v>50.097000000000001</v>
      </c>
      <c r="N84" s="96">
        <v>50.023000000000003</v>
      </c>
      <c r="O84" s="96">
        <v>50.054000000000002</v>
      </c>
      <c r="P84" s="96">
        <v>50.036999999999999</v>
      </c>
      <c r="Q84" s="96">
        <v>50.026000000000003</v>
      </c>
      <c r="R84" s="96">
        <v>49.984000000000002</v>
      </c>
      <c r="S84" s="96">
        <v>50.002000000000002</v>
      </c>
      <c r="T84" s="96">
        <v>49.87</v>
      </c>
      <c r="U84" s="96">
        <v>49.966000000000001</v>
      </c>
      <c r="V84" s="96">
        <v>49.87</v>
      </c>
      <c r="W84" s="96">
        <v>50</v>
      </c>
      <c r="X84" s="96">
        <v>50.03</v>
      </c>
      <c r="Y84" s="96">
        <v>50.08</v>
      </c>
      <c r="Z84" s="96">
        <v>50.01</v>
      </c>
      <c r="AA84" s="96">
        <v>50</v>
      </c>
      <c r="AB84" s="96">
        <v>50.05</v>
      </c>
      <c r="AC84" s="96">
        <v>50.08</v>
      </c>
      <c r="AD84" s="96">
        <v>50.01</v>
      </c>
      <c r="AE84" s="96">
        <v>49.97</v>
      </c>
      <c r="AF84" s="96">
        <v>49.95</v>
      </c>
      <c r="AG84" s="97"/>
      <c r="AH84" s="54">
        <f t="shared" si="13"/>
        <v>50.097000000000001</v>
      </c>
      <c r="AI84" s="55">
        <f t="shared" si="14"/>
        <v>49.87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124.7</v>
      </c>
      <c r="C85" s="73">
        <v>125.4</v>
      </c>
      <c r="D85" s="73">
        <v>123</v>
      </c>
      <c r="E85" s="73">
        <v>124.4</v>
      </c>
      <c r="F85" s="73">
        <v>123.7</v>
      </c>
      <c r="G85" s="73">
        <v>124.7</v>
      </c>
      <c r="H85" s="73">
        <v>123.7</v>
      </c>
      <c r="I85" s="73">
        <v>125.6</v>
      </c>
      <c r="J85" s="73">
        <v>126.6</v>
      </c>
      <c r="K85" s="73">
        <v>125</v>
      </c>
      <c r="L85" s="73">
        <v>122.5</v>
      </c>
      <c r="M85" s="73">
        <v>125.3</v>
      </c>
      <c r="N85" s="73">
        <v>125.4</v>
      </c>
      <c r="O85" s="73">
        <v>123.8</v>
      </c>
      <c r="P85" s="73">
        <v>124.8</v>
      </c>
      <c r="Q85" s="73">
        <v>125.4</v>
      </c>
      <c r="R85" s="73">
        <v>124.7</v>
      </c>
      <c r="S85" s="73">
        <v>124.3</v>
      </c>
      <c r="T85" s="73">
        <v>125</v>
      </c>
      <c r="U85" s="100">
        <v>124</v>
      </c>
      <c r="V85" s="100">
        <v>124.9</v>
      </c>
      <c r="W85" s="100">
        <v>124.9</v>
      </c>
      <c r="X85" s="100">
        <v>124.9</v>
      </c>
      <c r="Y85" s="100">
        <v>124</v>
      </c>
      <c r="Z85" s="100">
        <v>125.7</v>
      </c>
      <c r="AA85" s="100">
        <v>126</v>
      </c>
      <c r="AB85" s="100">
        <v>127</v>
      </c>
      <c r="AC85" s="100">
        <v>127.2</v>
      </c>
      <c r="AD85" s="100">
        <v>127.1</v>
      </c>
      <c r="AE85" s="100">
        <v>127.7</v>
      </c>
      <c r="AF85" s="100">
        <v>125.4</v>
      </c>
      <c r="AG85" s="101"/>
      <c r="AH85" s="54">
        <f t="shared" si="13"/>
        <v>127.7</v>
      </c>
      <c r="AI85" s="55">
        <f t="shared" si="14"/>
        <v>122.5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</v>
      </c>
      <c r="C86" s="73">
        <v>129.6</v>
      </c>
      <c r="D86" s="73">
        <v>128.6</v>
      </c>
      <c r="E86" s="73">
        <v>129.30000000000001</v>
      </c>
      <c r="F86" s="73">
        <v>129</v>
      </c>
      <c r="G86" s="73">
        <v>129.4</v>
      </c>
      <c r="H86" s="73">
        <v>128.4</v>
      </c>
      <c r="I86" s="73">
        <v>129.19999999999999</v>
      </c>
      <c r="J86" s="73">
        <v>129.30000000000001</v>
      </c>
      <c r="K86" s="73">
        <v>128</v>
      </c>
      <c r="L86" s="73">
        <v>125.3</v>
      </c>
      <c r="M86" s="73">
        <v>127.9</v>
      </c>
      <c r="N86" s="73">
        <v>127.8</v>
      </c>
      <c r="O86" s="73">
        <v>126.5</v>
      </c>
      <c r="P86" s="73">
        <v>127.1</v>
      </c>
      <c r="Q86" s="73">
        <v>127.1</v>
      </c>
      <c r="R86" s="73">
        <v>128.30000000000001</v>
      </c>
      <c r="S86" s="73">
        <v>128.1</v>
      </c>
      <c r="T86" s="73">
        <v>129</v>
      </c>
      <c r="U86" s="100">
        <v>127</v>
      </c>
      <c r="V86" s="100">
        <v>128.30000000000001</v>
      </c>
      <c r="W86" s="100">
        <v>128.30000000000001</v>
      </c>
      <c r="X86" s="100">
        <v>128.30000000000001</v>
      </c>
      <c r="Y86" s="100">
        <v>127</v>
      </c>
      <c r="Z86" s="100">
        <v>128</v>
      </c>
      <c r="AA86" s="100">
        <v>128</v>
      </c>
      <c r="AB86" s="100">
        <v>129</v>
      </c>
      <c r="AC86" s="100">
        <v>129.5</v>
      </c>
      <c r="AD86" s="100">
        <v>129.5</v>
      </c>
      <c r="AE86" s="100">
        <v>130.69999999999999</v>
      </c>
      <c r="AF86" s="100">
        <v>129.9</v>
      </c>
      <c r="AG86" s="101"/>
      <c r="AH86" s="54">
        <f t="shared" si="13"/>
        <v>130.69999999999999</v>
      </c>
      <c r="AI86" s="55">
        <f t="shared" si="14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129</v>
      </c>
      <c r="C87" s="73">
        <v>127.7</v>
      </c>
      <c r="D87" s="73">
        <v>129.30000000000001</v>
      </c>
      <c r="E87" s="73">
        <v>130.6</v>
      </c>
      <c r="F87" s="73">
        <v>128.30000000000001</v>
      </c>
      <c r="G87" s="73">
        <v>128.19999999999999</v>
      </c>
      <c r="H87" s="73">
        <v>127</v>
      </c>
      <c r="I87" s="73">
        <v>127.3</v>
      </c>
      <c r="J87" s="73">
        <v>130</v>
      </c>
      <c r="K87" s="73">
        <v>128.6</v>
      </c>
      <c r="L87" s="73">
        <v>127.1</v>
      </c>
      <c r="M87" s="73">
        <v>128.19999999999999</v>
      </c>
      <c r="N87" s="73">
        <v>128.30000000000001</v>
      </c>
      <c r="O87" s="73">
        <v>130.1</v>
      </c>
      <c r="P87" s="73">
        <v>130.4</v>
      </c>
      <c r="Q87" s="73">
        <v>130.4</v>
      </c>
      <c r="R87" s="73">
        <v>130.9</v>
      </c>
      <c r="S87" s="73">
        <v>130.19999999999999</v>
      </c>
      <c r="T87" s="73">
        <v>130</v>
      </c>
      <c r="U87" s="73">
        <v>130</v>
      </c>
      <c r="V87" s="73">
        <v>129.4</v>
      </c>
      <c r="W87" s="73">
        <v>129.4</v>
      </c>
      <c r="X87" s="73">
        <v>129.4</v>
      </c>
      <c r="Y87" s="100">
        <v>126</v>
      </c>
      <c r="Z87" s="100">
        <v>129</v>
      </c>
      <c r="AA87" s="100">
        <v>127</v>
      </c>
      <c r="AB87" s="100">
        <v>132.19999999999999</v>
      </c>
      <c r="AC87" s="100">
        <v>130.4</v>
      </c>
      <c r="AD87" s="100">
        <v>129</v>
      </c>
      <c r="AE87" s="100">
        <v>130.6</v>
      </c>
      <c r="AF87" s="100">
        <v>130.5</v>
      </c>
      <c r="AG87" s="101"/>
      <c r="AH87" s="54">
        <f t="shared" si="13"/>
        <v>132.19999999999999</v>
      </c>
      <c r="AI87" s="55">
        <f t="shared" si="14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132.1</v>
      </c>
      <c r="C88" s="73">
        <v>131.19999999999999</v>
      </c>
      <c r="D88" s="73">
        <v>132.80000000000001</v>
      </c>
      <c r="E88" s="73">
        <v>133.80000000000001</v>
      </c>
      <c r="F88" s="73">
        <v>131.69999999999999</v>
      </c>
      <c r="G88" s="73">
        <v>131.19999999999999</v>
      </c>
      <c r="H88" s="73">
        <v>130.19999999999999</v>
      </c>
      <c r="I88" s="73">
        <v>130.19999999999999</v>
      </c>
      <c r="J88" s="73">
        <v>131.19999999999999</v>
      </c>
      <c r="K88" s="73">
        <v>131</v>
      </c>
      <c r="L88" s="73">
        <v>129.6</v>
      </c>
      <c r="M88" s="73">
        <v>128.30000000000001</v>
      </c>
      <c r="N88" s="73">
        <v>128.69999999999999</v>
      </c>
      <c r="O88" s="73">
        <v>131</v>
      </c>
      <c r="P88" s="73">
        <v>131.80000000000001</v>
      </c>
      <c r="Q88" s="73">
        <v>131.80000000000001</v>
      </c>
      <c r="R88" s="73">
        <v>133.5</v>
      </c>
      <c r="S88" s="73">
        <v>132.4</v>
      </c>
      <c r="T88" s="73">
        <v>132</v>
      </c>
      <c r="U88" s="73">
        <v>132</v>
      </c>
      <c r="V88" s="73">
        <v>130.9</v>
      </c>
      <c r="W88" s="73">
        <v>130.9</v>
      </c>
      <c r="X88" s="73">
        <v>130.9</v>
      </c>
      <c r="Y88" s="100">
        <v>129</v>
      </c>
      <c r="Z88" s="100">
        <v>133</v>
      </c>
      <c r="AA88" s="100">
        <v>132</v>
      </c>
      <c r="AB88" s="100">
        <v>132.80000000000001</v>
      </c>
      <c r="AC88" s="100">
        <v>133.30000000000001</v>
      </c>
      <c r="AD88" s="100">
        <v>130.69999999999999</v>
      </c>
      <c r="AE88" s="100">
        <v>132.19999999999999</v>
      </c>
      <c r="AF88" s="100">
        <v>132.5</v>
      </c>
      <c r="AG88" s="101"/>
      <c r="AH88" s="54">
        <f t="shared" si="13"/>
        <v>133.80000000000001</v>
      </c>
      <c r="AI88" s="55">
        <f t="shared" si="14"/>
        <v>128.30000000000001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132.80000000000001</v>
      </c>
      <c r="C89" s="104">
        <v>132.6</v>
      </c>
      <c r="D89" s="104">
        <v>127.7</v>
      </c>
      <c r="E89" s="104">
        <v>128</v>
      </c>
      <c r="F89" s="104">
        <v>127.7</v>
      </c>
      <c r="G89" s="104">
        <v>130.4</v>
      </c>
      <c r="H89" s="104">
        <v>129.5</v>
      </c>
      <c r="I89" s="104">
        <v>127.3</v>
      </c>
      <c r="J89" s="104">
        <v>134.19999999999999</v>
      </c>
      <c r="K89" s="104">
        <v>132.30000000000001</v>
      </c>
      <c r="L89" s="104">
        <v>132.30000000000001</v>
      </c>
      <c r="M89" s="104">
        <v>129</v>
      </c>
      <c r="N89" s="104">
        <v>134.1</v>
      </c>
      <c r="O89" s="104">
        <v>135.5</v>
      </c>
      <c r="P89" s="104">
        <v>135.69999999999999</v>
      </c>
      <c r="Q89" s="104">
        <v>135.69999999999999</v>
      </c>
      <c r="R89" s="104">
        <v>132.5</v>
      </c>
      <c r="S89" s="104">
        <v>131.6</v>
      </c>
      <c r="T89" s="104">
        <v>131.19999999999999</v>
      </c>
      <c r="U89" s="104">
        <v>133</v>
      </c>
      <c r="V89" s="104">
        <v>134</v>
      </c>
      <c r="W89" s="104">
        <v>134</v>
      </c>
      <c r="X89" s="104">
        <v>134</v>
      </c>
      <c r="Y89" s="100">
        <v>134</v>
      </c>
      <c r="Z89" s="100">
        <v>136.69999999999999</v>
      </c>
      <c r="AA89" s="100">
        <v>135.5</v>
      </c>
      <c r="AB89" s="100">
        <v>132.4</v>
      </c>
      <c r="AC89" s="100">
        <v>133.5</v>
      </c>
      <c r="AD89" s="100">
        <v>134.19999999999999</v>
      </c>
      <c r="AE89" s="100">
        <v>133.80000000000001</v>
      </c>
      <c r="AF89" s="100">
        <v>126</v>
      </c>
      <c r="AG89" s="105"/>
      <c r="AH89" s="54">
        <f t="shared" si="13"/>
        <v>136.69999999999999</v>
      </c>
      <c r="AI89" s="55">
        <f t="shared" si="14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138.80000000000001</v>
      </c>
      <c r="C90" s="73">
        <v>139.19999999999999</v>
      </c>
      <c r="D90" s="73">
        <v>139.1</v>
      </c>
      <c r="E90" s="73">
        <v>139.6</v>
      </c>
      <c r="F90" s="73">
        <v>137.9</v>
      </c>
      <c r="G90" s="73">
        <v>136.9</v>
      </c>
      <c r="H90" s="73">
        <v>136.30000000000001</v>
      </c>
      <c r="I90" s="73">
        <v>133.1</v>
      </c>
      <c r="J90" s="73">
        <v>130.19999999999999</v>
      </c>
      <c r="K90" s="73">
        <v>131.6</v>
      </c>
      <c r="L90" s="73">
        <v>134.6</v>
      </c>
      <c r="M90" s="73">
        <v>135.5</v>
      </c>
      <c r="N90" s="73">
        <v>130.19999999999999</v>
      </c>
      <c r="O90" s="73">
        <v>132.4</v>
      </c>
      <c r="P90" s="73">
        <v>130.4</v>
      </c>
      <c r="Q90" s="73">
        <v>130.4</v>
      </c>
      <c r="R90" s="73">
        <v>134.9</v>
      </c>
      <c r="S90" s="73">
        <v>131.69999999999999</v>
      </c>
      <c r="T90" s="73">
        <v>135</v>
      </c>
      <c r="U90" s="73">
        <v>132</v>
      </c>
      <c r="V90" s="73">
        <v>133</v>
      </c>
      <c r="W90" s="73">
        <v>133</v>
      </c>
      <c r="X90" s="73">
        <v>133</v>
      </c>
      <c r="Y90" s="100">
        <v>132</v>
      </c>
      <c r="Z90" s="100">
        <v>132</v>
      </c>
      <c r="AA90" s="100">
        <v>134</v>
      </c>
      <c r="AB90" s="100">
        <v>134.19999999999999</v>
      </c>
      <c r="AC90" s="100">
        <v>133.6</v>
      </c>
      <c r="AD90" s="100">
        <v>133.9</v>
      </c>
      <c r="AE90" s="100">
        <v>135.30000000000001</v>
      </c>
      <c r="AF90" s="100">
        <v>135.5</v>
      </c>
      <c r="AG90" s="101"/>
      <c r="AH90" s="54">
        <f t="shared" si="13"/>
        <v>139.6</v>
      </c>
      <c r="AI90" s="55">
        <f t="shared" si="14"/>
        <v>130.19999999999999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65.5</v>
      </c>
      <c r="C91" s="107">
        <v>65.599999999999994</v>
      </c>
      <c r="D91" s="107">
        <v>65.400000000000006</v>
      </c>
      <c r="E91" s="107">
        <v>65.5</v>
      </c>
      <c r="F91" s="107">
        <v>65.099999999999994</v>
      </c>
      <c r="G91" s="107">
        <v>65.400000000000006</v>
      </c>
      <c r="H91" s="107">
        <v>64.8</v>
      </c>
      <c r="I91" s="107">
        <v>65.3</v>
      </c>
      <c r="J91" s="107">
        <v>64.900000000000006</v>
      </c>
      <c r="K91" s="107">
        <v>65.099999999999994</v>
      </c>
      <c r="L91" s="107">
        <v>63.6</v>
      </c>
      <c r="M91" s="107">
        <v>64.900000000000006</v>
      </c>
      <c r="N91" s="107">
        <v>64.3</v>
      </c>
      <c r="O91" s="107">
        <v>64.3</v>
      </c>
      <c r="P91" s="107">
        <v>64.099999999999994</v>
      </c>
      <c r="Q91" s="107">
        <v>64.099999999999994</v>
      </c>
      <c r="R91" s="107">
        <v>65.2</v>
      </c>
      <c r="S91" s="107">
        <v>64.900000000000006</v>
      </c>
      <c r="T91" s="107">
        <v>65.3</v>
      </c>
      <c r="U91" s="107">
        <v>63.7</v>
      </c>
      <c r="V91" s="107">
        <v>64.7</v>
      </c>
      <c r="W91" s="107">
        <v>64.7</v>
      </c>
      <c r="X91" s="107">
        <v>64.7</v>
      </c>
      <c r="Y91" s="107">
        <v>64.3</v>
      </c>
      <c r="Z91" s="107">
        <v>64.8</v>
      </c>
      <c r="AA91" s="107">
        <v>64.7</v>
      </c>
      <c r="AB91" s="107">
        <v>65.599999999999994</v>
      </c>
      <c r="AC91" s="107">
        <v>65.5</v>
      </c>
      <c r="AD91" s="107">
        <v>65.400000000000006</v>
      </c>
      <c r="AE91" s="107">
        <v>66.099999999999994</v>
      </c>
      <c r="AF91" s="107">
        <v>65.7</v>
      </c>
      <c r="AG91" s="108"/>
      <c r="AH91" s="54">
        <f t="shared" si="13"/>
        <v>66.099999999999994</v>
      </c>
      <c r="AI91" s="55">
        <f t="shared" si="14"/>
        <v>63.6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185.73999999999998</v>
      </c>
      <c r="C93" s="114">
        <f>SUM(C15,C18,C21:C22,C42,C44:C45,C47,C49,C94:C97,C102,C108,C114,C123,C125,C137,C144,C147:C148,C155,C157,C159,C163:C165,C167:C169,C174,C180:C181,C183:C185,C193,C198)</f>
        <v>172.93999999999997</v>
      </c>
      <c r="D93" s="114">
        <f t="shared" ref="D93:AF93" si="21">SUM(D15,D18,D21:D22,D42,D44:D45,D47,D49,D94:D97,D102,D108,D114,D123,D125,D137,D144,D147:D148,D155,D157,D159,D163:D165,D167:D169,D174,D180:D181,D183:D185,D193,D198)</f>
        <v>170.73999999999998</v>
      </c>
      <c r="E93" s="114">
        <f t="shared" si="21"/>
        <v>168.93999999999997</v>
      </c>
      <c r="F93" s="114">
        <f t="shared" si="21"/>
        <v>171.83999999999997</v>
      </c>
      <c r="G93" s="113">
        <f t="shared" si="21"/>
        <v>197.73999999999998</v>
      </c>
      <c r="H93" s="113">
        <f t="shared" si="21"/>
        <v>210.94</v>
      </c>
      <c r="I93" s="113">
        <f t="shared" si="21"/>
        <v>233.83999999999997</v>
      </c>
      <c r="J93" s="113">
        <f t="shared" si="21"/>
        <v>283.34000000000003</v>
      </c>
      <c r="K93" s="113">
        <f t="shared" si="21"/>
        <v>323.34000000000003</v>
      </c>
      <c r="L93" s="113">
        <f t="shared" si="21"/>
        <v>345.44</v>
      </c>
      <c r="M93" s="113">
        <f t="shared" si="21"/>
        <v>378.94000000000005</v>
      </c>
      <c r="N93" s="113">
        <f t="shared" si="21"/>
        <v>375.54000000000008</v>
      </c>
      <c r="O93" s="113">
        <f t="shared" si="21"/>
        <v>319.34000000000003</v>
      </c>
      <c r="P93" s="113">
        <f t="shared" si="21"/>
        <v>322.54000000000002</v>
      </c>
      <c r="Q93" s="113">
        <f t="shared" si="21"/>
        <v>324.34000000000003</v>
      </c>
      <c r="R93" s="113">
        <f t="shared" si="21"/>
        <v>280.24</v>
      </c>
      <c r="S93" s="113">
        <f t="shared" si="21"/>
        <v>259.34000000000009</v>
      </c>
      <c r="T93" s="113">
        <f t="shared" si="21"/>
        <v>238.44</v>
      </c>
      <c r="U93" s="113">
        <f t="shared" si="21"/>
        <v>257.14000000000004</v>
      </c>
      <c r="V93" s="113">
        <f t="shared" si="21"/>
        <v>249.04</v>
      </c>
      <c r="W93" s="113">
        <f t="shared" si="21"/>
        <v>296.04000000000008</v>
      </c>
      <c r="X93" s="113">
        <f t="shared" si="21"/>
        <v>359.44000000000005</v>
      </c>
      <c r="Y93" s="113">
        <f t="shared" si="21"/>
        <v>393.04000000000008</v>
      </c>
      <c r="Z93" s="113">
        <f t="shared" si="21"/>
        <v>406.54000000000008</v>
      </c>
      <c r="AA93" s="113">
        <f t="shared" si="21"/>
        <v>391.74000000000007</v>
      </c>
      <c r="AB93" s="113">
        <f t="shared" si="21"/>
        <v>369.04000000000008</v>
      </c>
      <c r="AC93" s="113">
        <f t="shared" si="21"/>
        <v>332.04000000000008</v>
      </c>
      <c r="AD93" s="113">
        <f t="shared" si="21"/>
        <v>323.54000000000002</v>
      </c>
      <c r="AE93" s="113">
        <f t="shared" si="21"/>
        <v>246.44</v>
      </c>
      <c r="AF93" s="113">
        <f t="shared" si="21"/>
        <v>212.14</v>
      </c>
      <c r="AG93" s="115"/>
      <c r="AH93" s="54">
        <f>MAX(C93:AF93)</f>
        <v>406.54000000000008</v>
      </c>
      <c r="AI93" s="55">
        <f>MIN(C93:AF93)</f>
        <v>168.93999999999997</v>
      </c>
    </row>
    <row r="94" spans="1:88" x14ac:dyDescent="0.25">
      <c r="A94" s="116" t="s">
        <v>98</v>
      </c>
      <c r="B94" s="117">
        <v>15.6</v>
      </c>
      <c r="C94" s="58">
        <v>11.4</v>
      </c>
      <c r="D94" s="58">
        <v>-24.3</v>
      </c>
      <c r="E94" s="58">
        <v>-25.7</v>
      </c>
      <c r="F94" s="58">
        <v>-23.1</v>
      </c>
      <c r="G94" s="118">
        <v>4.7</v>
      </c>
      <c r="H94" s="118">
        <v>2.2000000000000002</v>
      </c>
      <c r="I94" s="118">
        <v>-4.5</v>
      </c>
      <c r="J94" s="118">
        <v>44.2</v>
      </c>
      <c r="K94" s="118">
        <v>50</v>
      </c>
      <c r="L94" s="118">
        <v>64.2</v>
      </c>
      <c r="M94" s="119">
        <v>62.5</v>
      </c>
      <c r="N94" s="118">
        <v>67.599999999999994</v>
      </c>
      <c r="O94" s="118">
        <v>60.8</v>
      </c>
      <c r="P94" s="118">
        <v>48</v>
      </c>
      <c r="Q94" s="118">
        <v>48</v>
      </c>
      <c r="R94" s="118">
        <v>9.5</v>
      </c>
      <c r="S94" s="118">
        <v>-1.1000000000000001</v>
      </c>
      <c r="T94" s="118">
        <v>0</v>
      </c>
      <c r="U94" s="119">
        <v>17</v>
      </c>
      <c r="V94" s="119">
        <v>27</v>
      </c>
      <c r="W94" s="119">
        <v>50</v>
      </c>
      <c r="X94" s="118">
        <v>79</v>
      </c>
      <c r="Y94" s="118">
        <v>68</v>
      </c>
      <c r="Z94" s="118">
        <v>72.5</v>
      </c>
      <c r="AA94" s="118">
        <v>74.2</v>
      </c>
      <c r="AB94" s="118">
        <v>68</v>
      </c>
      <c r="AC94" s="118">
        <v>59.7</v>
      </c>
      <c r="AD94" s="118">
        <v>51.1</v>
      </c>
      <c r="AE94" s="118">
        <v>21.9</v>
      </c>
      <c r="AF94" s="119">
        <v>-11.3</v>
      </c>
      <c r="AG94" s="120">
        <v>75</v>
      </c>
      <c r="AH94" s="54">
        <f t="shared" ref="AH94:AH99" si="22">IF(ABS(MAX(C94:AF94))&gt;ABS(MIN(C94:AF94)),MAX(C94:AF94),MIN(C94:AF94))</f>
        <v>79</v>
      </c>
      <c r="AI94" s="121">
        <f t="shared" ref="AI94:AI99" si="23">INDEX($C$9:$AF$9,1,MATCH(AH94,C94:AF94,0))</f>
        <v>0.75</v>
      </c>
    </row>
    <row r="95" spans="1:88" x14ac:dyDescent="0.25">
      <c r="A95" s="122" t="s">
        <v>99</v>
      </c>
      <c r="B95" s="123">
        <v>-5.7</v>
      </c>
      <c r="C95" s="60">
        <v>-6.6</v>
      </c>
      <c r="D95" s="60">
        <v>-38.9</v>
      </c>
      <c r="E95" s="60">
        <v>-36.799999999999997</v>
      </c>
      <c r="F95" s="60">
        <v>-37</v>
      </c>
      <c r="G95" s="60">
        <v>-30</v>
      </c>
      <c r="H95" s="60">
        <v>-26</v>
      </c>
      <c r="I95" s="60">
        <v>-2</v>
      </c>
      <c r="J95" s="60">
        <v>3</v>
      </c>
      <c r="K95" s="60">
        <v>15</v>
      </c>
      <c r="L95" s="60">
        <v>16</v>
      </c>
      <c r="M95" s="60">
        <v>26</v>
      </c>
      <c r="N95" s="60">
        <v>20.3</v>
      </c>
      <c r="O95" s="60">
        <v>22.8</v>
      </c>
      <c r="P95" s="60">
        <v>40.799999999999997</v>
      </c>
      <c r="Q95" s="60">
        <v>40.799999999999997</v>
      </c>
      <c r="R95" s="60">
        <v>-1.1000000000000001</v>
      </c>
      <c r="S95" s="60">
        <v>-6</v>
      </c>
      <c r="T95" s="60">
        <v>7</v>
      </c>
      <c r="U95" s="60">
        <v>-6.7</v>
      </c>
      <c r="V95" s="60">
        <v>-9</v>
      </c>
      <c r="W95" s="60">
        <v>20</v>
      </c>
      <c r="X95" s="60">
        <v>36</v>
      </c>
      <c r="Y95" s="60">
        <v>52</v>
      </c>
      <c r="Z95" s="60">
        <v>51</v>
      </c>
      <c r="AA95" s="60">
        <v>51</v>
      </c>
      <c r="AB95" s="60">
        <v>26</v>
      </c>
      <c r="AC95" s="60">
        <f>4.5+6.1</f>
        <v>10.6</v>
      </c>
      <c r="AD95" s="60">
        <f>7.9+8.6</f>
        <v>16.5</v>
      </c>
      <c r="AE95" s="60">
        <f>-10.2-11.9</f>
        <v>-22.1</v>
      </c>
      <c r="AF95" s="73">
        <f>-17.6-19.8</f>
        <v>-37.400000000000006</v>
      </c>
      <c r="AG95" s="120">
        <v>240</v>
      </c>
      <c r="AH95" s="54">
        <f t="shared" si="22"/>
        <v>52</v>
      </c>
      <c r="AI95" s="121">
        <f t="shared" si="23"/>
        <v>0.77083333333333337</v>
      </c>
    </row>
    <row r="96" spans="1:88" x14ac:dyDescent="0.25">
      <c r="A96" s="122" t="s">
        <v>100</v>
      </c>
      <c r="B96" s="123">
        <v>-5.3</v>
      </c>
      <c r="C96" s="60">
        <v>-3.5</v>
      </c>
      <c r="D96" s="60">
        <v>-13</v>
      </c>
      <c r="E96" s="60">
        <v>-12.9</v>
      </c>
      <c r="F96" s="60">
        <v>-13.5</v>
      </c>
      <c r="G96" s="60">
        <v>-10.199999999999999</v>
      </c>
      <c r="H96" s="60">
        <v>-7.8</v>
      </c>
      <c r="I96" s="60">
        <v>-2.4</v>
      </c>
      <c r="J96" s="60">
        <v>3.8</v>
      </c>
      <c r="K96" s="60">
        <v>7.8</v>
      </c>
      <c r="L96" s="60">
        <v>5.6</v>
      </c>
      <c r="M96" s="60">
        <v>23.8</v>
      </c>
      <c r="N96" s="60">
        <v>22.4</v>
      </c>
      <c r="O96" s="60">
        <v>21.6</v>
      </c>
      <c r="P96" s="60">
        <v>34.4</v>
      </c>
      <c r="Q96" s="60">
        <v>34.4</v>
      </c>
      <c r="R96" s="60">
        <v>17.5</v>
      </c>
      <c r="S96" s="60">
        <v>14.4</v>
      </c>
      <c r="T96" s="60">
        <v>-7</v>
      </c>
      <c r="U96" s="60">
        <v>0</v>
      </c>
      <c r="V96" s="60">
        <v>0</v>
      </c>
      <c r="W96" s="60">
        <v>0</v>
      </c>
      <c r="X96" s="60">
        <v>18</v>
      </c>
      <c r="Y96" s="60">
        <v>29</v>
      </c>
      <c r="Z96" s="60">
        <v>37</v>
      </c>
      <c r="AA96" s="60">
        <v>25.7</v>
      </c>
      <c r="AB96" s="60">
        <v>34</v>
      </c>
      <c r="AC96" s="60">
        <v>12</v>
      </c>
      <c r="AD96" s="60">
        <v>11.2</v>
      </c>
      <c r="AE96" s="60">
        <v>11.7</v>
      </c>
      <c r="AF96" s="73">
        <v>12.6</v>
      </c>
      <c r="AG96" s="120">
        <v>60</v>
      </c>
      <c r="AH96" s="54">
        <f t="shared" si="22"/>
        <v>37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23.7</v>
      </c>
      <c r="C97" s="63">
        <v>17.2</v>
      </c>
      <c r="D97" s="63">
        <v>92.5</v>
      </c>
      <c r="E97" s="63">
        <v>89.9</v>
      </c>
      <c r="F97" s="63">
        <v>91.2</v>
      </c>
      <c r="G97" s="63">
        <v>79.900000000000006</v>
      </c>
      <c r="H97" s="63">
        <v>89.2</v>
      </c>
      <c r="I97" s="63">
        <v>89.4</v>
      </c>
      <c r="J97" s="63">
        <v>79</v>
      </c>
      <c r="K97" s="63">
        <v>95.7</v>
      </c>
      <c r="L97" s="63">
        <v>104.8</v>
      </c>
      <c r="M97" s="63">
        <v>112.1</v>
      </c>
      <c r="N97" s="63">
        <v>110.7</v>
      </c>
      <c r="O97" s="63">
        <v>61.4</v>
      </c>
      <c r="P97" s="63">
        <v>45.6</v>
      </c>
      <c r="Q97" s="63">
        <v>45.6</v>
      </c>
      <c r="R97" s="63">
        <v>98.5</v>
      </c>
      <c r="S97" s="63">
        <v>96.5</v>
      </c>
      <c r="T97" s="63">
        <v>85</v>
      </c>
      <c r="U97" s="63">
        <v>93.4</v>
      </c>
      <c r="V97" s="63">
        <v>81</v>
      </c>
      <c r="W97" s="63">
        <v>76</v>
      </c>
      <c r="X97" s="63">
        <v>74</v>
      </c>
      <c r="Y97" s="63">
        <v>88</v>
      </c>
      <c r="Z97" s="63">
        <v>83</v>
      </c>
      <c r="AA97" s="63">
        <v>77.8</v>
      </c>
      <c r="AB97" s="63">
        <v>78</v>
      </c>
      <c r="AC97" s="63">
        <v>86.7</v>
      </c>
      <c r="AD97" s="63">
        <v>81.7</v>
      </c>
      <c r="AE97" s="63">
        <v>71.900000000000006</v>
      </c>
      <c r="AF97" s="126">
        <v>85.2</v>
      </c>
      <c r="AG97" s="127">
        <v>120</v>
      </c>
      <c r="AH97" s="54">
        <f t="shared" si="22"/>
        <v>112.1</v>
      </c>
      <c r="AI97" s="121">
        <f t="shared" si="23"/>
        <v>0.33333333333333331</v>
      </c>
    </row>
    <row r="98" spans="1:37" x14ac:dyDescent="0.25">
      <c r="A98" s="124" t="s">
        <v>102</v>
      </c>
      <c r="B98" s="125">
        <v>104</v>
      </c>
      <c r="C98" s="63">
        <v>96.5</v>
      </c>
      <c r="D98" s="63">
        <v>100</v>
      </c>
      <c r="E98" s="63">
        <v>94.5</v>
      </c>
      <c r="F98" s="63">
        <v>97.8</v>
      </c>
      <c r="G98" s="63">
        <v>84.4</v>
      </c>
      <c r="H98" s="63">
        <v>93.9</v>
      </c>
      <c r="I98" s="63">
        <v>79.400000000000006</v>
      </c>
      <c r="J98" s="63">
        <v>54.9</v>
      </c>
      <c r="K98" s="63">
        <v>63.9</v>
      </c>
      <c r="L98" s="63">
        <v>63.2</v>
      </c>
      <c r="M98" s="63">
        <v>55.8</v>
      </c>
      <c r="N98" s="63">
        <v>44.4</v>
      </c>
      <c r="O98" s="63">
        <v>82.1</v>
      </c>
      <c r="P98" s="63">
        <v>87.8</v>
      </c>
      <c r="Q98" s="63">
        <v>87.8</v>
      </c>
      <c r="R98" s="63">
        <v>90.1</v>
      </c>
      <c r="S98" s="63">
        <v>89.2</v>
      </c>
      <c r="T98" s="63">
        <v>81</v>
      </c>
      <c r="U98" s="63">
        <v>86.6</v>
      </c>
      <c r="V98" s="63">
        <v>75</v>
      </c>
      <c r="W98" s="63">
        <v>82</v>
      </c>
      <c r="X98" s="63">
        <v>95</v>
      </c>
      <c r="Y98" s="63">
        <v>70</v>
      </c>
      <c r="Z98" s="63">
        <v>58</v>
      </c>
      <c r="AA98" s="63">
        <v>59.7</v>
      </c>
      <c r="AB98" s="63">
        <v>48</v>
      </c>
      <c r="AC98" s="63">
        <v>56.6</v>
      </c>
      <c r="AD98" s="63">
        <v>62.5</v>
      </c>
      <c r="AE98" s="63">
        <v>70.8</v>
      </c>
      <c r="AF98" s="126">
        <v>88.6</v>
      </c>
      <c r="AG98" s="127"/>
      <c r="AH98" s="54">
        <f t="shared" si="22"/>
        <v>100</v>
      </c>
      <c r="AI98" s="121">
        <f t="shared" si="23"/>
        <v>8.3333333333333301E-2</v>
      </c>
    </row>
    <row r="99" spans="1:37" ht="15.75" thickBot="1" x14ac:dyDescent="0.3">
      <c r="A99" s="124" t="s">
        <v>103</v>
      </c>
      <c r="B99" s="125">
        <v>57.8</v>
      </c>
      <c r="C99" s="63">
        <v>57.1</v>
      </c>
      <c r="D99" s="63">
        <v>68.400000000000006</v>
      </c>
      <c r="E99" s="63">
        <v>66.099999999999994</v>
      </c>
      <c r="F99" s="63">
        <v>68.900000000000006</v>
      </c>
      <c r="G99" s="63">
        <v>33.9</v>
      </c>
      <c r="H99" s="63">
        <v>36.200000000000003</v>
      </c>
      <c r="I99" s="63">
        <v>45.7</v>
      </c>
      <c r="J99" s="63">
        <v>23.7</v>
      </c>
      <c r="K99" s="63">
        <v>22.4</v>
      </c>
      <c r="L99" s="63">
        <v>4.3</v>
      </c>
      <c r="M99" s="63">
        <v>6.7</v>
      </c>
      <c r="N99" s="63">
        <v>1.6</v>
      </c>
      <c r="O99" s="63">
        <v>4.0999999999999996</v>
      </c>
      <c r="P99" s="63">
        <v>2.2999999999999998</v>
      </c>
      <c r="Q99" s="63">
        <v>2.2999999999999998</v>
      </c>
      <c r="R99" s="63">
        <v>42.7</v>
      </c>
      <c r="S99" s="63">
        <v>42.3</v>
      </c>
      <c r="T99" s="63">
        <v>41</v>
      </c>
      <c r="U99" s="63">
        <v>28.6</v>
      </c>
      <c r="V99" s="63">
        <v>22.9</v>
      </c>
      <c r="W99" s="63">
        <v>15</v>
      </c>
      <c r="X99" s="63">
        <v>7</v>
      </c>
      <c r="Y99" s="63">
        <v>6</v>
      </c>
      <c r="Z99" s="63">
        <v>5</v>
      </c>
      <c r="AA99" s="63">
        <v>2.2000000000000002</v>
      </c>
      <c r="AB99" s="63">
        <v>32.200000000000003</v>
      </c>
      <c r="AC99" s="63">
        <v>22.7</v>
      </c>
      <c r="AD99" s="63">
        <v>21.8</v>
      </c>
      <c r="AE99" s="63">
        <v>22.9</v>
      </c>
      <c r="AF99" s="126">
        <v>64.400000000000006</v>
      </c>
      <c r="AG99" s="128"/>
      <c r="AH99" s="54">
        <f t="shared" si="22"/>
        <v>68.900000000000006</v>
      </c>
      <c r="AI99" s="121">
        <f t="shared" si="23"/>
        <v>0.16666666666666699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1375.6399999999999</v>
      </c>
      <c r="C208" s="164">
        <f>INDEX(G9:N9,1,MATCH(MAX(G75:N75),G75:N75,0))</f>
        <v>0.375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14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2078/11/14)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2078/11/14)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972.44</v>
      </c>
      <c r="U213" s="174">
        <f t="shared" si="60"/>
        <v>940.74</v>
      </c>
      <c r="V213" s="174">
        <f t="shared" si="60"/>
        <v>929.24</v>
      </c>
      <c r="W213" s="174">
        <f t="shared" si="60"/>
        <v>908.24</v>
      </c>
      <c r="X213" s="174">
        <f t="shared" si="60"/>
        <v>907.34</v>
      </c>
      <c r="Y213" s="174">
        <f t="shared" si="60"/>
        <v>968.63999999999987</v>
      </c>
      <c r="Z213" s="174">
        <f t="shared" si="60"/>
        <v>1009.6400000000001</v>
      </c>
      <c r="AA213" s="174">
        <f t="shared" si="60"/>
        <v>1097.44</v>
      </c>
      <c r="AB213" s="174">
        <f t="shared" si="60"/>
        <v>1201.04</v>
      </c>
      <c r="AC213" s="174">
        <f t="shared" si="60"/>
        <v>1290.3399999999999</v>
      </c>
      <c r="AD213" s="174">
        <f t="shared" si="60"/>
        <v>1349.7399999999998</v>
      </c>
      <c r="AE213" s="174">
        <f t="shared" si="60"/>
        <v>1339.94</v>
      </c>
      <c r="AF213" s="174">
        <f t="shared" si="60"/>
        <v>1375.6399999999999</v>
      </c>
      <c r="AG213" s="174">
        <f t="shared" si="60"/>
        <v>1231.6399999999999</v>
      </c>
      <c r="AH213" s="174">
        <f t="shared" si="60"/>
        <v>1132.74</v>
      </c>
      <c r="AI213" s="174">
        <f t="shared" si="60"/>
        <v>1126.6399999999999</v>
      </c>
      <c r="AJ213" s="174">
        <f t="shared" si="60"/>
        <v>1063.04</v>
      </c>
      <c r="AK213" s="174">
        <f t="shared" si="60"/>
        <v>1023.14</v>
      </c>
      <c r="AL213" s="174">
        <f t="shared" si="60"/>
        <v>996.54</v>
      </c>
      <c r="AM213" s="174">
        <f t="shared" si="60"/>
        <v>1027.94</v>
      </c>
      <c r="AN213" s="174">
        <f t="shared" si="60"/>
        <v>1001.24</v>
      </c>
      <c r="AO213" s="174">
        <f t="shared" si="60"/>
        <v>1075.94</v>
      </c>
      <c r="AP213" s="174">
        <f t="shared" si="60"/>
        <v>1190.04</v>
      </c>
      <c r="AQ213" s="174">
        <f t="shared" si="60"/>
        <v>1397.6399999999999</v>
      </c>
      <c r="AR213" s="174">
        <f t="shared" si="60"/>
        <v>1427.44</v>
      </c>
      <c r="AS213" s="174">
        <f t="shared" si="60"/>
        <v>1381.1399999999999</v>
      </c>
      <c r="AT213" s="174">
        <f t="shared" si="60"/>
        <v>1298.8400000000001</v>
      </c>
      <c r="AU213" s="174">
        <f t="shared" si="60"/>
        <v>1273.94</v>
      </c>
      <c r="AV213" s="174">
        <f t="shared" si="60"/>
        <v>1161.1399999999999</v>
      </c>
      <c r="AW213" s="174">
        <f t="shared" si="60"/>
        <v>1018.3399999999999</v>
      </c>
      <c r="AX213" s="174">
        <f t="shared" si="60"/>
        <v>934.13999999999987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N37:R37 C57:L59 P39:R39 M39:O42 P40:Q42 R42 R40:T41 M58:W59 AB81:AF81 B81:R81 C56:AF56 B82:AF83 D193:AF199 B193:B199 C68:AF72 B84:B91 B9:L10 B191:AF191 B53:B72 AG73 AF94:AF99 B94:B99 U212:AF212 C60:O61 C63:E67 B36:L36 B73:AF80 P60:S65 T62:X65 P67:X67 U40:Z42 M53:AF55 Y85:AB91 N9:AF11 Z40:AF43 N45:AF48">
    <cfRule type="expression" dxfId="4948" priority="298">
      <formula>B$9&gt;=20/24</formula>
    </cfRule>
    <cfRule type="expression" dxfId="4947" priority="299">
      <formula>AND(B$9&gt;=14/24,B$9&lt;20/24)</formula>
    </cfRule>
    <cfRule type="expression" dxfId="4946" priority="300">
      <formula>AND(B$9&gt;=8/24,B$9&lt;14/24)</formula>
    </cfRule>
    <cfRule type="expression" dxfId="4945" priority="301">
      <formula>B$9&lt;8/24</formula>
    </cfRule>
  </conditionalFormatting>
  <conditionalFormatting sqref="AL4:AL6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944" priority="293">
      <formula>M$9&gt;=20/24</formula>
    </cfRule>
    <cfRule type="expression" dxfId="4943" priority="294">
      <formula>AND(M$9&gt;=14/24,M$9&lt;20/24)</formula>
    </cfRule>
    <cfRule type="expression" dxfId="4942" priority="295">
      <formula>AND(M$9&gt;=8/24,M$9&lt;14/24)</formula>
    </cfRule>
    <cfRule type="expression" dxfId="4941" priority="296">
      <formula>M$9&lt;8/24</formula>
    </cfRule>
  </conditionalFormatting>
  <conditionalFormatting sqref="M43:R43">
    <cfRule type="expression" dxfId="4940" priority="289">
      <formula>M$9&gt;=20/24</formula>
    </cfRule>
    <cfRule type="expression" dxfId="4939" priority="290">
      <formula>AND(M$9&gt;=14/24,M$9&lt;20/24)</formula>
    </cfRule>
    <cfRule type="expression" dxfId="4938" priority="291">
      <formula>AND(M$9&gt;=8/24,M$9&lt;14/24)</formula>
    </cfRule>
    <cfRule type="expression" dxfId="4937" priority="292">
      <formula>M$9&lt;8/24</formula>
    </cfRule>
  </conditionalFormatting>
  <conditionalFormatting sqref="S39:AF39">
    <cfRule type="expression" dxfId="4936" priority="281">
      <formula>S$9&gt;=20/24</formula>
    </cfRule>
    <cfRule type="expression" dxfId="4935" priority="282">
      <formula>AND(S$9&gt;=14/24,S$9&lt;20/24)</formula>
    </cfRule>
    <cfRule type="expression" dxfId="4934" priority="283">
      <formula>AND(S$9&gt;=8/24,S$9&lt;14/24)</formula>
    </cfRule>
    <cfRule type="expression" dxfId="4933" priority="284">
      <formula>S$9&lt;8/24</formula>
    </cfRule>
  </conditionalFormatting>
  <conditionalFormatting sqref="S57:AF57">
    <cfRule type="expression" dxfId="4932" priority="277">
      <formula>S$9&gt;=20/24</formula>
    </cfRule>
    <cfRule type="expression" dxfId="4931" priority="278">
      <formula>AND(S$9&gt;=14/24,S$9&lt;20/24)</formula>
    </cfRule>
    <cfRule type="expression" dxfId="4930" priority="279">
      <formula>AND(S$9&gt;=8/24,S$9&lt;14/24)</formula>
    </cfRule>
    <cfRule type="expression" dxfId="4929" priority="280">
      <formula>S$9&lt;8/24</formula>
    </cfRule>
  </conditionalFormatting>
  <conditionalFormatting sqref="S81:AA81">
    <cfRule type="expression" dxfId="4928" priority="273">
      <formula>S$9&gt;=20/24</formula>
    </cfRule>
    <cfRule type="expression" dxfId="4927" priority="274">
      <formula>AND(S$9&gt;=14/24,S$9&lt;20/24)</formula>
    </cfRule>
    <cfRule type="expression" dxfId="4926" priority="275">
      <formula>AND(S$9&gt;=8/24,S$9&lt;14/24)</formula>
    </cfRule>
    <cfRule type="expression" dxfId="4925" priority="276">
      <formula>S$9&lt;8/24</formula>
    </cfRule>
  </conditionalFormatting>
  <conditionalFormatting sqref="U84:AB84">
    <cfRule type="expression" dxfId="4924" priority="269">
      <formula>U$9&gt;=20/24</formula>
    </cfRule>
    <cfRule type="expression" dxfId="4923" priority="270">
      <formula>AND(U$9&gt;=14/24,U$9&lt;20/24)</formula>
    </cfRule>
    <cfRule type="expression" dxfId="4922" priority="271">
      <formula>AND(U$9&gt;=8/24,U$9&lt;14/24)</formula>
    </cfRule>
    <cfRule type="expression" dxfId="4921" priority="272">
      <formula>U$9&lt;8/24</formula>
    </cfRule>
  </conditionalFormatting>
  <conditionalFormatting sqref="M49:AF49">
    <cfRule type="expression" dxfId="4920" priority="261">
      <formula>M$9&gt;=20/24</formula>
    </cfRule>
    <cfRule type="expression" dxfId="4919" priority="262">
      <formula>AND(M$9&gt;=14/24,M$9&lt;20/24)</formula>
    </cfRule>
    <cfRule type="expression" dxfId="4918" priority="263">
      <formula>AND(M$9&gt;=8/24,M$9&lt;14/24)</formula>
    </cfRule>
    <cfRule type="expression" dxfId="4917" priority="264">
      <formula>M$9&lt;8/24</formula>
    </cfRule>
  </conditionalFormatting>
  <conditionalFormatting sqref="M50:AF50">
    <cfRule type="expression" dxfId="4916" priority="257">
      <formula>M$9&gt;=20/24</formula>
    </cfRule>
    <cfRule type="expression" dxfId="4915" priority="258">
      <formula>AND(M$9&gt;=14/24,M$9&lt;20/24)</formula>
    </cfRule>
    <cfRule type="expression" dxfId="4914" priority="259">
      <formula>AND(M$9&gt;=8/24,M$9&lt;14/24)</formula>
    </cfRule>
    <cfRule type="expression" dxfId="4913" priority="260">
      <formula>M$9&lt;8/24</formula>
    </cfRule>
  </conditionalFormatting>
  <conditionalFormatting sqref="M45:AF48">
    <cfRule type="expression" dxfId="4912" priority="253">
      <formula>M$9&gt;=20/24</formula>
    </cfRule>
    <cfRule type="expression" dxfId="4911" priority="254">
      <formula>AND(M$9&gt;=14/24,M$9&lt;20/24)</formula>
    </cfRule>
    <cfRule type="expression" dxfId="4910" priority="255">
      <formula>AND(M$9&gt;=8/24,M$9&lt;14/24)</formula>
    </cfRule>
    <cfRule type="expression" dxfId="4909" priority="256">
      <formula>M$9&lt;8/24</formula>
    </cfRule>
  </conditionalFormatting>
  <conditionalFormatting sqref="S37:AF37">
    <cfRule type="expression" dxfId="4908" priority="249">
      <formula>S$9&gt;=20/24</formula>
    </cfRule>
    <cfRule type="expression" dxfId="4907" priority="250">
      <formula>AND(S$9&gt;=14/24,S$9&lt;20/24)</formula>
    </cfRule>
    <cfRule type="expression" dxfId="4906" priority="251">
      <formula>AND(S$9&gt;=8/24,S$9&lt;14/24)</formula>
    </cfRule>
    <cfRule type="expression" dxfId="4905" priority="252">
      <formula>S$9&lt;8/24</formula>
    </cfRule>
  </conditionalFormatting>
  <conditionalFormatting sqref="S42:U43 U43:AF43 S45:AF48">
    <cfRule type="expression" dxfId="4904" priority="241">
      <formula>S$9&gt;=20/24</formula>
    </cfRule>
    <cfRule type="expression" dxfId="4903" priority="242">
      <formula>AND(S$9&gt;=14/24,S$9&lt;20/24)</formula>
    </cfRule>
    <cfRule type="expression" dxfId="4902" priority="243">
      <formula>AND(S$9&gt;=8/24,S$9&lt;14/24)</formula>
    </cfRule>
    <cfRule type="expression" dxfId="4901" priority="244">
      <formula>S$9&lt;8/24</formula>
    </cfRule>
  </conditionalFormatting>
  <conditionalFormatting sqref="S49:AF49">
    <cfRule type="expression" dxfId="4900" priority="237">
      <formula>S$9&gt;=20/24</formula>
    </cfRule>
    <cfRule type="expression" dxfId="4899" priority="238">
      <formula>AND(S$9&gt;=14/24,S$9&lt;20/24)</formula>
    </cfRule>
    <cfRule type="expression" dxfId="4898" priority="239">
      <formula>AND(S$9&gt;=8/24,S$9&lt;14/24)</formula>
    </cfRule>
    <cfRule type="expression" dxfId="4897" priority="240">
      <formula>S$9&lt;8/24</formula>
    </cfRule>
  </conditionalFormatting>
  <conditionalFormatting sqref="S50:AF50">
    <cfRule type="expression" dxfId="4896" priority="233">
      <formula>S$9&gt;=20/24</formula>
    </cfRule>
    <cfRule type="expression" dxfId="4895" priority="234">
      <formula>AND(S$9&gt;=14/24,S$9&lt;20/24)</formula>
    </cfRule>
    <cfRule type="expression" dxfId="4894" priority="235">
      <formula>AND(S$9&gt;=8/24,S$9&lt;14/24)</formula>
    </cfRule>
    <cfRule type="expression" dxfId="4893" priority="236">
      <formula>S$9&lt;8/24</formula>
    </cfRule>
  </conditionalFormatting>
  <conditionalFormatting sqref="X60:AB60 T60:V61 W61:X61 Y61:AB67 AC60:AF67">
    <cfRule type="expression" dxfId="4892" priority="229">
      <formula>T$9&gt;=20/24</formula>
    </cfRule>
    <cfRule type="expression" dxfId="4891" priority="230">
      <formula>AND(T$9&gt;=14/24,T$9&lt;20/24)</formula>
    </cfRule>
    <cfRule type="expression" dxfId="4890" priority="231">
      <formula>AND(T$9&gt;=8/24,T$9&lt;14/24)</formula>
    </cfRule>
    <cfRule type="expression" dxfId="4889" priority="232">
      <formula>T$9&lt;8/24</formula>
    </cfRule>
  </conditionalFormatting>
  <conditionalFormatting sqref="C62:O62">
    <cfRule type="expression" dxfId="4888" priority="225">
      <formula>C$9&gt;=20/24</formula>
    </cfRule>
    <cfRule type="expression" dxfId="4887" priority="226">
      <formula>AND(C$9&gt;=14/24,C$9&lt;20/24)</formula>
    </cfRule>
    <cfRule type="expression" dxfId="4886" priority="227">
      <formula>AND(C$9&gt;=8/24,C$9&lt;14/24)</formula>
    </cfRule>
    <cfRule type="expression" dxfId="4885" priority="228">
      <formula>C$9&lt;8/24</formula>
    </cfRule>
  </conditionalFormatting>
  <conditionalFormatting sqref="U94:AB97">
    <cfRule type="expression" dxfId="4884" priority="221">
      <formula>U$9&gt;=20/24</formula>
    </cfRule>
    <cfRule type="expression" dxfId="4883" priority="222">
      <formula>AND(U$9&gt;=14/24,U$9&lt;20/24)</formula>
    </cfRule>
    <cfRule type="expression" dxfId="4882" priority="223">
      <formula>AND(U$9&gt;=8/24,U$9&lt;14/24)</formula>
    </cfRule>
    <cfRule type="expression" dxfId="4881" priority="224">
      <formula>U$9&lt;8/24</formula>
    </cfRule>
  </conditionalFormatting>
  <conditionalFormatting sqref="AG51 J11:L11 B11:I15 J12:K15 B16:K31 L12:L31 B34:L37 B32:L32 N11:AF11 N37:AF37 B38:AF56">
    <cfRule type="expression" dxfId="4880" priority="220">
      <formula>B11&gt;$AG11</formula>
    </cfRule>
  </conditionalFormatting>
  <conditionalFormatting sqref="A100:A156 A84:A97 A11:A14 A16:A32 A45:A72 A80:A82 A74:A78 A35:A43 A169:A199">
    <cfRule type="expression" dxfId="4879" priority="219">
      <formula>$AH11=0</formula>
    </cfRule>
  </conditionalFormatting>
  <conditionalFormatting sqref="U98:AB98">
    <cfRule type="expression" dxfId="4878" priority="215">
      <formula>U$9&gt;=20/24</formula>
    </cfRule>
    <cfRule type="expression" dxfId="4877" priority="216">
      <formula>AND(U$9&gt;=14/24,U$9&lt;20/24)</formula>
    </cfRule>
    <cfRule type="expression" dxfId="4876" priority="217">
      <formula>AND(U$9&gt;=8/24,U$9&lt;14/24)</formula>
    </cfRule>
    <cfRule type="expression" dxfId="4875" priority="218">
      <formula>U$9&lt;8/24</formula>
    </cfRule>
  </conditionalFormatting>
  <conditionalFormatting sqref="A98">
    <cfRule type="expression" dxfId="4874" priority="214">
      <formula>$AH98=0</formula>
    </cfRule>
  </conditionalFormatting>
  <conditionalFormatting sqref="F63:O67 P66:X66">
    <cfRule type="expression" dxfId="4873" priority="206">
      <formula>F$9&gt;=20/24</formula>
    </cfRule>
    <cfRule type="expression" dxfId="4872" priority="207">
      <formula>AND(F$9&gt;=14/24,F$9&lt;20/24)</formula>
    </cfRule>
    <cfRule type="expression" dxfId="4871" priority="208">
      <formula>AND(F$9&gt;=8/24,F$9&lt;14/24)</formula>
    </cfRule>
    <cfRule type="expression" dxfId="4870" priority="209">
      <formula>F$9&lt;8/24</formula>
    </cfRule>
  </conditionalFormatting>
  <conditionalFormatting sqref="AL32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869" priority="188">
      <formula>$AH34=0</formula>
    </cfRule>
  </conditionalFormatting>
  <conditionalFormatting sqref="A83">
    <cfRule type="expression" dxfId="4868" priority="187">
      <formula>$AH83=0</formula>
    </cfRule>
  </conditionalFormatting>
  <conditionalFormatting sqref="A15">
    <cfRule type="expression" dxfId="4867" priority="177">
      <formula>$AH15=0</formula>
    </cfRule>
  </conditionalFormatting>
  <conditionalFormatting sqref="A163:A168">
    <cfRule type="expression" dxfId="4866" priority="176">
      <formula>$AH163=0</formula>
    </cfRule>
  </conditionalFormatting>
  <conditionalFormatting sqref="A157:A162">
    <cfRule type="expression" dxfId="4865" priority="175">
      <formula>$AH157=0</formula>
    </cfRule>
  </conditionalFormatting>
  <conditionalFormatting sqref="Z44:AF44">
    <cfRule type="expression" dxfId="4864" priority="171">
      <formula>Z$9&gt;=20/24</formula>
    </cfRule>
    <cfRule type="expression" dxfId="4863" priority="172">
      <formula>AND(Z$9&gt;=14/24,Z$9&lt;20/24)</formula>
    </cfRule>
    <cfRule type="expression" dxfId="4862" priority="173">
      <formula>AND(Z$9&gt;=8/24,Z$9&lt;14/24)</formula>
    </cfRule>
    <cfRule type="expression" dxfId="4861" priority="174">
      <formula>Z$9&lt;8/24</formula>
    </cfRule>
  </conditionalFormatting>
  <conditionalFormatting sqref="M44:X44">
    <cfRule type="expression" dxfId="4860" priority="167">
      <formula>M$9&gt;=20/24</formula>
    </cfRule>
    <cfRule type="expression" dxfId="4859" priority="168">
      <formula>AND(M$9&gt;=14/24,M$9&lt;20/24)</formula>
    </cfRule>
    <cfRule type="expression" dxfId="4858" priority="169">
      <formula>AND(M$9&gt;=8/24,M$9&lt;14/24)</formula>
    </cfRule>
    <cfRule type="expression" dxfId="4857" priority="170">
      <formula>M$9&lt;8/24</formula>
    </cfRule>
  </conditionalFormatting>
  <conditionalFormatting sqref="S44:AF44">
    <cfRule type="expression" dxfId="4856" priority="163">
      <formula>S$9&gt;=20/24</formula>
    </cfRule>
    <cfRule type="expression" dxfId="4855" priority="164">
      <formula>AND(S$9&gt;=14/24,S$9&lt;20/24)</formula>
    </cfRule>
    <cfRule type="expression" dxfId="4854" priority="165">
      <formula>AND(S$9&gt;=8/24,S$9&lt;14/24)</formula>
    </cfRule>
    <cfRule type="expression" dxfId="4853" priority="166">
      <formula>S$9&lt;8/24</formula>
    </cfRule>
  </conditionalFormatting>
  <conditionalFormatting sqref="A44">
    <cfRule type="expression" dxfId="4852" priority="162">
      <formula>$AH44=0</formula>
    </cfRule>
  </conditionalFormatting>
  <conditionalFormatting sqref="A79">
    <cfRule type="expression" dxfId="4851" priority="161">
      <formula>$AH79=0</formula>
    </cfRule>
  </conditionalFormatting>
  <conditionalFormatting sqref="A73">
    <cfRule type="expression" dxfId="4850" priority="160">
      <formula>$AH73=0</formula>
    </cfRule>
  </conditionalFormatting>
  <conditionalFormatting sqref="AL34:AL35 AL7:AL31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W60">
    <cfRule type="expression" dxfId="4849" priority="156">
      <formula>W$9&gt;=20/24</formula>
    </cfRule>
    <cfRule type="expression" dxfId="4848" priority="157">
      <formula>AND(W$9&gt;=14/24,W$9&lt;20/24)</formula>
    </cfRule>
    <cfRule type="expression" dxfId="4847" priority="158">
      <formula>AND(W$9&gt;=8/24,W$9&lt;14/24)</formula>
    </cfRule>
    <cfRule type="expression" dxfId="4846" priority="159">
      <formula>W$9&lt;8/24</formula>
    </cfRule>
  </conditionalFormatting>
  <conditionalFormatting sqref="U85:X91">
    <cfRule type="expression" dxfId="4845" priority="152">
      <formula>U$9&gt;=20/24</formula>
    </cfRule>
    <cfRule type="expression" dxfId="4844" priority="153">
      <formula>AND(U$9&gt;=14/24,U$9&lt;20/24)</formula>
    </cfRule>
    <cfRule type="expression" dxfId="4843" priority="154">
      <formula>AND(U$9&gt;=8/24,U$9&lt;14/24)</formula>
    </cfRule>
    <cfRule type="expression" dxfId="4842" priority="155">
      <formula>U$9&lt;8/24</formula>
    </cfRule>
  </conditionalFormatting>
  <conditionalFormatting sqref="S85:T91 C84:R91">
    <cfRule type="expression" dxfId="4841" priority="148">
      <formula>C$9&gt;=20/24</formula>
    </cfRule>
    <cfRule type="expression" dxfId="4840" priority="149">
      <formula>AND(C$9&gt;=14/24,C$9&lt;20/24)</formula>
    </cfRule>
    <cfRule type="expression" dxfId="4839" priority="150">
      <formula>AND(C$9&gt;=8/24,C$9&lt;14/24)</formula>
    </cfRule>
    <cfRule type="expression" dxfId="4838" priority="151">
      <formula>C$9&lt;8/24</formula>
    </cfRule>
  </conditionalFormatting>
  <conditionalFormatting sqref="S84:T84">
    <cfRule type="expression" dxfId="4837" priority="144">
      <formula>S$9&gt;=20/24</formula>
    </cfRule>
    <cfRule type="expression" dxfId="4836" priority="145">
      <formula>AND(S$9&gt;=14/24,S$9&lt;20/24)</formula>
    </cfRule>
    <cfRule type="expression" dxfId="4835" priority="146">
      <formula>AND(S$9&gt;=8/24,S$9&lt;14/24)</formula>
    </cfRule>
    <cfRule type="expression" dxfId="4834" priority="147">
      <formula>S$9&lt;8/24</formula>
    </cfRule>
  </conditionalFormatting>
  <conditionalFormatting sqref="C95:M97 C94:F94">
    <cfRule type="expression" dxfId="4833" priority="140">
      <formula>C$9&gt;=20/24</formula>
    </cfRule>
    <cfRule type="expression" dxfId="4832" priority="141">
      <formula>AND(C$9&gt;=14/24,C$9&lt;20/24)</formula>
    </cfRule>
    <cfRule type="expression" dxfId="4831" priority="142">
      <formula>AND(C$9&gt;=8/24,C$9&lt;14/24)</formula>
    </cfRule>
    <cfRule type="expression" dxfId="4830" priority="143">
      <formula>C$9&lt;8/24</formula>
    </cfRule>
  </conditionalFormatting>
  <conditionalFormatting sqref="N95:P97 O94:P94 Q94:R97">
    <cfRule type="expression" dxfId="4829" priority="136">
      <formula>N$9&gt;=20/24</formula>
    </cfRule>
    <cfRule type="expression" dxfId="4828" priority="137">
      <formula>AND(N$9&gt;=14/24,N$9&lt;20/24)</formula>
    </cfRule>
    <cfRule type="expression" dxfId="4827" priority="138">
      <formula>AND(N$9&gt;=8/24,N$9&lt;14/24)</formula>
    </cfRule>
    <cfRule type="expression" dxfId="4826" priority="139">
      <formula>N$9&lt;8/24</formula>
    </cfRule>
  </conditionalFormatting>
  <conditionalFormatting sqref="S94:T97">
    <cfRule type="expression" dxfId="4825" priority="132">
      <formula>S$9&gt;=20/24</formula>
    </cfRule>
    <cfRule type="expression" dxfId="4824" priority="133">
      <formula>AND(S$9&gt;=14/24,S$9&lt;20/24)</formula>
    </cfRule>
    <cfRule type="expression" dxfId="4823" priority="134">
      <formula>AND(S$9&gt;=8/24,S$9&lt;14/24)</formula>
    </cfRule>
    <cfRule type="expression" dxfId="4822" priority="135">
      <formula>S$9&lt;8/24</formula>
    </cfRule>
  </conditionalFormatting>
  <conditionalFormatting sqref="C98:M98">
    <cfRule type="expression" dxfId="4821" priority="128">
      <formula>C$9&gt;=20/24</formula>
    </cfRule>
    <cfRule type="expression" dxfId="4820" priority="129">
      <formula>AND(C$9&gt;=14/24,C$9&lt;20/24)</formula>
    </cfRule>
    <cfRule type="expression" dxfId="4819" priority="130">
      <formula>AND(C$9&gt;=8/24,C$9&lt;14/24)</formula>
    </cfRule>
    <cfRule type="expression" dxfId="4818" priority="131">
      <formula>C$9&lt;8/24</formula>
    </cfRule>
  </conditionalFormatting>
  <conditionalFormatting sqref="N98:R98">
    <cfRule type="expression" dxfId="4817" priority="124">
      <formula>N$9&gt;=20/24</formula>
    </cfRule>
    <cfRule type="expression" dxfId="4816" priority="125">
      <formula>AND(N$9&gt;=14/24,N$9&lt;20/24)</formula>
    </cfRule>
    <cfRule type="expression" dxfId="4815" priority="126">
      <formula>AND(N$9&gt;=8/24,N$9&lt;14/24)</formula>
    </cfRule>
    <cfRule type="expression" dxfId="4814" priority="127">
      <formula>N$9&lt;8/24</formula>
    </cfRule>
  </conditionalFormatting>
  <conditionalFormatting sqref="S98:T98">
    <cfRule type="expression" dxfId="4813" priority="120">
      <formula>S$9&gt;=20/24</formula>
    </cfRule>
    <cfRule type="expression" dxfId="4812" priority="121">
      <formula>AND(S$9&gt;=14/24,S$9&lt;20/24)</formula>
    </cfRule>
    <cfRule type="expression" dxfId="4811" priority="122">
      <formula>AND(S$9&gt;=8/24,S$9&lt;14/24)</formula>
    </cfRule>
    <cfRule type="expression" dxfId="4810" priority="123">
      <formula>S$9&lt;8/24</formula>
    </cfRule>
  </conditionalFormatting>
  <conditionalFormatting sqref="M94:N94">
    <cfRule type="expression" dxfId="4809" priority="116">
      <formula>M$9&gt;=20/24</formula>
    </cfRule>
    <cfRule type="expression" dxfId="4808" priority="117">
      <formula>AND(M$9&gt;=14/24,M$9&lt;20/24)</formula>
    </cfRule>
    <cfRule type="expression" dxfId="4807" priority="118">
      <formula>AND(M$9&gt;=8/24,M$9&lt;14/24)</formula>
    </cfRule>
    <cfRule type="expression" dxfId="4806" priority="119">
      <formula>M$9&lt;8/24</formula>
    </cfRule>
  </conditionalFormatting>
  <conditionalFormatting sqref="G94:L94">
    <cfRule type="expression" dxfId="4805" priority="112">
      <formula>G$9&gt;=20/24</formula>
    </cfRule>
    <cfRule type="expression" dxfId="4804" priority="113">
      <formula>AND(G$9&gt;=14/24,G$9&lt;20/24)</formula>
    </cfRule>
    <cfRule type="expression" dxfId="4803" priority="114">
      <formula>AND(G$9&gt;=8/24,G$9&lt;14/24)</formula>
    </cfRule>
    <cfRule type="expression" dxfId="4802" priority="115">
      <formula>G$9&lt;8/24</formula>
    </cfRule>
  </conditionalFormatting>
  <conditionalFormatting sqref="U94:W94">
    <cfRule type="expression" dxfId="4801" priority="108">
      <formula>U$9&gt;=20/24</formula>
    </cfRule>
    <cfRule type="expression" dxfId="4800" priority="109">
      <formula>AND(U$9&gt;=14/24,U$9&lt;20/24)</formula>
    </cfRule>
    <cfRule type="expression" dxfId="4799" priority="110">
      <formula>AND(U$9&gt;=8/24,U$9&lt;14/24)</formula>
    </cfRule>
    <cfRule type="expression" dxfId="4798" priority="111">
      <formula>U$9&lt;8/24</formula>
    </cfRule>
  </conditionalFormatting>
  <conditionalFormatting sqref="N94:T94">
    <cfRule type="expression" dxfId="4797" priority="104">
      <formula>N$9&gt;=20/24</formula>
    </cfRule>
    <cfRule type="expression" dxfId="4796" priority="105">
      <formula>AND(N$9&gt;=14/24,N$9&lt;20/24)</formula>
    </cfRule>
    <cfRule type="expression" dxfId="4795" priority="106">
      <formula>AND(N$9&gt;=8/24,N$9&lt;14/24)</formula>
    </cfRule>
    <cfRule type="expression" dxfId="4794" priority="107">
      <formula>N$9&lt;8/24</formula>
    </cfRule>
  </conditionalFormatting>
  <conditionalFormatting sqref="U99:AB99">
    <cfRule type="expression" dxfId="4793" priority="100">
      <formula>U$9&gt;=20/24</formula>
    </cfRule>
    <cfRule type="expression" dxfId="4792" priority="101">
      <formula>AND(U$9&gt;=14/24,U$9&lt;20/24)</formula>
    </cfRule>
    <cfRule type="expression" dxfId="4791" priority="102">
      <formula>AND(U$9&gt;=8/24,U$9&lt;14/24)</formula>
    </cfRule>
    <cfRule type="expression" dxfId="4790" priority="103">
      <formula>U$9&lt;8/24</formula>
    </cfRule>
  </conditionalFormatting>
  <conditionalFormatting sqref="C99:M99">
    <cfRule type="expression" dxfId="4789" priority="96">
      <formula>C$9&gt;=20/24</formula>
    </cfRule>
    <cfRule type="expression" dxfId="4788" priority="97">
      <formula>AND(C$9&gt;=14/24,C$9&lt;20/24)</formula>
    </cfRule>
    <cfRule type="expression" dxfId="4787" priority="98">
      <formula>AND(C$9&gt;=8/24,C$9&lt;14/24)</formula>
    </cfRule>
    <cfRule type="expression" dxfId="4786" priority="99">
      <formula>C$9&lt;8/24</formula>
    </cfRule>
  </conditionalFormatting>
  <conditionalFormatting sqref="N99:R99">
    <cfRule type="expression" dxfId="4785" priority="92">
      <formula>N$9&gt;=20/24</formula>
    </cfRule>
    <cfRule type="expression" dxfId="4784" priority="93">
      <formula>AND(N$9&gt;=14/24,N$9&lt;20/24)</formula>
    </cfRule>
    <cfRule type="expression" dxfId="4783" priority="94">
      <formula>AND(N$9&gt;=8/24,N$9&lt;14/24)</formula>
    </cfRule>
    <cfRule type="expression" dxfId="4782" priority="95">
      <formula>N$9&lt;8/24</formula>
    </cfRule>
  </conditionalFormatting>
  <conditionalFormatting sqref="S99:T99">
    <cfRule type="expression" dxfId="4781" priority="88">
      <formula>S$9&gt;=20/24</formula>
    </cfRule>
    <cfRule type="expression" dxfId="4780" priority="89">
      <formula>AND(S$9&gt;=14/24,S$9&lt;20/24)</formula>
    </cfRule>
    <cfRule type="expression" dxfId="4779" priority="90">
      <formula>AND(S$9&gt;=8/24,S$9&lt;14/24)</formula>
    </cfRule>
    <cfRule type="expression" dxfId="4778" priority="91">
      <formula>S$9&lt;8/24</formula>
    </cfRule>
  </conditionalFormatting>
  <conditionalFormatting sqref="T12:AF14">
    <cfRule type="expression" dxfId="4777" priority="84">
      <formula>T$9&gt;=20/24</formula>
    </cfRule>
    <cfRule type="expression" dxfId="4776" priority="85">
      <formula>AND(T$9&gt;=14/24,T$9&lt;20/24)</formula>
    </cfRule>
    <cfRule type="expression" dxfId="4775" priority="86">
      <formula>AND(T$9&gt;=8/24,T$9&lt;14/24)</formula>
    </cfRule>
    <cfRule type="expression" dxfId="4774" priority="87">
      <formula>T$9&lt;8/24</formula>
    </cfRule>
  </conditionalFormatting>
  <conditionalFormatting sqref="T12:AF13">
    <cfRule type="expression" dxfId="4773" priority="76">
      <formula>T$9&gt;=20/24</formula>
    </cfRule>
    <cfRule type="expression" dxfId="4772" priority="77">
      <formula>AND(T$9&gt;=14/24,T$9&lt;20/24)</formula>
    </cfRule>
    <cfRule type="expression" dxfId="4771" priority="78">
      <formula>AND(T$9&gt;=8/24,T$9&lt;14/24)</formula>
    </cfRule>
    <cfRule type="expression" dxfId="4770" priority="79">
      <formula>T$9&lt;8/24</formula>
    </cfRule>
  </conditionalFormatting>
  <conditionalFormatting sqref="AB58:AF59">
    <cfRule type="expression" dxfId="4769" priority="72">
      <formula>AB$9&gt;=20/24</formula>
    </cfRule>
    <cfRule type="expression" dxfId="4768" priority="73">
      <formula>AND(AB$9&gt;=14/24,AB$9&lt;20/24)</formula>
    </cfRule>
    <cfRule type="expression" dxfId="4767" priority="74">
      <formula>AND(AB$9&gt;=8/24,AB$9&lt;14/24)</formula>
    </cfRule>
    <cfRule type="expression" dxfId="4766" priority="75">
      <formula>AB$9&lt;8/24</formula>
    </cfRule>
  </conditionalFormatting>
  <conditionalFormatting sqref="AL33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65" priority="305">
      <formula>C$9&gt;=20/24</formula>
    </cfRule>
    <cfRule type="expression" dxfId="4764" priority="306">
      <formula>AND(C$9&gt;=14/24,C$9&lt;20/24)</formula>
    </cfRule>
    <cfRule type="expression" dxfId="4763" priority="307">
      <formula>AND(C$9&gt;=8/24,C$9&lt;14/24)</formula>
    </cfRule>
    <cfRule type="expression" dxfId="4762" priority="308">
      <formula>C$9&lt;8/24</formula>
    </cfRule>
  </conditionalFormatting>
  <conditionalFormatting sqref="A200">
    <cfRule type="expression" dxfId="4761" priority="309">
      <formula>$AH200=0</formula>
    </cfRule>
  </conditionalFormatting>
  <conditionalFormatting sqref="AG212">
    <cfRule type="expression" dxfId="4760" priority="310">
      <formula>B$9&gt;=20/24</formula>
    </cfRule>
    <cfRule type="expression" dxfId="4759" priority="311">
      <formula>AND(B$9&gt;=14/24,B$9&lt;20/24)</formula>
    </cfRule>
    <cfRule type="expression" dxfId="4758" priority="312">
      <formula>AND(B$9&gt;=8/24,B$9&lt;14/24)</formula>
    </cfRule>
    <cfRule type="expression" dxfId="4757" priority="313">
      <formula>B$9&lt;8/24</formula>
    </cfRule>
  </conditionalFormatting>
  <conditionalFormatting sqref="S8">
    <cfRule type="expression" dxfId="4756" priority="66">
      <formula>U$9&gt;=20/24</formula>
    </cfRule>
    <cfRule type="expression" dxfId="4755" priority="67">
      <formula>AND(U$9&gt;=14/24,U$9&lt;20/24)</formula>
    </cfRule>
    <cfRule type="expression" dxfId="4754" priority="68">
      <formula>AND(U$9&gt;=8/24,U$9&lt;14/24)</formula>
    </cfRule>
    <cfRule type="expression" dxfId="4753" priority="69">
      <formula>U$9&lt;8/24</formula>
    </cfRule>
  </conditionalFormatting>
  <conditionalFormatting sqref="AB8">
    <cfRule type="expression" dxfId="4752" priority="62">
      <formula>AD$9&gt;=20/24</formula>
    </cfRule>
    <cfRule type="expression" dxfId="4751" priority="63">
      <formula>AND(AD$9&gt;=14/24,AD$9&lt;20/24)</formula>
    </cfRule>
    <cfRule type="expression" dxfId="4750" priority="64">
      <formula>AND(AD$9&gt;=8/24,AD$9&lt;14/24)</formula>
    </cfRule>
    <cfRule type="expression" dxfId="4749" priority="65">
      <formula>AD$9&lt;8/24</formula>
    </cfRule>
  </conditionalFormatting>
  <conditionalFormatting sqref="AH212:AX212">
    <cfRule type="expression" dxfId="4748" priority="314">
      <formula>AG$9&gt;=20/24</formula>
    </cfRule>
    <cfRule type="expression" dxfId="4747" priority="315">
      <formula>AND(AG$9&gt;=14/24,AG$9&lt;20/24)</formula>
    </cfRule>
    <cfRule type="expression" dxfId="4746" priority="316">
      <formula>AND(AG$9&gt;=8/24,AG$9&lt;14/24)</formula>
    </cfRule>
    <cfRule type="expression" dxfId="4745" priority="317">
      <formula>AG$9&lt;8/24</formula>
    </cfRule>
  </conditionalFormatting>
  <conditionalFormatting sqref="T212">
    <cfRule type="expression" dxfId="4744" priority="318">
      <formula>AX$9&gt;=20/24</formula>
    </cfRule>
    <cfRule type="expression" dxfId="4743" priority="319">
      <formula>AND(AX$9&gt;=14/24,AX$9&lt;20/24)</formula>
    </cfRule>
    <cfRule type="expression" dxfId="4742" priority="320">
      <formula>AND(AX$9&gt;=8/24,AX$9&lt;14/24)</formula>
    </cfRule>
    <cfRule type="expression" dxfId="4741" priority="321">
      <formula>AX$9&lt;8/24</formula>
    </cfRule>
  </conditionalFormatting>
  <conditionalFormatting sqref="A99">
    <cfRule type="expression" dxfId="4740" priority="61">
      <formula>$AH99=0</formula>
    </cfRule>
  </conditionalFormatting>
  <conditionalFormatting sqref="B33:L33">
    <cfRule type="expression" dxfId="4739" priority="48">
      <formula>B33&gt;$AG33</formula>
    </cfRule>
  </conditionalFormatting>
  <conditionalFormatting sqref="M9:M10">
    <cfRule type="expression" dxfId="4738" priority="44">
      <formula>M$9&gt;=20/24</formula>
    </cfRule>
    <cfRule type="expression" dxfId="4737" priority="45">
      <formula>AND(M$9&gt;=14/24,M$9&lt;20/24)</formula>
    </cfRule>
    <cfRule type="expression" dxfId="4736" priority="46">
      <formula>AND(M$9&gt;=8/24,M$9&lt;14/24)</formula>
    </cfRule>
    <cfRule type="expression" dxfId="4735" priority="47">
      <formula>M$9&lt;8/24</formula>
    </cfRule>
  </conditionalFormatting>
  <conditionalFormatting sqref="M11:M14 M36:M37 N12:S14 N36:AF36 M16:AF32">
    <cfRule type="expression" dxfId="4734" priority="40">
      <formula>M$9&gt;=20/24</formula>
    </cfRule>
    <cfRule type="expression" dxfId="4733" priority="41">
      <formula>AND(M$9&gt;=14/24,M$9&lt;20/24)</formula>
    </cfRule>
    <cfRule type="expression" dxfId="4732" priority="42">
      <formula>AND(M$9&gt;=8/24,M$9&lt;14/24)</formula>
    </cfRule>
    <cfRule type="expression" dxfId="4731" priority="43">
      <formula>M$9&lt;8/24</formula>
    </cfRule>
  </conditionalFormatting>
  <conditionalFormatting sqref="M35:AF35">
    <cfRule type="expression" dxfId="4730" priority="36">
      <formula>M$9&gt;=20/24</formula>
    </cfRule>
    <cfRule type="expression" dxfId="4729" priority="37">
      <formula>AND(M$9&gt;=14/24,M$9&lt;20/24)</formula>
    </cfRule>
    <cfRule type="expression" dxfId="4728" priority="38">
      <formula>AND(M$9&gt;=8/24,M$9&lt;14/24)</formula>
    </cfRule>
    <cfRule type="expression" dxfId="4727" priority="39">
      <formula>M$9&lt;8/24</formula>
    </cfRule>
  </conditionalFormatting>
  <conditionalFormatting sqref="M11:M14 M34:M37 N12:S14 N34:AF36 M16:AF32">
    <cfRule type="expression" dxfId="4726" priority="35">
      <formula>M11&gt;$AG11</formula>
    </cfRule>
  </conditionalFormatting>
  <conditionalFormatting sqref="M34:AF34">
    <cfRule type="expression" dxfId="4725" priority="31">
      <formula>M$9&gt;=20/24</formula>
    </cfRule>
    <cfRule type="expression" dxfId="4724" priority="32">
      <formula>AND(M$9&gt;=14/24,M$9&lt;20/24)</formula>
    </cfRule>
    <cfRule type="expression" dxfId="4723" priority="33">
      <formula>AND(M$9&gt;=8/24,M$9&lt;14/24)</formula>
    </cfRule>
    <cfRule type="expression" dxfId="4722" priority="34">
      <formula>M$9&lt;8/24</formula>
    </cfRule>
  </conditionalFormatting>
  <conditionalFormatting sqref="M15:AF15">
    <cfRule type="expression" dxfId="4721" priority="27">
      <formula>M$9&gt;=20/24</formula>
    </cfRule>
    <cfRule type="expression" dxfId="4720" priority="28">
      <formula>AND(M$9&gt;=14/24,M$9&lt;20/24)</formula>
    </cfRule>
    <cfRule type="expression" dxfId="4719" priority="29">
      <formula>AND(M$9&gt;=8/24,M$9&lt;14/24)</formula>
    </cfRule>
    <cfRule type="expression" dxfId="4718" priority="30">
      <formula>M$9&lt;8/24</formula>
    </cfRule>
  </conditionalFormatting>
  <conditionalFormatting sqref="M15:AF15">
    <cfRule type="expression" dxfId="4717" priority="26">
      <formula>M15&gt;$AG15</formula>
    </cfRule>
  </conditionalFormatting>
  <conditionalFormatting sqref="M33:AF33">
    <cfRule type="expression" dxfId="4716" priority="22">
      <formula>M$9&gt;=20/24</formula>
    </cfRule>
    <cfRule type="expression" dxfId="4715" priority="23">
      <formula>AND(M$9&gt;=14/24,M$9&lt;20/24)</formula>
    </cfRule>
    <cfRule type="expression" dxfId="4714" priority="24">
      <formula>AND(M$9&gt;=8/24,M$9&lt;14/24)</formula>
    </cfRule>
    <cfRule type="expression" dxfId="4713" priority="25">
      <formula>M$9&lt;8/24</formula>
    </cfRule>
  </conditionalFormatting>
  <conditionalFormatting sqref="M33:AF33">
    <cfRule type="expression" dxfId="4712" priority="21">
      <formula>M33&gt;$AG33</formula>
    </cfRule>
  </conditionalFormatting>
  <conditionalFormatting sqref="AC85:AF91">
    <cfRule type="expression" dxfId="4711" priority="17">
      <formula>AC$9&gt;=20/24</formula>
    </cfRule>
    <cfRule type="expression" dxfId="4710" priority="18">
      <formula>AND(AC$9&gt;=14/24,AC$9&lt;20/24)</formula>
    </cfRule>
    <cfRule type="expression" dxfId="4709" priority="19">
      <formula>AND(AC$9&gt;=8/24,AC$9&lt;14/24)</formula>
    </cfRule>
    <cfRule type="expression" dxfId="4708" priority="20">
      <formula>AC$9&lt;8/24</formula>
    </cfRule>
  </conditionalFormatting>
  <conditionalFormatting sqref="AC84:AF84">
    <cfRule type="expression" dxfId="4707" priority="13">
      <formula>AC$9&gt;=20/24</formula>
    </cfRule>
    <cfRule type="expression" dxfId="4706" priority="14">
      <formula>AND(AC$9&gt;=14/24,AC$9&lt;20/24)</formula>
    </cfRule>
    <cfRule type="expression" dxfId="4705" priority="15">
      <formula>AND(AC$9&gt;=8/24,AC$9&lt;14/24)</formula>
    </cfRule>
    <cfRule type="expression" dxfId="4704" priority="16">
      <formula>AC$9&lt;8/24</formula>
    </cfRule>
  </conditionalFormatting>
  <conditionalFormatting sqref="AC94:AE97">
    <cfRule type="expression" dxfId="4703" priority="9">
      <formula>AC$9&gt;=20/24</formula>
    </cfRule>
    <cfRule type="expression" dxfId="4702" priority="10">
      <formula>AND(AC$9&gt;=14/24,AC$9&lt;20/24)</formula>
    </cfRule>
    <cfRule type="expression" dxfId="4701" priority="11">
      <formula>AND(AC$9&gt;=8/24,AC$9&lt;14/24)</formula>
    </cfRule>
    <cfRule type="expression" dxfId="4700" priority="12">
      <formula>AC$9&lt;8/24</formula>
    </cfRule>
  </conditionalFormatting>
  <conditionalFormatting sqref="AC98:AE98">
    <cfRule type="expression" dxfId="4699" priority="5">
      <formula>AC$9&gt;=20/24</formula>
    </cfRule>
    <cfRule type="expression" dxfId="4698" priority="6">
      <formula>AND(AC$9&gt;=14/24,AC$9&lt;20/24)</formula>
    </cfRule>
    <cfRule type="expression" dxfId="4697" priority="7">
      <formula>AND(AC$9&gt;=8/24,AC$9&lt;14/24)</formula>
    </cfRule>
    <cfRule type="expression" dxfId="4696" priority="8">
      <formula>AC$9&lt;8/24</formula>
    </cfRule>
  </conditionalFormatting>
  <conditionalFormatting sqref="AC99:AE99">
    <cfRule type="expression" dxfId="4695" priority="1">
      <formula>AC$9&gt;=20/24</formula>
    </cfRule>
    <cfRule type="expression" dxfId="4694" priority="2">
      <formula>AND(AC$9&gt;=14/24,AC$9&lt;20/24)</formula>
    </cfRule>
    <cfRule type="expression" dxfId="4693" priority="3">
      <formula>AND(AC$9&gt;=8/24,AC$9&lt;14/24)</formula>
    </cfRule>
    <cfRule type="expression" dxfId="4692" priority="4">
      <formula>AC$9&lt;8/24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id="{439FFDD7-DF8B-44F9-B1A5-5299E26C72E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L43" sqref="L4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2078/11/15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352</v>
      </c>
      <c r="C5" s="32">
        <f t="shared" si="0"/>
        <v>332.4</v>
      </c>
      <c r="D5" s="32">
        <f t="shared" si="0"/>
        <v>346</v>
      </c>
      <c r="E5" s="32">
        <f t="shared" si="0"/>
        <v>361.1</v>
      </c>
      <c r="F5" s="32">
        <f t="shared" si="0"/>
        <v>417.6</v>
      </c>
      <c r="G5" s="32">
        <f t="shared" si="0"/>
        <v>469.9</v>
      </c>
      <c r="H5" s="32">
        <f t="shared" si="0"/>
        <v>543.80000000000007</v>
      </c>
      <c r="I5" s="32">
        <f t="shared" si="0"/>
        <v>586.6</v>
      </c>
      <c r="J5" s="32">
        <f t="shared" si="0"/>
        <v>338.4</v>
      </c>
      <c r="K5" s="32">
        <f t="shared" si="0"/>
        <v>297.2</v>
      </c>
      <c r="L5" s="32">
        <f t="shared" si="0"/>
        <v>267.60000000000002</v>
      </c>
      <c r="M5" s="32">
        <f t="shared" si="0"/>
        <v>590</v>
      </c>
      <c r="N5" s="32">
        <f t="shared" si="0"/>
        <v>556.9</v>
      </c>
      <c r="O5" s="32">
        <f t="shared" si="0"/>
        <v>570.70000000000005</v>
      </c>
      <c r="P5" s="32">
        <f t="shared" si="0"/>
        <v>559.1</v>
      </c>
      <c r="Q5" s="32">
        <f t="shared" si="0"/>
        <v>573.9</v>
      </c>
      <c r="R5" s="32">
        <f t="shared" si="0"/>
        <v>593.29999999999995</v>
      </c>
      <c r="S5" s="32">
        <f t="shared" si="0"/>
        <v>587.5</v>
      </c>
      <c r="T5" s="32">
        <f t="shared" si="0"/>
        <v>589</v>
      </c>
      <c r="U5" s="32">
        <f t="shared" si="0"/>
        <v>605</v>
      </c>
      <c r="V5" s="32">
        <f t="shared" si="0"/>
        <v>588.79999999999995</v>
      </c>
      <c r="W5" s="32">
        <f t="shared" si="0"/>
        <v>590.6</v>
      </c>
      <c r="X5" s="32">
        <f t="shared" si="0"/>
        <v>601</v>
      </c>
      <c r="Y5" s="32">
        <f t="shared" si="0"/>
        <v>601.1</v>
      </c>
      <c r="Z5" s="32">
        <f t="shared" si="0"/>
        <v>602</v>
      </c>
      <c r="AA5" s="32">
        <f t="shared" si="0"/>
        <v>521</v>
      </c>
      <c r="AB5" s="32">
        <f t="shared" si="0"/>
        <v>498.5</v>
      </c>
      <c r="AC5" s="32">
        <f t="shared" si="0"/>
        <v>524.4</v>
      </c>
      <c r="AD5" s="32">
        <f t="shared" si="0"/>
        <v>473.70000000000005</v>
      </c>
      <c r="AE5" s="32">
        <f t="shared" si="0"/>
        <v>489.1</v>
      </c>
      <c r="AF5" s="32">
        <f>B68</f>
        <v>397.2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Load=868</v>
      </c>
      <c r="B7" s="37">
        <f>B75</f>
        <v>944.13999999999987</v>
      </c>
      <c r="C7" s="37">
        <f t="shared" ref="C7:AF7" si="1">C75</f>
        <v>910.93999999999994</v>
      </c>
      <c r="D7" s="37">
        <f t="shared" si="1"/>
        <v>867.83999999999992</v>
      </c>
      <c r="E7" s="37">
        <f t="shared" si="1"/>
        <v>882.14</v>
      </c>
      <c r="F7" s="37">
        <f t="shared" si="1"/>
        <v>871.94</v>
      </c>
      <c r="G7" s="37">
        <f t="shared" si="1"/>
        <v>931.04</v>
      </c>
      <c r="H7" s="37">
        <f t="shared" si="1"/>
        <v>1017.94</v>
      </c>
      <c r="I7" s="37">
        <f t="shared" si="1"/>
        <v>1122.44</v>
      </c>
      <c r="J7" s="37">
        <f t="shared" si="1"/>
        <v>1257.54</v>
      </c>
      <c r="K7" s="37">
        <f t="shared" si="1"/>
        <v>1359.94</v>
      </c>
      <c r="L7" s="37">
        <f t="shared" si="1"/>
        <v>1432.8400000000001</v>
      </c>
      <c r="M7" s="37">
        <f t="shared" si="1"/>
        <v>1465.74</v>
      </c>
      <c r="N7" s="37">
        <f t="shared" si="1"/>
        <v>1420.14</v>
      </c>
      <c r="O7" s="37">
        <f t="shared" si="1"/>
        <v>1322.04</v>
      </c>
      <c r="P7" s="37">
        <f t="shared" si="1"/>
        <v>1238.54</v>
      </c>
      <c r="Q7" s="37">
        <f t="shared" si="1"/>
        <v>1199.04</v>
      </c>
      <c r="R7" s="37">
        <f t="shared" si="1"/>
        <v>1179.74</v>
      </c>
      <c r="S7" s="37">
        <f t="shared" si="1"/>
        <v>1213.04</v>
      </c>
      <c r="T7" s="37">
        <f t="shared" si="1"/>
        <v>1225.44</v>
      </c>
      <c r="U7" s="37">
        <f t="shared" si="1"/>
        <v>1233.44</v>
      </c>
      <c r="V7" s="37">
        <f t="shared" si="1"/>
        <v>1222.44</v>
      </c>
      <c r="W7" s="37">
        <f t="shared" si="1"/>
        <v>1247.74</v>
      </c>
      <c r="X7" s="37">
        <f t="shared" si="1"/>
        <v>1271.04</v>
      </c>
      <c r="Y7" s="37">
        <f t="shared" si="1"/>
        <v>1475.44</v>
      </c>
      <c r="Z7" s="37">
        <f t="shared" si="1"/>
        <v>1523.14</v>
      </c>
      <c r="AA7" s="37">
        <f t="shared" si="1"/>
        <v>1505.44</v>
      </c>
      <c r="AB7" s="37">
        <f t="shared" si="1"/>
        <v>1359.3400000000001</v>
      </c>
      <c r="AC7" s="37">
        <f t="shared" si="1"/>
        <v>1321.04</v>
      </c>
      <c r="AD7" s="37">
        <f t="shared" si="1"/>
        <v>1274.94</v>
      </c>
      <c r="AE7" s="37">
        <f t="shared" si="1"/>
        <v>1078.1399999999999</v>
      </c>
      <c r="AF7" s="37">
        <f t="shared" si="1"/>
        <v>990.54000000000008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15</v>
      </c>
      <c r="C11" s="49">
        <v>50</v>
      </c>
      <c r="D11" s="49">
        <v>30</v>
      </c>
      <c r="E11" s="49">
        <v>30</v>
      </c>
      <c r="F11" s="49">
        <v>30</v>
      </c>
      <c r="G11" s="49">
        <v>30</v>
      </c>
      <c r="H11" s="49">
        <v>30</v>
      </c>
      <c r="I11" s="49">
        <v>30</v>
      </c>
      <c r="J11" s="49">
        <v>50</v>
      </c>
      <c r="K11" s="49">
        <v>300</v>
      </c>
      <c r="L11" s="49">
        <v>350</v>
      </c>
      <c r="M11" s="50">
        <v>410</v>
      </c>
      <c r="N11" s="50">
        <v>80</v>
      </c>
      <c r="O11" s="50">
        <v>70</v>
      </c>
      <c r="P11" s="50">
        <v>10</v>
      </c>
      <c r="Q11" s="50">
        <v>10</v>
      </c>
      <c r="R11" s="50">
        <v>10</v>
      </c>
      <c r="S11" s="50">
        <v>10</v>
      </c>
      <c r="T11" s="50">
        <v>30</v>
      </c>
      <c r="U11" s="50">
        <v>10</v>
      </c>
      <c r="V11" s="50">
        <v>10</v>
      </c>
      <c r="W11" s="50">
        <v>30</v>
      </c>
      <c r="X11" s="50">
        <v>30</v>
      </c>
      <c r="Y11" s="50">
        <v>100</v>
      </c>
      <c r="Z11" s="52">
        <v>80</v>
      </c>
      <c r="AA11" s="52">
        <v>80</v>
      </c>
      <c r="AB11" s="52">
        <v>80</v>
      </c>
      <c r="AC11" s="52">
        <v>80</v>
      </c>
      <c r="AD11" s="50">
        <v>65</v>
      </c>
      <c r="AE11" s="50">
        <v>45</v>
      </c>
      <c r="AF11" s="49">
        <v>20</v>
      </c>
      <c r="AG11" s="53">
        <v>456</v>
      </c>
      <c r="AH11" s="54">
        <f>MAX(B11:AF11)</f>
        <v>410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30</v>
      </c>
      <c r="N12" s="49">
        <v>30</v>
      </c>
      <c r="O12" s="49">
        <v>30</v>
      </c>
      <c r="P12" s="49">
        <v>30</v>
      </c>
      <c r="Q12" s="49">
        <v>30</v>
      </c>
      <c r="R12" s="49">
        <v>30</v>
      </c>
      <c r="S12" s="49">
        <v>30</v>
      </c>
      <c r="T12" s="49">
        <v>30</v>
      </c>
      <c r="U12" s="49">
        <v>30</v>
      </c>
      <c r="V12" s="49">
        <v>30</v>
      </c>
      <c r="W12" s="58">
        <v>30</v>
      </c>
      <c r="X12" s="58">
        <v>30</v>
      </c>
      <c r="Y12" s="58">
        <v>30</v>
      </c>
      <c r="Z12" s="58">
        <v>30</v>
      </c>
      <c r="AA12" s="58">
        <v>30</v>
      </c>
      <c r="AB12" s="58">
        <v>30</v>
      </c>
      <c r="AC12" s="58">
        <v>30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17.3</v>
      </c>
      <c r="C13" s="49">
        <v>17.3</v>
      </c>
      <c r="D13" s="49">
        <v>17.3</v>
      </c>
      <c r="E13" s="49">
        <v>17.3</v>
      </c>
      <c r="F13" s="49">
        <v>17.3</v>
      </c>
      <c r="G13" s="49">
        <v>17.3</v>
      </c>
      <c r="H13" s="49">
        <v>17.3</v>
      </c>
      <c r="I13" s="49">
        <v>17.3</v>
      </c>
      <c r="J13" s="49">
        <v>17.2</v>
      </c>
      <c r="K13" s="49">
        <v>17.2</v>
      </c>
      <c r="L13" s="49">
        <v>17.2</v>
      </c>
      <c r="M13" s="49">
        <v>17.2</v>
      </c>
      <c r="N13" s="49">
        <v>17.2</v>
      </c>
      <c r="O13" s="49">
        <v>17.2</v>
      </c>
      <c r="P13" s="49">
        <v>17.2</v>
      </c>
      <c r="Q13" s="49">
        <v>17.3</v>
      </c>
      <c r="R13" s="49">
        <v>16.5</v>
      </c>
      <c r="S13" s="49">
        <v>16.5</v>
      </c>
      <c r="T13" s="49">
        <v>16.5</v>
      </c>
      <c r="U13" s="49">
        <v>16.5</v>
      </c>
      <c r="V13" s="49">
        <v>16.5</v>
      </c>
      <c r="W13" s="49">
        <v>16.5</v>
      </c>
      <c r="X13" s="49">
        <v>16.5</v>
      </c>
      <c r="Y13" s="49">
        <v>16.5</v>
      </c>
      <c r="Z13" s="49">
        <v>16.5</v>
      </c>
      <c r="AA13" s="49">
        <v>16.5</v>
      </c>
      <c r="AB13" s="49">
        <v>16.5</v>
      </c>
      <c r="AC13" s="49">
        <v>16.5</v>
      </c>
      <c r="AD13" s="49">
        <v>17</v>
      </c>
      <c r="AE13" s="49">
        <v>17</v>
      </c>
      <c r="AF13" s="49">
        <v>17</v>
      </c>
      <c r="AG13" s="59">
        <v>52.4</v>
      </c>
      <c r="AH13" s="54">
        <f t="shared" si="2"/>
        <v>17.3</v>
      </c>
      <c r="AI13" s="55">
        <f t="shared" si="3"/>
        <v>16.5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33.200000000000003</v>
      </c>
      <c r="C14" s="49">
        <v>33.200000000000003</v>
      </c>
      <c r="D14" s="49">
        <v>33.200000000000003</v>
      </c>
      <c r="E14" s="49">
        <v>32.1</v>
      </c>
      <c r="F14" s="49">
        <v>32.1</v>
      </c>
      <c r="G14" s="49">
        <v>32.1</v>
      </c>
      <c r="H14" s="49">
        <v>32.1</v>
      </c>
      <c r="I14" s="49">
        <v>32.1</v>
      </c>
      <c r="J14" s="49">
        <v>33.5</v>
      </c>
      <c r="K14" s="49">
        <v>32.799999999999997</v>
      </c>
      <c r="L14" s="49">
        <v>32.5</v>
      </c>
      <c r="M14" s="50">
        <v>32.5</v>
      </c>
      <c r="N14" s="50">
        <v>32.799999999999997</v>
      </c>
      <c r="O14" s="50">
        <v>32.799999999999997</v>
      </c>
      <c r="P14" s="50">
        <v>32.799999999999997</v>
      </c>
      <c r="Q14" s="50">
        <v>32.299999999999997</v>
      </c>
      <c r="R14" s="50">
        <v>32.9</v>
      </c>
      <c r="S14" s="50">
        <v>32.9</v>
      </c>
      <c r="T14" s="50">
        <v>32.9</v>
      </c>
      <c r="U14" s="50">
        <v>32.9</v>
      </c>
      <c r="V14" s="50">
        <v>32.9</v>
      </c>
      <c r="W14" s="50">
        <v>32.9</v>
      </c>
      <c r="X14" s="50">
        <v>32.9</v>
      </c>
      <c r="Y14" s="50">
        <v>32.9</v>
      </c>
      <c r="Z14" s="50">
        <v>32.9</v>
      </c>
      <c r="AA14" s="50">
        <v>32.9</v>
      </c>
      <c r="AB14" s="50">
        <v>32.9</v>
      </c>
      <c r="AC14" s="50">
        <v>32.9</v>
      </c>
      <c r="AD14" s="50">
        <v>33</v>
      </c>
      <c r="AE14" s="50">
        <v>33</v>
      </c>
      <c r="AF14" s="50">
        <v>33</v>
      </c>
      <c r="AG14" s="59">
        <v>50</v>
      </c>
      <c r="AH14" s="54">
        <f t="shared" si="2"/>
        <v>33.5</v>
      </c>
      <c r="AI14" s="55">
        <f t="shared" si="3"/>
        <v>32.1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19.7</v>
      </c>
      <c r="C15" s="61">
        <v>19.7</v>
      </c>
      <c r="D15" s="61">
        <v>19.7</v>
      </c>
      <c r="E15" s="61">
        <v>20.100000000000001</v>
      </c>
      <c r="F15" s="61">
        <v>20.100000000000001</v>
      </c>
      <c r="G15" s="61">
        <v>20.100000000000001</v>
      </c>
      <c r="H15" s="61">
        <v>20.100000000000001</v>
      </c>
      <c r="I15" s="61">
        <v>20.100000000000001</v>
      </c>
      <c r="J15" s="61">
        <v>19.7</v>
      </c>
      <c r="K15" s="61">
        <v>19.7</v>
      </c>
      <c r="L15" s="61">
        <v>19.600000000000001</v>
      </c>
      <c r="M15" s="50">
        <v>19.600000000000001</v>
      </c>
      <c r="N15" s="50">
        <v>19.100000000000001</v>
      </c>
      <c r="O15" s="50">
        <v>19.100000000000001</v>
      </c>
      <c r="P15" s="50">
        <v>19.100000000000001</v>
      </c>
      <c r="Q15" s="50">
        <v>18.100000000000001</v>
      </c>
      <c r="R15" s="50">
        <v>18.3</v>
      </c>
      <c r="S15" s="50">
        <v>18.3</v>
      </c>
      <c r="T15" s="50">
        <v>18.3</v>
      </c>
      <c r="U15" s="50">
        <v>18.3</v>
      </c>
      <c r="V15" s="50">
        <v>18.3</v>
      </c>
      <c r="W15" s="50">
        <v>18.3</v>
      </c>
      <c r="X15" s="50">
        <v>18.3</v>
      </c>
      <c r="Y15" s="50">
        <v>18.3</v>
      </c>
      <c r="Z15" s="50">
        <v>18.3</v>
      </c>
      <c r="AA15" s="50">
        <v>18.3</v>
      </c>
      <c r="AB15" s="50">
        <v>18.3</v>
      </c>
      <c r="AC15" s="50">
        <v>18.3</v>
      </c>
      <c r="AD15" s="50">
        <v>20.100000000000001</v>
      </c>
      <c r="AE15" s="50">
        <v>20.100000000000001</v>
      </c>
      <c r="AF15" s="50">
        <v>20.100000000000001</v>
      </c>
      <c r="AG15" s="62">
        <v>45</v>
      </c>
      <c r="AH15" s="54">
        <f t="shared" si="2"/>
        <v>20.100000000000001</v>
      </c>
      <c r="AI15" s="55">
        <f t="shared" si="3"/>
        <v>18.100000000000001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9.4</v>
      </c>
      <c r="C19" s="49">
        <v>9.4</v>
      </c>
      <c r="D19" s="49">
        <v>9.4</v>
      </c>
      <c r="E19" s="49">
        <v>9.4</v>
      </c>
      <c r="F19" s="49">
        <v>9.4</v>
      </c>
      <c r="G19" s="49">
        <v>9.4</v>
      </c>
      <c r="H19" s="49">
        <v>9.4</v>
      </c>
      <c r="I19" s="49">
        <v>9.4</v>
      </c>
      <c r="J19" s="49">
        <v>9.4</v>
      </c>
      <c r="K19" s="49">
        <v>9.4</v>
      </c>
      <c r="L19" s="49">
        <v>9.4</v>
      </c>
      <c r="M19" s="50">
        <v>9.4</v>
      </c>
      <c r="N19" s="50">
        <v>8.9</v>
      </c>
      <c r="O19" s="50">
        <v>8.9</v>
      </c>
      <c r="P19" s="50">
        <v>8.9</v>
      </c>
      <c r="Q19" s="50">
        <v>9.1</v>
      </c>
      <c r="R19" s="50">
        <v>9.1</v>
      </c>
      <c r="S19" s="50">
        <v>9.1</v>
      </c>
      <c r="T19" s="50">
        <v>9.1</v>
      </c>
      <c r="U19" s="50">
        <v>9.1</v>
      </c>
      <c r="V19" s="50">
        <v>9.1</v>
      </c>
      <c r="W19" s="50">
        <v>9.1</v>
      </c>
      <c r="X19" s="50">
        <v>9.1</v>
      </c>
      <c r="Y19" s="50">
        <v>9.1</v>
      </c>
      <c r="Z19" s="50">
        <v>9.1</v>
      </c>
      <c r="AA19" s="50">
        <v>9.1</v>
      </c>
      <c r="AB19" s="50">
        <v>9.1</v>
      </c>
      <c r="AC19" s="50">
        <v>9.1</v>
      </c>
      <c r="AD19" s="50">
        <v>9.1</v>
      </c>
      <c r="AE19" s="50">
        <v>9.1</v>
      </c>
      <c r="AF19" s="50">
        <v>9.1</v>
      </c>
      <c r="AG19" s="59">
        <v>30</v>
      </c>
      <c r="AH19" s="54">
        <f t="shared" si="2"/>
        <v>9.4</v>
      </c>
      <c r="AI19" s="55">
        <f t="shared" si="3"/>
        <v>8.9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10.6</v>
      </c>
      <c r="C22" s="49">
        <v>10.6</v>
      </c>
      <c r="D22" s="49">
        <v>10.6</v>
      </c>
      <c r="E22" s="49">
        <v>10.6</v>
      </c>
      <c r="F22" s="49">
        <v>10.6</v>
      </c>
      <c r="G22" s="49">
        <v>10.6</v>
      </c>
      <c r="H22" s="49">
        <v>10.6</v>
      </c>
      <c r="I22" s="49">
        <v>10.6</v>
      </c>
      <c r="J22" s="49">
        <v>10.6</v>
      </c>
      <c r="K22" s="49">
        <v>10.6</v>
      </c>
      <c r="L22" s="49">
        <v>10.6</v>
      </c>
      <c r="M22" s="50">
        <v>10.6</v>
      </c>
      <c r="N22" s="50">
        <v>9</v>
      </c>
      <c r="O22" s="50">
        <v>9</v>
      </c>
      <c r="P22" s="50">
        <v>9</v>
      </c>
      <c r="Q22" s="50">
        <v>10</v>
      </c>
      <c r="R22" s="50">
        <v>9.5</v>
      </c>
      <c r="S22" s="50">
        <v>9.5</v>
      </c>
      <c r="T22" s="50">
        <v>9.5</v>
      </c>
      <c r="U22" s="50">
        <v>9.5</v>
      </c>
      <c r="V22" s="50">
        <v>9.5</v>
      </c>
      <c r="W22" s="50">
        <v>9.5</v>
      </c>
      <c r="X22" s="50">
        <v>9.5</v>
      </c>
      <c r="Y22" s="50">
        <v>9.5</v>
      </c>
      <c r="Z22" s="50">
        <v>9.5</v>
      </c>
      <c r="AA22" s="50">
        <v>9.5</v>
      </c>
      <c r="AB22" s="50">
        <v>9.5</v>
      </c>
      <c r="AC22" s="50">
        <v>9.5</v>
      </c>
      <c r="AD22" s="50">
        <v>9.5</v>
      </c>
      <c r="AE22" s="50">
        <v>9.5</v>
      </c>
      <c r="AF22" s="50">
        <v>9.5</v>
      </c>
      <c r="AG22" s="59">
        <v>25</v>
      </c>
      <c r="AH22" s="54">
        <f t="shared" si="2"/>
        <v>10.6</v>
      </c>
      <c r="AI22" s="55">
        <f t="shared" si="3"/>
        <v>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11</v>
      </c>
      <c r="C24" s="49">
        <v>11</v>
      </c>
      <c r="D24" s="49">
        <v>11</v>
      </c>
      <c r="E24" s="49">
        <v>12</v>
      </c>
      <c r="F24" s="49">
        <v>12</v>
      </c>
      <c r="G24" s="49">
        <v>12</v>
      </c>
      <c r="H24" s="49">
        <v>12</v>
      </c>
      <c r="I24" s="49">
        <v>12</v>
      </c>
      <c r="J24" s="49">
        <v>10.5</v>
      </c>
      <c r="K24" s="49">
        <v>10.5</v>
      </c>
      <c r="L24" s="49">
        <v>10.5</v>
      </c>
      <c r="M24" s="50">
        <v>9</v>
      </c>
      <c r="N24" s="50">
        <v>9</v>
      </c>
      <c r="O24" s="50">
        <v>9</v>
      </c>
      <c r="P24" s="50">
        <v>9</v>
      </c>
      <c r="Q24" s="50">
        <v>8</v>
      </c>
      <c r="R24" s="50">
        <v>8</v>
      </c>
      <c r="S24" s="50">
        <v>8</v>
      </c>
      <c r="T24" s="50">
        <v>8</v>
      </c>
      <c r="U24" s="50">
        <v>8</v>
      </c>
      <c r="V24" s="50">
        <v>8</v>
      </c>
      <c r="W24" s="50">
        <v>8</v>
      </c>
      <c r="X24" s="50">
        <v>8</v>
      </c>
      <c r="Y24" s="50">
        <v>8</v>
      </c>
      <c r="Z24" s="50">
        <v>8</v>
      </c>
      <c r="AA24" s="50">
        <v>8</v>
      </c>
      <c r="AB24" s="50">
        <v>8</v>
      </c>
      <c r="AC24" s="50">
        <v>8</v>
      </c>
      <c r="AD24" s="50">
        <v>8</v>
      </c>
      <c r="AE24" s="50">
        <v>8</v>
      </c>
      <c r="AF24" s="50">
        <v>8</v>
      </c>
      <c r="AG24" s="59">
        <v>25</v>
      </c>
      <c r="AH24" s="54">
        <f t="shared" si="2"/>
        <v>12</v>
      </c>
      <c r="AI24" s="55">
        <f t="shared" si="3"/>
        <v>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</v>
      </c>
      <c r="C29" s="49">
        <v>4</v>
      </c>
      <c r="D29" s="49">
        <v>4</v>
      </c>
      <c r="E29" s="49">
        <v>4</v>
      </c>
      <c r="F29" s="49">
        <v>4</v>
      </c>
      <c r="G29" s="49">
        <v>4</v>
      </c>
      <c r="H29" s="49">
        <v>4</v>
      </c>
      <c r="I29" s="49">
        <v>4</v>
      </c>
      <c r="J29" s="49">
        <v>4</v>
      </c>
      <c r="K29" s="49">
        <v>4</v>
      </c>
      <c r="L29" s="49">
        <v>4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4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0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0</v>
      </c>
      <c r="AA32" s="50">
        <v>0</v>
      </c>
      <c r="AB32" s="50">
        <v>0</v>
      </c>
      <c r="AC32" s="50">
        <v>0</v>
      </c>
      <c r="AD32" s="50">
        <v>0</v>
      </c>
      <c r="AE32" s="50">
        <v>0</v>
      </c>
      <c r="AF32" s="50">
        <v>0</v>
      </c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39.4</v>
      </c>
      <c r="C37" s="61">
        <v>39.4</v>
      </c>
      <c r="D37" s="61">
        <v>39.4</v>
      </c>
      <c r="E37" s="61">
        <f>26.5+13.4</f>
        <v>39.9</v>
      </c>
      <c r="F37" s="61">
        <f>25.8+13.3</f>
        <v>39.1</v>
      </c>
      <c r="G37" s="61">
        <f>23.5+12.6</f>
        <v>36.1</v>
      </c>
      <c r="H37" s="61">
        <f>23.5+12.5</f>
        <v>36</v>
      </c>
      <c r="I37" s="61">
        <f>23.9+12.6</f>
        <v>36.5</v>
      </c>
      <c r="J37" s="61">
        <f>24.5+12.9</f>
        <v>37.4</v>
      </c>
      <c r="K37" s="61">
        <f>24.3+12.7</f>
        <v>37</v>
      </c>
      <c r="L37" s="61">
        <f>24.5+12.6</f>
        <v>37.1</v>
      </c>
      <c r="M37" s="70">
        <f>34.6</f>
        <v>34.6</v>
      </c>
      <c r="N37" s="70">
        <f>33.8</f>
        <v>33.799999999999997</v>
      </c>
      <c r="O37" s="70">
        <f>36.2</f>
        <v>36.200000000000003</v>
      </c>
      <c r="P37" s="70">
        <f>38.2</f>
        <v>38.200000000000003</v>
      </c>
      <c r="Q37" s="70">
        <f>39.1</f>
        <v>39.1</v>
      </c>
      <c r="R37" s="70">
        <v>39.200000000000003</v>
      </c>
      <c r="S37" s="70">
        <v>39.200000000000003</v>
      </c>
      <c r="T37" s="70">
        <v>39.200000000000003</v>
      </c>
      <c r="U37" s="70">
        <v>39.200000000000003</v>
      </c>
      <c r="V37" s="70">
        <v>39.200000000000003</v>
      </c>
      <c r="W37" s="70">
        <v>39.200000000000003</v>
      </c>
      <c r="X37" s="70">
        <v>39.200000000000003</v>
      </c>
      <c r="Y37" s="70">
        <v>39.200000000000003</v>
      </c>
      <c r="Z37" s="70">
        <v>39.200000000000003</v>
      </c>
      <c r="AA37" s="70">
        <v>39.200000000000003</v>
      </c>
      <c r="AB37" s="70">
        <v>39.200000000000003</v>
      </c>
      <c r="AC37" s="70">
        <v>31.4</v>
      </c>
      <c r="AD37" s="70">
        <v>31.9</v>
      </c>
      <c r="AE37" s="70">
        <v>34.700000000000003</v>
      </c>
      <c r="AF37" s="61">
        <v>37</v>
      </c>
      <c r="AG37" s="67">
        <v>240</v>
      </c>
      <c r="AH37" s="54">
        <f t="shared" si="2"/>
        <v>39.9</v>
      </c>
      <c r="AI37" s="55">
        <f t="shared" si="3"/>
        <v>31.4</v>
      </c>
      <c r="AK37" s="56"/>
    </row>
    <row r="38" spans="1:88" ht="15.75" thickBot="1" x14ac:dyDescent="0.3">
      <c r="A38" s="71" t="s">
        <v>46</v>
      </c>
      <c r="B38" s="72">
        <v>393.79999999999995</v>
      </c>
      <c r="C38" s="72">
        <f t="shared" ref="C38:AF38" si="4">SUM(C11:C36)</f>
        <v>422.4</v>
      </c>
      <c r="D38" s="72">
        <f t="shared" si="4"/>
        <v>402.4</v>
      </c>
      <c r="E38" s="72">
        <f t="shared" si="4"/>
        <v>402.7</v>
      </c>
      <c r="F38" s="72">
        <f t="shared" si="4"/>
        <v>402.7</v>
      </c>
      <c r="G38" s="72">
        <f t="shared" si="4"/>
        <v>402.7</v>
      </c>
      <c r="H38" s="72">
        <f t="shared" si="4"/>
        <v>402.7</v>
      </c>
      <c r="I38" s="72">
        <f t="shared" si="4"/>
        <v>402.7</v>
      </c>
      <c r="J38" s="72">
        <f t="shared" si="4"/>
        <v>422.09999999999997</v>
      </c>
      <c r="K38" s="72">
        <f t="shared" si="4"/>
        <v>671.4</v>
      </c>
      <c r="L38" s="72">
        <f t="shared" si="4"/>
        <v>721.00000000000011</v>
      </c>
      <c r="M38" s="72">
        <f t="shared" si="4"/>
        <v>777.5</v>
      </c>
      <c r="N38" s="72">
        <f t="shared" si="4"/>
        <v>445.2</v>
      </c>
      <c r="O38" s="72">
        <f t="shared" si="4"/>
        <v>435.2</v>
      </c>
      <c r="P38" s="72">
        <f t="shared" si="4"/>
        <v>375.2</v>
      </c>
      <c r="Q38" s="72">
        <f t="shared" si="4"/>
        <v>374</v>
      </c>
      <c r="R38" s="72">
        <f t="shared" si="4"/>
        <v>373.5</v>
      </c>
      <c r="S38" s="72">
        <f t="shared" si="4"/>
        <v>373.5</v>
      </c>
      <c r="T38" s="72">
        <f t="shared" si="4"/>
        <v>393.5</v>
      </c>
      <c r="U38" s="72">
        <f t="shared" si="4"/>
        <v>373.5</v>
      </c>
      <c r="V38" s="72">
        <f t="shared" si="4"/>
        <v>373.5</v>
      </c>
      <c r="W38" s="72">
        <f t="shared" si="4"/>
        <v>393.5</v>
      </c>
      <c r="X38" s="72">
        <f t="shared" si="4"/>
        <v>393.5</v>
      </c>
      <c r="Y38" s="72">
        <f t="shared" si="4"/>
        <v>463.5</v>
      </c>
      <c r="Z38" s="72">
        <f t="shared" si="4"/>
        <v>443.5</v>
      </c>
      <c r="AA38" s="72">
        <f t="shared" si="4"/>
        <v>443.5</v>
      </c>
      <c r="AB38" s="72">
        <f t="shared" si="4"/>
        <v>443.5</v>
      </c>
      <c r="AC38" s="72">
        <f t="shared" si="4"/>
        <v>443.5</v>
      </c>
      <c r="AD38" s="72">
        <f t="shared" si="4"/>
        <v>431.9</v>
      </c>
      <c r="AE38" s="72">
        <f t="shared" si="4"/>
        <v>411.9</v>
      </c>
      <c r="AF38" s="72">
        <f t="shared" si="4"/>
        <v>386.9</v>
      </c>
      <c r="AG38" s="67">
        <f>SUM(AG11:AG37)</f>
        <v>1492.8299999999997</v>
      </c>
      <c r="AH38" s="54">
        <f t="shared" si="2"/>
        <v>777.5</v>
      </c>
      <c r="AI38" s="55">
        <f t="shared" si="3"/>
        <v>373.5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0</v>
      </c>
      <c r="H39" s="61">
        <v>0</v>
      </c>
      <c r="I39" s="61">
        <v>32.6</v>
      </c>
      <c r="J39" s="61">
        <v>74.7</v>
      </c>
      <c r="K39" s="61">
        <v>144</v>
      </c>
      <c r="L39" s="61">
        <v>145.6</v>
      </c>
      <c r="M39" s="50">
        <v>145.6</v>
      </c>
      <c r="N39" s="50">
        <v>121.8</v>
      </c>
      <c r="O39" s="50">
        <v>112</v>
      </c>
      <c r="P39" s="50">
        <v>97.4</v>
      </c>
      <c r="Q39" s="50">
        <v>97.2</v>
      </c>
      <c r="R39" s="50">
        <v>71.3</v>
      </c>
      <c r="S39" s="50">
        <v>76</v>
      </c>
      <c r="T39" s="50">
        <v>73</v>
      </c>
      <c r="U39" s="50">
        <v>75</v>
      </c>
      <c r="V39" s="50">
        <v>60</v>
      </c>
      <c r="W39" s="50">
        <v>71</v>
      </c>
      <c r="X39" s="50">
        <v>73</v>
      </c>
      <c r="Y39" s="50">
        <v>145</v>
      </c>
      <c r="Z39" s="50">
        <v>145</v>
      </c>
      <c r="AA39" s="50">
        <v>140</v>
      </c>
      <c r="AB39" s="50">
        <v>112.1</v>
      </c>
      <c r="AC39" s="50">
        <v>101.9</v>
      </c>
      <c r="AD39" s="50">
        <v>91.2</v>
      </c>
      <c r="AE39" s="50">
        <v>31.2</v>
      </c>
      <c r="AF39" s="49">
        <v>0</v>
      </c>
      <c r="AG39" s="62">
        <v>144</v>
      </c>
      <c r="AH39" s="54">
        <f t="shared" si="2"/>
        <v>145.6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35</v>
      </c>
      <c r="I40" s="61">
        <v>34.6</v>
      </c>
      <c r="J40" s="61">
        <v>60.3</v>
      </c>
      <c r="K40" s="61">
        <v>69.5</v>
      </c>
      <c r="L40" s="61">
        <v>69.400000000000006</v>
      </c>
      <c r="M40" s="73">
        <v>70.099999999999994</v>
      </c>
      <c r="N40" s="73">
        <v>49.6</v>
      </c>
      <c r="O40" s="73">
        <v>50.3</v>
      </c>
      <c r="P40" s="73">
        <v>48.9</v>
      </c>
      <c r="Q40" s="73">
        <v>29.4</v>
      </c>
      <c r="R40" s="73">
        <v>22.5</v>
      </c>
      <c r="S40" s="73">
        <v>22.5</v>
      </c>
      <c r="T40" s="73">
        <v>35</v>
      </c>
      <c r="U40" s="73">
        <v>25</v>
      </c>
      <c r="V40" s="73">
        <v>25</v>
      </c>
      <c r="W40" s="73">
        <v>25</v>
      </c>
      <c r="X40" s="73">
        <v>45</v>
      </c>
      <c r="Y40" s="73">
        <v>50</v>
      </c>
      <c r="Z40" s="73">
        <v>71</v>
      </c>
      <c r="AA40" s="73">
        <v>70</v>
      </c>
      <c r="AB40" s="73">
        <v>71.7</v>
      </c>
      <c r="AC40" s="73">
        <v>69.7</v>
      </c>
      <c r="AD40" s="73">
        <v>34.6</v>
      </c>
      <c r="AE40" s="73">
        <v>24</v>
      </c>
      <c r="AF40" s="61">
        <v>0</v>
      </c>
      <c r="AG40" s="67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52.6</v>
      </c>
      <c r="C41" s="61">
        <v>46</v>
      </c>
      <c r="D41" s="61">
        <v>46.3</v>
      </c>
      <c r="E41" s="61">
        <v>46.4</v>
      </c>
      <c r="F41" s="61">
        <v>21.1</v>
      </c>
      <c r="G41" s="61">
        <v>23.5</v>
      </c>
      <c r="H41" s="61">
        <v>23.1</v>
      </c>
      <c r="I41" s="61">
        <v>15.7</v>
      </c>
      <c r="J41" s="61">
        <v>23.1</v>
      </c>
      <c r="K41" s="61">
        <v>47.6</v>
      </c>
      <c r="L41" s="61">
        <v>68.099999999999994</v>
      </c>
      <c r="M41" s="73">
        <v>67.599999999999994</v>
      </c>
      <c r="N41" s="73">
        <v>66.900000000000006</v>
      </c>
      <c r="O41" s="73">
        <v>35.799999999999997</v>
      </c>
      <c r="P41" s="73">
        <v>14.1</v>
      </c>
      <c r="Q41" s="73">
        <v>16.399999999999999</v>
      </c>
      <c r="R41" s="73">
        <v>16.5</v>
      </c>
      <c r="S41" s="73">
        <v>16.5</v>
      </c>
      <c r="T41" s="73">
        <v>0</v>
      </c>
      <c r="U41" s="73">
        <v>22</v>
      </c>
      <c r="V41" s="73">
        <v>35</v>
      </c>
      <c r="W41" s="73">
        <v>44.4</v>
      </c>
      <c r="X41" s="73">
        <v>45</v>
      </c>
      <c r="Y41" s="73">
        <v>50</v>
      </c>
      <c r="Z41" s="73">
        <v>69.5</v>
      </c>
      <c r="AA41" s="73">
        <v>69</v>
      </c>
      <c r="AB41" s="73">
        <v>63</v>
      </c>
      <c r="AC41" s="73">
        <v>61.2</v>
      </c>
      <c r="AD41" s="73">
        <v>61.2</v>
      </c>
      <c r="AE41" s="73">
        <v>34.9</v>
      </c>
      <c r="AF41" s="61">
        <v>17</v>
      </c>
      <c r="AG41" s="67">
        <v>69</v>
      </c>
      <c r="AH41" s="54">
        <f t="shared" si="2"/>
        <v>69.5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47.6</v>
      </c>
      <c r="C42" s="61">
        <v>47.6</v>
      </c>
      <c r="D42" s="61">
        <v>43.8</v>
      </c>
      <c r="E42" s="61">
        <v>44.1</v>
      </c>
      <c r="F42" s="61">
        <v>44.1</v>
      </c>
      <c r="G42" s="61">
        <v>44.3</v>
      </c>
      <c r="H42" s="61">
        <v>44.3</v>
      </c>
      <c r="I42" s="61">
        <v>50.1</v>
      </c>
      <c r="J42" s="61">
        <v>47.8</v>
      </c>
      <c r="K42" s="61">
        <v>46.1</v>
      </c>
      <c r="L42" s="61">
        <v>43.8</v>
      </c>
      <c r="M42" s="73">
        <v>44.1</v>
      </c>
      <c r="N42" s="73">
        <v>44.1</v>
      </c>
      <c r="O42" s="73">
        <v>44.1</v>
      </c>
      <c r="P42" s="73">
        <v>44.3</v>
      </c>
      <c r="Q42" s="73">
        <v>46.4</v>
      </c>
      <c r="R42" s="73">
        <v>46.1</v>
      </c>
      <c r="S42" s="73">
        <v>46.1</v>
      </c>
      <c r="T42" s="73">
        <v>42</v>
      </c>
      <c r="U42" s="73">
        <v>42</v>
      </c>
      <c r="V42" s="73">
        <v>44</v>
      </c>
      <c r="W42" s="73">
        <v>44.4</v>
      </c>
      <c r="X42" s="73">
        <v>44</v>
      </c>
      <c r="Y42" s="73">
        <v>44</v>
      </c>
      <c r="Z42" s="73">
        <v>44.1</v>
      </c>
      <c r="AA42" s="73">
        <v>44</v>
      </c>
      <c r="AB42" s="73">
        <v>44.1</v>
      </c>
      <c r="AC42" s="73">
        <v>44.1</v>
      </c>
      <c r="AD42" s="73">
        <v>44.1</v>
      </c>
      <c r="AE42" s="73">
        <v>46.6</v>
      </c>
      <c r="AF42" s="61">
        <v>48.4</v>
      </c>
      <c r="AG42" s="67">
        <v>60</v>
      </c>
      <c r="AH42" s="54">
        <f t="shared" si="2"/>
        <v>50.1</v>
      </c>
      <c r="AI42" s="55">
        <f t="shared" si="3"/>
        <v>42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50">
        <v>0</v>
      </c>
      <c r="N43" s="50">
        <v>14.9</v>
      </c>
      <c r="O43" s="50">
        <v>9</v>
      </c>
      <c r="P43" s="50">
        <v>10.199999999999999</v>
      </c>
      <c r="Q43" s="50">
        <v>10.4</v>
      </c>
      <c r="R43" s="50">
        <v>9.9</v>
      </c>
      <c r="S43" s="50">
        <v>9.9</v>
      </c>
      <c r="T43" s="50">
        <v>15</v>
      </c>
      <c r="U43" s="50">
        <v>15</v>
      </c>
      <c r="V43" s="50">
        <v>15</v>
      </c>
      <c r="W43" s="50">
        <v>15</v>
      </c>
      <c r="X43" s="50">
        <v>15</v>
      </c>
      <c r="Y43" s="50">
        <v>9</v>
      </c>
      <c r="Z43" s="50">
        <v>9</v>
      </c>
      <c r="AA43" s="73">
        <v>10</v>
      </c>
      <c r="AB43" s="73">
        <v>10.3</v>
      </c>
      <c r="AC43" s="73">
        <v>10.5</v>
      </c>
      <c r="AD43" s="73">
        <v>10.5</v>
      </c>
      <c r="AE43" s="73">
        <v>6.1</v>
      </c>
      <c r="AF43" s="61">
        <v>6.2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61">
        <v>16</v>
      </c>
      <c r="S45" s="61">
        <v>16</v>
      </c>
      <c r="T45" s="61">
        <v>16</v>
      </c>
      <c r="U45" s="61">
        <v>16</v>
      </c>
      <c r="V45" s="61">
        <v>16</v>
      </c>
      <c r="W45" s="61">
        <v>16</v>
      </c>
      <c r="X45" s="61">
        <v>16</v>
      </c>
      <c r="Y45" s="61">
        <v>16</v>
      </c>
      <c r="Z45" s="61">
        <v>16</v>
      </c>
      <c r="AA45" s="61">
        <v>16</v>
      </c>
      <c r="AB45" s="61">
        <v>16</v>
      </c>
      <c r="AC45" s="61">
        <v>16</v>
      </c>
      <c r="AD45" s="61">
        <v>16</v>
      </c>
      <c r="AE45" s="61">
        <v>16</v>
      </c>
      <c r="AF45" s="61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61">
        <v>11</v>
      </c>
      <c r="AA47" s="61">
        <v>11</v>
      </c>
      <c r="AB47" s="61">
        <v>11</v>
      </c>
      <c r="AC47" s="61">
        <v>11</v>
      </c>
      <c r="AD47" s="61">
        <v>11</v>
      </c>
      <c r="AE47" s="61">
        <v>11</v>
      </c>
      <c r="AF47" s="61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61">
        <v>5</v>
      </c>
      <c r="AA48" s="61">
        <v>5</v>
      </c>
      <c r="AB48" s="61">
        <v>5</v>
      </c>
      <c r="AC48" s="61">
        <v>5</v>
      </c>
      <c r="AD48" s="61">
        <v>5</v>
      </c>
      <c r="AE48" s="61">
        <v>5</v>
      </c>
      <c r="AF48" s="61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61">
        <v>4.9000000000000004</v>
      </c>
      <c r="Z49" s="61">
        <v>4.9000000000000004</v>
      </c>
      <c r="AA49" s="61">
        <v>4.9000000000000004</v>
      </c>
      <c r="AB49" s="61">
        <v>4.9000000000000004</v>
      </c>
      <c r="AC49" s="61">
        <v>4.9000000000000004</v>
      </c>
      <c r="AD49" s="61">
        <v>4.9000000000000004</v>
      </c>
      <c r="AE49" s="61">
        <v>4.9000000000000004</v>
      </c>
      <c r="AF49" s="61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61">
        <v>2.5</v>
      </c>
      <c r="AA50" s="61">
        <v>2.5</v>
      </c>
      <c r="AB50" s="61">
        <v>2.5</v>
      </c>
      <c r="AC50" s="61">
        <v>2.5</v>
      </c>
      <c r="AD50" s="61">
        <v>2.5</v>
      </c>
      <c r="AE50" s="61">
        <v>2.5</v>
      </c>
      <c r="AF50" s="61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v>153.13999999999999</v>
      </c>
      <c r="C52" s="72">
        <f t="shared" ref="C52:AF52" si="6">SUM(C39:C51)</f>
        <v>136.54</v>
      </c>
      <c r="D52" s="72">
        <f t="shared" si="6"/>
        <v>133.04</v>
      </c>
      <c r="E52" s="72">
        <f t="shared" si="6"/>
        <v>133.44</v>
      </c>
      <c r="F52" s="72">
        <f t="shared" si="6"/>
        <v>108.14000000000001</v>
      </c>
      <c r="G52" s="72">
        <f t="shared" si="6"/>
        <v>110.74000000000001</v>
      </c>
      <c r="H52" s="72">
        <f t="shared" si="6"/>
        <v>145.34</v>
      </c>
      <c r="I52" s="72">
        <f t="shared" si="6"/>
        <v>175.94</v>
      </c>
      <c r="J52" s="72">
        <f t="shared" si="6"/>
        <v>248.83999999999997</v>
      </c>
      <c r="K52" s="72">
        <f t="shared" si="6"/>
        <v>350.14000000000004</v>
      </c>
      <c r="L52" s="72">
        <f t="shared" si="6"/>
        <v>369.84000000000003</v>
      </c>
      <c r="M52" s="72">
        <f t="shared" si="6"/>
        <v>370.34</v>
      </c>
      <c r="N52" s="72">
        <f t="shared" si="6"/>
        <v>340.24</v>
      </c>
      <c r="O52" s="72">
        <f t="shared" si="6"/>
        <v>294.14000000000004</v>
      </c>
      <c r="P52" s="72">
        <f t="shared" si="6"/>
        <v>257.83999999999997</v>
      </c>
      <c r="Q52" s="72">
        <f t="shared" si="6"/>
        <v>242.74</v>
      </c>
      <c r="R52" s="72">
        <f t="shared" si="6"/>
        <v>209.24</v>
      </c>
      <c r="S52" s="72">
        <f t="shared" si="6"/>
        <v>213.94</v>
      </c>
      <c r="T52" s="72">
        <f t="shared" si="6"/>
        <v>207.94</v>
      </c>
      <c r="U52" s="72">
        <f t="shared" si="6"/>
        <v>221.94</v>
      </c>
      <c r="V52" s="72">
        <f t="shared" si="6"/>
        <v>221.94</v>
      </c>
      <c r="W52" s="72">
        <f t="shared" si="6"/>
        <v>242.74</v>
      </c>
      <c r="X52" s="72">
        <f t="shared" si="6"/>
        <v>264.94</v>
      </c>
      <c r="Y52" s="72">
        <f t="shared" si="6"/>
        <v>340.94</v>
      </c>
      <c r="Z52" s="72">
        <f t="shared" si="6"/>
        <v>381.54</v>
      </c>
      <c r="AA52" s="72">
        <f t="shared" si="6"/>
        <v>375.94</v>
      </c>
      <c r="AB52" s="72">
        <f t="shared" si="6"/>
        <v>344.14000000000004</v>
      </c>
      <c r="AC52" s="72">
        <f t="shared" si="6"/>
        <v>330.34000000000003</v>
      </c>
      <c r="AD52" s="72">
        <f t="shared" si="6"/>
        <v>284.54000000000002</v>
      </c>
      <c r="AE52" s="72">
        <f t="shared" si="6"/>
        <v>185.73999999999998</v>
      </c>
      <c r="AF52" s="72">
        <f t="shared" si="6"/>
        <v>114.54000000000002</v>
      </c>
      <c r="AG52" s="78">
        <f>SUM(AG39:AG51)</f>
        <v>489.91</v>
      </c>
      <c r="AH52" s="54">
        <f t="shared" si="2"/>
        <v>381.54</v>
      </c>
      <c r="AI52" s="55">
        <f t="shared" si="3"/>
        <v>108.14000000000001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30</v>
      </c>
      <c r="M53" s="79">
        <v>29.7</v>
      </c>
      <c r="N53" s="79">
        <v>25.6</v>
      </c>
      <c r="O53" s="79">
        <v>25.1</v>
      </c>
      <c r="P53" s="79">
        <v>20.3</v>
      </c>
      <c r="Q53" s="50">
        <v>14.2</v>
      </c>
      <c r="R53" s="50">
        <v>14.5</v>
      </c>
      <c r="S53" s="50">
        <v>20</v>
      </c>
      <c r="T53" s="50">
        <v>20</v>
      </c>
      <c r="U53" s="50">
        <v>30</v>
      </c>
      <c r="V53" s="50">
        <v>14</v>
      </c>
      <c r="W53" s="50">
        <v>15</v>
      </c>
      <c r="X53" s="50">
        <v>14</v>
      </c>
      <c r="Y53" s="50">
        <v>44</v>
      </c>
      <c r="Z53" s="50">
        <v>60</v>
      </c>
      <c r="AA53" s="50">
        <v>50</v>
      </c>
      <c r="AB53" s="50">
        <v>29.4</v>
      </c>
      <c r="AC53" s="50">
        <v>29.4</v>
      </c>
      <c r="AD53" s="50">
        <v>20.5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10.8</v>
      </c>
      <c r="M54" s="79">
        <v>15.1</v>
      </c>
      <c r="N54" s="79">
        <v>14</v>
      </c>
      <c r="O54" s="79">
        <v>7.8</v>
      </c>
      <c r="P54" s="79">
        <v>10.6</v>
      </c>
      <c r="Q54" s="73">
        <v>6.6</v>
      </c>
      <c r="R54" s="73">
        <v>6.3</v>
      </c>
      <c r="S54" s="50">
        <v>9</v>
      </c>
      <c r="T54" s="50">
        <v>12</v>
      </c>
      <c r="U54" s="50">
        <v>14</v>
      </c>
      <c r="V54" s="73">
        <v>6</v>
      </c>
      <c r="W54" s="73">
        <v>5.6</v>
      </c>
      <c r="X54" s="73">
        <v>6</v>
      </c>
      <c r="Y54" s="73">
        <v>19</v>
      </c>
      <c r="Z54" s="73">
        <v>27</v>
      </c>
      <c r="AA54" s="73">
        <v>25</v>
      </c>
      <c r="AB54" s="73">
        <v>15.6</v>
      </c>
      <c r="AC54" s="73">
        <v>14.1</v>
      </c>
      <c r="AD54" s="73">
        <v>10</v>
      </c>
      <c r="AE54" s="73">
        <v>5</v>
      </c>
      <c r="AF54" s="73">
        <v>0</v>
      </c>
      <c r="AG54" s="67">
        <v>32</v>
      </c>
      <c r="AH54" s="54">
        <f t="shared" si="2"/>
        <v>27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4</v>
      </c>
      <c r="M55" s="81">
        <v>5.5</v>
      </c>
      <c r="N55" s="81">
        <v>5.0999999999999996</v>
      </c>
      <c r="O55" s="81">
        <v>2.9</v>
      </c>
      <c r="P55" s="81">
        <v>3.9</v>
      </c>
      <c r="Q55" s="80">
        <v>2.4</v>
      </c>
      <c r="R55" s="80">
        <v>2.2999999999999998</v>
      </c>
      <c r="S55" s="50">
        <v>3.3</v>
      </c>
      <c r="T55" s="50">
        <v>4.5</v>
      </c>
      <c r="U55" s="50">
        <v>5</v>
      </c>
      <c r="V55" s="80">
        <v>2</v>
      </c>
      <c r="W55" s="80">
        <v>2.1</v>
      </c>
      <c r="X55" s="80">
        <v>2</v>
      </c>
      <c r="Y55" s="80">
        <v>7</v>
      </c>
      <c r="Z55" s="80">
        <v>10</v>
      </c>
      <c r="AA55" s="80">
        <v>9</v>
      </c>
      <c r="AB55" s="80">
        <v>5.7</v>
      </c>
      <c r="AC55" s="80">
        <v>5.2</v>
      </c>
      <c r="AD55" s="80">
        <v>3.6</v>
      </c>
      <c r="AE55" s="80">
        <v>1.8</v>
      </c>
      <c r="AF55" s="80">
        <v>0</v>
      </c>
      <c r="AG55" s="82">
        <v>14</v>
      </c>
      <c r="AH55" s="54">
        <f t="shared" si="2"/>
        <v>10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44.8</v>
      </c>
      <c r="M56" s="72">
        <f t="shared" si="7"/>
        <v>50.3</v>
      </c>
      <c r="N56" s="72">
        <f t="shared" si="7"/>
        <v>44.7</v>
      </c>
      <c r="O56" s="72">
        <f t="shared" si="7"/>
        <v>35.799999999999997</v>
      </c>
      <c r="P56" s="72">
        <f t="shared" si="7"/>
        <v>34.799999999999997</v>
      </c>
      <c r="Q56" s="72">
        <f t="shared" si="7"/>
        <v>23.199999999999996</v>
      </c>
      <c r="R56" s="72">
        <f t="shared" si="7"/>
        <v>23.1</v>
      </c>
      <c r="S56" s="72">
        <f t="shared" si="7"/>
        <v>32.299999999999997</v>
      </c>
      <c r="T56" s="72">
        <f t="shared" si="7"/>
        <v>36.5</v>
      </c>
      <c r="U56" s="72">
        <f t="shared" si="7"/>
        <v>49</v>
      </c>
      <c r="V56" s="72">
        <f t="shared" si="7"/>
        <v>22</v>
      </c>
      <c r="W56" s="72">
        <f t="shared" si="7"/>
        <v>22.700000000000003</v>
      </c>
      <c r="X56" s="72">
        <f t="shared" si="7"/>
        <v>22</v>
      </c>
      <c r="Y56" s="72">
        <f t="shared" si="7"/>
        <v>70</v>
      </c>
      <c r="Z56" s="72">
        <f t="shared" si="7"/>
        <v>97</v>
      </c>
      <c r="AA56" s="72">
        <f t="shared" si="7"/>
        <v>84</v>
      </c>
      <c r="AB56" s="72">
        <f t="shared" si="7"/>
        <v>50.7</v>
      </c>
      <c r="AC56" s="72">
        <f t="shared" si="7"/>
        <v>48.7</v>
      </c>
      <c r="AD56" s="72">
        <f t="shared" si="7"/>
        <v>34.1</v>
      </c>
      <c r="AE56" s="72">
        <f t="shared" si="7"/>
        <v>6.8</v>
      </c>
      <c r="AF56" s="72">
        <f t="shared" si="7"/>
        <v>0</v>
      </c>
      <c r="AG56" s="78">
        <f>SUM(AG53:AG55)</f>
        <v>106</v>
      </c>
      <c r="AH56" s="54">
        <f t="shared" si="2"/>
        <v>97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65</v>
      </c>
      <c r="C57" s="50">
        <v>62</v>
      </c>
      <c r="D57" s="50">
        <v>55.4</v>
      </c>
      <c r="E57" s="50">
        <v>55.8</v>
      </c>
      <c r="F57" s="50">
        <v>62</v>
      </c>
      <c r="G57" s="50">
        <v>68.3</v>
      </c>
      <c r="H57" s="50">
        <v>75</v>
      </c>
      <c r="I57" s="50">
        <v>70.099999999999994</v>
      </c>
      <c r="J57" s="50">
        <v>73.5</v>
      </c>
      <c r="K57" s="50">
        <v>71.900000000000006</v>
      </c>
      <c r="L57" s="50">
        <v>78.599999999999994</v>
      </c>
      <c r="M57" s="50">
        <v>79</v>
      </c>
      <c r="N57" s="50">
        <v>73.7</v>
      </c>
      <c r="O57" s="50">
        <v>62</v>
      </c>
      <c r="P57" s="50">
        <v>75.599999999999994</v>
      </c>
      <c r="Q57" s="50">
        <v>73.599999999999994</v>
      </c>
      <c r="R57" s="50">
        <v>75</v>
      </c>
      <c r="S57" s="50">
        <v>74</v>
      </c>
      <c r="T57" s="50">
        <v>73.5</v>
      </c>
      <c r="U57" s="50">
        <v>75</v>
      </c>
      <c r="V57" s="50">
        <v>70</v>
      </c>
      <c r="W57" s="50">
        <v>71.900000000000006</v>
      </c>
      <c r="X57" s="50">
        <v>73.599999999999994</v>
      </c>
      <c r="Y57" s="50">
        <v>68</v>
      </c>
      <c r="Z57" s="50">
        <v>76</v>
      </c>
      <c r="AA57" s="50">
        <v>74</v>
      </c>
      <c r="AB57" s="50">
        <v>72.900000000000006</v>
      </c>
      <c r="AC57" s="50">
        <v>68.599999999999994</v>
      </c>
      <c r="AD57" s="50">
        <v>71.099999999999994</v>
      </c>
      <c r="AE57" s="50">
        <v>66.3</v>
      </c>
      <c r="AF57" s="50">
        <v>66.2</v>
      </c>
      <c r="AG57" s="62"/>
      <c r="AH57" s="54">
        <f t="shared" si="2"/>
        <v>79</v>
      </c>
      <c r="AI57" s="55">
        <f t="shared" si="3"/>
        <v>55.4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320</v>
      </c>
      <c r="C59" s="73">
        <v>290</v>
      </c>
      <c r="D59" s="73">
        <v>277</v>
      </c>
      <c r="E59" s="73">
        <v>290.2</v>
      </c>
      <c r="F59" s="73">
        <v>250</v>
      </c>
      <c r="G59" s="73">
        <v>300</v>
      </c>
      <c r="H59" s="50">
        <v>345</v>
      </c>
      <c r="I59" s="50">
        <v>345</v>
      </c>
      <c r="J59" s="50">
        <v>375</v>
      </c>
      <c r="K59" s="50">
        <v>135</v>
      </c>
      <c r="L59" s="50">
        <v>75</v>
      </c>
      <c r="M59" s="73">
        <v>59.2</v>
      </c>
      <c r="N59" s="73">
        <v>376.8</v>
      </c>
      <c r="O59" s="73">
        <v>363.2</v>
      </c>
      <c r="P59" s="73">
        <v>363.9</v>
      </c>
      <c r="Q59" s="73">
        <v>345</v>
      </c>
      <c r="R59" s="73">
        <v>360</v>
      </c>
      <c r="S59" s="73">
        <v>392</v>
      </c>
      <c r="T59" s="73">
        <v>382</v>
      </c>
      <c r="U59" s="73">
        <v>380</v>
      </c>
      <c r="V59" s="73">
        <v>397</v>
      </c>
      <c r="W59" s="73">
        <v>389</v>
      </c>
      <c r="X59" s="84">
        <v>385</v>
      </c>
      <c r="Y59" s="84">
        <v>392</v>
      </c>
      <c r="Z59" s="84">
        <v>380</v>
      </c>
      <c r="AA59" s="84">
        <v>385</v>
      </c>
      <c r="AB59" s="73">
        <v>380.3</v>
      </c>
      <c r="AC59" s="73">
        <v>365</v>
      </c>
      <c r="AD59" s="73">
        <v>376.7</v>
      </c>
      <c r="AE59" s="73">
        <v>333.1</v>
      </c>
      <c r="AF59" s="73">
        <v>353.3</v>
      </c>
      <c r="AG59" s="85"/>
      <c r="AH59" s="54">
        <f t="shared" si="2"/>
        <v>397</v>
      </c>
      <c r="AI59" s="55">
        <f t="shared" si="3"/>
        <v>59.2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49.1</v>
      </c>
      <c r="G60" s="58">
        <v>49.3</v>
      </c>
      <c r="H60" s="58">
        <v>49.9</v>
      </c>
      <c r="I60" s="58">
        <v>57.6</v>
      </c>
      <c r="J60" s="58">
        <v>60.1</v>
      </c>
      <c r="K60" s="58">
        <v>57.6</v>
      </c>
      <c r="L60" s="58">
        <v>60.4</v>
      </c>
      <c r="M60" s="73">
        <v>58</v>
      </c>
      <c r="N60" s="73">
        <v>60</v>
      </c>
      <c r="O60" s="73">
        <v>52.7</v>
      </c>
      <c r="P60" s="73">
        <v>60</v>
      </c>
      <c r="Q60" s="73">
        <v>57.6</v>
      </c>
      <c r="R60" s="73">
        <v>58.6</v>
      </c>
      <c r="S60" s="73">
        <v>56.4</v>
      </c>
      <c r="T60" s="73">
        <v>57</v>
      </c>
      <c r="U60" s="73">
        <v>56</v>
      </c>
      <c r="V60" s="73">
        <v>56</v>
      </c>
      <c r="W60" s="73">
        <v>57</v>
      </c>
      <c r="X60" s="73">
        <v>56</v>
      </c>
      <c r="Y60" s="73">
        <v>62</v>
      </c>
      <c r="Z60" s="73">
        <v>64.5</v>
      </c>
      <c r="AA60" s="73">
        <v>63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64.5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0</v>
      </c>
      <c r="I61" s="58">
        <v>71.099999999999994</v>
      </c>
      <c r="J61" s="58">
        <v>78</v>
      </c>
      <c r="K61" s="58">
        <v>73.900000000000006</v>
      </c>
      <c r="L61" s="58">
        <v>83.2</v>
      </c>
      <c r="M61" s="50">
        <v>71.400000000000006</v>
      </c>
      <c r="N61" s="50">
        <v>79.5</v>
      </c>
      <c r="O61" s="50">
        <v>79</v>
      </c>
      <c r="P61" s="50">
        <v>71.2</v>
      </c>
      <c r="Q61" s="50">
        <v>82.9</v>
      </c>
      <c r="R61" s="50">
        <v>80.3</v>
      </c>
      <c r="S61" s="50">
        <v>70.900000000000006</v>
      </c>
      <c r="T61" s="50">
        <v>75</v>
      </c>
      <c r="U61" s="50">
        <v>78</v>
      </c>
      <c r="V61" s="50">
        <v>82</v>
      </c>
      <c r="W61" s="50">
        <v>70.900000000000006</v>
      </c>
      <c r="X61" s="50">
        <v>76</v>
      </c>
      <c r="Y61" s="50">
        <v>79</v>
      </c>
      <c r="Z61" s="50">
        <v>80.599999999999994</v>
      </c>
      <c r="AA61" s="50">
        <v>80</v>
      </c>
      <c r="AB61" s="50">
        <v>67.8</v>
      </c>
      <c r="AC61" s="50">
        <v>64.900000000000006</v>
      </c>
      <c r="AD61" s="50">
        <v>76.599999999999994</v>
      </c>
      <c r="AE61" s="50">
        <v>74.3</v>
      </c>
      <c r="AF61" s="50">
        <v>69.599999999999994</v>
      </c>
      <c r="AG61" s="85"/>
      <c r="AH61" s="54">
        <f t="shared" si="2"/>
        <v>83.2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58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58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v>397.2</v>
      </c>
      <c r="C68" s="72">
        <f>SUM(C57:C67)</f>
        <v>352</v>
      </c>
      <c r="D68" s="72">
        <f t="shared" ref="D68:AF68" si="8">SUM(D57:D67)</f>
        <v>332.4</v>
      </c>
      <c r="E68" s="72">
        <f t="shared" si="8"/>
        <v>346</v>
      </c>
      <c r="F68" s="72">
        <f t="shared" si="8"/>
        <v>361.1</v>
      </c>
      <c r="G68" s="72">
        <f t="shared" si="8"/>
        <v>417.6</v>
      </c>
      <c r="H68" s="72">
        <f t="shared" si="8"/>
        <v>469.9</v>
      </c>
      <c r="I68" s="72">
        <f t="shared" si="8"/>
        <v>543.80000000000007</v>
      </c>
      <c r="J68" s="72">
        <f t="shared" si="8"/>
        <v>586.6</v>
      </c>
      <c r="K68" s="72">
        <f t="shared" si="8"/>
        <v>338.4</v>
      </c>
      <c r="L68" s="72">
        <f t="shared" si="8"/>
        <v>297.2</v>
      </c>
      <c r="M68" s="72">
        <f t="shared" si="8"/>
        <v>267.60000000000002</v>
      </c>
      <c r="N68" s="72">
        <f t="shared" si="8"/>
        <v>590</v>
      </c>
      <c r="O68" s="72">
        <f t="shared" si="8"/>
        <v>556.9</v>
      </c>
      <c r="P68" s="72">
        <f t="shared" si="8"/>
        <v>570.70000000000005</v>
      </c>
      <c r="Q68" s="72">
        <f t="shared" si="8"/>
        <v>559.1</v>
      </c>
      <c r="R68" s="72">
        <f t="shared" si="8"/>
        <v>573.9</v>
      </c>
      <c r="S68" s="72">
        <f t="shared" si="8"/>
        <v>593.29999999999995</v>
      </c>
      <c r="T68" s="72">
        <f t="shared" si="8"/>
        <v>587.5</v>
      </c>
      <c r="U68" s="72">
        <f t="shared" si="8"/>
        <v>589</v>
      </c>
      <c r="V68" s="72">
        <f t="shared" si="8"/>
        <v>605</v>
      </c>
      <c r="W68" s="72">
        <f t="shared" si="8"/>
        <v>588.79999999999995</v>
      </c>
      <c r="X68" s="72">
        <f t="shared" si="8"/>
        <v>590.6</v>
      </c>
      <c r="Y68" s="72">
        <f t="shared" si="8"/>
        <v>601</v>
      </c>
      <c r="Z68" s="72">
        <f t="shared" si="8"/>
        <v>601.1</v>
      </c>
      <c r="AA68" s="72">
        <f t="shared" si="8"/>
        <v>602</v>
      </c>
      <c r="AB68" s="72">
        <f t="shared" si="8"/>
        <v>521</v>
      </c>
      <c r="AC68" s="72">
        <f t="shared" si="8"/>
        <v>498.5</v>
      </c>
      <c r="AD68" s="72">
        <f t="shared" si="8"/>
        <v>524.4</v>
      </c>
      <c r="AE68" s="72">
        <f t="shared" si="8"/>
        <v>473.70000000000005</v>
      </c>
      <c r="AF68" s="72">
        <f t="shared" si="8"/>
        <v>489.1</v>
      </c>
      <c r="AG68" s="78">
        <f>SUM(AG57:AG67)</f>
        <v>0</v>
      </c>
      <c r="AH68" s="54">
        <f t="shared" si="2"/>
        <v>605</v>
      </c>
      <c r="AI68" s="55">
        <f t="shared" si="3"/>
        <v>267.60000000000002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v>944.13999999999987</v>
      </c>
      <c r="C73" s="89">
        <f>C68+C56+C52+C38+C72</f>
        <v>910.93999999999994</v>
      </c>
      <c r="D73" s="89">
        <f t="shared" ref="D73:AG73" si="10">D68+D56+D52+D38+D72</f>
        <v>867.83999999999992</v>
      </c>
      <c r="E73" s="89">
        <f t="shared" si="10"/>
        <v>882.14</v>
      </c>
      <c r="F73" s="89">
        <f t="shared" si="10"/>
        <v>871.94</v>
      </c>
      <c r="G73" s="89">
        <f t="shared" si="10"/>
        <v>931.04</v>
      </c>
      <c r="H73" s="89">
        <f t="shared" si="10"/>
        <v>1017.94</v>
      </c>
      <c r="I73" s="89">
        <f t="shared" si="10"/>
        <v>1122.44</v>
      </c>
      <c r="J73" s="89">
        <f t="shared" si="10"/>
        <v>1257.54</v>
      </c>
      <c r="K73" s="89">
        <f t="shared" si="10"/>
        <v>1359.94</v>
      </c>
      <c r="L73" s="89">
        <f t="shared" si="10"/>
        <v>1432.8400000000001</v>
      </c>
      <c r="M73" s="89">
        <f t="shared" si="10"/>
        <v>1465.74</v>
      </c>
      <c r="N73" s="89">
        <f t="shared" si="10"/>
        <v>1420.14</v>
      </c>
      <c r="O73" s="89">
        <f t="shared" si="10"/>
        <v>1322.04</v>
      </c>
      <c r="P73" s="89">
        <f t="shared" si="10"/>
        <v>1238.54</v>
      </c>
      <c r="Q73" s="89">
        <f t="shared" si="10"/>
        <v>1199.04</v>
      </c>
      <c r="R73" s="89">
        <f t="shared" si="10"/>
        <v>1179.74</v>
      </c>
      <c r="S73" s="89">
        <f t="shared" si="10"/>
        <v>1213.04</v>
      </c>
      <c r="T73" s="89">
        <f t="shared" si="10"/>
        <v>1225.44</v>
      </c>
      <c r="U73" s="89">
        <f t="shared" si="10"/>
        <v>1233.44</v>
      </c>
      <c r="V73" s="89">
        <f t="shared" si="10"/>
        <v>1222.44</v>
      </c>
      <c r="W73" s="89">
        <f t="shared" si="10"/>
        <v>1247.74</v>
      </c>
      <c r="X73" s="89">
        <f t="shared" si="10"/>
        <v>1271.04</v>
      </c>
      <c r="Y73" s="89">
        <f t="shared" si="10"/>
        <v>1475.44</v>
      </c>
      <c r="Z73" s="89">
        <f t="shared" si="10"/>
        <v>1523.14</v>
      </c>
      <c r="AA73" s="89">
        <f t="shared" si="10"/>
        <v>1505.44</v>
      </c>
      <c r="AB73" s="89">
        <f t="shared" si="10"/>
        <v>1359.3400000000001</v>
      </c>
      <c r="AC73" s="89">
        <f t="shared" si="10"/>
        <v>1321.04</v>
      </c>
      <c r="AD73" s="89">
        <f t="shared" si="10"/>
        <v>1274.94</v>
      </c>
      <c r="AE73" s="89">
        <f t="shared" si="10"/>
        <v>1078.1399999999999</v>
      </c>
      <c r="AF73" s="89">
        <f t="shared" si="10"/>
        <v>990.54000000000008</v>
      </c>
      <c r="AG73" s="89">
        <f t="shared" si="10"/>
        <v>2144.14</v>
      </c>
      <c r="AH73" s="54">
        <f t="shared" si="2"/>
        <v>1523.14</v>
      </c>
      <c r="AI73" s="55">
        <f t="shared" si="3"/>
        <v>867.83999999999992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v>944.13999999999987</v>
      </c>
      <c r="C75" s="89">
        <f>C73+C74</f>
        <v>910.93999999999994</v>
      </c>
      <c r="D75" s="89">
        <f t="shared" ref="D75:AF75" si="11">D72+D68+D56+D52+D38+D74</f>
        <v>867.83999999999992</v>
      </c>
      <c r="E75" s="89">
        <f t="shared" si="11"/>
        <v>882.14</v>
      </c>
      <c r="F75" s="89">
        <f t="shared" si="11"/>
        <v>871.94</v>
      </c>
      <c r="G75" s="89">
        <f t="shared" si="11"/>
        <v>931.04</v>
      </c>
      <c r="H75" s="89">
        <f t="shared" si="11"/>
        <v>1017.94</v>
      </c>
      <c r="I75" s="89">
        <f t="shared" si="11"/>
        <v>1122.44</v>
      </c>
      <c r="J75" s="89">
        <f t="shared" si="11"/>
        <v>1257.54</v>
      </c>
      <c r="K75" s="89">
        <f t="shared" si="11"/>
        <v>1359.94</v>
      </c>
      <c r="L75" s="89">
        <f t="shared" si="11"/>
        <v>1432.8400000000001</v>
      </c>
      <c r="M75" s="89">
        <f t="shared" si="11"/>
        <v>1465.74</v>
      </c>
      <c r="N75" s="89">
        <f t="shared" si="11"/>
        <v>1420.14</v>
      </c>
      <c r="O75" s="89">
        <f t="shared" si="11"/>
        <v>1322.04</v>
      </c>
      <c r="P75" s="89">
        <f t="shared" si="11"/>
        <v>1238.54</v>
      </c>
      <c r="Q75" s="89">
        <f t="shared" si="11"/>
        <v>1199.04</v>
      </c>
      <c r="R75" s="89">
        <f t="shared" si="11"/>
        <v>1179.74</v>
      </c>
      <c r="S75" s="89">
        <f t="shared" si="11"/>
        <v>1213.04</v>
      </c>
      <c r="T75" s="89">
        <f t="shared" si="11"/>
        <v>1225.44</v>
      </c>
      <c r="U75" s="89">
        <f t="shared" si="11"/>
        <v>1233.44</v>
      </c>
      <c r="V75" s="89">
        <f t="shared" si="11"/>
        <v>1222.44</v>
      </c>
      <c r="W75" s="89">
        <f t="shared" si="11"/>
        <v>1247.74</v>
      </c>
      <c r="X75" s="89">
        <f t="shared" si="11"/>
        <v>1271.04</v>
      </c>
      <c r="Y75" s="89">
        <f t="shared" si="11"/>
        <v>1475.44</v>
      </c>
      <c r="Z75" s="89">
        <f t="shared" si="11"/>
        <v>1523.14</v>
      </c>
      <c r="AA75" s="89">
        <f t="shared" si="11"/>
        <v>1505.44</v>
      </c>
      <c r="AB75" s="89">
        <f t="shared" si="11"/>
        <v>1359.3400000000001</v>
      </c>
      <c r="AC75" s="89">
        <f t="shared" si="11"/>
        <v>1321.04</v>
      </c>
      <c r="AD75" s="89">
        <f t="shared" si="11"/>
        <v>1274.94</v>
      </c>
      <c r="AE75" s="89">
        <f t="shared" si="11"/>
        <v>1078.1399999999999</v>
      </c>
      <c r="AF75" s="89">
        <f t="shared" si="11"/>
        <v>990.54000000000008</v>
      </c>
      <c r="AG75" s="78">
        <f>AG72+AG68+AG56+AG52+AG38+AG74</f>
        <v>2144.14</v>
      </c>
      <c r="AH75" s="54">
        <f t="shared" si="2"/>
        <v>1523.14</v>
      </c>
      <c r="AI75" s="55">
        <f t="shared" si="3"/>
        <v>867.83999999999992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v>1888.2799999999997</v>
      </c>
      <c r="C83" s="72">
        <f t="shared" ref="C83:AG83" si="20">SUM(C70:C82)</f>
        <v>1821.8799999999999</v>
      </c>
      <c r="D83" s="72">
        <f t="shared" si="20"/>
        <v>1735.6799999999998</v>
      </c>
      <c r="E83" s="72">
        <f t="shared" si="20"/>
        <v>1764.28</v>
      </c>
      <c r="F83" s="72">
        <f t="shared" si="20"/>
        <v>1743.88</v>
      </c>
      <c r="G83" s="72">
        <f t="shared" si="20"/>
        <v>1862.08</v>
      </c>
      <c r="H83" s="72">
        <f t="shared" si="20"/>
        <v>2035.88</v>
      </c>
      <c r="I83" s="72">
        <f t="shared" si="20"/>
        <v>2244.88</v>
      </c>
      <c r="J83" s="72">
        <f t="shared" si="20"/>
        <v>2515.08</v>
      </c>
      <c r="K83" s="72">
        <f t="shared" si="20"/>
        <v>2719.88</v>
      </c>
      <c r="L83" s="72">
        <f t="shared" si="20"/>
        <v>2865.6800000000003</v>
      </c>
      <c r="M83" s="72">
        <f t="shared" si="20"/>
        <v>2931.48</v>
      </c>
      <c r="N83" s="72">
        <f t="shared" si="20"/>
        <v>2840.28</v>
      </c>
      <c r="O83" s="72">
        <f t="shared" si="20"/>
        <v>2644.08</v>
      </c>
      <c r="P83" s="72">
        <f t="shared" si="20"/>
        <v>2477.08</v>
      </c>
      <c r="Q83" s="72">
        <f t="shared" si="20"/>
        <v>2398.08</v>
      </c>
      <c r="R83" s="72">
        <f t="shared" si="20"/>
        <v>2359.48</v>
      </c>
      <c r="S83" s="72">
        <f t="shared" si="20"/>
        <v>2426.08</v>
      </c>
      <c r="T83" s="72">
        <f t="shared" si="20"/>
        <v>2450.88</v>
      </c>
      <c r="U83" s="72">
        <f t="shared" si="20"/>
        <v>2466.88</v>
      </c>
      <c r="V83" s="72">
        <f t="shared" si="20"/>
        <v>2444.88</v>
      </c>
      <c r="W83" s="72">
        <f t="shared" si="20"/>
        <v>2495.48</v>
      </c>
      <c r="X83" s="72">
        <f t="shared" si="20"/>
        <v>2542.08</v>
      </c>
      <c r="Y83" s="72">
        <f t="shared" si="20"/>
        <v>2950.88</v>
      </c>
      <c r="Z83" s="72">
        <f t="shared" si="20"/>
        <v>3046.28</v>
      </c>
      <c r="AA83" s="72">
        <f t="shared" si="20"/>
        <v>3010.88</v>
      </c>
      <c r="AB83" s="72">
        <f t="shared" si="20"/>
        <v>2718.6800000000003</v>
      </c>
      <c r="AC83" s="72">
        <f t="shared" si="20"/>
        <v>2642.08</v>
      </c>
      <c r="AD83" s="72">
        <f t="shared" si="20"/>
        <v>2549.88</v>
      </c>
      <c r="AE83" s="72">
        <f t="shared" si="20"/>
        <v>2156.2799999999997</v>
      </c>
      <c r="AF83" s="72">
        <f t="shared" si="20"/>
        <v>1981.0800000000002</v>
      </c>
      <c r="AG83" s="78">
        <f t="shared" si="20"/>
        <v>4360.08</v>
      </c>
      <c r="AH83" s="54">
        <f t="shared" si="13"/>
        <v>3046.28</v>
      </c>
      <c r="AI83" s="55">
        <f t="shared" si="14"/>
        <v>1735.6799999999998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49.95</v>
      </c>
      <c r="C84" s="95">
        <v>50</v>
      </c>
      <c r="D84" s="95">
        <v>50.07</v>
      </c>
      <c r="E84" s="96">
        <v>50.045999999999999</v>
      </c>
      <c r="F84" s="96">
        <v>49.970999999999997</v>
      </c>
      <c r="G84" s="96">
        <v>50.024000000000001</v>
      </c>
      <c r="H84" s="96">
        <v>50.02</v>
      </c>
      <c r="I84" s="96">
        <v>49.993000000000002</v>
      </c>
      <c r="J84" s="96">
        <v>50.081000000000003</v>
      </c>
      <c r="K84" s="96">
        <v>50.082999999999998</v>
      </c>
      <c r="L84" s="96">
        <v>50.037999999999997</v>
      </c>
      <c r="M84" s="96">
        <v>50.061999999999998</v>
      </c>
      <c r="N84" s="96">
        <v>49.973999999999997</v>
      </c>
      <c r="O84" s="96">
        <v>50.048999999999999</v>
      </c>
      <c r="P84" s="96">
        <v>50.08</v>
      </c>
      <c r="Q84" s="96">
        <v>50.04</v>
      </c>
      <c r="R84" s="96">
        <v>49.966999999999999</v>
      </c>
      <c r="S84" s="96">
        <v>50.06</v>
      </c>
      <c r="T84" s="96">
        <v>50</v>
      </c>
      <c r="U84" s="96">
        <v>49.97</v>
      </c>
      <c r="V84" s="96">
        <v>49.98</v>
      </c>
      <c r="W84" s="96">
        <v>49.97</v>
      </c>
      <c r="X84" s="96">
        <v>50.03</v>
      </c>
      <c r="Y84" s="96">
        <v>49.95</v>
      </c>
      <c r="Z84" s="96">
        <v>49.94</v>
      </c>
      <c r="AA84" s="96">
        <v>49.95</v>
      </c>
      <c r="AB84" s="96">
        <v>49.951000000000001</v>
      </c>
      <c r="AC84" s="96">
        <v>49.95</v>
      </c>
      <c r="AD84" s="96">
        <v>49.953000000000003</v>
      </c>
      <c r="AE84" s="96">
        <v>50.069000000000003</v>
      </c>
      <c r="AF84" s="96">
        <v>50.006999999999998</v>
      </c>
      <c r="AG84" s="97"/>
      <c r="AH84" s="54">
        <f t="shared" si="13"/>
        <v>50.082999999999998</v>
      </c>
      <c r="AI84" s="55">
        <f t="shared" si="14"/>
        <v>49.94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125.4</v>
      </c>
      <c r="C85" s="99">
        <v>128.19999999999999</v>
      </c>
      <c r="D85" s="99">
        <v>127.3</v>
      </c>
      <c r="E85" s="73">
        <v>125.2</v>
      </c>
      <c r="F85" s="73">
        <v>128.6</v>
      </c>
      <c r="G85" s="73">
        <v>126.1</v>
      </c>
      <c r="H85" s="73">
        <v>128.5</v>
      </c>
      <c r="I85" s="73">
        <v>126</v>
      </c>
      <c r="J85" s="73">
        <v>125.6</v>
      </c>
      <c r="K85" s="73">
        <v>124.5</v>
      </c>
      <c r="L85" s="73">
        <v>123.9</v>
      </c>
      <c r="M85" s="73">
        <v>123.2</v>
      </c>
      <c r="N85" s="73">
        <v>123.7</v>
      </c>
      <c r="O85" s="73">
        <v>122.7</v>
      </c>
      <c r="P85" s="73">
        <v>124.9</v>
      </c>
      <c r="Q85" s="73">
        <v>127.1</v>
      </c>
      <c r="R85" s="73">
        <v>123.2</v>
      </c>
      <c r="S85" s="73">
        <v>123.2</v>
      </c>
      <c r="T85" s="73">
        <v>123.6</v>
      </c>
      <c r="U85" s="100">
        <v>124</v>
      </c>
      <c r="V85" s="100">
        <v>124</v>
      </c>
      <c r="W85" s="100">
        <v>124</v>
      </c>
      <c r="X85" s="100">
        <v>125</v>
      </c>
      <c r="Y85" s="100">
        <v>125</v>
      </c>
      <c r="Z85" s="100">
        <v>126.8</v>
      </c>
      <c r="AA85" s="100">
        <v>125</v>
      </c>
      <c r="AB85" s="73">
        <v>127.5</v>
      </c>
      <c r="AC85" s="73">
        <v>127.3</v>
      </c>
      <c r="AD85" s="73">
        <v>125.6</v>
      </c>
      <c r="AE85" s="73">
        <v>127.5</v>
      </c>
      <c r="AF85" s="73">
        <v>126.3</v>
      </c>
      <c r="AG85" s="101"/>
      <c r="AH85" s="54">
        <f t="shared" si="13"/>
        <v>128.6</v>
      </c>
      <c r="AI85" s="55">
        <f t="shared" si="14"/>
        <v>122.7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129.9</v>
      </c>
      <c r="C86" s="99">
        <v>131.69999999999999</v>
      </c>
      <c r="D86" s="99">
        <v>131.4</v>
      </c>
      <c r="E86" s="73">
        <v>130.19999999999999</v>
      </c>
      <c r="F86" s="73">
        <v>132.19999999999999</v>
      </c>
      <c r="G86" s="73">
        <v>130.4</v>
      </c>
      <c r="H86" s="73">
        <v>131.4</v>
      </c>
      <c r="I86" s="73">
        <v>129.5</v>
      </c>
      <c r="J86" s="73">
        <v>127.7</v>
      </c>
      <c r="K86" s="73">
        <v>127.1</v>
      </c>
      <c r="L86" s="73">
        <v>126.3</v>
      </c>
      <c r="M86" s="73">
        <v>125.9</v>
      </c>
      <c r="N86" s="73">
        <v>126.2</v>
      </c>
      <c r="O86" s="73">
        <v>125.2</v>
      </c>
      <c r="P86" s="73">
        <v>126.9</v>
      </c>
      <c r="Q86" s="73">
        <v>128.69999999999999</v>
      </c>
      <c r="R86" s="73">
        <v>126.1</v>
      </c>
      <c r="S86" s="73">
        <v>126.1</v>
      </c>
      <c r="T86" s="73">
        <v>125</v>
      </c>
      <c r="U86" s="100">
        <v>126</v>
      </c>
      <c r="V86" s="100">
        <v>126</v>
      </c>
      <c r="W86" s="100">
        <v>126</v>
      </c>
      <c r="X86" s="100">
        <v>127</v>
      </c>
      <c r="Y86" s="100">
        <v>127</v>
      </c>
      <c r="Z86" s="100">
        <v>129</v>
      </c>
      <c r="AA86" s="100">
        <v>127</v>
      </c>
      <c r="AB86" s="73">
        <v>130.30000000000001</v>
      </c>
      <c r="AC86" s="73">
        <v>130.69999999999999</v>
      </c>
      <c r="AD86" s="73">
        <v>129</v>
      </c>
      <c r="AE86" s="73">
        <v>130.6</v>
      </c>
      <c r="AF86" s="73">
        <v>129.69999999999999</v>
      </c>
      <c r="AG86" s="101"/>
      <c r="AH86" s="54">
        <f t="shared" si="13"/>
        <v>132.19999999999999</v>
      </c>
      <c r="AI86" s="55">
        <f t="shared" si="14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130.5</v>
      </c>
      <c r="C87" s="99">
        <v>130</v>
      </c>
      <c r="D87" s="99">
        <v>131.69999999999999</v>
      </c>
      <c r="E87" s="73">
        <v>131.6</v>
      </c>
      <c r="F87" s="73">
        <v>129.69999999999999</v>
      </c>
      <c r="G87" s="73">
        <v>128</v>
      </c>
      <c r="H87" s="73">
        <v>128.19999999999999</v>
      </c>
      <c r="I87" s="73">
        <v>130.4</v>
      </c>
      <c r="J87" s="73">
        <v>128</v>
      </c>
      <c r="K87" s="73">
        <v>128.19999999999999</v>
      </c>
      <c r="L87" s="73">
        <v>122.7</v>
      </c>
      <c r="M87" s="73">
        <v>125</v>
      </c>
      <c r="N87" s="73">
        <v>122</v>
      </c>
      <c r="O87" s="73">
        <v>126.2</v>
      </c>
      <c r="P87" s="73">
        <v>130.30000000000001</v>
      </c>
      <c r="Q87" s="73">
        <v>130</v>
      </c>
      <c r="R87" s="73">
        <v>129.80000000000001</v>
      </c>
      <c r="S87" s="73">
        <v>129.80000000000001</v>
      </c>
      <c r="T87" s="73">
        <v>129</v>
      </c>
      <c r="U87" s="73">
        <v>130</v>
      </c>
      <c r="V87" s="73">
        <v>128</v>
      </c>
      <c r="W87" s="73">
        <v>128.5</v>
      </c>
      <c r="X87" s="100">
        <v>128</v>
      </c>
      <c r="Y87" s="100">
        <v>127</v>
      </c>
      <c r="Z87" s="100">
        <v>129</v>
      </c>
      <c r="AA87" s="100">
        <v>127</v>
      </c>
      <c r="AB87" s="73">
        <v>130.4</v>
      </c>
      <c r="AC87" s="73">
        <v>131.6</v>
      </c>
      <c r="AD87" s="73">
        <v>130.80000000000001</v>
      </c>
      <c r="AE87" s="73">
        <v>129.6</v>
      </c>
      <c r="AF87" s="73">
        <v>126.5</v>
      </c>
      <c r="AG87" s="101"/>
      <c r="AH87" s="54">
        <f t="shared" si="13"/>
        <v>131.69999999999999</v>
      </c>
      <c r="AI87" s="55">
        <f t="shared" si="14"/>
        <v>122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132.5</v>
      </c>
      <c r="C88" s="99">
        <v>131.69999999999999</v>
      </c>
      <c r="D88" s="99">
        <v>133.4</v>
      </c>
      <c r="E88" s="73">
        <v>133.6</v>
      </c>
      <c r="F88" s="73">
        <v>131.4</v>
      </c>
      <c r="G88" s="73">
        <v>129.80000000000001</v>
      </c>
      <c r="H88" s="73">
        <v>129.69999999999999</v>
      </c>
      <c r="I88" s="73">
        <v>134.5</v>
      </c>
      <c r="J88" s="73">
        <v>130.9</v>
      </c>
      <c r="K88" s="73">
        <v>130.9</v>
      </c>
      <c r="L88" s="73">
        <v>125.2</v>
      </c>
      <c r="M88" s="73">
        <v>127</v>
      </c>
      <c r="N88" s="73">
        <v>124.7</v>
      </c>
      <c r="O88" s="73">
        <v>129</v>
      </c>
      <c r="P88" s="73">
        <v>133.30000000000001</v>
      </c>
      <c r="Q88" s="73">
        <v>133.1</v>
      </c>
      <c r="R88" s="73">
        <v>133.30000000000001</v>
      </c>
      <c r="S88" s="73">
        <v>133.30000000000001</v>
      </c>
      <c r="T88" s="73">
        <v>132</v>
      </c>
      <c r="U88" s="73">
        <v>132</v>
      </c>
      <c r="V88" s="73">
        <v>131</v>
      </c>
      <c r="W88" s="73">
        <v>131</v>
      </c>
      <c r="X88" s="100">
        <v>131</v>
      </c>
      <c r="Y88" s="100">
        <v>130</v>
      </c>
      <c r="Z88" s="100">
        <v>131.9</v>
      </c>
      <c r="AA88" s="100">
        <v>130</v>
      </c>
      <c r="AB88" s="73">
        <v>133.30000000000001</v>
      </c>
      <c r="AC88" s="73">
        <v>134.80000000000001</v>
      </c>
      <c r="AD88" s="73">
        <v>134.80000000000001</v>
      </c>
      <c r="AE88" s="73">
        <v>134.5</v>
      </c>
      <c r="AF88" s="73">
        <v>129.9</v>
      </c>
      <c r="AG88" s="101"/>
      <c r="AH88" s="54">
        <f t="shared" si="13"/>
        <v>134.80000000000001</v>
      </c>
      <c r="AI88" s="55">
        <f t="shared" si="14"/>
        <v>124.7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126</v>
      </c>
      <c r="C89" s="103">
        <v>134.1</v>
      </c>
      <c r="D89" s="103">
        <v>132.6</v>
      </c>
      <c r="E89" s="104">
        <v>131.1</v>
      </c>
      <c r="F89" s="104">
        <v>135.5</v>
      </c>
      <c r="G89" s="104">
        <v>132.6</v>
      </c>
      <c r="H89" s="104">
        <v>134.4</v>
      </c>
      <c r="I89" s="104">
        <v>135.80000000000001</v>
      </c>
      <c r="J89" s="104">
        <v>133</v>
      </c>
      <c r="K89" s="104">
        <v>135.6</v>
      </c>
      <c r="L89" s="104">
        <v>134.9</v>
      </c>
      <c r="M89" s="104">
        <v>134.6</v>
      </c>
      <c r="N89" s="104">
        <v>135.19999999999999</v>
      </c>
      <c r="O89" s="104">
        <v>135.30000000000001</v>
      </c>
      <c r="P89" s="104">
        <v>133.30000000000001</v>
      </c>
      <c r="Q89" s="104">
        <v>136.19999999999999</v>
      </c>
      <c r="R89" s="104">
        <v>133.9</v>
      </c>
      <c r="S89" s="104">
        <v>133.9</v>
      </c>
      <c r="T89" s="104">
        <v>132.6</v>
      </c>
      <c r="U89" s="104">
        <v>133</v>
      </c>
      <c r="V89" s="104">
        <v>133</v>
      </c>
      <c r="W89" s="104">
        <v>133.6</v>
      </c>
      <c r="X89" s="100">
        <v>136</v>
      </c>
      <c r="Y89" s="100">
        <v>133</v>
      </c>
      <c r="Z89" s="100">
        <v>136</v>
      </c>
      <c r="AA89" s="100">
        <v>133</v>
      </c>
      <c r="AB89" s="104">
        <v>134.30000000000001</v>
      </c>
      <c r="AC89" s="104">
        <v>134.30000000000001</v>
      </c>
      <c r="AD89" s="104">
        <v>133.5</v>
      </c>
      <c r="AE89" s="104">
        <v>132</v>
      </c>
      <c r="AF89" s="104">
        <v>128.80000000000001</v>
      </c>
      <c r="AG89" s="105"/>
      <c r="AH89" s="54">
        <f t="shared" si="13"/>
        <v>136.19999999999999</v>
      </c>
      <c r="AI89" s="55">
        <f t="shared" si="14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135.5</v>
      </c>
      <c r="C90" s="99">
        <v>138</v>
      </c>
      <c r="D90" s="99">
        <v>139.1</v>
      </c>
      <c r="E90" s="73">
        <v>139.30000000000001</v>
      </c>
      <c r="F90" s="73">
        <v>139.9</v>
      </c>
      <c r="G90" s="73">
        <v>137.80000000000001</v>
      </c>
      <c r="H90" s="73">
        <v>135.69999999999999</v>
      </c>
      <c r="I90" s="73">
        <v>135.80000000000001</v>
      </c>
      <c r="J90" s="73">
        <v>135.69999999999999</v>
      </c>
      <c r="K90" s="73">
        <v>134.6</v>
      </c>
      <c r="L90" s="73">
        <v>131.69999999999999</v>
      </c>
      <c r="M90" s="73">
        <v>127.6</v>
      </c>
      <c r="N90" s="73">
        <v>130</v>
      </c>
      <c r="O90" s="73">
        <v>132.80000000000001</v>
      </c>
      <c r="P90" s="73">
        <v>133.1</v>
      </c>
      <c r="Q90" s="73">
        <v>133.4</v>
      </c>
      <c r="R90" s="73">
        <v>134.19999999999999</v>
      </c>
      <c r="S90" s="73">
        <v>134.19999999999999</v>
      </c>
      <c r="T90" s="73">
        <v>132</v>
      </c>
      <c r="U90" s="73">
        <v>133.5</v>
      </c>
      <c r="V90" s="73">
        <v>135</v>
      </c>
      <c r="W90" s="73">
        <v>136</v>
      </c>
      <c r="X90" s="100">
        <v>136</v>
      </c>
      <c r="Y90" s="100">
        <v>133</v>
      </c>
      <c r="Z90" s="100">
        <v>131</v>
      </c>
      <c r="AA90" s="100">
        <v>133</v>
      </c>
      <c r="AB90" s="73">
        <v>134.69999999999999</v>
      </c>
      <c r="AC90" s="73">
        <v>132.4</v>
      </c>
      <c r="AD90" s="73">
        <v>132.30000000000001</v>
      </c>
      <c r="AE90" s="73">
        <v>135.6</v>
      </c>
      <c r="AF90" s="73">
        <v>135</v>
      </c>
      <c r="AG90" s="101"/>
      <c r="AH90" s="54">
        <f t="shared" si="13"/>
        <v>139.9</v>
      </c>
      <c r="AI90" s="55">
        <f t="shared" si="14"/>
        <v>127.6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65.7</v>
      </c>
      <c r="C91" s="106">
        <v>66.599999999999994</v>
      </c>
      <c r="D91" s="106">
        <v>66.5</v>
      </c>
      <c r="E91" s="107">
        <v>66</v>
      </c>
      <c r="F91" s="107">
        <v>66.900000000000006</v>
      </c>
      <c r="G91" s="107">
        <v>65.900000000000006</v>
      </c>
      <c r="H91" s="107">
        <v>64.400000000000006</v>
      </c>
      <c r="I91" s="107">
        <v>65.3</v>
      </c>
      <c r="J91" s="107">
        <v>64.3</v>
      </c>
      <c r="K91" s="107">
        <v>64.2</v>
      </c>
      <c r="L91" s="107">
        <v>63.7</v>
      </c>
      <c r="M91" s="107">
        <v>63.6</v>
      </c>
      <c r="N91" s="107">
        <v>63.7</v>
      </c>
      <c r="O91" s="107">
        <v>63.1</v>
      </c>
      <c r="P91" s="107">
        <v>63.8</v>
      </c>
      <c r="Q91" s="107">
        <v>64.599999999999994</v>
      </c>
      <c r="R91" s="107">
        <v>63.4</v>
      </c>
      <c r="S91" s="107">
        <v>63.4</v>
      </c>
      <c r="T91" s="107">
        <v>63</v>
      </c>
      <c r="U91" s="107">
        <v>63</v>
      </c>
      <c r="V91" s="107">
        <v>63.3</v>
      </c>
      <c r="W91" s="107">
        <v>63.6</v>
      </c>
      <c r="X91" s="107">
        <v>63.6</v>
      </c>
      <c r="Y91" s="107">
        <v>64.5</v>
      </c>
      <c r="Z91" s="107">
        <v>64.900000000000006</v>
      </c>
      <c r="AA91" s="107">
        <v>64.5</v>
      </c>
      <c r="AB91" s="107">
        <v>66.3</v>
      </c>
      <c r="AC91" s="107">
        <v>65.900000000000006</v>
      </c>
      <c r="AD91" s="107">
        <v>65.400000000000006</v>
      </c>
      <c r="AE91" s="107">
        <v>65.900000000000006</v>
      </c>
      <c r="AF91" s="107">
        <v>65.7</v>
      </c>
      <c r="AG91" s="108"/>
      <c r="AH91" s="54">
        <f t="shared" si="13"/>
        <v>66.900000000000006</v>
      </c>
      <c r="AI91" s="55">
        <f t="shared" si="14"/>
        <v>63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v>212.14</v>
      </c>
      <c r="C93" s="114">
        <f>SUM(C15,C18,C21:C22,C42,C44:C45,C47,C49,C94:C97,C102,C108,C114,C123,C125,C137,C144,C147:C148,C155,C157,C159,C163:C165,C167:C169,C174,C180:C181,C183:C185,C193,C198)</f>
        <v>174.93999999999997</v>
      </c>
      <c r="D93" s="114">
        <f t="shared" ref="D93:AF93" si="21">SUM(D15,D18,D21:D22,D42,D44:D45,D47,D49,D94:D97,D102,D108,D114,D123,D125,D137,D144,D147:D148,D155,D157,D159,D163:D165,D167:D169,D174,D180:D181,D183:D185,D193,D198)</f>
        <v>166.83999999999997</v>
      </c>
      <c r="E93" s="114">
        <f t="shared" si="21"/>
        <v>168.14</v>
      </c>
      <c r="F93" s="114">
        <f t="shared" si="21"/>
        <v>163.54</v>
      </c>
      <c r="G93" s="113">
        <f t="shared" si="21"/>
        <v>192.14</v>
      </c>
      <c r="H93" s="113">
        <f t="shared" si="21"/>
        <v>222.53999999999996</v>
      </c>
      <c r="I93" s="113">
        <f t="shared" si="21"/>
        <v>247.14</v>
      </c>
      <c r="J93" s="113">
        <f t="shared" si="21"/>
        <v>296.94</v>
      </c>
      <c r="K93" s="113">
        <f t="shared" si="21"/>
        <v>345.84000000000003</v>
      </c>
      <c r="L93" s="113">
        <f t="shared" si="21"/>
        <v>382.14000000000004</v>
      </c>
      <c r="M93" s="113">
        <f t="shared" si="21"/>
        <v>388.24000000000007</v>
      </c>
      <c r="N93" s="113">
        <f t="shared" si="21"/>
        <v>371.34000000000003</v>
      </c>
      <c r="O93" s="113">
        <f t="shared" si="21"/>
        <v>360.84000000000003</v>
      </c>
      <c r="P93" s="113">
        <f t="shared" si="21"/>
        <v>333.24</v>
      </c>
      <c r="Q93" s="113">
        <f t="shared" si="21"/>
        <v>315.94000000000005</v>
      </c>
      <c r="R93" s="113">
        <f t="shared" si="21"/>
        <v>311.04000000000002</v>
      </c>
      <c r="S93" s="113">
        <f t="shared" si="21"/>
        <v>308.64000000000004</v>
      </c>
      <c r="T93" s="113">
        <f t="shared" si="21"/>
        <v>306.54000000000002</v>
      </c>
      <c r="U93" s="113">
        <f t="shared" si="21"/>
        <v>299.54000000000002</v>
      </c>
      <c r="V93" s="113">
        <f>SUM(V15,V18,V21:V22,V42,V44:V45,V47,V49,V94:V97,V102,V108,V114,V123,V125,V137,V144,V147:V148,V155,V157,V159,V163:V165,V167:V169,V174,V180:V181,V183:V185,V193,V198)</f>
        <v>298.54000000000002</v>
      </c>
      <c r="W93" s="113">
        <f>SUM(W15,W18,W21:W22,W42,W44:W45,W47,W49,W94:W97,W102,W108,W114,W123,W125,W137,W144,W147:W148,W155,W157,W159,W163:W165,W167:W169,W174,W180:W181,W183:W185,W193,W198)</f>
        <v>340.94000000000005</v>
      </c>
      <c r="X93" s="113">
        <f t="shared" si="21"/>
        <v>358.54</v>
      </c>
      <c r="Y93" s="113">
        <f t="shared" si="21"/>
        <v>407.54</v>
      </c>
      <c r="Z93" s="113">
        <f t="shared" si="21"/>
        <v>417.84000000000003</v>
      </c>
      <c r="AA93" s="113">
        <f t="shared" si="21"/>
        <v>407.54</v>
      </c>
      <c r="AB93" s="113">
        <f t="shared" si="21"/>
        <v>377.94000000000005</v>
      </c>
      <c r="AC93" s="113">
        <f t="shared" si="21"/>
        <v>356.94000000000005</v>
      </c>
      <c r="AD93" s="113">
        <f t="shared" si="21"/>
        <v>339.34000000000003</v>
      </c>
      <c r="AE93" s="113">
        <f t="shared" si="21"/>
        <v>259.6400000000001</v>
      </c>
      <c r="AF93" s="113">
        <f t="shared" si="21"/>
        <v>213.83999999999997</v>
      </c>
      <c r="AG93" s="115"/>
      <c r="AH93" s="54">
        <f>MAX(C93:AF93)</f>
        <v>417.84000000000003</v>
      </c>
      <c r="AI93" s="55">
        <f>MIN(C93:AF93)</f>
        <v>163.54</v>
      </c>
    </row>
    <row r="94" spans="1:88" x14ac:dyDescent="0.25">
      <c r="A94" s="116" t="s">
        <v>98</v>
      </c>
      <c r="B94" s="117">
        <v>-11.3</v>
      </c>
      <c r="C94" s="117">
        <v>-16.399999999999999</v>
      </c>
      <c r="D94" s="117">
        <v>-18.3</v>
      </c>
      <c r="E94" s="58">
        <v>-19.5</v>
      </c>
      <c r="F94" s="58">
        <v>-6.8</v>
      </c>
      <c r="G94" s="118">
        <v>-11.3</v>
      </c>
      <c r="H94" s="118">
        <v>-1.9</v>
      </c>
      <c r="I94" s="118">
        <v>-1.6</v>
      </c>
      <c r="J94" s="118">
        <v>21.7</v>
      </c>
      <c r="K94" s="118">
        <v>50.5</v>
      </c>
      <c r="L94" s="118">
        <v>58.7</v>
      </c>
      <c r="M94" s="119">
        <v>58.7</v>
      </c>
      <c r="N94" s="118">
        <v>53.9</v>
      </c>
      <c r="O94" s="118">
        <v>46.5</v>
      </c>
      <c r="P94" s="118">
        <v>37.1</v>
      </c>
      <c r="Q94" s="118">
        <v>37</v>
      </c>
      <c r="R94" s="118">
        <v>24.6</v>
      </c>
      <c r="S94" s="118">
        <v>12.8</v>
      </c>
      <c r="T94" s="118">
        <v>20</v>
      </c>
      <c r="U94" s="119">
        <v>22</v>
      </c>
      <c r="V94" s="119">
        <v>29</v>
      </c>
      <c r="W94" s="119">
        <v>39</v>
      </c>
      <c r="X94" s="118">
        <v>65</v>
      </c>
      <c r="Y94" s="118">
        <v>55</v>
      </c>
      <c r="Z94" s="118">
        <v>61.2</v>
      </c>
      <c r="AA94" s="118">
        <v>55</v>
      </c>
      <c r="AB94" s="119">
        <v>33.6</v>
      </c>
      <c r="AC94" s="119">
        <v>35.200000000000003</v>
      </c>
      <c r="AD94" s="119">
        <v>27</v>
      </c>
      <c r="AE94" s="119">
        <v>0</v>
      </c>
      <c r="AF94" s="119">
        <v>-32.5</v>
      </c>
      <c r="AG94" s="120">
        <v>75</v>
      </c>
      <c r="AH94" s="54">
        <f t="shared" ref="AH94:AH99" si="22">IF(ABS(MAX(C94:AF94))&gt;ABS(MIN(C94:AF94)),MAX(C94:AF94),MIN(C94:AF94))</f>
        <v>65</v>
      </c>
      <c r="AI94" s="121">
        <f t="shared" ref="AI94:AI99" si="23">INDEX($C$9:$AF$9,1,MATCH(AH94,C94:AF94,0))</f>
        <v>0.75</v>
      </c>
    </row>
    <row r="95" spans="1:88" x14ac:dyDescent="0.25">
      <c r="A95" s="122" t="s">
        <v>99</v>
      </c>
      <c r="B95" s="123">
        <v>-37.400000000000006</v>
      </c>
      <c r="C95" s="123">
        <f>-23.3-26.1</f>
        <v>-49.400000000000006</v>
      </c>
      <c r="D95" s="123">
        <f>-25.5-28</f>
        <v>-53.5</v>
      </c>
      <c r="E95" s="60">
        <v>-57</v>
      </c>
      <c r="F95" s="60">
        <v>-55</v>
      </c>
      <c r="G95" s="60">
        <v>-42</v>
      </c>
      <c r="H95" s="60">
        <v>-17</v>
      </c>
      <c r="I95" s="60">
        <v>-13</v>
      </c>
      <c r="J95" s="60">
        <v>13</v>
      </c>
      <c r="K95" s="60">
        <v>40</v>
      </c>
      <c r="L95" s="60">
        <v>26</v>
      </c>
      <c r="M95" s="60">
        <v>29.6</v>
      </c>
      <c r="N95" s="60">
        <v>33</v>
      </c>
      <c r="O95" s="60">
        <v>40.700000000000003</v>
      </c>
      <c r="P95" s="60">
        <v>34</v>
      </c>
      <c r="Q95" s="60">
        <v>28.5</v>
      </c>
      <c r="R95" s="60">
        <v>38.299999999999997</v>
      </c>
      <c r="S95" s="60">
        <v>25.6</v>
      </c>
      <c r="T95" s="60">
        <v>46</v>
      </c>
      <c r="U95" s="60">
        <v>56</v>
      </c>
      <c r="V95" s="60">
        <v>45</v>
      </c>
      <c r="W95" s="60">
        <v>55</v>
      </c>
      <c r="X95" s="60">
        <v>40</v>
      </c>
      <c r="Y95" s="60">
        <v>69</v>
      </c>
      <c r="Z95" s="60">
        <v>65</v>
      </c>
      <c r="AA95" s="60">
        <v>69</v>
      </c>
      <c r="AB95" s="73">
        <v>48</v>
      </c>
      <c r="AC95" s="73">
        <v>37</v>
      </c>
      <c r="AD95" s="73">
        <v>46.8</v>
      </c>
      <c r="AE95" s="73">
        <v>7.6</v>
      </c>
      <c r="AF95" s="73">
        <v>-7</v>
      </c>
      <c r="AG95" s="120">
        <v>240</v>
      </c>
      <c r="AH95" s="54">
        <f t="shared" si="22"/>
        <v>69</v>
      </c>
      <c r="AI95" s="121">
        <f t="shared" si="23"/>
        <v>0.77083333333333337</v>
      </c>
    </row>
    <row r="96" spans="1:88" x14ac:dyDescent="0.25">
      <c r="A96" s="122" t="s">
        <v>100</v>
      </c>
      <c r="B96" s="123">
        <v>12.6</v>
      </c>
      <c r="C96" s="123">
        <v>12.5</v>
      </c>
      <c r="D96" s="123">
        <v>12.5</v>
      </c>
      <c r="E96" s="60">
        <v>11.5</v>
      </c>
      <c r="F96" s="60">
        <v>10.6</v>
      </c>
      <c r="G96" s="60">
        <v>10</v>
      </c>
      <c r="H96" s="60">
        <v>10</v>
      </c>
      <c r="I96" s="60">
        <v>9.9</v>
      </c>
      <c r="J96" s="60">
        <v>9.6999999999999993</v>
      </c>
      <c r="K96" s="60">
        <v>8.6</v>
      </c>
      <c r="L96" s="60">
        <v>37.4</v>
      </c>
      <c r="M96" s="60">
        <v>38</v>
      </c>
      <c r="N96" s="60">
        <v>33.799999999999997</v>
      </c>
      <c r="O96" s="60">
        <v>31.9</v>
      </c>
      <c r="P96" s="60">
        <v>26.2</v>
      </c>
      <c r="Q96" s="60">
        <v>20.6</v>
      </c>
      <c r="R96" s="60">
        <v>22</v>
      </c>
      <c r="S96" s="60">
        <v>17.2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49</v>
      </c>
      <c r="Z96" s="60">
        <v>53</v>
      </c>
      <c r="AA96" s="60">
        <v>49</v>
      </c>
      <c r="AB96" s="73">
        <v>32.700000000000003</v>
      </c>
      <c r="AC96" s="73">
        <v>28</v>
      </c>
      <c r="AD96" s="73">
        <v>21.2</v>
      </c>
      <c r="AE96" s="73">
        <v>5.2</v>
      </c>
      <c r="AF96" s="73">
        <v>0.1</v>
      </c>
      <c r="AG96" s="120">
        <v>60</v>
      </c>
      <c r="AH96" s="54">
        <f t="shared" si="22"/>
        <v>53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85.2</v>
      </c>
      <c r="C97" s="125">
        <v>71.599999999999994</v>
      </c>
      <c r="D97" s="125">
        <v>73.3</v>
      </c>
      <c r="E97" s="63">
        <v>79.599999999999994</v>
      </c>
      <c r="F97" s="63">
        <v>61.2</v>
      </c>
      <c r="G97" s="63">
        <v>81.7</v>
      </c>
      <c r="H97" s="63">
        <v>77.7</v>
      </c>
      <c r="I97" s="63">
        <v>92.3</v>
      </c>
      <c r="J97" s="63">
        <v>95.7</v>
      </c>
      <c r="K97" s="63">
        <v>91.6</v>
      </c>
      <c r="L97" s="63">
        <v>107.3</v>
      </c>
      <c r="M97" s="63">
        <v>108.9</v>
      </c>
      <c r="N97" s="63">
        <v>99.7</v>
      </c>
      <c r="O97" s="63">
        <v>90.8</v>
      </c>
      <c r="P97" s="63">
        <v>84.8</v>
      </c>
      <c r="Q97" s="63">
        <v>76.599999999999994</v>
      </c>
      <c r="R97" s="63">
        <v>73.5</v>
      </c>
      <c r="S97" s="63">
        <v>100.4</v>
      </c>
      <c r="T97" s="63">
        <v>92</v>
      </c>
      <c r="U97" s="63">
        <v>73</v>
      </c>
      <c r="V97" s="63">
        <v>74</v>
      </c>
      <c r="W97" s="63">
        <v>96</v>
      </c>
      <c r="X97" s="63">
        <v>103</v>
      </c>
      <c r="Y97" s="63">
        <v>84</v>
      </c>
      <c r="Z97" s="63">
        <v>88</v>
      </c>
      <c r="AA97" s="63">
        <v>84</v>
      </c>
      <c r="AB97" s="126">
        <v>113</v>
      </c>
      <c r="AC97" s="126">
        <v>106.1</v>
      </c>
      <c r="AD97" s="126">
        <v>91.9</v>
      </c>
      <c r="AE97" s="126">
        <v>91.9</v>
      </c>
      <c r="AF97" s="126">
        <v>96.5</v>
      </c>
      <c r="AG97" s="127">
        <v>120</v>
      </c>
      <c r="AH97" s="54">
        <f t="shared" si="22"/>
        <v>113</v>
      </c>
      <c r="AI97" s="121">
        <f t="shared" si="23"/>
        <v>0.83333333333333337</v>
      </c>
    </row>
    <row r="98" spans="1:37" x14ac:dyDescent="0.25">
      <c r="A98" s="124" t="s">
        <v>102</v>
      </c>
      <c r="B98" s="125">
        <v>88.6</v>
      </c>
      <c r="C98" s="125">
        <v>76.8</v>
      </c>
      <c r="D98" s="125">
        <v>80.2</v>
      </c>
      <c r="E98" s="63">
        <v>91.7</v>
      </c>
      <c r="F98" s="63">
        <v>68.2</v>
      </c>
      <c r="G98" s="63">
        <v>86.2</v>
      </c>
      <c r="H98" s="63">
        <v>68.900000000000006</v>
      </c>
      <c r="I98" s="63">
        <v>80.599999999999994</v>
      </c>
      <c r="J98" s="63">
        <v>81.3</v>
      </c>
      <c r="K98" s="63">
        <v>88.2</v>
      </c>
      <c r="L98" s="63">
        <v>71.8</v>
      </c>
      <c r="M98" s="63">
        <v>75.900000000000006</v>
      </c>
      <c r="N98" s="63">
        <v>78.5</v>
      </c>
      <c r="O98" s="63">
        <v>88.9</v>
      </c>
      <c r="P98" s="63">
        <v>79.7</v>
      </c>
      <c r="Q98" s="63">
        <v>73.2</v>
      </c>
      <c r="R98" s="63">
        <v>102.1</v>
      </c>
      <c r="S98" s="63">
        <v>85</v>
      </c>
      <c r="T98" s="63">
        <v>97</v>
      </c>
      <c r="U98" s="63">
        <v>97</v>
      </c>
      <c r="V98" s="63">
        <v>98</v>
      </c>
      <c r="W98" s="63">
        <v>87</v>
      </c>
      <c r="X98" s="63">
        <v>64</v>
      </c>
      <c r="Y98" s="63">
        <v>90</v>
      </c>
      <c r="Z98" s="63">
        <v>78</v>
      </c>
      <c r="AA98" s="63">
        <v>90</v>
      </c>
      <c r="AB98" s="126">
        <v>87.9</v>
      </c>
      <c r="AC98" s="126">
        <v>80</v>
      </c>
      <c r="AD98" s="126">
        <v>101.3</v>
      </c>
      <c r="AE98" s="126">
        <v>79.2</v>
      </c>
      <c r="AF98" s="126">
        <v>88.8</v>
      </c>
      <c r="AG98" s="127"/>
      <c r="AH98" s="54">
        <f t="shared" si="22"/>
        <v>102.1</v>
      </c>
      <c r="AI98" s="121">
        <f t="shared" si="23"/>
        <v>0.54166666666666696</v>
      </c>
    </row>
    <row r="99" spans="1:37" ht="15.75" thickBot="1" x14ac:dyDescent="0.3">
      <c r="A99" s="124" t="s">
        <v>103</v>
      </c>
      <c r="B99" s="125">
        <v>64.400000000000006</v>
      </c>
      <c r="C99" s="125">
        <v>67.599999999999994</v>
      </c>
      <c r="D99" s="125">
        <v>67.099999999999994</v>
      </c>
      <c r="E99" s="63">
        <v>67.5</v>
      </c>
      <c r="F99" s="63">
        <v>34.4</v>
      </c>
      <c r="G99" s="63">
        <v>40</v>
      </c>
      <c r="H99" s="63">
        <v>43.8</v>
      </c>
      <c r="I99" s="63">
        <v>42.8</v>
      </c>
      <c r="J99" s="63">
        <v>33.200000000000003</v>
      </c>
      <c r="K99" s="63">
        <v>19.399999999999999</v>
      </c>
      <c r="L99" s="63">
        <v>10.5</v>
      </c>
      <c r="M99" s="63">
        <v>11.9</v>
      </c>
      <c r="N99" s="63">
        <v>13.3</v>
      </c>
      <c r="O99" s="63">
        <v>12.5</v>
      </c>
      <c r="P99" s="63">
        <v>14</v>
      </c>
      <c r="Q99" s="63">
        <v>5.4</v>
      </c>
      <c r="R99" s="63">
        <v>15.7</v>
      </c>
      <c r="S99" s="63">
        <v>23.9</v>
      </c>
      <c r="T99" s="63">
        <v>20</v>
      </c>
      <c r="U99" s="63">
        <v>25</v>
      </c>
      <c r="V99" s="63">
        <v>19</v>
      </c>
      <c r="W99" s="63">
        <v>15</v>
      </c>
      <c r="X99" s="63">
        <v>3</v>
      </c>
      <c r="Y99" s="63">
        <v>11</v>
      </c>
      <c r="Z99" s="63">
        <v>16</v>
      </c>
      <c r="AA99" s="63">
        <v>11</v>
      </c>
      <c r="AB99" s="126">
        <v>54</v>
      </c>
      <c r="AC99" s="126">
        <v>53.7</v>
      </c>
      <c r="AD99" s="126">
        <v>51.7</v>
      </c>
      <c r="AE99" s="126">
        <v>57.9</v>
      </c>
      <c r="AF99" s="126">
        <v>73.3</v>
      </c>
      <c r="AG99" s="128"/>
      <c r="AH99" s="54">
        <f t="shared" si="22"/>
        <v>73.3</v>
      </c>
      <c r="AI99" s="121">
        <f t="shared" si="23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1465.74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15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2078/11/15)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2078/11/15)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944.13999999999987</v>
      </c>
      <c r="U213" s="174">
        <f t="shared" si="60"/>
        <v>910.93999999999994</v>
      </c>
      <c r="V213" s="174">
        <f t="shared" si="60"/>
        <v>867.83999999999992</v>
      </c>
      <c r="W213" s="174">
        <f t="shared" si="60"/>
        <v>882.14</v>
      </c>
      <c r="X213" s="174">
        <f t="shared" si="60"/>
        <v>871.94</v>
      </c>
      <c r="Y213" s="174">
        <f t="shared" si="60"/>
        <v>931.04</v>
      </c>
      <c r="Z213" s="174">
        <f t="shared" si="60"/>
        <v>1017.94</v>
      </c>
      <c r="AA213" s="174">
        <f t="shared" si="60"/>
        <v>1122.44</v>
      </c>
      <c r="AB213" s="174">
        <f t="shared" si="60"/>
        <v>1257.54</v>
      </c>
      <c r="AC213" s="174">
        <f t="shared" si="60"/>
        <v>1359.94</v>
      </c>
      <c r="AD213" s="174">
        <f t="shared" si="60"/>
        <v>1432.8400000000001</v>
      </c>
      <c r="AE213" s="174">
        <f t="shared" si="60"/>
        <v>1465.74</v>
      </c>
      <c r="AF213" s="174">
        <f t="shared" si="60"/>
        <v>1420.14</v>
      </c>
      <c r="AG213" s="174">
        <f t="shared" si="60"/>
        <v>1322.04</v>
      </c>
      <c r="AH213" s="174">
        <f t="shared" si="60"/>
        <v>1238.54</v>
      </c>
      <c r="AI213" s="174">
        <f t="shared" si="60"/>
        <v>1199.04</v>
      </c>
      <c r="AJ213" s="174">
        <f t="shared" si="60"/>
        <v>1179.74</v>
      </c>
      <c r="AK213" s="174">
        <f t="shared" si="60"/>
        <v>1213.04</v>
      </c>
      <c r="AL213" s="174">
        <f t="shared" si="60"/>
        <v>1225.44</v>
      </c>
      <c r="AM213" s="174">
        <f t="shared" si="60"/>
        <v>1233.44</v>
      </c>
      <c r="AN213" s="174">
        <f t="shared" si="60"/>
        <v>1222.44</v>
      </c>
      <c r="AO213" s="174">
        <f t="shared" si="60"/>
        <v>1247.74</v>
      </c>
      <c r="AP213" s="174">
        <f t="shared" si="60"/>
        <v>1271.04</v>
      </c>
      <c r="AQ213" s="174">
        <f t="shared" si="60"/>
        <v>1475.44</v>
      </c>
      <c r="AR213" s="174">
        <f t="shared" si="60"/>
        <v>1523.14</v>
      </c>
      <c r="AS213" s="174">
        <f t="shared" si="60"/>
        <v>1505.44</v>
      </c>
      <c r="AT213" s="174">
        <f t="shared" si="60"/>
        <v>1359.3400000000001</v>
      </c>
      <c r="AU213" s="174">
        <f t="shared" si="60"/>
        <v>1321.04</v>
      </c>
      <c r="AV213" s="174">
        <f t="shared" si="60"/>
        <v>1274.94</v>
      </c>
      <c r="AW213" s="174">
        <f t="shared" si="60"/>
        <v>1078.1399999999999</v>
      </c>
      <c r="AX213" s="174">
        <f t="shared" si="60"/>
        <v>990.54000000000008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P39:R39 M39:O42 E61:N61 O61:O67 P40:Q42 R42 R40:T41 M58:W59 U40:Y42 X85:Z91 AB81:AF81 B81:R81 C56:AF56 B82:AF83 D193:AF199 B193:B199 C68:AF72 AB84:AF91 M53:AF55 B73:AF80 B9:AF10 B191:AF191 AF57:AF67 B53:B72 AG73 AB94:AF99 U212:AF212 C53:D55 C57:D67 B84:D91 B94:D99 E62:E67 B36:L36 P60:R67 S40:S42 M11:AE11 N37:AD37 Z40:AE43 N45:AF48">
    <cfRule type="expression" dxfId="4690" priority="294">
      <formula>B$9&gt;=20/24</formula>
    </cfRule>
    <cfRule type="expression" dxfId="4689" priority="295">
      <formula>AND(B$9&gt;=14/24,B$9&lt;20/24)</formula>
    </cfRule>
    <cfRule type="expression" dxfId="4688" priority="296">
      <formula>AND(B$9&gt;=8/24,B$9&lt;14/24)</formula>
    </cfRule>
    <cfRule type="expression" dxfId="4687" priority="297">
      <formula>B$9&lt;8/24</formula>
    </cfRule>
  </conditionalFormatting>
  <conditionalFormatting sqref="AL4:AL6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686" priority="289">
      <formula>M$9&gt;=20/24</formula>
    </cfRule>
    <cfRule type="expression" dxfId="4685" priority="290">
      <formula>AND(M$9&gt;=14/24,M$9&lt;20/24)</formula>
    </cfRule>
    <cfRule type="expression" dxfId="4684" priority="291">
      <formula>AND(M$9&gt;=8/24,M$9&lt;14/24)</formula>
    </cfRule>
    <cfRule type="expression" dxfId="4683" priority="292">
      <formula>M$9&lt;8/24</formula>
    </cfRule>
  </conditionalFormatting>
  <conditionalFormatting sqref="M43:S43">
    <cfRule type="expression" dxfId="4682" priority="285">
      <formula>M$9&gt;=20/24</formula>
    </cfRule>
    <cfRule type="expression" dxfId="4681" priority="286">
      <formula>AND(M$9&gt;=14/24,M$9&lt;20/24)</formula>
    </cfRule>
    <cfRule type="expression" dxfId="4680" priority="287">
      <formula>AND(M$9&gt;=8/24,M$9&lt;14/24)</formula>
    </cfRule>
    <cfRule type="expression" dxfId="4679" priority="288">
      <formula>M$9&lt;8/24</formula>
    </cfRule>
  </conditionalFormatting>
  <conditionalFormatting sqref="S39:AE39">
    <cfRule type="expression" dxfId="4678" priority="277">
      <formula>S$9&gt;=20/24</formula>
    </cfRule>
    <cfRule type="expression" dxfId="4677" priority="278">
      <formula>AND(S$9&gt;=14/24,S$9&lt;20/24)</formula>
    </cfRule>
    <cfRule type="expression" dxfId="4676" priority="279">
      <formula>AND(S$9&gt;=8/24,S$9&lt;14/24)</formula>
    </cfRule>
    <cfRule type="expression" dxfId="4675" priority="280">
      <formula>S$9&lt;8/24</formula>
    </cfRule>
  </conditionalFormatting>
  <conditionalFormatting sqref="S57:AE57">
    <cfRule type="expression" dxfId="4674" priority="273">
      <formula>S$9&gt;=20/24</formula>
    </cfRule>
    <cfRule type="expression" dxfId="4673" priority="274">
      <formula>AND(S$9&gt;=14/24,S$9&lt;20/24)</formula>
    </cfRule>
    <cfRule type="expression" dxfId="4672" priority="275">
      <formula>AND(S$9&gt;=8/24,S$9&lt;14/24)</formula>
    </cfRule>
    <cfRule type="expression" dxfId="4671" priority="276">
      <formula>S$9&lt;8/24</formula>
    </cfRule>
  </conditionalFormatting>
  <conditionalFormatting sqref="S81:AA81">
    <cfRule type="expression" dxfId="4670" priority="269">
      <formula>S$9&gt;=20/24</formula>
    </cfRule>
    <cfRule type="expression" dxfId="4669" priority="270">
      <formula>AND(S$9&gt;=14/24,S$9&lt;20/24)</formula>
    </cfRule>
    <cfRule type="expression" dxfId="4668" priority="271">
      <formula>AND(S$9&gt;=8/24,S$9&lt;14/24)</formula>
    </cfRule>
    <cfRule type="expression" dxfId="4667" priority="272">
      <formula>S$9&lt;8/24</formula>
    </cfRule>
  </conditionalFormatting>
  <conditionalFormatting sqref="U84:Z84">
    <cfRule type="expression" dxfId="4666" priority="265">
      <formula>U$9&gt;=20/24</formula>
    </cfRule>
    <cfRule type="expression" dxfId="4665" priority="266">
      <formula>AND(U$9&gt;=14/24,U$9&lt;20/24)</formula>
    </cfRule>
    <cfRule type="expression" dxfId="4664" priority="267">
      <formula>AND(U$9&gt;=8/24,U$9&lt;14/24)</formula>
    </cfRule>
    <cfRule type="expression" dxfId="4663" priority="268">
      <formula>U$9&lt;8/24</formula>
    </cfRule>
  </conditionalFormatting>
  <conditionalFormatting sqref="M49:AF49">
    <cfRule type="expression" dxfId="4662" priority="257">
      <formula>M$9&gt;=20/24</formula>
    </cfRule>
    <cfRule type="expression" dxfId="4661" priority="258">
      <formula>AND(M$9&gt;=14/24,M$9&lt;20/24)</formula>
    </cfRule>
    <cfRule type="expression" dxfId="4660" priority="259">
      <formula>AND(M$9&gt;=8/24,M$9&lt;14/24)</formula>
    </cfRule>
    <cfRule type="expression" dxfId="4659" priority="260">
      <formula>M$9&lt;8/24</formula>
    </cfRule>
  </conditionalFormatting>
  <conditionalFormatting sqref="M50:AF50">
    <cfRule type="expression" dxfId="4658" priority="253">
      <formula>M$9&gt;=20/24</formula>
    </cfRule>
    <cfRule type="expression" dxfId="4657" priority="254">
      <formula>AND(M$9&gt;=14/24,M$9&lt;20/24)</formula>
    </cfRule>
    <cfRule type="expression" dxfId="4656" priority="255">
      <formula>AND(M$9&gt;=8/24,M$9&lt;14/24)</formula>
    </cfRule>
    <cfRule type="expression" dxfId="4655" priority="256">
      <formula>M$9&lt;8/24</formula>
    </cfRule>
  </conditionalFormatting>
  <conditionalFormatting sqref="M45:AF48">
    <cfRule type="expression" dxfId="4654" priority="249">
      <formula>M$9&gt;=20/24</formula>
    </cfRule>
    <cfRule type="expression" dxfId="4653" priority="250">
      <formula>AND(M$9&gt;=14/24,M$9&lt;20/24)</formula>
    </cfRule>
    <cfRule type="expression" dxfId="4652" priority="251">
      <formula>AND(M$9&gt;=8/24,M$9&lt;14/24)</formula>
    </cfRule>
    <cfRule type="expression" dxfId="4651" priority="252">
      <formula>M$9&lt;8/24</formula>
    </cfRule>
  </conditionalFormatting>
  <conditionalFormatting sqref="AE37">
    <cfRule type="expression" dxfId="4650" priority="245">
      <formula>AE$9&gt;=20/24</formula>
    </cfRule>
    <cfRule type="expression" dxfId="4649" priority="246">
      <formula>AND(AE$9&gt;=14/24,AE$9&lt;20/24)</formula>
    </cfRule>
    <cfRule type="expression" dxfId="4648" priority="247">
      <formula>AND(AE$9&gt;=8/24,AE$9&lt;14/24)</formula>
    </cfRule>
    <cfRule type="expression" dxfId="4647" priority="248">
      <formula>AE$9&lt;8/24</formula>
    </cfRule>
  </conditionalFormatting>
  <conditionalFormatting sqref="S42:T43 U43:Z43 S45:AF48">
    <cfRule type="expression" dxfId="4646" priority="237">
      <formula>S$9&gt;=20/24</formula>
    </cfRule>
    <cfRule type="expression" dxfId="4645" priority="238">
      <formula>AND(S$9&gt;=14/24,S$9&lt;20/24)</formula>
    </cfRule>
    <cfRule type="expression" dxfId="4644" priority="239">
      <formula>AND(S$9&gt;=8/24,S$9&lt;14/24)</formula>
    </cfRule>
    <cfRule type="expression" dxfId="4643" priority="240">
      <formula>S$9&lt;8/24</formula>
    </cfRule>
  </conditionalFormatting>
  <conditionalFormatting sqref="S49:AF49">
    <cfRule type="expression" dxfId="4642" priority="233">
      <formula>S$9&gt;=20/24</formula>
    </cfRule>
    <cfRule type="expression" dxfId="4641" priority="234">
      <formula>AND(S$9&gt;=14/24,S$9&lt;20/24)</formula>
    </cfRule>
    <cfRule type="expression" dxfId="4640" priority="235">
      <formula>AND(S$9&gt;=8/24,S$9&lt;14/24)</formula>
    </cfRule>
    <cfRule type="expression" dxfId="4639" priority="236">
      <formula>S$9&lt;8/24</formula>
    </cfRule>
  </conditionalFormatting>
  <conditionalFormatting sqref="S50:AF50">
    <cfRule type="expression" dxfId="4638" priority="229">
      <formula>S$9&gt;=20/24</formula>
    </cfRule>
    <cfRule type="expression" dxfId="4637" priority="230">
      <formula>AND(S$9&gt;=14/24,S$9&lt;20/24)</formula>
    </cfRule>
    <cfRule type="expression" dxfId="4636" priority="231">
      <formula>AND(S$9&gt;=8/24,S$9&lt;14/24)</formula>
    </cfRule>
    <cfRule type="expression" dxfId="4635" priority="232">
      <formula>S$9&lt;8/24</formula>
    </cfRule>
  </conditionalFormatting>
  <conditionalFormatting sqref="X60:AE61 S60:T67 U62:AE67">
    <cfRule type="expression" dxfId="4634" priority="225">
      <formula>S$9&gt;=20/24</formula>
    </cfRule>
    <cfRule type="expression" dxfId="4633" priority="226">
      <formula>AND(S$9&gt;=14/24,S$9&lt;20/24)</formula>
    </cfRule>
    <cfRule type="expression" dxfId="4632" priority="227">
      <formula>AND(S$9&gt;=8/24,S$9&lt;14/24)</formula>
    </cfRule>
    <cfRule type="expression" dxfId="4631" priority="228">
      <formula>S$9&lt;8/24</formula>
    </cfRule>
  </conditionalFormatting>
  <conditionalFormatting sqref="F62:L62">
    <cfRule type="expression" dxfId="4630" priority="221">
      <formula>F$9&gt;=20/24</formula>
    </cfRule>
    <cfRule type="expression" dxfId="4629" priority="222">
      <formula>AND(F$9&gt;=14/24,F$9&lt;20/24)</formula>
    </cfRule>
    <cfRule type="expression" dxfId="4628" priority="223">
      <formula>AND(F$9&gt;=8/24,F$9&lt;14/24)</formula>
    </cfRule>
    <cfRule type="expression" dxfId="4627" priority="224">
      <formula>F$9&lt;8/24</formula>
    </cfRule>
  </conditionalFormatting>
  <conditionalFormatting sqref="U94:Z97">
    <cfRule type="expression" dxfId="4626" priority="217">
      <formula>U$9&gt;=20/24</formula>
    </cfRule>
    <cfRule type="expression" dxfId="4625" priority="218">
      <formula>AND(U$9&gt;=14/24,U$9&lt;20/24)</formula>
    </cfRule>
    <cfRule type="expression" dxfId="4624" priority="219">
      <formula>AND(U$9&gt;=8/24,U$9&lt;14/24)</formula>
    </cfRule>
    <cfRule type="expression" dxfId="4623" priority="220">
      <formula>U$9&lt;8/24</formula>
    </cfRule>
  </conditionalFormatting>
  <conditionalFormatting sqref="AG51 B11:D32 E12:L14 E16:L32 B34:L37 E11:AF11 N37:AF37 B38:AF56">
    <cfRule type="expression" dxfId="4622" priority="216">
      <formula>B11&gt;$AG11</formula>
    </cfRule>
  </conditionalFormatting>
  <conditionalFormatting sqref="A100:A156 A84:A97 A11:A14 A16:A32 A45:A72 A80:A82 A74:A78 A35:A43 A169:A199">
    <cfRule type="expression" dxfId="4621" priority="215">
      <formula>$AH11=0</formula>
    </cfRule>
  </conditionalFormatting>
  <conditionalFormatting sqref="U98:Z98">
    <cfRule type="expression" dxfId="4620" priority="211">
      <formula>U$9&gt;=20/24</formula>
    </cfRule>
    <cfRule type="expression" dxfId="4619" priority="212">
      <formula>AND(U$9&gt;=14/24,U$9&lt;20/24)</formula>
    </cfRule>
    <cfRule type="expression" dxfId="4618" priority="213">
      <formula>AND(U$9&gt;=8/24,U$9&lt;14/24)</formula>
    </cfRule>
    <cfRule type="expression" dxfId="4617" priority="214">
      <formula>U$9&lt;8/24</formula>
    </cfRule>
  </conditionalFormatting>
  <conditionalFormatting sqref="A98">
    <cfRule type="expression" dxfId="4616" priority="210">
      <formula>$AH98=0</formula>
    </cfRule>
  </conditionalFormatting>
  <conditionalFormatting sqref="F63:L67">
    <cfRule type="expression" dxfId="4615" priority="202">
      <formula>F$9&gt;=20/24</formula>
    </cfRule>
    <cfRule type="expression" dxfId="4614" priority="203">
      <formula>AND(F$9&gt;=14/24,F$9&lt;20/24)</formula>
    </cfRule>
    <cfRule type="expression" dxfId="4613" priority="204">
      <formula>AND(F$9&gt;=8/24,F$9&lt;14/24)</formula>
    </cfRule>
    <cfRule type="expression" dxfId="4612" priority="205">
      <formula>F$9&lt;8/24</formula>
    </cfRule>
  </conditionalFormatting>
  <conditionalFormatting sqref="M62:M67">
    <cfRule type="expression" dxfId="4611" priority="198">
      <formula>M$9&gt;=20/24</formula>
    </cfRule>
    <cfRule type="expression" dxfId="4610" priority="199">
      <formula>AND(M$9&gt;=14/24,M$9&lt;20/24)</formula>
    </cfRule>
    <cfRule type="expression" dxfId="4609" priority="200">
      <formula>AND(M$9&gt;=8/24,M$9&lt;14/24)</formula>
    </cfRule>
    <cfRule type="expression" dxfId="4608" priority="201">
      <formula>M$9&lt;8/24</formula>
    </cfRule>
  </conditionalFormatting>
  <conditionalFormatting sqref="AL32">
    <cfRule type="iconSet" priority="197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607" priority="184">
      <formula>$AH34=0</formula>
    </cfRule>
  </conditionalFormatting>
  <conditionalFormatting sqref="A83">
    <cfRule type="expression" dxfId="4606" priority="183">
      <formula>$AH83=0</formula>
    </cfRule>
  </conditionalFormatting>
  <conditionalFormatting sqref="E15:L15">
    <cfRule type="expression" dxfId="4605" priority="174">
      <formula>E15&gt;$AG15</formula>
    </cfRule>
  </conditionalFormatting>
  <conditionalFormatting sqref="A15">
    <cfRule type="expression" dxfId="4604" priority="173">
      <formula>$AH15=0</formula>
    </cfRule>
  </conditionalFormatting>
  <conditionalFormatting sqref="A163:A168">
    <cfRule type="expression" dxfId="4603" priority="172">
      <formula>$AH163=0</formula>
    </cfRule>
  </conditionalFormatting>
  <conditionalFormatting sqref="A157:A162">
    <cfRule type="expression" dxfId="4602" priority="171">
      <formula>$AH157=0</formula>
    </cfRule>
  </conditionalFormatting>
  <conditionalFormatting sqref="Z44:AF44">
    <cfRule type="expression" dxfId="4601" priority="167">
      <formula>Z$9&gt;=20/24</formula>
    </cfRule>
    <cfRule type="expression" dxfId="4600" priority="168">
      <formula>AND(Z$9&gt;=14/24,Z$9&lt;20/24)</formula>
    </cfRule>
    <cfRule type="expression" dxfId="4599" priority="169">
      <formula>AND(Z$9&gt;=8/24,Z$9&lt;14/24)</formula>
    </cfRule>
    <cfRule type="expression" dxfId="4598" priority="170">
      <formula>Z$9&lt;8/24</formula>
    </cfRule>
  </conditionalFormatting>
  <conditionalFormatting sqref="M44:S44">
    <cfRule type="expression" dxfId="4597" priority="163">
      <formula>M$9&gt;=20/24</formula>
    </cfRule>
    <cfRule type="expression" dxfId="4596" priority="164">
      <formula>AND(M$9&gt;=14/24,M$9&lt;20/24)</formula>
    </cfRule>
    <cfRule type="expression" dxfId="4595" priority="165">
      <formula>AND(M$9&gt;=8/24,M$9&lt;14/24)</formula>
    </cfRule>
    <cfRule type="expression" dxfId="4594" priority="166">
      <formula>M$9&lt;8/24</formula>
    </cfRule>
  </conditionalFormatting>
  <conditionalFormatting sqref="S44:Z44">
    <cfRule type="expression" dxfId="4593" priority="159">
      <formula>S$9&gt;=20/24</formula>
    </cfRule>
    <cfRule type="expression" dxfId="4592" priority="160">
      <formula>AND(S$9&gt;=14/24,S$9&lt;20/24)</formula>
    </cfRule>
    <cfRule type="expression" dxfId="4591" priority="161">
      <formula>AND(S$9&gt;=8/24,S$9&lt;14/24)</formula>
    </cfRule>
    <cfRule type="expression" dxfId="4590" priority="162">
      <formula>S$9&lt;8/24</formula>
    </cfRule>
  </conditionalFormatting>
  <conditionalFormatting sqref="A44">
    <cfRule type="expression" dxfId="4589" priority="158">
      <formula>$AH44=0</formula>
    </cfRule>
  </conditionalFormatting>
  <conditionalFormatting sqref="A79">
    <cfRule type="expression" dxfId="4588" priority="157">
      <formula>$AH79=0</formula>
    </cfRule>
  </conditionalFormatting>
  <conditionalFormatting sqref="A73">
    <cfRule type="expression" dxfId="4587" priority="156">
      <formula>$AH73=0</formula>
    </cfRule>
  </conditionalFormatting>
  <conditionalFormatting sqref="AL34:AL35 AL7:AL31">
    <cfRule type="iconSet" priority="300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586" priority="152">
      <formula>U$9&gt;=20/24</formula>
    </cfRule>
    <cfRule type="expression" dxfId="4585" priority="153">
      <formula>AND(U$9&gt;=14/24,U$9&lt;20/24)</formula>
    </cfRule>
    <cfRule type="expression" dxfId="4584" priority="154">
      <formula>AND(U$9&gt;=8/24,U$9&lt;14/24)</formula>
    </cfRule>
    <cfRule type="expression" dxfId="4583" priority="155">
      <formula>U$9&lt;8/24</formula>
    </cfRule>
  </conditionalFormatting>
  <conditionalFormatting sqref="U85:W91">
    <cfRule type="expression" dxfId="4582" priority="148">
      <formula>U$9&gt;=20/24</formula>
    </cfRule>
    <cfRule type="expression" dxfId="4581" priority="149">
      <formula>AND(U$9&gt;=14/24,U$9&lt;20/24)</formula>
    </cfRule>
    <cfRule type="expression" dxfId="4580" priority="150">
      <formula>AND(U$9&gt;=8/24,U$9&lt;14/24)</formula>
    </cfRule>
    <cfRule type="expression" dxfId="4579" priority="151">
      <formula>U$9&lt;8/24</formula>
    </cfRule>
  </conditionalFormatting>
  <conditionalFormatting sqref="E84:R91 S85:T91">
    <cfRule type="expression" dxfId="4578" priority="144">
      <formula>E$9&gt;=20/24</formula>
    </cfRule>
    <cfRule type="expression" dxfId="4577" priority="145">
      <formula>AND(E$9&gt;=14/24,E$9&lt;20/24)</formula>
    </cfRule>
    <cfRule type="expression" dxfId="4576" priority="146">
      <formula>AND(E$9&gt;=8/24,E$9&lt;14/24)</formula>
    </cfRule>
    <cfRule type="expression" dxfId="4575" priority="147">
      <formula>E$9&lt;8/24</formula>
    </cfRule>
  </conditionalFormatting>
  <conditionalFormatting sqref="S84:T84">
    <cfRule type="expression" dxfId="4574" priority="140">
      <formula>S$9&gt;=20/24</formula>
    </cfRule>
    <cfRule type="expression" dxfId="4573" priority="141">
      <formula>AND(S$9&gt;=14/24,S$9&lt;20/24)</formula>
    </cfRule>
    <cfRule type="expression" dxfId="4572" priority="142">
      <formula>AND(S$9&gt;=8/24,S$9&lt;14/24)</formula>
    </cfRule>
    <cfRule type="expression" dxfId="4571" priority="143">
      <formula>S$9&lt;8/24</formula>
    </cfRule>
  </conditionalFormatting>
  <conditionalFormatting sqref="E95:M97 E94:F94">
    <cfRule type="expression" dxfId="4570" priority="136">
      <formula>E$9&gt;=20/24</formula>
    </cfRule>
    <cfRule type="expression" dxfId="4569" priority="137">
      <formula>AND(E$9&gt;=14/24,E$9&lt;20/24)</formula>
    </cfRule>
    <cfRule type="expression" dxfId="4568" priority="138">
      <formula>AND(E$9&gt;=8/24,E$9&lt;14/24)</formula>
    </cfRule>
    <cfRule type="expression" dxfId="4567" priority="139">
      <formula>E$9&lt;8/24</formula>
    </cfRule>
  </conditionalFormatting>
  <conditionalFormatting sqref="N95:R97 O94:R94">
    <cfRule type="expression" dxfId="4566" priority="132">
      <formula>N$9&gt;=20/24</formula>
    </cfRule>
    <cfRule type="expression" dxfId="4565" priority="133">
      <formula>AND(N$9&gt;=14/24,N$9&lt;20/24)</formula>
    </cfRule>
    <cfRule type="expression" dxfId="4564" priority="134">
      <formula>AND(N$9&gt;=8/24,N$9&lt;14/24)</formula>
    </cfRule>
    <cfRule type="expression" dxfId="4563" priority="135">
      <formula>N$9&lt;8/24</formula>
    </cfRule>
  </conditionalFormatting>
  <conditionalFormatting sqref="S94:T97">
    <cfRule type="expression" dxfId="4562" priority="128">
      <formula>S$9&gt;=20/24</formula>
    </cfRule>
    <cfRule type="expression" dxfId="4561" priority="129">
      <formula>AND(S$9&gt;=14/24,S$9&lt;20/24)</formula>
    </cfRule>
    <cfRule type="expression" dxfId="4560" priority="130">
      <formula>AND(S$9&gt;=8/24,S$9&lt;14/24)</formula>
    </cfRule>
    <cfRule type="expression" dxfId="4559" priority="131">
      <formula>S$9&lt;8/24</formula>
    </cfRule>
  </conditionalFormatting>
  <conditionalFormatting sqref="E98:M98">
    <cfRule type="expression" dxfId="4558" priority="124">
      <formula>E$9&gt;=20/24</formula>
    </cfRule>
    <cfRule type="expression" dxfId="4557" priority="125">
      <formula>AND(E$9&gt;=14/24,E$9&lt;20/24)</formula>
    </cfRule>
    <cfRule type="expression" dxfId="4556" priority="126">
      <formula>AND(E$9&gt;=8/24,E$9&lt;14/24)</formula>
    </cfRule>
    <cfRule type="expression" dxfId="4555" priority="127">
      <formula>E$9&lt;8/24</formula>
    </cfRule>
  </conditionalFormatting>
  <conditionalFormatting sqref="N98:R98">
    <cfRule type="expression" dxfId="4554" priority="120">
      <formula>N$9&gt;=20/24</formula>
    </cfRule>
    <cfRule type="expression" dxfId="4553" priority="121">
      <formula>AND(N$9&gt;=14/24,N$9&lt;20/24)</formula>
    </cfRule>
    <cfRule type="expression" dxfId="4552" priority="122">
      <formula>AND(N$9&gt;=8/24,N$9&lt;14/24)</formula>
    </cfRule>
    <cfRule type="expression" dxfId="4551" priority="123">
      <formula>N$9&lt;8/24</formula>
    </cfRule>
  </conditionalFormatting>
  <conditionalFormatting sqref="S98:T98">
    <cfRule type="expression" dxfId="4550" priority="116">
      <formula>S$9&gt;=20/24</formula>
    </cfRule>
    <cfRule type="expression" dxfId="4549" priority="117">
      <formula>AND(S$9&gt;=14/24,S$9&lt;20/24)</formula>
    </cfRule>
    <cfRule type="expression" dxfId="4548" priority="118">
      <formula>AND(S$9&gt;=8/24,S$9&lt;14/24)</formula>
    </cfRule>
    <cfRule type="expression" dxfId="4547" priority="119">
      <formula>S$9&lt;8/24</formula>
    </cfRule>
  </conditionalFormatting>
  <conditionalFormatting sqref="M94:N94">
    <cfRule type="expression" dxfId="4546" priority="112">
      <formula>M$9&gt;=20/24</formula>
    </cfRule>
    <cfRule type="expression" dxfId="4545" priority="113">
      <formula>AND(M$9&gt;=14/24,M$9&lt;20/24)</formula>
    </cfRule>
    <cfRule type="expression" dxfId="4544" priority="114">
      <formula>AND(M$9&gt;=8/24,M$9&lt;14/24)</formula>
    </cfRule>
    <cfRule type="expression" dxfId="4543" priority="115">
      <formula>M$9&lt;8/24</formula>
    </cfRule>
  </conditionalFormatting>
  <conditionalFormatting sqref="G94:L94">
    <cfRule type="expression" dxfId="4542" priority="108">
      <formula>G$9&gt;=20/24</formula>
    </cfRule>
    <cfRule type="expression" dxfId="4541" priority="109">
      <formula>AND(G$9&gt;=14/24,G$9&lt;20/24)</formula>
    </cfRule>
    <cfRule type="expression" dxfId="4540" priority="110">
      <formula>AND(G$9&gt;=8/24,G$9&lt;14/24)</formula>
    </cfRule>
    <cfRule type="expression" dxfId="4539" priority="111">
      <formula>G$9&lt;8/24</formula>
    </cfRule>
  </conditionalFormatting>
  <conditionalFormatting sqref="U94:W94">
    <cfRule type="expression" dxfId="4538" priority="104">
      <formula>U$9&gt;=20/24</formula>
    </cfRule>
    <cfRule type="expression" dxfId="4537" priority="105">
      <formula>AND(U$9&gt;=14/24,U$9&lt;20/24)</formula>
    </cfRule>
    <cfRule type="expression" dxfId="4536" priority="106">
      <formula>AND(U$9&gt;=8/24,U$9&lt;14/24)</formula>
    </cfRule>
    <cfRule type="expression" dxfId="4535" priority="107">
      <formula>U$9&lt;8/24</formula>
    </cfRule>
  </conditionalFormatting>
  <conditionalFormatting sqref="N94:T94">
    <cfRule type="expression" dxfId="4534" priority="100">
      <formula>N$9&gt;=20/24</formula>
    </cfRule>
    <cfRule type="expression" dxfId="4533" priority="101">
      <formula>AND(N$9&gt;=14/24,N$9&lt;20/24)</formula>
    </cfRule>
    <cfRule type="expression" dxfId="4532" priority="102">
      <formula>AND(N$9&gt;=8/24,N$9&lt;14/24)</formula>
    </cfRule>
    <cfRule type="expression" dxfId="4531" priority="103">
      <formula>N$9&lt;8/24</formula>
    </cfRule>
  </conditionalFormatting>
  <conditionalFormatting sqref="U99:Z99">
    <cfRule type="expression" dxfId="4530" priority="96">
      <formula>U$9&gt;=20/24</formula>
    </cfRule>
    <cfRule type="expression" dxfId="4529" priority="97">
      <formula>AND(U$9&gt;=14/24,U$9&lt;20/24)</formula>
    </cfRule>
    <cfRule type="expression" dxfId="4528" priority="98">
      <formula>AND(U$9&gt;=8/24,U$9&lt;14/24)</formula>
    </cfRule>
    <cfRule type="expression" dxfId="4527" priority="99">
      <formula>U$9&lt;8/24</formula>
    </cfRule>
  </conditionalFormatting>
  <conditionalFormatting sqref="E99:M99">
    <cfRule type="expression" dxfId="4526" priority="92">
      <formula>E$9&gt;=20/24</formula>
    </cfRule>
    <cfRule type="expression" dxfId="4525" priority="93">
      <formula>AND(E$9&gt;=14/24,E$9&lt;20/24)</formula>
    </cfRule>
    <cfRule type="expression" dxfId="4524" priority="94">
      <formula>AND(E$9&gt;=8/24,E$9&lt;14/24)</formula>
    </cfRule>
    <cfRule type="expression" dxfId="4523" priority="95">
      <formula>E$9&lt;8/24</formula>
    </cfRule>
  </conditionalFormatting>
  <conditionalFormatting sqref="N99:R99">
    <cfRule type="expression" dxfId="4522" priority="88">
      <formula>N$9&gt;=20/24</formula>
    </cfRule>
    <cfRule type="expression" dxfId="4521" priority="89">
      <formula>AND(N$9&gt;=14/24,N$9&lt;20/24)</formula>
    </cfRule>
    <cfRule type="expression" dxfId="4520" priority="90">
      <formula>AND(N$9&gt;=8/24,N$9&lt;14/24)</formula>
    </cfRule>
    <cfRule type="expression" dxfId="4519" priority="91">
      <formula>N$9&lt;8/24</formula>
    </cfRule>
  </conditionalFormatting>
  <conditionalFormatting sqref="S99:T99">
    <cfRule type="expression" dxfId="4518" priority="84">
      <formula>S$9&gt;=20/24</formula>
    </cfRule>
    <cfRule type="expression" dxfId="4517" priority="85">
      <formula>AND(S$9&gt;=14/24,S$9&lt;20/24)</formula>
    </cfRule>
    <cfRule type="expression" dxfId="4516" priority="86">
      <formula>AND(S$9&gt;=8/24,S$9&lt;14/24)</formula>
    </cfRule>
    <cfRule type="expression" dxfId="4515" priority="87">
      <formula>S$9&lt;8/24</formula>
    </cfRule>
  </conditionalFormatting>
  <conditionalFormatting sqref="W12:AF12">
    <cfRule type="expression" dxfId="4514" priority="80">
      <formula>W$9&gt;=20/24</formula>
    </cfRule>
    <cfRule type="expression" dxfId="4513" priority="81">
      <formula>AND(W$9&gt;=14/24,W$9&lt;20/24)</formula>
    </cfRule>
    <cfRule type="expression" dxfId="4512" priority="82">
      <formula>AND(W$9&gt;=8/24,W$9&lt;14/24)</formula>
    </cfRule>
    <cfRule type="expression" dxfId="4511" priority="83">
      <formula>W$9&lt;8/24</formula>
    </cfRule>
  </conditionalFormatting>
  <conditionalFormatting sqref="W12:AF12">
    <cfRule type="expression" dxfId="4510" priority="72">
      <formula>W$9&gt;=20/24</formula>
    </cfRule>
    <cfRule type="expression" dxfId="4509" priority="73">
      <formula>AND(W$9&gt;=14/24,W$9&lt;20/24)</formula>
    </cfRule>
    <cfRule type="expression" dxfId="4508" priority="74">
      <formula>AND(W$9&gt;=8/24,W$9&lt;14/24)</formula>
    </cfRule>
    <cfRule type="expression" dxfId="4507" priority="75">
      <formula>W$9&lt;8/24</formula>
    </cfRule>
  </conditionalFormatting>
  <conditionalFormatting sqref="AB58:AE59">
    <cfRule type="expression" dxfId="4506" priority="68">
      <formula>AB$9&gt;=20/24</formula>
    </cfRule>
    <cfRule type="expression" dxfId="4505" priority="69">
      <formula>AND(AB$9&gt;=14/24,AB$9&lt;20/24)</formula>
    </cfRule>
    <cfRule type="expression" dxfId="4504" priority="70">
      <formula>AND(AB$9&gt;=8/24,AB$9&lt;14/24)</formula>
    </cfRule>
    <cfRule type="expression" dxfId="4503" priority="71">
      <formula>AB$9&lt;8/24</formula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02" priority="301">
      <formula>C$9&gt;=20/24</formula>
    </cfRule>
    <cfRule type="expression" dxfId="4501" priority="302">
      <formula>AND(C$9&gt;=14/24,C$9&lt;20/24)</formula>
    </cfRule>
    <cfRule type="expression" dxfId="4500" priority="303">
      <formula>AND(C$9&gt;=8/24,C$9&lt;14/24)</formula>
    </cfRule>
    <cfRule type="expression" dxfId="4499" priority="304">
      <formula>C$9&lt;8/24</formula>
    </cfRule>
  </conditionalFormatting>
  <conditionalFormatting sqref="A200">
    <cfRule type="expression" dxfId="4498" priority="305">
      <formula>$AH200=0</formula>
    </cfRule>
  </conditionalFormatting>
  <conditionalFormatting sqref="AG212">
    <cfRule type="expression" dxfId="4497" priority="306">
      <formula>B$9&gt;=20/24</formula>
    </cfRule>
    <cfRule type="expression" dxfId="4496" priority="307">
      <formula>AND(B$9&gt;=14/24,B$9&lt;20/24)</formula>
    </cfRule>
    <cfRule type="expression" dxfId="4495" priority="308">
      <formula>AND(B$9&gt;=8/24,B$9&lt;14/24)</formula>
    </cfRule>
    <cfRule type="expression" dxfId="4494" priority="309">
      <formula>B$9&lt;8/24</formula>
    </cfRule>
  </conditionalFormatting>
  <conditionalFormatting sqref="S8">
    <cfRule type="expression" dxfId="4493" priority="62">
      <formula>U$9&gt;=20/24</formula>
    </cfRule>
    <cfRule type="expression" dxfId="4492" priority="63">
      <formula>AND(U$9&gt;=14/24,U$9&lt;20/24)</formula>
    </cfRule>
    <cfRule type="expression" dxfId="4491" priority="64">
      <formula>AND(U$9&gt;=8/24,U$9&lt;14/24)</formula>
    </cfRule>
    <cfRule type="expression" dxfId="4490" priority="65">
      <formula>U$9&lt;8/24</formula>
    </cfRule>
  </conditionalFormatting>
  <conditionalFormatting sqref="AB8">
    <cfRule type="expression" dxfId="4489" priority="58">
      <formula>AD$9&gt;=20/24</formula>
    </cfRule>
    <cfRule type="expression" dxfId="4488" priority="59">
      <formula>AND(AD$9&gt;=14/24,AD$9&lt;20/24)</formula>
    </cfRule>
    <cfRule type="expression" dxfId="4487" priority="60">
      <formula>AND(AD$9&gt;=8/24,AD$9&lt;14/24)</formula>
    </cfRule>
    <cfRule type="expression" dxfId="4486" priority="61">
      <formula>AD$9&lt;8/24</formula>
    </cfRule>
  </conditionalFormatting>
  <conditionalFormatting sqref="AH212:AX212">
    <cfRule type="expression" dxfId="4485" priority="310">
      <formula>AG$9&gt;=20/24</formula>
    </cfRule>
    <cfRule type="expression" dxfId="4484" priority="311">
      <formula>AND(AG$9&gt;=14/24,AG$9&lt;20/24)</formula>
    </cfRule>
    <cfRule type="expression" dxfId="4483" priority="312">
      <formula>AND(AG$9&gt;=8/24,AG$9&lt;14/24)</formula>
    </cfRule>
    <cfRule type="expression" dxfId="4482" priority="313">
      <formula>AG$9&lt;8/24</formula>
    </cfRule>
  </conditionalFormatting>
  <conditionalFormatting sqref="T212">
    <cfRule type="expression" dxfId="4481" priority="314">
      <formula>AX$9&gt;=20/24</formula>
    </cfRule>
    <cfRule type="expression" dxfId="4480" priority="315">
      <formula>AND(AX$9&gt;=14/24,AX$9&lt;20/24)</formula>
    </cfRule>
    <cfRule type="expression" dxfId="4479" priority="316">
      <formula>AND(AX$9&gt;=8/24,AX$9&lt;14/24)</formula>
    </cfRule>
    <cfRule type="expression" dxfId="4478" priority="317">
      <formula>AX$9&lt;8/24</formula>
    </cfRule>
  </conditionalFormatting>
  <conditionalFormatting sqref="A99">
    <cfRule type="expression" dxfId="4477" priority="57">
      <formula>$AH99=0</formula>
    </cfRule>
  </conditionalFormatting>
  <conditionalFormatting sqref="B33:L33">
    <cfRule type="expression" dxfId="4476" priority="44">
      <formula>B33&gt;$AG33</formula>
    </cfRule>
  </conditionalFormatting>
  <conditionalFormatting sqref="M36:M37 M12:V14 W13:AF14 M16:AF32 N36:AF36">
    <cfRule type="expression" dxfId="4475" priority="40">
      <formula>M$9&gt;=20/24</formula>
    </cfRule>
    <cfRule type="expression" dxfId="4474" priority="41">
      <formula>AND(M$9&gt;=14/24,M$9&lt;20/24)</formula>
    </cfRule>
    <cfRule type="expression" dxfId="4473" priority="42">
      <formula>AND(M$9&gt;=8/24,M$9&lt;14/24)</formula>
    </cfRule>
    <cfRule type="expression" dxfId="4472" priority="43">
      <formula>M$9&lt;8/24</formula>
    </cfRule>
  </conditionalFormatting>
  <conditionalFormatting sqref="M35:AF35">
    <cfRule type="expression" dxfId="4471" priority="36">
      <formula>M$9&gt;=20/24</formula>
    </cfRule>
    <cfRule type="expression" dxfId="4470" priority="37">
      <formula>AND(M$9&gt;=14/24,M$9&lt;20/24)</formula>
    </cfRule>
    <cfRule type="expression" dxfId="4469" priority="38">
      <formula>AND(M$9&gt;=8/24,M$9&lt;14/24)</formula>
    </cfRule>
    <cfRule type="expression" dxfId="4468" priority="39">
      <formula>M$9&lt;8/24</formula>
    </cfRule>
  </conditionalFormatting>
  <conditionalFormatting sqref="M34:M37 M12:V14 M16:AF32 N34:AF36 W13:AF14">
    <cfRule type="expression" dxfId="4467" priority="35">
      <formula>M12&gt;$AG12</formula>
    </cfRule>
  </conditionalFormatting>
  <conditionalFormatting sqref="M34:AF34">
    <cfRule type="expression" dxfId="4466" priority="31">
      <formula>M$9&gt;=20/24</formula>
    </cfRule>
    <cfRule type="expression" dxfId="4465" priority="32">
      <formula>AND(M$9&gt;=14/24,M$9&lt;20/24)</formula>
    </cfRule>
    <cfRule type="expression" dxfId="4464" priority="33">
      <formula>AND(M$9&gt;=8/24,M$9&lt;14/24)</formula>
    </cfRule>
    <cfRule type="expression" dxfId="4463" priority="34">
      <formula>M$9&lt;8/24</formula>
    </cfRule>
  </conditionalFormatting>
  <conditionalFormatting sqref="M15:AF15">
    <cfRule type="expression" dxfId="4462" priority="27">
      <formula>M$9&gt;=20/24</formula>
    </cfRule>
    <cfRule type="expression" dxfId="4461" priority="28">
      <formula>AND(M$9&gt;=14/24,M$9&lt;20/24)</formula>
    </cfRule>
    <cfRule type="expression" dxfId="4460" priority="29">
      <formula>AND(M$9&gt;=8/24,M$9&lt;14/24)</formula>
    </cfRule>
    <cfRule type="expression" dxfId="4459" priority="30">
      <formula>M$9&lt;8/24</formula>
    </cfRule>
  </conditionalFormatting>
  <conditionalFormatting sqref="M15:AF15">
    <cfRule type="expression" dxfId="4458" priority="26">
      <formula>M15&gt;$AG15</formula>
    </cfRule>
  </conditionalFormatting>
  <conditionalFormatting sqref="M33:AF33">
    <cfRule type="expression" dxfId="4457" priority="22">
      <formula>M$9&gt;=20/24</formula>
    </cfRule>
    <cfRule type="expression" dxfId="4456" priority="23">
      <formula>AND(M$9&gt;=14/24,M$9&lt;20/24)</formula>
    </cfRule>
    <cfRule type="expression" dxfId="4455" priority="24">
      <formula>AND(M$9&gt;=8/24,M$9&lt;14/24)</formula>
    </cfRule>
    <cfRule type="expression" dxfId="4454" priority="25">
      <formula>M$9&lt;8/24</formula>
    </cfRule>
  </conditionalFormatting>
  <conditionalFormatting sqref="M33:AF33">
    <cfRule type="expression" dxfId="4453" priority="21">
      <formula>M33&gt;$AG33</formula>
    </cfRule>
  </conditionalFormatting>
  <conditionalFormatting sqref="AA85:AA91">
    <cfRule type="expression" dxfId="4452" priority="17">
      <formula>AA$9&gt;=20/24</formula>
    </cfRule>
    <cfRule type="expression" dxfId="4451" priority="18">
      <formula>AND(AA$9&gt;=14/24,AA$9&lt;20/24)</formula>
    </cfRule>
    <cfRule type="expression" dxfId="4450" priority="19">
      <formula>AND(AA$9&gt;=8/24,AA$9&lt;14/24)</formula>
    </cfRule>
    <cfRule type="expression" dxfId="4449" priority="20">
      <formula>AA$9&lt;8/24</formula>
    </cfRule>
  </conditionalFormatting>
  <conditionalFormatting sqref="AA84">
    <cfRule type="expression" dxfId="4448" priority="13">
      <formula>AA$9&gt;=20/24</formula>
    </cfRule>
    <cfRule type="expression" dxfId="4447" priority="14">
      <formula>AND(AA$9&gt;=14/24,AA$9&lt;20/24)</formula>
    </cfRule>
    <cfRule type="expression" dxfId="4446" priority="15">
      <formula>AND(AA$9&gt;=8/24,AA$9&lt;14/24)</formula>
    </cfRule>
    <cfRule type="expression" dxfId="4445" priority="16">
      <formula>AA$9&lt;8/24</formula>
    </cfRule>
  </conditionalFormatting>
  <conditionalFormatting sqref="AA94:AA97">
    <cfRule type="expression" dxfId="4444" priority="9">
      <formula>AA$9&gt;=20/24</formula>
    </cfRule>
    <cfRule type="expression" dxfId="4443" priority="10">
      <formula>AND(AA$9&gt;=14/24,AA$9&lt;20/24)</formula>
    </cfRule>
    <cfRule type="expression" dxfId="4442" priority="11">
      <formula>AND(AA$9&gt;=8/24,AA$9&lt;14/24)</formula>
    </cfRule>
    <cfRule type="expression" dxfId="4441" priority="12">
      <formula>AA$9&lt;8/24</formula>
    </cfRule>
  </conditionalFormatting>
  <conditionalFormatting sqref="AA98">
    <cfRule type="expression" dxfId="4440" priority="5">
      <formula>AA$9&gt;=20/24</formula>
    </cfRule>
    <cfRule type="expression" dxfId="4439" priority="6">
      <formula>AND(AA$9&gt;=14/24,AA$9&lt;20/24)</formula>
    </cfRule>
    <cfRule type="expression" dxfId="4438" priority="7">
      <formula>AND(AA$9&gt;=8/24,AA$9&lt;14/24)</formula>
    </cfRule>
    <cfRule type="expression" dxfId="4437" priority="8">
      <formula>AA$9&lt;8/24</formula>
    </cfRule>
  </conditionalFormatting>
  <conditionalFormatting sqref="AA99">
    <cfRule type="expression" dxfId="4436" priority="1">
      <formula>AA$9&gt;=20/24</formula>
    </cfRule>
    <cfRule type="expression" dxfId="4435" priority="2">
      <formula>AND(AA$9&gt;=14/24,AA$9&lt;20/24)</formula>
    </cfRule>
    <cfRule type="expression" dxfId="4434" priority="3">
      <formula>AND(AA$9&gt;=8/24,AA$9&lt;14/24)</formula>
    </cfRule>
    <cfRule type="expression" dxfId="4433" priority="4">
      <formula>AA$9&lt;8/24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id="{A805A526-B6E4-4AF9-8D58-9856975BCC4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I39" sqref="I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2078/11/16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446.9</v>
      </c>
      <c r="C5" s="32">
        <f t="shared" si="0"/>
        <v>431.8</v>
      </c>
      <c r="D5" s="32">
        <f t="shared" si="0"/>
        <v>417.70000000000005</v>
      </c>
      <c r="E5" s="32">
        <f t="shared" si="0"/>
        <v>436.70000000000005</v>
      </c>
      <c r="F5" s="32">
        <f t="shared" si="0"/>
        <v>463.5</v>
      </c>
      <c r="G5" s="32">
        <f t="shared" si="0"/>
        <v>470.90000000000003</v>
      </c>
      <c r="H5" s="32">
        <f t="shared" si="0"/>
        <v>494.8</v>
      </c>
      <c r="I5" s="32">
        <f t="shared" si="0"/>
        <v>554</v>
      </c>
      <c r="J5" s="32">
        <f t="shared" si="0"/>
        <v>226</v>
      </c>
      <c r="K5" s="32">
        <f t="shared" si="0"/>
        <v>373.5</v>
      </c>
      <c r="L5" s="32">
        <f t="shared" si="0"/>
        <v>371.79999999999995</v>
      </c>
      <c r="M5" s="32">
        <f t="shared" si="0"/>
        <v>540.6</v>
      </c>
      <c r="N5" s="32">
        <f t="shared" si="0"/>
        <v>593.30000000000007</v>
      </c>
      <c r="O5" s="32">
        <f t="shared" si="0"/>
        <v>570.79999999999995</v>
      </c>
      <c r="P5" s="32">
        <f t="shared" si="0"/>
        <v>568.6</v>
      </c>
      <c r="Q5" s="32">
        <f t="shared" si="0"/>
        <v>551.70000000000005</v>
      </c>
      <c r="R5" s="32">
        <f t="shared" si="0"/>
        <v>547.5</v>
      </c>
      <c r="S5" s="32">
        <f t="shared" si="0"/>
        <v>549.20000000000005</v>
      </c>
      <c r="T5" s="32">
        <f t="shared" si="0"/>
        <v>489.6</v>
      </c>
      <c r="U5" s="32">
        <f t="shared" si="0"/>
        <v>537.80000000000007</v>
      </c>
      <c r="V5" s="32">
        <f t="shared" si="0"/>
        <v>551.80000000000007</v>
      </c>
      <c r="W5" s="32">
        <f t="shared" si="0"/>
        <v>288.60000000000002</v>
      </c>
      <c r="X5" s="32">
        <f t="shared" si="0"/>
        <v>272</v>
      </c>
      <c r="Y5" s="32">
        <f t="shared" si="0"/>
        <v>235.6</v>
      </c>
      <c r="Z5" s="32">
        <f t="shared" si="0"/>
        <v>297</v>
      </c>
      <c r="AA5" s="32">
        <f t="shared" si="0"/>
        <v>433</v>
      </c>
      <c r="AB5" s="32">
        <f t="shared" si="0"/>
        <v>454</v>
      </c>
      <c r="AC5" s="32">
        <f t="shared" si="0"/>
        <v>498</v>
      </c>
      <c r="AD5" s="32">
        <f t="shared" si="0"/>
        <v>481</v>
      </c>
      <c r="AE5" s="32">
        <f t="shared" si="0"/>
        <v>435</v>
      </c>
      <c r="AF5" s="32">
        <f>B68</f>
        <v>458.3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1463MW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Load=928</v>
      </c>
      <c r="B7" s="37">
        <f>B75</f>
        <v>979.74</v>
      </c>
      <c r="C7" s="37">
        <f t="shared" ref="C7:AF7" si="1">C75</f>
        <v>957.64</v>
      </c>
      <c r="D7" s="37">
        <f t="shared" si="1"/>
        <v>947.24</v>
      </c>
      <c r="E7" s="37">
        <f t="shared" si="1"/>
        <v>937.74</v>
      </c>
      <c r="F7" s="37">
        <f t="shared" si="1"/>
        <v>927.74</v>
      </c>
      <c r="G7" s="37">
        <f t="shared" si="1"/>
        <v>977.24</v>
      </c>
      <c r="H7" s="37">
        <f t="shared" si="1"/>
        <v>1033.94</v>
      </c>
      <c r="I7" s="37">
        <f t="shared" si="1"/>
        <v>1123.94</v>
      </c>
      <c r="J7" s="37">
        <f t="shared" si="1"/>
        <v>1225.74</v>
      </c>
      <c r="K7" s="37">
        <f t="shared" si="1"/>
        <v>1315.2400000000002</v>
      </c>
      <c r="L7" s="37">
        <f t="shared" si="1"/>
        <v>1463.1399999999999</v>
      </c>
      <c r="M7" s="37">
        <f t="shared" si="1"/>
        <v>1458.54</v>
      </c>
      <c r="N7" s="37">
        <f t="shared" si="1"/>
        <v>1382.64</v>
      </c>
      <c r="O7" s="37">
        <f t="shared" si="1"/>
        <v>1331.2400000000002</v>
      </c>
      <c r="P7" s="37">
        <f t="shared" si="1"/>
        <v>1275.24</v>
      </c>
      <c r="Q7" s="37">
        <f t="shared" si="1"/>
        <v>1244.24</v>
      </c>
      <c r="R7" s="37">
        <f t="shared" si="1"/>
        <v>1178.6400000000001</v>
      </c>
      <c r="S7" s="37">
        <f t="shared" si="1"/>
        <v>1138.54</v>
      </c>
      <c r="T7" s="37">
        <f t="shared" si="1"/>
        <v>1164.44</v>
      </c>
      <c r="U7" s="37">
        <f t="shared" si="1"/>
        <v>1124.8400000000001</v>
      </c>
      <c r="V7" s="37">
        <f t="shared" si="1"/>
        <v>1201.04</v>
      </c>
      <c r="W7" s="37">
        <f t="shared" si="1"/>
        <v>1307.04</v>
      </c>
      <c r="X7" s="37">
        <f t="shared" si="1"/>
        <v>1308.6399999999999</v>
      </c>
      <c r="Y7" s="37">
        <f t="shared" si="1"/>
        <v>1477.04</v>
      </c>
      <c r="Z7" s="37">
        <f t="shared" si="1"/>
        <v>1488.94</v>
      </c>
      <c r="AA7" s="37">
        <f t="shared" si="1"/>
        <v>1441.24</v>
      </c>
      <c r="AB7" s="37">
        <f t="shared" si="1"/>
        <v>1323.84</v>
      </c>
      <c r="AC7" s="37">
        <f t="shared" si="1"/>
        <v>1252.1399999999999</v>
      </c>
      <c r="AD7" s="37">
        <f t="shared" si="1"/>
        <v>1184.8400000000001</v>
      </c>
      <c r="AE7" s="37">
        <f t="shared" si="1"/>
        <v>1036.44</v>
      </c>
      <c r="AF7" s="37">
        <f t="shared" si="1"/>
        <v>944.44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</v>
      </c>
      <c r="C11" s="49">
        <v>14</v>
      </c>
      <c r="D11" s="49">
        <v>14</v>
      </c>
      <c r="E11" s="49">
        <v>25</v>
      </c>
      <c r="F11" s="49">
        <v>13</v>
      </c>
      <c r="G11" s="49">
        <v>13</v>
      </c>
      <c r="H11" s="49">
        <v>50</v>
      </c>
      <c r="I11" s="49">
        <v>35</v>
      </c>
      <c r="J11" s="49">
        <v>75</v>
      </c>
      <c r="K11" s="49">
        <v>320</v>
      </c>
      <c r="L11" s="49">
        <v>295</v>
      </c>
      <c r="M11" s="50">
        <v>295</v>
      </c>
      <c r="N11" s="50">
        <v>100</v>
      </c>
      <c r="O11" s="50">
        <v>40</v>
      </c>
      <c r="P11" s="50">
        <v>55</v>
      </c>
      <c r="Q11" s="50">
        <v>60</v>
      </c>
      <c r="R11" s="50">
        <v>10</v>
      </c>
      <c r="S11" s="50">
        <v>10</v>
      </c>
      <c r="T11" s="50">
        <v>30</v>
      </c>
      <c r="U11" s="50">
        <v>50</v>
      </c>
      <c r="V11" s="50">
        <v>60</v>
      </c>
      <c r="W11" s="50">
        <v>152</v>
      </c>
      <c r="X11" s="50">
        <v>280</v>
      </c>
      <c r="Y11" s="50">
        <v>400</v>
      </c>
      <c r="Z11" s="52">
        <v>450</v>
      </c>
      <c r="AA11" s="52">
        <v>360</v>
      </c>
      <c r="AB11" s="52">
        <v>190</v>
      </c>
      <c r="AC11" s="52">
        <v>130</v>
      </c>
      <c r="AD11" s="50">
        <v>70</v>
      </c>
      <c r="AE11" s="50">
        <v>13</v>
      </c>
      <c r="AF11" s="49">
        <v>13</v>
      </c>
      <c r="AG11" s="53">
        <v>456</v>
      </c>
      <c r="AH11" s="54">
        <f>MAX(B11:AF11)</f>
        <v>450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8">
        <v>31</v>
      </c>
      <c r="C12" s="58">
        <v>31</v>
      </c>
      <c r="D12" s="58">
        <v>31</v>
      </c>
      <c r="E12" s="58">
        <v>31</v>
      </c>
      <c r="F12" s="58">
        <v>31</v>
      </c>
      <c r="G12" s="58">
        <v>31</v>
      </c>
      <c r="H12" s="58">
        <v>31</v>
      </c>
      <c r="I12" s="58">
        <v>31</v>
      </c>
      <c r="J12" s="58">
        <v>31</v>
      </c>
      <c r="K12" s="58">
        <v>31</v>
      </c>
      <c r="L12" s="58">
        <v>31</v>
      </c>
      <c r="M12" s="58">
        <v>30</v>
      </c>
      <c r="N12" s="58">
        <v>30</v>
      </c>
      <c r="O12" s="58">
        <v>30</v>
      </c>
      <c r="P12" s="58">
        <v>30</v>
      </c>
      <c r="Q12" s="58">
        <v>30</v>
      </c>
      <c r="R12" s="49">
        <v>29</v>
      </c>
      <c r="S12" s="49">
        <v>29</v>
      </c>
      <c r="T12" s="49">
        <v>29</v>
      </c>
      <c r="U12" s="49">
        <v>29</v>
      </c>
      <c r="V12" s="49">
        <v>29</v>
      </c>
      <c r="W12" s="49">
        <v>29</v>
      </c>
      <c r="X12" s="49">
        <v>29</v>
      </c>
      <c r="Y12" s="49">
        <v>29</v>
      </c>
      <c r="Z12" s="58">
        <v>29</v>
      </c>
      <c r="AA12" s="58">
        <v>29</v>
      </c>
      <c r="AB12" s="58">
        <v>29</v>
      </c>
      <c r="AC12" s="58">
        <v>29</v>
      </c>
      <c r="AD12" s="58">
        <v>29</v>
      </c>
      <c r="AE12" s="58">
        <v>29</v>
      </c>
      <c r="AF12" s="58">
        <v>29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29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</v>
      </c>
      <c r="C13" s="49">
        <v>17</v>
      </c>
      <c r="D13" s="49">
        <v>17</v>
      </c>
      <c r="E13" s="49">
        <v>17</v>
      </c>
      <c r="F13" s="49">
        <v>17</v>
      </c>
      <c r="G13" s="49">
        <v>17</v>
      </c>
      <c r="H13" s="49">
        <v>17</v>
      </c>
      <c r="I13" s="49">
        <v>17.7</v>
      </c>
      <c r="J13" s="49">
        <v>17.899999999999999</v>
      </c>
      <c r="K13" s="49">
        <v>17.899999999999999</v>
      </c>
      <c r="L13" s="49">
        <v>17.899999999999999</v>
      </c>
      <c r="M13" s="49">
        <v>17.899999999999999</v>
      </c>
      <c r="N13" s="49">
        <v>17.899999999999999</v>
      </c>
      <c r="O13" s="49">
        <v>17.899999999999999</v>
      </c>
      <c r="P13" s="49">
        <v>17.3</v>
      </c>
      <c r="Q13" s="49">
        <v>17.3</v>
      </c>
      <c r="R13" s="49">
        <v>16.8</v>
      </c>
      <c r="S13" s="49">
        <v>16.8</v>
      </c>
      <c r="T13" s="49">
        <v>16.8</v>
      </c>
      <c r="U13" s="49">
        <v>16.8</v>
      </c>
      <c r="V13" s="49">
        <v>16.8</v>
      </c>
      <c r="W13" s="49">
        <v>16.8</v>
      </c>
      <c r="X13" s="49">
        <v>16.8</v>
      </c>
      <c r="Y13" s="49">
        <v>16.8</v>
      </c>
      <c r="Z13" s="49">
        <v>16.8</v>
      </c>
      <c r="AA13" s="49">
        <v>16.8</v>
      </c>
      <c r="AB13" s="49">
        <v>16.8</v>
      </c>
      <c r="AC13" s="49">
        <v>16.8</v>
      </c>
      <c r="AD13" s="49">
        <v>16.8</v>
      </c>
      <c r="AE13" s="49">
        <v>16.8</v>
      </c>
      <c r="AF13" s="49">
        <v>16.8</v>
      </c>
      <c r="AG13" s="59">
        <v>52.4</v>
      </c>
      <c r="AH13" s="54">
        <f t="shared" si="2"/>
        <v>17.899999999999999</v>
      </c>
      <c r="AI13" s="55">
        <f t="shared" si="3"/>
        <v>16.8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33</v>
      </c>
      <c r="C14" s="50">
        <v>33</v>
      </c>
      <c r="D14" s="50">
        <v>33</v>
      </c>
      <c r="E14" s="50">
        <v>33</v>
      </c>
      <c r="F14" s="50">
        <v>33</v>
      </c>
      <c r="G14" s="50">
        <v>33</v>
      </c>
      <c r="H14" s="50">
        <v>33</v>
      </c>
      <c r="I14" s="50">
        <v>33</v>
      </c>
      <c r="J14" s="50">
        <v>33</v>
      </c>
      <c r="K14" s="50">
        <v>33</v>
      </c>
      <c r="L14" s="50">
        <v>33</v>
      </c>
      <c r="M14" s="50">
        <v>33</v>
      </c>
      <c r="N14" s="50">
        <v>33</v>
      </c>
      <c r="O14" s="50">
        <v>33</v>
      </c>
      <c r="P14" s="50">
        <v>32.799999999999997</v>
      </c>
      <c r="Q14" s="50">
        <v>32.799999999999997</v>
      </c>
      <c r="R14" s="50">
        <v>32.5</v>
      </c>
      <c r="S14" s="50">
        <v>32.5</v>
      </c>
      <c r="T14" s="50">
        <v>32.5</v>
      </c>
      <c r="U14" s="50">
        <v>32.5</v>
      </c>
      <c r="V14" s="50">
        <v>32.5</v>
      </c>
      <c r="W14" s="50">
        <v>32.5</v>
      </c>
      <c r="X14" s="50">
        <v>32.5</v>
      </c>
      <c r="Y14" s="50">
        <v>32.5</v>
      </c>
      <c r="Z14" s="50">
        <v>32.5</v>
      </c>
      <c r="AA14" s="50">
        <v>32.5</v>
      </c>
      <c r="AB14" s="50">
        <v>32.5</v>
      </c>
      <c r="AC14" s="50">
        <v>32.5</v>
      </c>
      <c r="AD14" s="50">
        <v>32.5</v>
      </c>
      <c r="AE14" s="50">
        <v>32.5</v>
      </c>
      <c r="AF14" s="50">
        <v>32.5</v>
      </c>
      <c r="AG14" s="59">
        <v>50</v>
      </c>
      <c r="AH14" s="54">
        <f t="shared" si="2"/>
        <v>33</v>
      </c>
      <c r="AI14" s="55">
        <f t="shared" si="3"/>
        <v>32.5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20.100000000000001</v>
      </c>
      <c r="C15" s="50">
        <v>20.100000000000001</v>
      </c>
      <c r="D15" s="50">
        <v>20.100000000000001</v>
      </c>
      <c r="E15" s="50">
        <v>20.100000000000001</v>
      </c>
      <c r="F15" s="50">
        <v>20.100000000000001</v>
      </c>
      <c r="G15" s="50">
        <v>20.100000000000001</v>
      </c>
      <c r="H15" s="50">
        <v>20.100000000000001</v>
      </c>
      <c r="I15" s="50">
        <v>20.100000000000001</v>
      </c>
      <c r="J15" s="50">
        <v>20.100000000000001</v>
      </c>
      <c r="K15" s="50">
        <v>20.100000000000001</v>
      </c>
      <c r="L15" s="50">
        <v>20.100000000000001</v>
      </c>
      <c r="M15" s="50">
        <v>20.100000000000001</v>
      </c>
      <c r="N15" s="50">
        <v>20.100000000000001</v>
      </c>
      <c r="O15" s="50">
        <v>18.399999999999999</v>
      </c>
      <c r="P15" s="50">
        <v>18.5</v>
      </c>
      <c r="Q15" s="50">
        <v>18.5</v>
      </c>
      <c r="R15" s="50">
        <v>18.3</v>
      </c>
      <c r="S15" s="50">
        <v>18.3</v>
      </c>
      <c r="T15" s="50">
        <v>18.3</v>
      </c>
      <c r="U15" s="50">
        <v>18.3</v>
      </c>
      <c r="V15" s="50">
        <v>18.3</v>
      </c>
      <c r="W15" s="50">
        <v>18.3</v>
      </c>
      <c r="X15" s="50">
        <v>18.3</v>
      </c>
      <c r="Y15" s="50">
        <v>18.3</v>
      </c>
      <c r="Z15" s="50">
        <v>18.3</v>
      </c>
      <c r="AA15" s="50">
        <v>18.3</v>
      </c>
      <c r="AB15" s="50">
        <v>18.3</v>
      </c>
      <c r="AC15" s="50">
        <v>18.3</v>
      </c>
      <c r="AD15" s="50">
        <v>18.3</v>
      </c>
      <c r="AE15" s="50">
        <v>18.3</v>
      </c>
      <c r="AF15" s="50">
        <v>18.3</v>
      </c>
      <c r="AG15" s="62">
        <v>45</v>
      </c>
      <c r="AH15" s="54">
        <f t="shared" si="2"/>
        <v>20.100000000000001</v>
      </c>
      <c r="AI15" s="55">
        <f t="shared" si="3"/>
        <v>18.3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9.1</v>
      </c>
      <c r="C19" s="50">
        <v>9.1</v>
      </c>
      <c r="D19" s="50">
        <v>9.1</v>
      </c>
      <c r="E19" s="50">
        <v>9.1</v>
      </c>
      <c r="F19" s="50">
        <v>9.1</v>
      </c>
      <c r="G19" s="50">
        <v>9.1</v>
      </c>
      <c r="H19" s="50">
        <v>9.1</v>
      </c>
      <c r="I19" s="50">
        <v>9.1</v>
      </c>
      <c r="J19" s="50">
        <v>9.1</v>
      </c>
      <c r="K19" s="50">
        <v>9.1</v>
      </c>
      <c r="L19" s="50">
        <v>9.1</v>
      </c>
      <c r="M19" s="50">
        <v>9.1</v>
      </c>
      <c r="N19" s="50">
        <v>9.1</v>
      </c>
      <c r="O19" s="50">
        <v>9.1</v>
      </c>
      <c r="P19" s="50">
        <v>8.4</v>
      </c>
      <c r="Q19" s="50">
        <v>8.4</v>
      </c>
      <c r="R19" s="50">
        <v>8.4</v>
      </c>
      <c r="S19" s="50">
        <v>8.4</v>
      </c>
      <c r="T19" s="50">
        <v>8.4</v>
      </c>
      <c r="U19" s="50">
        <v>8.4</v>
      </c>
      <c r="V19" s="50">
        <v>8.4</v>
      </c>
      <c r="W19" s="50">
        <v>8.4</v>
      </c>
      <c r="X19" s="50">
        <v>8.4</v>
      </c>
      <c r="Y19" s="50">
        <v>8.4</v>
      </c>
      <c r="Z19" s="50">
        <v>8.4</v>
      </c>
      <c r="AA19" s="50">
        <v>8.4</v>
      </c>
      <c r="AB19" s="50">
        <v>8.4</v>
      </c>
      <c r="AC19" s="50">
        <v>8.4</v>
      </c>
      <c r="AD19" s="50">
        <v>8.4</v>
      </c>
      <c r="AE19" s="50">
        <v>8.4</v>
      </c>
      <c r="AF19" s="50">
        <v>8.4</v>
      </c>
      <c r="AG19" s="59">
        <v>30</v>
      </c>
      <c r="AH19" s="54">
        <f t="shared" si="2"/>
        <v>9.1</v>
      </c>
      <c r="AI19" s="55">
        <f t="shared" si="3"/>
        <v>8.4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9.5</v>
      </c>
      <c r="C22" s="50">
        <v>9.5</v>
      </c>
      <c r="D22" s="50">
        <v>9.5</v>
      </c>
      <c r="E22" s="50">
        <v>9.5</v>
      </c>
      <c r="F22" s="50">
        <v>9.5</v>
      </c>
      <c r="G22" s="50">
        <v>9.5</v>
      </c>
      <c r="H22" s="50">
        <v>9.5</v>
      </c>
      <c r="I22" s="50">
        <v>9.5</v>
      </c>
      <c r="J22" s="50">
        <v>9.5</v>
      </c>
      <c r="K22" s="50">
        <v>9.5</v>
      </c>
      <c r="L22" s="50">
        <v>9.5</v>
      </c>
      <c r="M22" s="50">
        <v>9.5</v>
      </c>
      <c r="N22" s="50">
        <v>9.5</v>
      </c>
      <c r="O22" s="50">
        <v>8.5</v>
      </c>
      <c r="P22" s="50">
        <v>9.4</v>
      </c>
      <c r="Q22" s="50">
        <v>9.4</v>
      </c>
      <c r="R22" s="50">
        <v>9.4</v>
      </c>
      <c r="S22" s="50">
        <v>9.4</v>
      </c>
      <c r="T22" s="50">
        <v>9.4</v>
      </c>
      <c r="U22" s="50">
        <v>9.4</v>
      </c>
      <c r="V22" s="50">
        <v>9.4</v>
      </c>
      <c r="W22" s="50">
        <v>9.4</v>
      </c>
      <c r="X22" s="50">
        <v>9.4</v>
      </c>
      <c r="Y22" s="50">
        <v>9.4</v>
      </c>
      <c r="Z22" s="50">
        <v>9.4</v>
      </c>
      <c r="AA22" s="50">
        <v>9.4</v>
      </c>
      <c r="AB22" s="50">
        <v>9.4</v>
      </c>
      <c r="AC22" s="50">
        <v>9.4</v>
      </c>
      <c r="AD22" s="50">
        <v>9.4</v>
      </c>
      <c r="AE22" s="50">
        <v>9.4</v>
      </c>
      <c r="AF22" s="50">
        <v>9.4</v>
      </c>
      <c r="AG22" s="59">
        <v>25</v>
      </c>
      <c r="AH22" s="54">
        <f t="shared" si="2"/>
        <v>9.5</v>
      </c>
      <c r="AI22" s="55">
        <f t="shared" si="3"/>
        <v>8.5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8</v>
      </c>
      <c r="C24" s="50">
        <v>8</v>
      </c>
      <c r="D24" s="50">
        <v>8</v>
      </c>
      <c r="E24" s="50">
        <v>8</v>
      </c>
      <c r="F24" s="50">
        <v>8</v>
      </c>
      <c r="G24" s="50">
        <v>8</v>
      </c>
      <c r="H24" s="50">
        <v>8</v>
      </c>
      <c r="I24" s="50">
        <v>8</v>
      </c>
      <c r="J24" s="50">
        <v>8</v>
      </c>
      <c r="K24" s="50">
        <v>8</v>
      </c>
      <c r="L24" s="50">
        <v>8</v>
      </c>
      <c r="M24" s="50">
        <v>8</v>
      </c>
      <c r="N24" s="50">
        <v>8</v>
      </c>
      <c r="O24" s="50">
        <v>8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9">
        <v>25</v>
      </c>
      <c r="AH24" s="54">
        <f t="shared" si="2"/>
        <v>8</v>
      </c>
      <c r="AI24" s="55">
        <f t="shared" si="3"/>
        <v>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50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37.4</v>
      </c>
      <c r="C37" s="61">
        <v>37.4</v>
      </c>
      <c r="D37" s="61">
        <v>37.6</v>
      </c>
      <c r="E37" s="61">
        <v>37.9</v>
      </c>
      <c r="F37" s="61">
        <v>38.9</v>
      </c>
      <c r="G37" s="61">
        <v>38.700000000000003</v>
      </c>
      <c r="H37" s="61">
        <v>37.200000000000003</v>
      </c>
      <c r="I37" s="61">
        <v>37</v>
      </c>
      <c r="J37" s="61">
        <v>36.700000000000003</v>
      </c>
      <c r="K37" s="61">
        <v>35.4</v>
      </c>
      <c r="L37" s="61">
        <v>36.1</v>
      </c>
      <c r="M37" s="70">
        <f>36.1</f>
        <v>36.1</v>
      </c>
      <c r="N37" s="70">
        <f>36.7</f>
        <v>36.700000000000003</v>
      </c>
      <c r="O37" s="70">
        <v>35.200000000000003</v>
      </c>
      <c r="P37" s="70">
        <v>33.700000000000003</v>
      </c>
      <c r="Q37" s="70">
        <v>31.9</v>
      </c>
      <c r="R37" s="70">
        <v>39.299999999999997</v>
      </c>
      <c r="S37" s="70">
        <v>38</v>
      </c>
      <c r="T37" s="70">
        <v>38.6</v>
      </c>
      <c r="U37" s="70">
        <v>38.200000000000003</v>
      </c>
      <c r="V37" s="70">
        <v>37.1</v>
      </c>
      <c r="W37" s="70">
        <v>34.56</v>
      </c>
      <c r="X37" s="70">
        <v>34.1</v>
      </c>
      <c r="Y37" s="70">
        <v>32.200000000000003</v>
      </c>
      <c r="Z37" s="70">
        <v>32.200000000000003</v>
      </c>
      <c r="AA37" s="70">
        <v>32.200000000000003</v>
      </c>
      <c r="AB37" s="70">
        <v>32.200000000000003</v>
      </c>
      <c r="AC37" s="70">
        <v>34</v>
      </c>
      <c r="AD37" s="70">
        <v>34</v>
      </c>
      <c r="AE37" s="70">
        <v>34</v>
      </c>
      <c r="AF37" s="70">
        <v>35</v>
      </c>
      <c r="AG37" s="67">
        <v>240</v>
      </c>
      <c r="AH37" s="54">
        <f t="shared" si="2"/>
        <v>39.299999999999997</v>
      </c>
      <c r="AI37" s="55">
        <f t="shared" si="3"/>
        <v>31.9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376.9</v>
      </c>
      <c r="C38" s="72">
        <f t="shared" ref="C38:AF38" si="5">SUM(C11:C36)</f>
        <v>380.9</v>
      </c>
      <c r="D38" s="72">
        <f t="shared" si="5"/>
        <v>380.9</v>
      </c>
      <c r="E38" s="72">
        <f t="shared" si="5"/>
        <v>391.9</v>
      </c>
      <c r="F38" s="72">
        <f t="shared" si="5"/>
        <v>379.9</v>
      </c>
      <c r="G38" s="72">
        <f t="shared" si="5"/>
        <v>379.9</v>
      </c>
      <c r="H38" s="72">
        <f t="shared" si="5"/>
        <v>416.9</v>
      </c>
      <c r="I38" s="72">
        <f t="shared" si="5"/>
        <v>402.6</v>
      </c>
      <c r="J38" s="72">
        <f t="shared" si="5"/>
        <v>442.8</v>
      </c>
      <c r="K38" s="72">
        <f t="shared" si="5"/>
        <v>687.80000000000007</v>
      </c>
      <c r="L38" s="72">
        <f t="shared" si="5"/>
        <v>662.8</v>
      </c>
      <c r="M38" s="72">
        <f t="shared" si="5"/>
        <v>661.8</v>
      </c>
      <c r="N38" s="72">
        <f t="shared" si="5"/>
        <v>466.8</v>
      </c>
      <c r="O38" s="72">
        <f t="shared" si="5"/>
        <v>404.1</v>
      </c>
      <c r="P38" s="72">
        <f t="shared" si="5"/>
        <v>417.6</v>
      </c>
      <c r="Q38" s="72">
        <f t="shared" si="5"/>
        <v>422.59999999999997</v>
      </c>
      <c r="R38" s="72">
        <f t="shared" si="5"/>
        <v>370.6</v>
      </c>
      <c r="S38" s="72">
        <f t="shared" si="5"/>
        <v>370.6</v>
      </c>
      <c r="T38" s="72">
        <f t="shared" si="5"/>
        <v>390.6</v>
      </c>
      <c r="U38" s="72">
        <f t="shared" si="5"/>
        <v>410.6</v>
      </c>
      <c r="V38" s="72">
        <f t="shared" si="5"/>
        <v>420.6</v>
      </c>
      <c r="W38" s="72">
        <f t="shared" si="5"/>
        <v>512.59999999999991</v>
      </c>
      <c r="X38" s="72">
        <f t="shared" si="5"/>
        <v>640.59999999999991</v>
      </c>
      <c r="Y38" s="72">
        <f t="shared" si="5"/>
        <v>760.6</v>
      </c>
      <c r="Z38" s="72">
        <f t="shared" si="5"/>
        <v>815.59999999999991</v>
      </c>
      <c r="AA38" s="72">
        <f t="shared" si="5"/>
        <v>725.6</v>
      </c>
      <c r="AB38" s="72">
        <f t="shared" si="5"/>
        <v>555.59999999999991</v>
      </c>
      <c r="AC38" s="72">
        <f t="shared" si="5"/>
        <v>495.59999999999997</v>
      </c>
      <c r="AD38" s="72">
        <f t="shared" si="5"/>
        <v>435.6</v>
      </c>
      <c r="AE38" s="72">
        <f t="shared" si="5"/>
        <v>378.6</v>
      </c>
      <c r="AF38" s="72">
        <f t="shared" si="5"/>
        <v>378.6</v>
      </c>
      <c r="AG38" s="67">
        <f>SUM(AG11:AG37)</f>
        <v>1492.8299999999997</v>
      </c>
      <c r="AH38" s="54">
        <f t="shared" si="2"/>
        <v>815.59999999999991</v>
      </c>
      <c r="AI38" s="55">
        <f t="shared" si="3"/>
        <v>370.6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0</v>
      </c>
      <c r="H39" s="61">
        <v>0</v>
      </c>
      <c r="I39" s="61">
        <v>32.4</v>
      </c>
      <c r="J39" s="61">
        <v>36.4</v>
      </c>
      <c r="K39" s="61">
        <v>145.69999999999999</v>
      </c>
      <c r="L39" s="61">
        <v>145.80000000000001</v>
      </c>
      <c r="M39" s="50">
        <v>145.4</v>
      </c>
      <c r="N39" s="50">
        <v>136.80000000000001</v>
      </c>
      <c r="O39" s="50">
        <v>111.1</v>
      </c>
      <c r="P39" s="50">
        <v>96.9</v>
      </c>
      <c r="Q39" s="50">
        <v>71.400000000000006</v>
      </c>
      <c r="R39" s="50">
        <v>63.6</v>
      </c>
      <c r="S39" s="50">
        <v>63.6</v>
      </c>
      <c r="T39" s="50">
        <v>63.6</v>
      </c>
      <c r="U39" s="50">
        <v>63.6</v>
      </c>
      <c r="V39" s="50">
        <v>66.900000000000006</v>
      </c>
      <c r="W39" s="50">
        <v>66.900000000000006</v>
      </c>
      <c r="X39" s="50">
        <v>117.2</v>
      </c>
      <c r="Y39" s="50">
        <v>145.4</v>
      </c>
      <c r="Z39" s="50">
        <v>145.4</v>
      </c>
      <c r="AA39" s="50">
        <v>136.5</v>
      </c>
      <c r="AB39" s="50">
        <v>110</v>
      </c>
      <c r="AC39" s="50">
        <v>91.2</v>
      </c>
      <c r="AD39" s="50">
        <v>60</v>
      </c>
      <c r="AE39" s="50">
        <v>0</v>
      </c>
      <c r="AF39" s="49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22.7</v>
      </c>
      <c r="H40" s="61">
        <v>35.4</v>
      </c>
      <c r="I40" s="61">
        <v>67.599999999999994</v>
      </c>
      <c r="J40" s="61">
        <v>61.8</v>
      </c>
      <c r="K40" s="61">
        <v>69.7</v>
      </c>
      <c r="L40" s="61">
        <v>69.400000000000006</v>
      </c>
      <c r="M40" s="73">
        <v>68.8</v>
      </c>
      <c r="N40" s="73">
        <v>54.9</v>
      </c>
      <c r="O40" s="73">
        <v>55.1</v>
      </c>
      <c r="P40" s="73">
        <v>34.9</v>
      </c>
      <c r="Q40" s="73">
        <v>34.5</v>
      </c>
      <c r="R40" s="73">
        <v>35.700000000000003</v>
      </c>
      <c r="S40" s="73">
        <v>20.9</v>
      </c>
      <c r="T40" s="73">
        <v>21.4</v>
      </c>
      <c r="U40" s="73">
        <v>21.4</v>
      </c>
      <c r="V40" s="73">
        <v>21.9</v>
      </c>
      <c r="W40" s="73">
        <v>21.9</v>
      </c>
      <c r="X40" s="73">
        <v>70.599999999999994</v>
      </c>
      <c r="Y40" s="73">
        <v>69.5</v>
      </c>
      <c r="Z40" s="73">
        <v>70.8</v>
      </c>
      <c r="AA40" s="73">
        <v>69.400000000000006</v>
      </c>
      <c r="AB40" s="73">
        <v>45</v>
      </c>
      <c r="AC40" s="73">
        <v>35</v>
      </c>
      <c r="AD40" s="73">
        <v>35</v>
      </c>
      <c r="AE40" s="73">
        <v>35</v>
      </c>
      <c r="AF40" s="61">
        <v>0</v>
      </c>
      <c r="AG40" s="67">
        <v>70</v>
      </c>
      <c r="AH40" s="54">
        <f t="shared" si="2"/>
        <v>70.8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49</v>
      </c>
      <c r="C41" s="61">
        <v>34.9</v>
      </c>
      <c r="D41" s="61">
        <v>41.4</v>
      </c>
      <c r="E41" s="61">
        <v>35</v>
      </c>
      <c r="F41" s="61">
        <v>18</v>
      </c>
      <c r="G41" s="61">
        <v>18</v>
      </c>
      <c r="H41" s="61">
        <v>17.600000000000001</v>
      </c>
      <c r="I41" s="61">
        <v>33.4</v>
      </c>
      <c r="J41" s="61">
        <v>33.9</v>
      </c>
      <c r="K41" s="61">
        <v>68.2</v>
      </c>
      <c r="L41" s="61">
        <v>67.599999999999994</v>
      </c>
      <c r="M41" s="73">
        <v>67.3</v>
      </c>
      <c r="N41" s="73">
        <v>55.6</v>
      </c>
      <c r="O41" s="73">
        <v>38.299999999999997</v>
      </c>
      <c r="P41" s="73">
        <v>35.200000000000003</v>
      </c>
      <c r="Q41" s="73">
        <v>35.6</v>
      </c>
      <c r="R41" s="73">
        <v>35.799999999999997</v>
      </c>
      <c r="S41" s="73">
        <v>19.399999999999999</v>
      </c>
      <c r="T41" s="73">
        <v>23.1</v>
      </c>
      <c r="U41" s="73">
        <v>14</v>
      </c>
      <c r="V41" s="73">
        <v>36.4</v>
      </c>
      <c r="W41" s="73">
        <v>36.4</v>
      </c>
      <c r="X41" s="73">
        <v>44.7</v>
      </c>
      <c r="Y41" s="73">
        <v>67.900000000000006</v>
      </c>
      <c r="Z41" s="73">
        <v>60</v>
      </c>
      <c r="AA41" s="73">
        <v>60</v>
      </c>
      <c r="AB41" s="73">
        <v>56</v>
      </c>
      <c r="AC41" s="73">
        <v>56</v>
      </c>
      <c r="AD41" s="73">
        <v>56</v>
      </c>
      <c r="AE41" s="73">
        <v>46</v>
      </c>
      <c r="AF41" s="61">
        <v>35</v>
      </c>
      <c r="AG41" s="67">
        <v>69</v>
      </c>
      <c r="AH41" s="54">
        <f t="shared" si="2"/>
        <v>68.2</v>
      </c>
      <c r="AI41" s="55">
        <f t="shared" si="3"/>
        <v>14</v>
      </c>
      <c r="AK41" s="56"/>
    </row>
    <row r="42" spans="1:88" x14ac:dyDescent="0.25">
      <c r="A42" s="66" t="s">
        <v>50</v>
      </c>
      <c r="B42" s="61">
        <v>46.4</v>
      </c>
      <c r="C42" s="61">
        <v>45.9</v>
      </c>
      <c r="D42" s="61">
        <v>43.9</v>
      </c>
      <c r="E42" s="61">
        <v>43.9</v>
      </c>
      <c r="F42" s="61">
        <v>43.9</v>
      </c>
      <c r="G42" s="61">
        <v>43.9</v>
      </c>
      <c r="H42" s="61">
        <v>43.9</v>
      </c>
      <c r="I42" s="61">
        <v>43.9</v>
      </c>
      <c r="J42" s="61">
        <v>43.9</v>
      </c>
      <c r="K42" s="61">
        <v>44.1</v>
      </c>
      <c r="L42" s="61">
        <v>43.9</v>
      </c>
      <c r="M42" s="73">
        <v>44.1</v>
      </c>
      <c r="N42" s="73">
        <v>44.1</v>
      </c>
      <c r="O42" s="73">
        <v>44.1</v>
      </c>
      <c r="P42" s="73">
        <v>44.4</v>
      </c>
      <c r="Q42" s="73">
        <v>45.9</v>
      </c>
      <c r="R42" s="73">
        <v>45.9</v>
      </c>
      <c r="S42" s="73">
        <v>42.3</v>
      </c>
      <c r="T42" s="73">
        <v>42.3</v>
      </c>
      <c r="U42" s="73">
        <v>44.3</v>
      </c>
      <c r="V42" s="73">
        <v>44.3</v>
      </c>
      <c r="W42" s="73">
        <v>44.3</v>
      </c>
      <c r="X42" s="73">
        <v>44.3</v>
      </c>
      <c r="Y42" s="73">
        <v>44.3</v>
      </c>
      <c r="Z42" s="73">
        <v>44.3</v>
      </c>
      <c r="AA42" s="73">
        <v>44.3</v>
      </c>
      <c r="AB42" s="73">
        <v>44.3</v>
      </c>
      <c r="AC42" s="73">
        <v>42.3</v>
      </c>
      <c r="AD42" s="73">
        <v>42.3</v>
      </c>
      <c r="AE42" s="73">
        <v>42.3</v>
      </c>
      <c r="AF42" s="73">
        <v>42.3</v>
      </c>
      <c r="AG42" s="67">
        <v>60</v>
      </c>
      <c r="AH42" s="54">
        <f t="shared" si="2"/>
        <v>46.4</v>
      </c>
      <c r="AI42" s="55">
        <f t="shared" si="3"/>
        <v>42.3</v>
      </c>
      <c r="AK42" s="56"/>
    </row>
    <row r="43" spans="1:88" x14ac:dyDescent="0.25">
      <c r="A43" s="66" t="s">
        <v>51</v>
      </c>
      <c r="B43" s="61">
        <v>6.2</v>
      </c>
      <c r="C43" s="61">
        <v>6.1</v>
      </c>
      <c r="D43" s="61">
        <v>6.3</v>
      </c>
      <c r="E43" s="61">
        <v>6.3</v>
      </c>
      <c r="F43" s="61">
        <v>6.3</v>
      </c>
      <c r="G43" s="61">
        <v>6.3</v>
      </c>
      <c r="H43" s="61">
        <v>6.3</v>
      </c>
      <c r="I43" s="61">
        <v>6.3</v>
      </c>
      <c r="J43" s="61">
        <v>10</v>
      </c>
      <c r="K43" s="61">
        <v>10</v>
      </c>
      <c r="L43" s="61">
        <v>6</v>
      </c>
      <c r="M43" s="50">
        <v>6.3</v>
      </c>
      <c r="N43" s="50">
        <v>0</v>
      </c>
      <c r="O43" s="50">
        <v>0</v>
      </c>
      <c r="P43" s="50">
        <v>0</v>
      </c>
      <c r="Q43" s="50">
        <v>0</v>
      </c>
      <c r="R43" s="50">
        <v>10.3</v>
      </c>
      <c r="S43" s="50">
        <v>10.3</v>
      </c>
      <c r="T43" s="50">
        <v>10.3</v>
      </c>
      <c r="U43" s="50">
        <v>10.1</v>
      </c>
      <c r="V43" s="50">
        <v>10.1</v>
      </c>
      <c r="W43" s="50">
        <v>10.1</v>
      </c>
      <c r="X43" s="50">
        <v>9</v>
      </c>
      <c r="Y43" s="50">
        <v>14.8</v>
      </c>
      <c r="Z43" s="50">
        <v>14.8</v>
      </c>
      <c r="AA43" s="50">
        <v>14.8</v>
      </c>
      <c r="AB43" s="50">
        <v>14.8</v>
      </c>
      <c r="AC43" s="73">
        <v>15</v>
      </c>
      <c r="AD43" s="73">
        <v>15</v>
      </c>
      <c r="AE43" s="73">
        <v>10.6</v>
      </c>
      <c r="AF43" s="73">
        <v>10.6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61">
        <v>16</v>
      </c>
      <c r="S45" s="61">
        <v>16</v>
      </c>
      <c r="T45" s="61">
        <v>16</v>
      </c>
      <c r="U45" s="61">
        <v>16</v>
      </c>
      <c r="V45" s="61">
        <v>16</v>
      </c>
      <c r="W45" s="61">
        <v>16</v>
      </c>
      <c r="X45" s="61">
        <v>16</v>
      </c>
      <c r="Y45" s="61">
        <v>16</v>
      </c>
      <c r="Z45" s="61">
        <v>16</v>
      </c>
      <c r="AA45" s="61">
        <v>16</v>
      </c>
      <c r="AB45" s="61">
        <v>16</v>
      </c>
      <c r="AC45" s="61">
        <v>16</v>
      </c>
      <c r="AD45" s="61">
        <v>16</v>
      </c>
      <c r="AE45" s="61">
        <v>16</v>
      </c>
      <c r="AF45" s="61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61">
        <v>11</v>
      </c>
      <c r="AA47" s="61">
        <v>11</v>
      </c>
      <c r="AB47" s="61">
        <v>11</v>
      </c>
      <c r="AC47" s="61">
        <v>11</v>
      </c>
      <c r="AD47" s="61">
        <v>11</v>
      </c>
      <c r="AE47" s="61">
        <v>11</v>
      </c>
      <c r="AF47" s="61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61">
        <v>5</v>
      </c>
      <c r="AA48" s="61">
        <v>5</v>
      </c>
      <c r="AB48" s="61">
        <v>5</v>
      </c>
      <c r="AC48" s="61">
        <v>5</v>
      </c>
      <c r="AD48" s="61">
        <v>5</v>
      </c>
      <c r="AE48" s="61">
        <v>5</v>
      </c>
      <c r="AF48" s="61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61">
        <v>4.9000000000000004</v>
      </c>
      <c r="Z49" s="61">
        <v>4.9000000000000004</v>
      </c>
      <c r="AA49" s="61">
        <v>4.9000000000000004</v>
      </c>
      <c r="AB49" s="61">
        <v>4.9000000000000004</v>
      </c>
      <c r="AC49" s="61">
        <v>4.9000000000000004</v>
      </c>
      <c r="AD49" s="61">
        <v>4.9000000000000004</v>
      </c>
      <c r="AE49" s="61">
        <v>4.9000000000000004</v>
      </c>
      <c r="AF49" s="61">
        <v>4.9000000000000004</v>
      </c>
      <c r="AG49" s="67">
        <v>10.050000000000001</v>
      </c>
      <c r="AH49" s="54">
        <f t="shared" si="2"/>
        <v>4.9000000000000004</v>
      </c>
      <c r="AI49" s="55">
        <f t="shared" si="3"/>
        <v>4.9000000000000004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61">
        <v>2.5</v>
      </c>
      <c r="AA50" s="61">
        <v>2.5</v>
      </c>
      <c r="AB50" s="61">
        <v>2.5</v>
      </c>
      <c r="AC50" s="61">
        <v>2.5</v>
      </c>
      <c r="AD50" s="61">
        <v>2.5</v>
      </c>
      <c r="AE50" s="61">
        <v>2.5</v>
      </c>
      <c r="AF50" s="61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144.54000000000002</v>
      </c>
      <c r="C52" s="72">
        <f t="shared" ref="C52:AF52" si="9">SUM(C39:C51)</f>
        <v>129.84</v>
      </c>
      <c r="D52" s="72">
        <f t="shared" si="9"/>
        <v>134.54</v>
      </c>
      <c r="E52" s="72">
        <f t="shared" si="9"/>
        <v>128.14000000000001</v>
      </c>
      <c r="F52" s="72">
        <f t="shared" si="9"/>
        <v>111.14000000000001</v>
      </c>
      <c r="G52" s="72">
        <f t="shared" si="9"/>
        <v>133.84</v>
      </c>
      <c r="H52" s="72">
        <f t="shared" si="9"/>
        <v>146.13999999999999</v>
      </c>
      <c r="I52" s="72">
        <f t="shared" si="9"/>
        <v>226.54000000000002</v>
      </c>
      <c r="J52" s="72">
        <f t="shared" si="9"/>
        <v>228.94</v>
      </c>
      <c r="K52" s="72">
        <f t="shared" si="9"/>
        <v>380.64</v>
      </c>
      <c r="L52" s="72">
        <f t="shared" si="9"/>
        <v>375.64</v>
      </c>
      <c r="M52" s="72">
        <f t="shared" si="9"/>
        <v>374.84000000000003</v>
      </c>
      <c r="N52" s="72">
        <f t="shared" si="9"/>
        <v>334.34000000000003</v>
      </c>
      <c r="O52" s="72">
        <f t="shared" si="9"/>
        <v>291.54000000000002</v>
      </c>
      <c r="P52" s="72">
        <f t="shared" si="9"/>
        <v>254.34</v>
      </c>
      <c r="Q52" s="72">
        <f t="shared" si="9"/>
        <v>230.34</v>
      </c>
      <c r="R52" s="72">
        <f t="shared" si="9"/>
        <v>234.24000000000004</v>
      </c>
      <c r="S52" s="72">
        <f t="shared" si="9"/>
        <v>199.44</v>
      </c>
      <c r="T52" s="72">
        <f t="shared" si="9"/>
        <v>203.64</v>
      </c>
      <c r="U52" s="72">
        <f t="shared" si="9"/>
        <v>196.34</v>
      </c>
      <c r="V52" s="72">
        <f t="shared" si="9"/>
        <v>222.54</v>
      </c>
      <c r="W52" s="72">
        <f t="shared" si="9"/>
        <v>222.54</v>
      </c>
      <c r="X52" s="72">
        <f t="shared" si="9"/>
        <v>328.74</v>
      </c>
      <c r="Y52" s="72">
        <f t="shared" si="9"/>
        <v>384.84000000000003</v>
      </c>
      <c r="Z52" s="72">
        <f t="shared" si="9"/>
        <v>378.24</v>
      </c>
      <c r="AA52" s="72">
        <f t="shared" si="9"/>
        <v>367.94</v>
      </c>
      <c r="AB52" s="72">
        <f t="shared" si="9"/>
        <v>313.04000000000002</v>
      </c>
      <c r="AC52" s="72">
        <f t="shared" si="9"/>
        <v>282.44</v>
      </c>
      <c r="AD52" s="72">
        <f t="shared" si="9"/>
        <v>251.24</v>
      </c>
      <c r="AE52" s="72">
        <f t="shared" si="9"/>
        <v>176.84</v>
      </c>
      <c r="AF52" s="72">
        <f t="shared" si="9"/>
        <v>130.84</v>
      </c>
      <c r="AG52" s="78">
        <f>SUM(AG39:AG51)</f>
        <v>489.91</v>
      </c>
      <c r="AH52" s="54">
        <f t="shared" si="2"/>
        <v>384.84000000000003</v>
      </c>
      <c r="AI52" s="55">
        <f t="shared" si="3"/>
        <v>111.14000000000001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61">
        <v>13.8</v>
      </c>
      <c r="L53" s="61">
        <v>30.2</v>
      </c>
      <c r="M53" s="79">
        <v>30</v>
      </c>
      <c r="N53" s="79">
        <v>24.9</v>
      </c>
      <c r="O53" s="79">
        <v>25.2</v>
      </c>
      <c r="P53" s="79">
        <v>20.100000000000001</v>
      </c>
      <c r="Q53" s="50">
        <v>14</v>
      </c>
      <c r="R53" s="50">
        <v>14.2</v>
      </c>
      <c r="S53" s="50">
        <v>13.8</v>
      </c>
      <c r="T53" s="50">
        <v>13.8</v>
      </c>
      <c r="U53" s="50">
        <v>14</v>
      </c>
      <c r="V53" s="50">
        <v>13.3</v>
      </c>
      <c r="W53" s="50">
        <v>13.3</v>
      </c>
      <c r="X53" s="50">
        <v>33.700000000000003</v>
      </c>
      <c r="Y53" s="50">
        <v>40.6</v>
      </c>
      <c r="Z53" s="50">
        <v>34</v>
      </c>
      <c r="AA53" s="50">
        <v>29.8</v>
      </c>
      <c r="AB53" s="50">
        <v>14</v>
      </c>
      <c r="AC53" s="50">
        <v>11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40.6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73">
        <v>0</v>
      </c>
      <c r="G54" s="73">
        <v>0</v>
      </c>
      <c r="H54" s="73">
        <v>0</v>
      </c>
      <c r="I54" s="73">
        <v>0</v>
      </c>
      <c r="J54" s="73">
        <v>0</v>
      </c>
      <c r="K54" s="61">
        <v>5.0999999999999996</v>
      </c>
      <c r="L54" s="61">
        <v>15.4</v>
      </c>
      <c r="M54" s="79">
        <v>14.7</v>
      </c>
      <c r="N54" s="79">
        <v>11.7</v>
      </c>
      <c r="O54" s="79">
        <v>12.5</v>
      </c>
      <c r="P54" s="79">
        <v>9.1</v>
      </c>
      <c r="Q54" s="73">
        <v>6.4</v>
      </c>
      <c r="R54" s="73">
        <v>5.8</v>
      </c>
      <c r="S54" s="50">
        <v>5.3</v>
      </c>
      <c r="T54" s="50">
        <v>5.3</v>
      </c>
      <c r="U54" s="50">
        <v>10.4</v>
      </c>
      <c r="V54" s="73">
        <v>5</v>
      </c>
      <c r="W54" s="73">
        <v>5</v>
      </c>
      <c r="X54" s="73">
        <v>12.4</v>
      </c>
      <c r="Y54" s="73">
        <v>13.9</v>
      </c>
      <c r="Z54" s="73">
        <v>18.7</v>
      </c>
      <c r="AA54" s="73">
        <v>15.3</v>
      </c>
      <c r="AB54" s="73">
        <v>6</v>
      </c>
      <c r="AC54" s="73">
        <v>6.7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18.7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74">
        <v>1.9</v>
      </c>
      <c r="L55" s="74">
        <v>5.6</v>
      </c>
      <c r="M55" s="81">
        <v>5.4</v>
      </c>
      <c r="N55" s="81">
        <v>4.3</v>
      </c>
      <c r="O55" s="81">
        <v>4.5999999999999996</v>
      </c>
      <c r="P55" s="81">
        <v>3.3</v>
      </c>
      <c r="Q55" s="80">
        <v>2.2999999999999998</v>
      </c>
      <c r="R55" s="80">
        <v>2.1</v>
      </c>
      <c r="S55" s="50">
        <v>1.9</v>
      </c>
      <c r="T55" s="50">
        <v>1.9</v>
      </c>
      <c r="U55" s="50">
        <v>3.9</v>
      </c>
      <c r="V55" s="80">
        <v>1.8</v>
      </c>
      <c r="W55" s="80">
        <v>1.8</v>
      </c>
      <c r="X55" s="80">
        <v>4.5999999999999996</v>
      </c>
      <c r="Y55" s="80">
        <v>5.0999999999999996</v>
      </c>
      <c r="Z55" s="80">
        <v>6.8</v>
      </c>
      <c r="AA55" s="80">
        <v>5.6</v>
      </c>
      <c r="AB55" s="80">
        <v>2.2000000000000002</v>
      </c>
      <c r="AC55" s="80">
        <v>2.4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6.8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20.799999999999997</v>
      </c>
      <c r="L56" s="72">
        <f t="shared" si="11"/>
        <v>51.2</v>
      </c>
      <c r="M56" s="72">
        <f t="shared" si="11"/>
        <v>50.1</v>
      </c>
      <c r="N56" s="72">
        <f t="shared" si="11"/>
        <v>40.899999999999991</v>
      </c>
      <c r="O56" s="72">
        <f t="shared" si="11"/>
        <v>42.300000000000004</v>
      </c>
      <c r="P56" s="72">
        <f t="shared" si="11"/>
        <v>32.5</v>
      </c>
      <c r="Q56" s="72">
        <f t="shared" si="11"/>
        <v>22.7</v>
      </c>
      <c r="R56" s="72">
        <f t="shared" si="11"/>
        <v>22.1</v>
      </c>
      <c r="S56" s="72">
        <f t="shared" si="11"/>
        <v>21</v>
      </c>
      <c r="T56" s="72">
        <f t="shared" si="11"/>
        <v>21</v>
      </c>
      <c r="U56" s="72">
        <f t="shared" si="11"/>
        <v>28.299999999999997</v>
      </c>
      <c r="V56" s="72">
        <f t="shared" si="11"/>
        <v>20.100000000000001</v>
      </c>
      <c r="W56" s="72">
        <f t="shared" si="11"/>
        <v>20.100000000000001</v>
      </c>
      <c r="X56" s="72">
        <f t="shared" si="11"/>
        <v>50.7</v>
      </c>
      <c r="Y56" s="72">
        <f t="shared" si="11"/>
        <v>59.6</v>
      </c>
      <c r="Z56" s="72">
        <f t="shared" si="11"/>
        <v>59.5</v>
      </c>
      <c r="AA56" s="72">
        <f t="shared" si="11"/>
        <v>50.7</v>
      </c>
      <c r="AB56" s="72">
        <f t="shared" si="11"/>
        <v>22.2</v>
      </c>
      <c r="AC56" s="72">
        <f t="shared" si="11"/>
        <v>20.099999999999998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59.6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64.3</v>
      </c>
      <c r="C57" s="50">
        <v>61</v>
      </c>
      <c r="D57" s="50">
        <v>62.1</v>
      </c>
      <c r="E57" s="50">
        <v>62.1</v>
      </c>
      <c r="F57" s="50">
        <v>61.1</v>
      </c>
      <c r="G57" s="50">
        <v>64.5</v>
      </c>
      <c r="H57" s="50">
        <v>68.900000000000006</v>
      </c>
      <c r="I57" s="50">
        <v>67.8</v>
      </c>
      <c r="J57" s="50">
        <v>76</v>
      </c>
      <c r="K57" s="50">
        <v>68</v>
      </c>
      <c r="L57" s="50">
        <v>71.099999999999994</v>
      </c>
      <c r="M57" s="50">
        <v>71</v>
      </c>
      <c r="N57" s="50">
        <v>73.900000000000006</v>
      </c>
      <c r="O57" s="50">
        <v>70.099999999999994</v>
      </c>
      <c r="P57" s="50">
        <v>77</v>
      </c>
      <c r="Q57" s="50">
        <v>69.900000000000006</v>
      </c>
      <c r="R57" s="50">
        <v>73.7</v>
      </c>
      <c r="S57" s="50">
        <v>71.400000000000006</v>
      </c>
      <c r="T57" s="50">
        <v>76.3</v>
      </c>
      <c r="U57" s="50">
        <v>72.099999999999994</v>
      </c>
      <c r="V57" s="50">
        <v>71.8</v>
      </c>
      <c r="W57" s="50">
        <v>72</v>
      </c>
      <c r="X57" s="50">
        <v>72.400000000000006</v>
      </c>
      <c r="Y57" s="50">
        <v>70.400000000000006</v>
      </c>
      <c r="Z57" s="50">
        <v>70</v>
      </c>
      <c r="AA57" s="50">
        <v>65.599999999999994</v>
      </c>
      <c r="AB57" s="50">
        <v>58</v>
      </c>
      <c r="AC57" s="50">
        <v>56</v>
      </c>
      <c r="AD57" s="50">
        <v>53</v>
      </c>
      <c r="AE57" s="50">
        <v>73</v>
      </c>
      <c r="AF57" s="50">
        <v>65</v>
      </c>
      <c r="AG57" s="62"/>
      <c r="AH57" s="54">
        <f t="shared" si="2"/>
        <v>77</v>
      </c>
      <c r="AI57" s="55">
        <f t="shared" si="3"/>
        <v>53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123</v>
      </c>
      <c r="M58" s="50">
        <v>126</v>
      </c>
      <c r="N58" s="50">
        <v>120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126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394</v>
      </c>
      <c r="C59" s="73">
        <v>385.9</v>
      </c>
      <c r="D59" s="73">
        <v>369.7</v>
      </c>
      <c r="E59" s="73">
        <v>355.6</v>
      </c>
      <c r="F59" s="73">
        <v>360.6</v>
      </c>
      <c r="G59" s="73">
        <v>346.5</v>
      </c>
      <c r="H59" s="73">
        <v>347.3</v>
      </c>
      <c r="I59" s="73">
        <v>372.3</v>
      </c>
      <c r="J59" s="50">
        <v>348</v>
      </c>
      <c r="K59" s="50">
        <v>28</v>
      </c>
      <c r="L59" s="50">
        <v>38</v>
      </c>
      <c r="M59" s="73">
        <v>38.200000000000003</v>
      </c>
      <c r="N59" s="73">
        <v>204.1</v>
      </c>
      <c r="O59" s="73">
        <v>378</v>
      </c>
      <c r="P59" s="73">
        <v>354</v>
      </c>
      <c r="Q59" s="73">
        <v>358.1</v>
      </c>
      <c r="R59" s="73">
        <v>345.6</v>
      </c>
      <c r="S59" s="73">
        <v>353.6</v>
      </c>
      <c r="T59" s="73">
        <v>368.2</v>
      </c>
      <c r="U59" s="73">
        <v>312</v>
      </c>
      <c r="V59" s="73">
        <v>346.2</v>
      </c>
      <c r="W59" s="73">
        <v>360</v>
      </c>
      <c r="X59" s="84">
        <v>99.6</v>
      </c>
      <c r="Y59" s="84">
        <v>75.7</v>
      </c>
      <c r="Z59" s="84">
        <v>35</v>
      </c>
      <c r="AA59" s="84">
        <v>107</v>
      </c>
      <c r="AB59" s="73">
        <v>255</v>
      </c>
      <c r="AC59" s="73">
        <v>280</v>
      </c>
      <c r="AD59" s="73">
        <v>320</v>
      </c>
      <c r="AE59" s="73">
        <v>358</v>
      </c>
      <c r="AF59" s="73">
        <v>370</v>
      </c>
      <c r="AG59" s="85"/>
      <c r="AH59" s="54">
        <f t="shared" si="2"/>
        <v>394</v>
      </c>
      <c r="AI59" s="55">
        <f t="shared" si="3"/>
        <v>28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15</v>
      </c>
      <c r="G60" s="58">
        <v>52.5</v>
      </c>
      <c r="H60" s="58">
        <v>54.7</v>
      </c>
      <c r="I60" s="58">
        <v>54.7</v>
      </c>
      <c r="J60" s="58">
        <v>61.8</v>
      </c>
      <c r="K60" s="58">
        <v>61.8</v>
      </c>
      <c r="L60" s="58">
        <v>60.5</v>
      </c>
      <c r="M60" s="73">
        <v>59.2</v>
      </c>
      <c r="N60" s="73">
        <v>60</v>
      </c>
      <c r="O60" s="73">
        <v>61</v>
      </c>
      <c r="P60" s="73">
        <v>59.9</v>
      </c>
      <c r="Q60" s="73">
        <v>59.4</v>
      </c>
      <c r="R60" s="73">
        <v>56.2</v>
      </c>
      <c r="S60" s="73">
        <v>56.1</v>
      </c>
      <c r="T60" s="73">
        <v>59.3</v>
      </c>
      <c r="U60" s="73">
        <v>54.8</v>
      </c>
      <c r="V60" s="73">
        <v>53.1</v>
      </c>
      <c r="W60" s="73">
        <v>53.1</v>
      </c>
      <c r="X60" s="73">
        <v>50.4</v>
      </c>
      <c r="Y60" s="73">
        <v>55.1</v>
      </c>
      <c r="Z60" s="73">
        <v>56.5</v>
      </c>
      <c r="AA60" s="73">
        <v>56.6</v>
      </c>
      <c r="AB60" s="73">
        <v>56</v>
      </c>
      <c r="AC60" s="73">
        <v>55</v>
      </c>
      <c r="AD60" s="73">
        <v>54</v>
      </c>
      <c r="AE60" s="73">
        <v>50</v>
      </c>
      <c r="AF60" s="58">
        <v>0</v>
      </c>
      <c r="AG60" s="85"/>
      <c r="AH60" s="54">
        <f t="shared" si="2"/>
        <v>61.8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8">
        <v>68.2</v>
      </c>
      <c r="K61" s="58">
        <v>68.2</v>
      </c>
      <c r="L61" s="58">
        <v>80.900000000000006</v>
      </c>
      <c r="M61" s="50">
        <v>77.400000000000006</v>
      </c>
      <c r="N61" s="50">
        <v>82.6</v>
      </c>
      <c r="O61" s="50">
        <v>84.2</v>
      </c>
      <c r="P61" s="50">
        <v>79.900000000000006</v>
      </c>
      <c r="Q61" s="50">
        <v>81.2</v>
      </c>
      <c r="R61" s="50">
        <v>76.2</v>
      </c>
      <c r="S61" s="50">
        <v>66.400000000000006</v>
      </c>
      <c r="T61" s="50">
        <v>45.4</v>
      </c>
      <c r="U61" s="50">
        <v>50.7</v>
      </c>
      <c r="V61" s="50">
        <v>66.7</v>
      </c>
      <c r="W61" s="50">
        <v>66.7</v>
      </c>
      <c r="X61" s="50">
        <v>66.2</v>
      </c>
      <c r="Y61" s="50">
        <v>70.8</v>
      </c>
      <c r="Z61" s="50">
        <v>74.099999999999994</v>
      </c>
      <c r="AA61" s="50">
        <v>67.8</v>
      </c>
      <c r="AB61" s="50">
        <v>64</v>
      </c>
      <c r="AC61" s="50">
        <v>63</v>
      </c>
      <c r="AD61" s="50">
        <v>71</v>
      </c>
      <c r="AE61" s="50">
        <v>0</v>
      </c>
      <c r="AF61" s="50">
        <v>0</v>
      </c>
      <c r="AG61" s="85"/>
      <c r="AH61" s="54">
        <f t="shared" si="2"/>
        <v>84.2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73">
        <v>0</v>
      </c>
      <c r="K63" s="73">
        <v>0</v>
      </c>
      <c r="L63" s="73">
        <v>0</v>
      </c>
      <c r="M63" s="5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73">
        <v>0</v>
      </c>
      <c r="K64" s="73">
        <v>0</v>
      </c>
      <c r="L64" s="73">
        <v>0</v>
      </c>
      <c r="M64" s="58">
        <v>0</v>
      </c>
      <c r="N64" s="58">
        <v>0</v>
      </c>
      <c r="O64" s="58">
        <v>0</v>
      </c>
      <c r="P64" s="60">
        <v>0</v>
      </c>
      <c r="Q64" s="58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73">
        <v>0</v>
      </c>
      <c r="K65" s="73">
        <v>0</v>
      </c>
      <c r="L65" s="73">
        <v>0</v>
      </c>
      <c r="M65" s="58">
        <v>0</v>
      </c>
      <c r="N65" s="58">
        <v>0</v>
      </c>
      <c r="O65" s="58">
        <v>0</v>
      </c>
      <c r="P65" s="60">
        <v>0</v>
      </c>
      <c r="Q65" s="58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73">
        <v>0</v>
      </c>
      <c r="K66" s="73">
        <v>0</v>
      </c>
      <c r="L66" s="73">
        <v>0</v>
      </c>
      <c r="M66" s="73">
        <v>0</v>
      </c>
      <c r="N66" s="63">
        <v>0</v>
      </c>
      <c r="O66" s="63">
        <v>0</v>
      </c>
      <c r="P66" s="60">
        <v>0</v>
      </c>
      <c r="Q66" s="58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58">
        <v>0</v>
      </c>
      <c r="I67" s="58">
        <v>0</v>
      </c>
      <c r="J67" s="73">
        <v>0</v>
      </c>
      <c r="K67" s="73">
        <v>0</v>
      </c>
      <c r="L67" s="73">
        <v>0</v>
      </c>
      <c r="M67" s="50">
        <v>0</v>
      </c>
      <c r="N67" s="63">
        <v>0</v>
      </c>
      <c r="O67" s="63">
        <v>0</v>
      </c>
      <c r="P67" s="60">
        <v>0</v>
      </c>
      <c r="Q67" s="58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458.3</v>
      </c>
      <c r="C68" s="72">
        <f>SUM(C57:C67)</f>
        <v>446.9</v>
      </c>
      <c r="D68" s="72">
        <f t="shared" ref="D68:AF68" si="13">SUM(D57:D67)</f>
        <v>431.8</v>
      </c>
      <c r="E68" s="72">
        <f t="shared" si="13"/>
        <v>417.70000000000005</v>
      </c>
      <c r="F68" s="72">
        <f t="shared" si="13"/>
        <v>436.70000000000005</v>
      </c>
      <c r="G68" s="72">
        <f t="shared" si="13"/>
        <v>463.5</v>
      </c>
      <c r="H68" s="72">
        <f t="shared" si="13"/>
        <v>470.90000000000003</v>
      </c>
      <c r="I68" s="72">
        <f t="shared" si="13"/>
        <v>494.8</v>
      </c>
      <c r="J68" s="72">
        <f t="shared" si="13"/>
        <v>554</v>
      </c>
      <c r="K68" s="72">
        <f t="shared" si="13"/>
        <v>226</v>
      </c>
      <c r="L68" s="72">
        <f t="shared" si="13"/>
        <v>373.5</v>
      </c>
      <c r="M68" s="72">
        <f t="shared" si="13"/>
        <v>371.79999999999995</v>
      </c>
      <c r="N68" s="72">
        <f t="shared" si="13"/>
        <v>540.6</v>
      </c>
      <c r="O68" s="72">
        <f t="shared" si="13"/>
        <v>593.30000000000007</v>
      </c>
      <c r="P68" s="72">
        <f t="shared" si="13"/>
        <v>570.79999999999995</v>
      </c>
      <c r="Q68" s="72">
        <f t="shared" si="13"/>
        <v>568.6</v>
      </c>
      <c r="R68" s="72">
        <f t="shared" si="13"/>
        <v>551.70000000000005</v>
      </c>
      <c r="S68" s="72">
        <f t="shared" si="13"/>
        <v>547.5</v>
      </c>
      <c r="T68" s="72">
        <f t="shared" si="13"/>
        <v>549.20000000000005</v>
      </c>
      <c r="U68" s="72">
        <f t="shared" si="13"/>
        <v>489.6</v>
      </c>
      <c r="V68" s="72">
        <f t="shared" si="13"/>
        <v>537.80000000000007</v>
      </c>
      <c r="W68" s="72">
        <f t="shared" si="13"/>
        <v>551.80000000000007</v>
      </c>
      <c r="X68" s="72">
        <f t="shared" si="13"/>
        <v>288.60000000000002</v>
      </c>
      <c r="Y68" s="72">
        <f t="shared" si="13"/>
        <v>272</v>
      </c>
      <c r="Z68" s="72">
        <f t="shared" si="13"/>
        <v>235.6</v>
      </c>
      <c r="AA68" s="72">
        <f t="shared" si="13"/>
        <v>297</v>
      </c>
      <c r="AB68" s="72">
        <f t="shared" si="13"/>
        <v>433</v>
      </c>
      <c r="AC68" s="72">
        <f t="shared" si="13"/>
        <v>454</v>
      </c>
      <c r="AD68" s="72">
        <f t="shared" si="13"/>
        <v>498</v>
      </c>
      <c r="AE68" s="72">
        <f t="shared" si="13"/>
        <v>481</v>
      </c>
      <c r="AF68" s="72">
        <f t="shared" si="13"/>
        <v>435</v>
      </c>
      <c r="AG68" s="78">
        <f>SUM(AG57:AG67)</f>
        <v>0</v>
      </c>
      <c r="AH68" s="54">
        <f t="shared" si="2"/>
        <v>593.30000000000007</v>
      </c>
      <c r="AI68" s="55">
        <f t="shared" si="3"/>
        <v>226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979.74</v>
      </c>
      <c r="C73" s="89">
        <f>C68+C56+C52+C38+C72</f>
        <v>957.64</v>
      </c>
      <c r="D73" s="89">
        <f t="shared" ref="D73:AG73" si="17">D68+D56+D52+D38+D72</f>
        <v>947.24</v>
      </c>
      <c r="E73" s="89">
        <f t="shared" si="17"/>
        <v>937.74</v>
      </c>
      <c r="F73" s="89">
        <f t="shared" si="17"/>
        <v>927.74</v>
      </c>
      <c r="G73" s="89">
        <f t="shared" si="17"/>
        <v>977.24</v>
      </c>
      <c r="H73" s="89">
        <f t="shared" si="17"/>
        <v>1033.94</v>
      </c>
      <c r="I73" s="89">
        <f t="shared" si="17"/>
        <v>1123.94</v>
      </c>
      <c r="J73" s="89">
        <f t="shared" si="17"/>
        <v>1225.74</v>
      </c>
      <c r="K73" s="89">
        <f t="shared" si="17"/>
        <v>1315.2400000000002</v>
      </c>
      <c r="L73" s="89">
        <f t="shared" si="17"/>
        <v>1463.1399999999999</v>
      </c>
      <c r="M73" s="89">
        <f t="shared" si="17"/>
        <v>1458.54</v>
      </c>
      <c r="N73" s="89">
        <f t="shared" si="17"/>
        <v>1382.64</v>
      </c>
      <c r="O73" s="89">
        <f t="shared" si="17"/>
        <v>1331.2400000000002</v>
      </c>
      <c r="P73" s="89">
        <f t="shared" si="17"/>
        <v>1275.24</v>
      </c>
      <c r="Q73" s="89">
        <f t="shared" si="17"/>
        <v>1244.24</v>
      </c>
      <c r="R73" s="89">
        <f t="shared" si="17"/>
        <v>1178.6400000000001</v>
      </c>
      <c r="S73" s="89">
        <f t="shared" si="17"/>
        <v>1138.54</v>
      </c>
      <c r="T73" s="89">
        <f t="shared" si="17"/>
        <v>1164.44</v>
      </c>
      <c r="U73" s="89">
        <f t="shared" si="17"/>
        <v>1124.8400000000001</v>
      </c>
      <c r="V73" s="89">
        <f t="shared" si="17"/>
        <v>1201.04</v>
      </c>
      <c r="W73" s="89">
        <f t="shared" si="17"/>
        <v>1307.04</v>
      </c>
      <c r="X73" s="89">
        <f t="shared" si="17"/>
        <v>1308.6399999999999</v>
      </c>
      <c r="Y73" s="89">
        <f t="shared" si="17"/>
        <v>1477.04</v>
      </c>
      <c r="Z73" s="89">
        <f t="shared" si="17"/>
        <v>1488.94</v>
      </c>
      <c r="AA73" s="89">
        <f t="shared" si="17"/>
        <v>1441.24</v>
      </c>
      <c r="AB73" s="89">
        <f t="shared" si="17"/>
        <v>1323.84</v>
      </c>
      <c r="AC73" s="89">
        <f t="shared" si="17"/>
        <v>1252.1399999999999</v>
      </c>
      <c r="AD73" s="89">
        <f t="shared" si="17"/>
        <v>1184.8400000000001</v>
      </c>
      <c r="AE73" s="89">
        <f t="shared" si="17"/>
        <v>1036.44</v>
      </c>
      <c r="AF73" s="89">
        <f t="shared" si="17"/>
        <v>944.44</v>
      </c>
      <c r="AG73" s="89">
        <f t="shared" si="17"/>
        <v>2144.14</v>
      </c>
      <c r="AH73" s="54">
        <f t="shared" si="2"/>
        <v>1488.94</v>
      </c>
      <c r="AI73" s="55">
        <f t="shared" si="3"/>
        <v>927.74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979.74</v>
      </c>
      <c r="C75" s="89">
        <f>C73+C74</f>
        <v>957.64</v>
      </c>
      <c r="D75" s="89">
        <f t="shared" ref="D75:AF75" si="19">D72+D68+D56+D52+D38+D74</f>
        <v>947.24</v>
      </c>
      <c r="E75" s="89">
        <f t="shared" si="19"/>
        <v>937.74</v>
      </c>
      <c r="F75" s="89">
        <f t="shared" si="19"/>
        <v>927.74</v>
      </c>
      <c r="G75" s="89">
        <f t="shared" si="19"/>
        <v>977.24</v>
      </c>
      <c r="H75" s="89">
        <f t="shared" si="19"/>
        <v>1033.94</v>
      </c>
      <c r="I75" s="89">
        <f t="shared" si="19"/>
        <v>1123.94</v>
      </c>
      <c r="J75" s="89">
        <f t="shared" si="19"/>
        <v>1225.74</v>
      </c>
      <c r="K75" s="89">
        <f t="shared" si="19"/>
        <v>1315.2400000000002</v>
      </c>
      <c r="L75" s="89">
        <f t="shared" si="19"/>
        <v>1463.1399999999999</v>
      </c>
      <c r="M75" s="89">
        <f t="shared" si="19"/>
        <v>1458.54</v>
      </c>
      <c r="N75" s="89">
        <f t="shared" si="19"/>
        <v>1382.64</v>
      </c>
      <c r="O75" s="89">
        <f t="shared" si="19"/>
        <v>1331.2400000000002</v>
      </c>
      <c r="P75" s="89">
        <f t="shared" si="19"/>
        <v>1275.24</v>
      </c>
      <c r="Q75" s="89">
        <f t="shared" si="19"/>
        <v>1244.24</v>
      </c>
      <c r="R75" s="89">
        <f t="shared" si="19"/>
        <v>1178.6400000000001</v>
      </c>
      <c r="S75" s="89">
        <f t="shared" si="19"/>
        <v>1138.54</v>
      </c>
      <c r="T75" s="89">
        <f t="shared" si="19"/>
        <v>1164.44</v>
      </c>
      <c r="U75" s="89">
        <f t="shared" si="19"/>
        <v>1124.8400000000001</v>
      </c>
      <c r="V75" s="89">
        <f t="shared" si="19"/>
        <v>1201.04</v>
      </c>
      <c r="W75" s="89">
        <f t="shared" si="19"/>
        <v>1307.04</v>
      </c>
      <c r="X75" s="89">
        <f t="shared" si="19"/>
        <v>1308.6399999999999</v>
      </c>
      <c r="Y75" s="89">
        <f t="shared" si="19"/>
        <v>1477.04</v>
      </c>
      <c r="Z75" s="89">
        <f t="shared" si="19"/>
        <v>1488.94</v>
      </c>
      <c r="AA75" s="89">
        <f t="shared" si="19"/>
        <v>1441.24</v>
      </c>
      <c r="AB75" s="89">
        <f t="shared" si="19"/>
        <v>1323.84</v>
      </c>
      <c r="AC75" s="89">
        <f t="shared" si="19"/>
        <v>1252.1399999999999</v>
      </c>
      <c r="AD75" s="89">
        <f t="shared" si="19"/>
        <v>1184.8400000000001</v>
      </c>
      <c r="AE75" s="89">
        <f t="shared" si="19"/>
        <v>1036.44</v>
      </c>
      <c r="AF75" s="89">
        <f t="shared" si="19"/>
        <v>944.44</v>
      </c>
      <c r="AG75" s="78">
        <f>AG72+AG68+AG56+AG52+AG38+AG74</f>
        <v>2144.14</v>
      </c>
      <c r="AH75" s="54">
        <f t="shared" si="2"/>
        <v>1488.94</v>
      </c>
      <c r="AI75" s="55">
        <f t="shared" si="3"/>
        <v>927.74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1959.48</v>
      </c>
      <c r="C83" s="72">
        <f t="shared" ref="C83:AG83" si="35">SUM(C70:C82)</f>
        <v>1915.28</v>
      </c>
      <c r="D83" s="72">
        <f t="shared" si="35"/>
        <v>1894.48</v>
      </c>
      <c r="E83" s="72">
        <f t="shared" si="35"/>
        <v>1875.48</v>
      </c>
      <c r="F83" s="72">
        <f t="shared" si="35"/>
        <v>1855.48</v>
      </c>
      <c r="G83" s="72">
        <f t="shared" si="35"/>
        <v>1954.48</v>
      </c>
      <c r="H83" s="72">
        <f t="shared" si="35"/>
        <v>2067.88</v>
      </c>
      <c r="I83" s="72">
        <f t="shared" si="35"/>
        <v>2247.88</v>
      </c>
      <c r="J83" s="72">
        <f t="shared" si="35"/>
        <v>2451.48</v>
      </c>
      <c r="K83" s="72">
        <f t="shared" si="35"/>
        <v>2630.4800000000005</v>
      </c>
      <c r="L83" s="72">
        <f t="shared" si="35"/>
        <v>2926.2799999999997</v>
      </c>
      <c r="M83" s="72">
        <f t="shared" si="35"/>
        <v>2917.08</v>
      </c>
      <c r="N83" s="72">
        <f t="shared" si="35"/>
        <v>2765.28</v>
      </c>
      <c r="O83" s="72">
        <f t="shared" si="35"/>
        <v>2662.4800000000005</v>
      </c>
      <c r="P83" s="72">
        <f t="shared" si="35"/>
        <v>2550.48</v>
      </c>
      <c r="Q83" s="72">
        <f t="shared" si="35"/>
        <v>2488.48</v>
      </c>
      <c r="R83" s="72">
        <f t="shared" si="35"/>
        <v>2357.2800000000002</v>
      </c>
      <c r="S83" s="72">
        <f t="shared" si="35"/>
        <v>2277.08</v>
      </c>
      <c r="T83" s="72">
        <f t="shared" si="35"/>
        <v>2328.88</v>
      </c>
      <c r="U83" s="72">
        <f t="shared" si="35"/>
        <v>2249.6800000000003</v>
      </c>
      <c r="V83" s="72">
        <f t="shared" si="35"/>
        <v>2402.08</v>
      </c>
      <c r="W83" s="72">
        <f t="shared" si="35"/>
        <v>2614.08</v>
      </c>
      <c r="X83" s="72">
        <f t="shared" si="35"/>
        <v>2617.2799999999997</v>
      </c>
      <c r="Y83" s="72">
        <f t="shared" si="35"/>
        <v>2954.08</v>
      </c>
      <c r="Z83" s="72">
        <f t="shared" si="35"/>
        <v>2977.88</v>
      </c>
      <c r="AA83" s="72">
        <f t="shared" si="35"/>
        <v>2882.48</v>
      </c>
      <c r="AB83" s="72">
        <f t="shared" si="35"/>
        <v>2647.68</v>
      </c>
      <c r="AC83" s="72">
        <f t="shared" si="35"/>
        <v>2504.2799999999997</v>
      </c>
      <c r="AD83" s="72">
        <f t="shared" si="35"/>
        <v>2369.6800000000003</v>
      </c>
      <c r="AE83" s="72">
        <f t="shared" si="35"/>
        <v>2072.88</v>
      </c>
      <c r="AF83" s="72">
        <f t="shared" si="35"/>
        <v>1888.88</v>
      </c>
      <c r="AG83" s="78">
        <f t="shared" si="35"/>
        <v>4360.08</v>
      </c>
      <c r="AH83" s="54">
        <f t="shared" si="22"/>
        <v>2977.88</v>
      </c>
      <c r="AI83" s="55">
        <f t="shared" si="23"/>
        <v>1855.48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50.015000000000001</v>
      </c>
      <c r="C84" s="95">
        <v>50.015999999999998</v>
      </c>
      <c r="D84" s="95">
        <v>49.954000000000001</v>
      </c>
      <c r="E84" s="96">
        <v>49.99</v>
      </c>
      <c r="F84" s="96">
        <v>50.015999999999998</v>
      </c>
      <c r="G84" s="96">
        <v>50.030999999999999</v>
      </c>
      <c r="H84" s="96">
        <v>50.07</v>
      </c>
      <c r="I84" s="96">
        <v>50.015999999999998</v>
      </c>
      <c r="J84" s="96">
        <v>50.006999999999998</v>
      </c>
      <c r="K84" s="96">
        <v>50.07</v>
      </c>
      <c r="L84" s="96">
        <v>50.055999999999997</v>
      </c>
      <c r="M84" s="96">
        <v>50.13</v>
      </c>
      <c r="N84" s="96">
        <v>50.012</v>
      </c>
      <c r="O84" s="96">
        <v>50.026000000000003</v>
      </c>
      <c r="P84" s="96">
        <v>50.02</v>
      </c>
      <c r="Q84" s="96">
        <v>49.991</v>
      </c>
      <c r="R84" s="96">
        <v>50.024000000000001</v>
      </c>
      <c r="S84" s="96">
        <v>49.951999999999998</v>
      </c>
      <c r="T84" s="96">
        <v>49.97</v>
      </c>
      <c r="U84" s="96">
        <v>49.945999999999998</v>
      </c>
      <c r="V84" s="96">
        <v>50.01</v>
      </c>
      <c r="W84" s="96">
        <v>49.97</v>
      </c>
      <c r="X84" s="96">
        <v>50</v>
      </c>
      <c r="Y84" s="96">
        <v>50</v>
      </c>
      <c r="Z84" s="96">
        <v>49.906999999999996</v>
      </c>
      <c r="AA84" s="96">
        <v>50.01</v>
      </c>
      <c r="AB84" s="96">
        <v>49.97</v>
      </c>
      <c r="AC84" s="96">
        <v>50.01</v>
      </c>
      <c r="AD84" s="96">
        <v>49.96</v>
      </c>
      <c r="AE84" s="96">
        <v>50.06</v>
      </c>
      <c r="AF84" s="96">
        <v>49.91</v>
      </c>
      <c r="AG84" s="97"/>
      <c r="AH84" s="54">
        <f t="shared" si="22"/>
        <v>50.13</v>
      </c>
      <c r="AI84" s="55">
        <f t="shared" si="23"/>
        <v>49.906999999999996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123</v>
      </c>
      <c r="C85" s="99">
        <v>122.3</v>
      </c>
      <c r="D85" s="99">
        <v>123.2</v>
      </c>
      <c r="E85" s="73">
        <v>125.4</v>
      </c>
      <c r="F85" s="73">
        <v>125.9</v>
      </c>
      <c r="G85" s="73">
        <v>126.6</v>
      </c>
      <c r="H85" s="73">
        <v>125.9</v>
      </c>
      <c r="I85" s="73">
        <v>124.4</v>
      </c>
      <c r="J85" s="73">
        <v>124.2</v>
      </c>
      <c r="K85" s="73">
        <v>125.9</v>
      </c>
      <c r="L85" s="73">
        <v>123.5</v>
      </c>
      <c r="M85" s="73">
        <v>124.1</v>
      </c>
      <c r="N85" s="73">
        <v>124.1</v>
      </c>
      <c r="O85" s="73">
        <v>123.4</v>
      </c>
      <c r="P85" s="73">
        <v>123.7</v>
      </c>
      <c r="Q85" s="73">
        <v>123.2</v>
      </c>
      <c r="R85" s="73">
        <v>124.4</v>
      </c>
      <c r="S85" s="73">
        <v>125.1</v>
      </c>
      <c r="T85" s="73">
        <v>123.9</v>
      </c>
      <c r="U85" s="100">
        <v>125</v>
      </c>
      <c r="V85" s="100">
        <v>124.9</v>
      </c>
      <c r="W85" s="100">
        <v>124</v>
      </c>
      <c r="X85" s="100">
        <v>126.4</v>
      </c>
      <c r="Y85" s="100">
        <v>124.5</v>
      </c>
      <c r="Z85" s="100">
        <v>124.9</v>
      </c>
      <c r="AA85" s="100">
        <v>126.1</v>
      </c>
      <c r="AB85" s="73">
        <v>127</v>
      </c>
      <c r="AC85" s="73">
        <v>127</v>
      </c>
      <c r="AD85" s="73">
        <v>127</v>
      </c>
      <c r="AE85" s="73">
        <v>125.4</v>
      </c>
      <c r="AF85" s="73">
        <v>125.4</v>
      </c>
      <c r="AG85" s="101"/>
      <c r="AH85" s="54">
        <f t="shared" si="22"/>
        <v>127</v>
      </c>
      <c r="AI85" s="55">
        <f t="shared" si="23"/>
        <v>122.3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128</v>
      </c>
      <c r="C86" s="99">
        <v>127.3</v>
      </c>
      <c r="D86" s="99">
        <v>128.30000000000001</v>
      </c>
      <c r="E86" s="73">
        <v>129.5</v>
      </c>
      <c r="F86" s="73">
        <v>130.1</v>
      </c>
      <c r="G86" s="73">
        <v>130.4</v>
      </c>
      <c r="H86" s="73">
        <v>129.69999999999999</v>
      </c>
      <c r="I86" s="73">
        <v>128.1</v>
      </c>
      <c r="J86" s="73">
        <v>128.1</v>
      </c>
      <c r="K86" s="73">
        <v>129.69999999999999</v>
      </c>
      <c r="L86" s="73">
        <v>126.2</v>
      </c>
      <c r="M86" s="73">
        <v>126.6</v>
      </c>
      <c r="N86" s="73">
        <v>126.3</v>
      </c>
      <c r="O86" s="73">
        <v>126.1</v>
      </c>
      <c r="P86" s="73">
        <v>126.7</v>
      </c>
      <c r="Q86" s="73">
        <v>126.3</v>
      </c>
      <c r="R86" s="73">
        <v>127.7</v>
      </c>
      <c r="S86" s="73">
        <v>127</v>
      </c>
      <c r="T86" s="73">
        <v>126.5</v>
      </c>
      <c r="U86" s="100">
        <v>127</v>
      </c>
      <c r="V86" s="100">
        <v>127.1</v>
      </c>
      <c r="W86" s="100">
        <v>126</v>
      </c>
      <c r="X86" s="100">
        <v>129</v>
      </c>
      <c r="Y86" s="100">
        <v>127.3</v>
      </c>
      <c r="Z86" s="100">
        <v>127.3</v>
      </c>
      <c r="AA86" s="100">
        <v>128.80000000000001</v>
      </c>
      <c r="AB86" s="73">
        <v>129.5</v>
      </c>
      <c r="AC86" s="73">
        <v>129.5</v>
      </c>
      <c r="AD86" s="73">
        <v>129.5</v>
      </c>
      <c r="AE86" s="73">
        <v>129</v>
      </c>
      <c r="AF86" s="73">
        <v>129</v>
      </c>
      <c r="AG86" s="101"/>
      <c r="AH86" s="54">
        <f t="shared" si="22"/>
        <v>130.4</v>
      </c>
      <c r="AI86" s="55">
        <f t="shared" si="23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128</v>
      </c>
      <c r="C87" s="99">
        <v>126</v>
      </c>
      <c r="D87" s="99">
        <v>130.4</v>
      </c>
      <c r="E87" s="73">
        <v>130.9</v>
      </c>
      <c r="F87" s="73">
        <v>130.6</v>
      </c>
      <c r="G87" s="73">
        <v>130.1</v>
      </c>
      <c r="H87" s="73">
        <v>130.30000000000001</v>
      </c>
      <c r="I87" s="73">
        <v>130.19999999999999</v>
      </c>
      <c r="J87" s="73">
        <v>130.19999999999999</v>
      </c>
      <c r="K87" s="73">
        <v>130.30000000000001</v>
      </c>
      <c r="L87" s="73">
        <v>127.5</v>
      </c>
      <c r="M87" s="73">
        <v>129.19999999999999</v>
      </c>
      <c r="N87" s="73">
        <v>128.9</v>
      </c>
      <c r="O87" s="73">
        <v>126.5</v>
      </c>
      <c r="P87" s="73">
        <v>126.9</v>
      </c>
      <c r="Q87" s="73">
        <v>129.69999999999999</v>
      </c>
      <c r="R87" s="73">
        <v>130.19999999999999</v>
      </c>
      <c r="S87" s="73">
        <v>128.69999999999999</v>
      </c>
      <c r="T87" s="73">
        <v>128.5</v>
      </c>
      <c r="U87" s="73">
        <v>128.19999999999999</v>
      </c>
      <c r="V87" s="73">
        <v>128.19999999999999</v>
      </c>
      <c r="W87" s="73">
        <v>128.5</v>
      </c>
      <c r="X87" s="100">
        <v>127.3</v>
      </c>
      <c r="Y87" s="100">
        <v>123.8</v>
      </c>
      <c r="Z87" s="100">
        <v>128.19999999999999</v>
      </c>
      <c r="AA87" s="100">
        <v>129.80000000000001</v>
      </c>
      <c r="AB87" s="73">
        <v>130</v>
      </c>
      <c r="AC87" s="73">
        <v>130</v>
      </c>
      <c r="AD87" s="73">
        <v>130</v>
      </c>
      <c r="AE87" s="73">
        <v>130</v>
      </c>
      <c r="AF87" s="73">
        <v>130</v>
      </c>
      <c r="AG87" s="101"/>
      <c r="AH87" s="54">
        <f t="shared" si="22"/>
        <v>130.9</v>
      </c>
      <c r="AI87" s="55">
        <f t="shared" si="23"/>
        <v>123.8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131.1</v>
      </c>
      <c r="C88" s="99">
        <v>130.4</v>
      </c>
      <c r="D88" s="99">
        <v>133.6</v>
      </c>
      <c r="E88" s="73">
        <v>134.1</v>
      </c>
      <c r="F88" s="73">
        <v>133.5</v>
      </c>
      <c r="G88" s="73">
        <v>133.1</v>
      </c>
      <c r="H88" s="73">
        <v>132.80000000000001</v>
      </c>
      <c r="I88" s="73">
        <v>134</v>
      </c>
      <c r="J88" s="73">
        <v>134</v>
      </c>
      <c r="K88" s="73">
        <v>132.80000000000001</v>
      </c>
      <c r="L88" s="73">
        <v>130.1</v>
      </c>
      <c r="M88" s="73">
        <v>130.9</v>
      </c>
      <c r="N88" s="73">
        <v>130.6</v>
      </c>
      <c r="O88" s="73">
        <v>128.80000000000001</v>
      </c>
      <c r="P88" s="73">
        <v>129.4</v>
      </c>
      <c r="Q88" s="73">
        <v>132.69999999999999</v>
      </c>
      <c r="R88" s="73">
        <v>133.80000000000001</v>
      </c>
      <c r="S88" s="73">
        <v>132.19999999999999</v>
      </c>
      <c r="T88" s="73">
        <v>131.80000000000001</v>
      </c>
      <c r="U88" s="73">
        <v>131.1</v>
      </c>
      <c r="V88" s="73">
        <v>130.69999999999999</v>
      </c>
      <c r="W88" s="73">
        <v>131</v>
      </c>
      <c r="X88" s="100">
        <v>130</v>
      </c>
      <c r="Y88" s="100">
        <v>127.1</v>
      </c>
      <c r="Z88" s="100">
        <v>132.4</v>
      </c>
      <c r="AA88" s="100">
        <v>132.19999999999999</v>
      </c>
      <c r="AB88" s="73">
        <v>133.80000000000001</v>
      </c>
      <c r="AC88" s="73">
        <v>133.80000000000001</v>
      </c>
      <c r="AD88" s="73">
        <v>133.80000000000001</v>
      </c>
      <c r="AE88" s="73">
        <v>134.80000000000001</v>
      </c>
      <c r="AF88" s="73">
        <v>134.80000000000001</v>
      </c>
      <c r="AG88" s="101"/>
      <c r="AH88" s="54">
        <f t="shared" si="22"/>
        <v>134.80000000000001</v>
      </c>
      <c r="AI88" s="55">
        <f t="shared" si="23"/>
        <v>127.1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130.4</v>
      </c>
      <c r="C89" s="103">
        <v>128.69999999999999</v>
      </c>
      <c r="D89" s="103">
        <v>127.3</v>
      </c>
      <c r="E89" s="104">
        <v>126.8</v>
      </c>
      <c r="F89" s="104">
        <v>131.30000000000001</v>
      </c>
      <c r="G89" s="104">
        <v>132.9</v>
      </c>
      <c r="H89" s="104">
        <v>132.9</v>
      </c>
      <c r="I89" s="104">
        <v>132.80000000000001</v>
      </c>
      <c r="J89" s="104">
        <v>132.80000000000001</v>
      </c>
      <c r="K89" s="104">
        <v>132.9</v>
      </c>
      <c r="L89" s="104">
        <v>135</v>
      </c>
      <c r="M89" s="104">
        <v>131.69999999999999</v>
      </c>
      <c r="N89" s="104">
        <v>131.69999999999999</v>
      </c>
      <c r="O89" s="104">
        <v>132.5</v>
      </c>
      <c r="P89" s="104">
        <v>132.80000000000001</v>
      </c>
      <c r="Q89" s="104">
        <v>131.69999999999999</v>
      </c>
      <c r="R89" s="104">
        <v>134.1</v>
      </c>
      <c r="S89" s="104">
        <v>131.9</v>
      </c>
      <c r="T89" s="104">
        <v>132.9</v>
      </c>
      <c r="U89" s="104">
        <v>132.19999999999999</v>
      </c>
      <c r="V89" s="104">
        <v>133</v>
      </c>
      <c r="W89" s="104">
        <v>133.6</v>
      </c>
      <c r="X89" s="100">
        <v>134.5</v>
      </c>
      <c r="Y89" s="100">
        <v>132.30000000000001</v>
      </c>
      <c r="Z89" s="100">
        <v>133.6</v>
      </c>
      <c r="AA89" s="100">
        <v>135.19999999999999</v>
      </c>
      <c r="AB89" s="104">
        <v>135.80000000000001</v>
      </c>
      <c r="AC89" s="104">
        <v>135.80000000000001</v>
      </c>
      <c r="AD89" s="104">
        <v>135.80000000000001</v>
      </c>
      <c r="AE89" s="104">
        <v>130.80000000000001</v>
      </c>
      <c r="AF89" s="104">
        <v>130.80000000000001</v>
      </c>
      <c r="AG89" s="105"/>
      <c r="AH89" s="54">
        <f t="shared" si="22"/>
        <v>135.80000000000001</v>
      </c>
      <c r="AI89" s="55">
        <f t="shared" si="23"/>
        <v>126.8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135.4</v>
      </c>
      <c r="C90" s="99">
        <v>135.80000000000001</v>
      </c>
      <c r="D90" s="99">
        <v>136.6</v>
      </c>
      <c r="E90" s="73">
        <v>137.1</v>
      </c>
      <c r="F90" s="73">
        <v>137.5</v>
      </c>
      <c r="G90" s="73">
        <v>136.80000000000001</v>
      </c>
      <c r="H90" s="73">
        <v>136.80000000000001</v>
      </c>
      <c r="I90" s="73">
        <v>135.69999999999999</v>
      </c>
      <c r="J90" s="73">
        <v>135.69999999999999</v>
      </c>
      <c r="K90" s="73">
        <v>136.80000000000001</v>
      </c>
      <c r="L90" s="73">
        <v>133.19999999999999</v>
      </c>
      <c r="M90" s="73">
        <v>133.19999999999999</v>
      </c>
      <c r="N90" s="73">
        <v>131.1</v>
      </c>
      <c r="O90" s="73">
        <v>129.4</v>
      </c>
      <c r="P90" s="73">
        <v>129</v>
      </c>
      <c r="Q90" s="73">
        <v>133</v>
      </c>
      <c r="R90" s="73">
        <v>136</v>
      </c>
      <c r="S90" s="73">
        <v>137.1</v>
      </c>
      <c r="T90" s="73">
        <v>135.4</v>
      </c>
      <c r="U90" s="73">
        <v>136.5</v>
      </c>
      <c r="V90" s="73">
        <v>137</v>
      </c>
      <c r="W90" s="73">
        <v>136</v>
      </c>
      <c r="X90" s="100">
        <v>127.8</v>
      </c>
      <c r="Y90" s="100">
        <v>134</v>
      </c>
      <c r="Z90" s="100">
        <v>133.30000000000001</v>
      </c>
      <c r="AA90" s="100">
        <v>136.6</v>
      </c>
      <c r="AB90" s="73">
        <v>135.5</v>
      </c>
      <c r="AC90" s="73">
        <v>135.5</v>
      </c>
      <c r="AD90" s="73">
        <v>135.5</v>
      </c>
      <c r="AE90" s="73">
        <v>135</v>
      </c>
      <c r="AF90" s="73">
        <v>135</v>
      </c>
      <c r="AG90" s="101"/>
      <c r="AH90" s="54">
        <f t="shared" si="22"/>
        <v>137.5</v>
      </c>
      <c r="AI90" s="55">
        <f t="shared" si="23"/>
        <v>127.8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64.8</v>
      </c>
      <c r="C91" s="106">
        <v>64.5</v>
      </c>
      <c r="D91" s="106">
        <v>64.8</v>
      </c>
      <c r="E91" s="107">
        <v>65.7</v>
      </c>
      <c r="F91" s="107">
        <v>65.8</v>
      </c>
      <c r="G91" s="107">
        <v>66</v>
      </c>
      <c r="H91" s="107">
        <v>66</v>
      </c>
      <c r="I91" s="107">
        <v>64.3</v>
      </c>
      <c r="J91" s="107">
        <v>64.3</v>
      </c>
      <c r="K91" s="107">
        <v>66</v>
      </c>
      <c r="L91" s="107">
        <v>63.7</v>
      </c>
      <c r="M91" s="107">
        <v>64.2</v>
      </c>
      <c r="N91" s="107">
        <v>64.2</v>
      </c>
      <c r="O91" s="107">
        <v>63.8</v>
      </c>
      <c r="P91" s="107">
        <v>64</v>
      </c>
      <c r="Q91" s="107">
        <v>63.8</v>
      </c>
      <c r="R91" s="107">
        <v>64.5</v>
      </c>
      <c r="S91" s="107">
        <v>63.3</v>
      </c>
      <c r="T91" s="107">
        <v>64</v>
      </c>
      <c r="U91" s="107">
        <v>63.6</v>
      </c>
      <c r="V91" s="107">
        <v>63.7</v>
      </c>
      <c r="W91" s="107">
        <v>63.6</v>
      </c>
      <c r="X91" s="107">
        <v>65.3</v>
      </c>
      <c r="Y91" s="107">
        <v>64.400000000000006</v>
      </c>
      <c r="Z91" s="107">
        <v>64.599999999999994</v>
      </c>
      <c r="AA91" s="107">
        <v>65.2</v>
      </c>
      <c r="AB91" s="107">
        <v>65.400000000000006</v>
      </c>
      <c r="AC91" s="107">
        <v>65.400000000000006</v>
      </c>
      <c r="AD91" s="107">
        <v>65.400000000000006</v>
      </c>
      <c r="AE91" s="107">
        <v>65.2</v>
      </c>
      <c r="AF91" s="107">
        <v>65.2</v>
      </c>
      <c r="AG91" s="108"/>
      <c r="AH91" s="54">
        <f t="shared" si="22"/>
        <v>66</v>
      </c>
      <c r="AI91" s="55">
        <f t="shared" si="23"/>
        <v>63.3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192.43999999999997</v>
      </c>
      <c r="C93" s="114">
        <f>SUM(C15,C18,C21:C22,C42,C44:C45,C47,C49,C94:C97,C102,C108,C114,C123,C125,C137,C144,C147:C148,C155,C157,C159,C163:C165,C167:C169,C174,C180:C181,C183:C185,C193,C198)</f>
        <v>178.53999999999996</v>
      </c>
      <c r="D93" s="114">
        <f t="shared" ref="D93:AF93" si="37">SUM(D15,D18,D21:D22,D42,D44:D45,D47,D49,D94:D97,D102,D108,D114,D123,D125,D137,D144,D147:D148,D155,D157,D159,D163:D165,D167:D169,D174,D180:D181,D183:D185,D193,D198)</f>
        <v>170.73999999999998</v>
      </c>
      <c r="E93" s="114">
        <f t="shared" si="37"/>
        <v>171.04</v>
      </c>
      <c r="F93" s="114">
        <f t="shared" si="37"/>
        <v>189.14</v>
      </c>
      <c r="G93" s="113">
        <f t="shared" si="37"/>
        <v>194.94</v>
      </c>
      <c r="H93" s="113">
        <f t="shared" si="37"/>
        <v>219.23999999999998</v>
      </c>
      <c r="I93" s="113">
        <f t="shared" si="37"/>
        <v>253.73999999999998</v>
      </c>
      <c r="J93" s="113">
        <f t="shared" si="37"/>
        <v>219.23999999999998</v>
      </c>
      <c r="K93" s="113">
        <f t="shared" si="37"/>
        <v>343.14000000000004</v>
      </c>
      <c r="L93" s="113">
        <f t="shared" si="37"/>
        <v>390.04</v>
      </c>
      <c r="M93" s="113">
        <f t="shared" si="37"/>
        <v>385.44000000000005</v>
      </c>
      <c r="N93" s="113">
        <f t="shared" si="37"/>
        <v>367.94000000000005</v>
      </c>
      <c r="O93" s="113">
        <f t="shared" si="37"/>
        <v>363.94000000000005</v>
      </c>
      <c r="P93" s="113">
        <f t="shared" si="37"/>
        <v>344.54000000000008</v>
      </c>
      <c r="Q93" s="113">
        <f t="shared" si="37"/>
        <v>318.04000000000008</v>
      </c>
      <c r="R93" s="113">
        <f t="shared" si="37"/>
        <v>311.84000000000003</v>
      </c>
      <c r="S93" s="113">
        <f t="shared" si="37"/>
        <v>306.04000000000002</v>
      </c>
      <c r="T93" s="113">
        <f t="shared" si="37"/>
        <v>307.34000000000003</v>
      </c>
      <c r="U93" s="113">
        <f t="shared" si="37"/>
        <v>314.94000000000005</v>
      </c>
      <c r="V93" s="113">
        <f>SUM(V15,V18,V21:V22,V42,V44:V45,V47,V49,V94:V97,V102,V108,V114,V123,V125,V137,V144,V147:V148,V155,V157,V159,V163:V165,V167:V169,V174,V180:V181,V183:V185,V193,V198)</f>
        <v>320.94000000000005</v>
      </c>
      <c r="W93" s="113">
        <f>SUM(W15,W18,W21:W22,W42,W44:W45,W47,W49,W94:W97,W102,W108,W114,W123,W125,W137,W144,W147:W148,W155,W157,W159,W163:W165,W167:W169,W174,W180:W181,W183:W185,W193,W198)</f>
        <v>340.74</v>
      </c>
      <c r="X93" s="113">
        <f t="shared" si="37"/>
        <v>353.44000000000005</v>
      </c>
      <c r="Y93" s="113">
        <f t="shared" si="37"/>
        <v>404.84000000000003</v>
      </c>
      <c r="Z93" s="113">
        <f t="shared" si="37"/>
        <v>408.64</v>
      </c>
      <c r="AA93" s="113">
        <f t="shared" si="37"/>
        <v>390.04000000000008</v>
      </c>
      <c r="AB93" s="113">
        <f t="shared" si="37"/>
        <v>361.24</v>
      </c>
      <c r="AC93" s="113">
        <f t="shared" si="37"/>
        <v>346.74</v>
      </c>
      <c r="AD93" s="113">
        <f t="shared" si="37"/>
        <v>316.74</v>
      </c>
      <c r="AE93" s="113">
        <f t="shared" si="37"/>
        <v>255.73999999999998</v>
      </c>
      <c r="AF93" s="113">
        <f t="shared" si="37"/>
        <v>224.73999999999998</v>
      </c>
      <c r="AG93" s="115"/>
      <c r="AH93" s="54">
        <f>MAX(C93:AF93)</f>
        <v>408.64</v>
      </c>
      <c r="AI93" s="55">
        <f>MIN(C93:AF93)</f>
        <v>170.73999999999998</v>
      </c>
    </row>
    <row r="94" spans="1:88" x14ac:dyDescent="0.25">
      <c r="A94" s="116" t="s">
        <v>98</v>
      </c>
      <c r="B94" s="119">
        <v>-14.7</v>
      </c>
      <c r="C94" s="117">
        <v>-22.4</v>
      </c>
      <c r="D94" s="117">
        <v>-21</v>
      </c>
      <c r="E94" s="58">
        <v>-26.5</v>
      </c>
      <c r="F94" s="58">
        <v>-1.7</v>
      </c>
      <c r="G94" s="118">
        <v>-4.0999999999999996</v>
      </c>
      <c r="H94" s="118">
        <v>2</v>
      </c>
      <c r="I94" s="118">
        <v>19</v>
      </c>
      <c r="J94" s="118">
        <v>2</v>
      </c>
      <c r="K94" s="118">
        <v>50.5</v>
      </c>
      <c r="L94" s="118">
        <v>59.3</v>
      </c>
      <c r="M94" s="119">
        <v>61.6</v>
      </c>
      <c r="N94" s="118">
        <v>50.5</v>
      </c>
      <c r="O94" s="118">
        <v>42</v>
      </c>
      <c r="P94" s="118">
        <v>35.799999999999997</v>
      </c>
      <c r="Q94" s="118">
        <v>29.7</v>
      </c>
      <c r="R94" s="118">
        <v>35.9</v>
      </c>
      <c r="S94" s="118">
        <v>19.100000000000001</v>
      </c>
      <c r="T94" s="118">
        <v>21.9</v>
      </c>
      <c r="U94" s="119">
        <v>29.1</v>
      </c>
      <c r="V94" s="119">
        <v>25.5</v>
      </c>
      <c r="W94" s="119">
        <v>39</v>
      </c>
      <c r="X94" s="118">
        <v>56.7</v>
      </c>
      <c r="Y94" s="118">
        <v>67.099999999999994</v>
      </c>
      <c r="Z94" s="118">
        <v>56.5</v>
      </c>
      <c r="AA94" s="118">
        <v>50.9</v>
      </c>
      <c r="AB94" s="119">
        <v>35.5</v>
      </c>
      <c r="AC94" s="119">
        <v>42</v>
      </c>
      <c r="AD94" s="119">
        <v>33</v>
      </c>
      <c r="AE94" s="119">
        <v>26</v>
      </c>
      <c r="AF94" s="119">
        <v>12</v>
      </c>
      <c r="AG94" s="120">
        <v>75</v>
      </c>
      <c r="AH94" s="54">
        <f t="shared" ref="AH94:AH99" si="38">IF(ABS(MAX(C94:AF94))&gt;ABS(MIN(C94:AF94)),MAX(C94:AF94),MIN(C94:AF94))</f>
        <v>67.099999999999994</v>
      </c>
      <c r="AI94" s="121">
        <f t="shared" ref="AI94:AI99" si="39">INDEX($C$9:$AF$9,1,MATCH(AH94,C94:AF94,0))</f>
        <v>0.77083333333333337</v>
      </c>
    </row>
    <row r="95" spans="1:88" x14ac:dyDescent="0.25">
      <c r="A95" s="122" t="s">
        <v>99</v>
      </c>
      <c r="B95" s="73">
        <v>-33</v>
      </c>
      <c r="C95" s="123">
        <v>-37</v>
      </c>
      <c r="D95" s="123">
        <v>-38</v>
      </c>
      <c r="E95" s="60">
        <v>-35</v>
      </c>
      <c r="F95" s="60">
        <v>-35.700000000000003</v>
      </c>
      <c r="G95" s="60">
        <v>-28.8</v>
      </c>
      <c r="H95" s="60">
        <v>-22.8</v>
      </c>
      <c r="I95" s="60">
        <v>-15.2</v>
      </c>
      <c r="J95" s="60">
        <v>-22.8</v>
      </c>
      <c r="K95" s="60">
        <v>40</v>
      </c>
      <c r="L95" s="60">
        <v>40.5</v>
      </c>
      <c r="M95" s="60">
        <v>35</v>
      </c>
      <c r="N95" s="60">
        <v>34.799999999999997</v>
      </c>
      <c r="O95" s="60">
        <v>38.4</v>
      </c>
      <c r="P95" s="60">
        <v>38.4</v>
      </c>
      <c r="Q95" s="60">
        <v>29.9</v>
      </c>
      <c r="R95" s="60">
        <v>28.8</v>
      </c>
      <c r="S95" s="60">
        <v>46</v>
      </c>
      <c r="T95" s="60">
        <v>47</v>
      </c>
      <c r="U95" s="60">
        <v>42</v>
      </c>
      <c r="V95" s="60">
        <v>48</v>
      </c>
      <c r="W95" s="60">
        <v>55</v>
      </c>
      <c r="X95" s="60">
        <v>25</v>
      </c>
      <c r="Y95" s="60">
        <v>58</v>
      </c>
      <c r="Z95" s="60">
        <v>77</v>
      </c>
      <c r="AA95" s="60">
        <v>34</v>
      </c>
      <c r="AB95" s="73">
        <v>44</v>
      </c>
      <c r="AC95" s="73">
        <v>36</v>
      </c>
      <c r="AD95" s="73">
        <v>40</v>
      </c>
      <c r="AE95" s="73">
        <v>-17</v>
      </c>
      <c r="AF95" s="73">
        <v>-28</v>
      </c>
      <c r="AG95" s="120">
        <v>240</v>
      </c>
      <c r="AH95" s="54">
        <f t="shared" si="38"/>
        <v>77</v>
      </c>
      <c r="AI95" s="121">
        <f t="shared" si="39"/>
        <v>0.79166666666666663</v>
      </c>
    </row>
    <row r="96" spans="1:88" x14ac:dyDescent="0.25">
      <c r="A96" s="122" t="s">
        <v>100</v>
      </c>
      <c r="B96" s="73">
        <v>-13.1</v>
      </c>
      <c r="C96" s="123">
        <v>-13.3</v>
      </c>
      <c r="D96" s="123">
        <v>-14.7</v>
      </c>
      <c r="E96" s="60">
        <v>-11.9</v>
      </c>
      <c r="F96" s="60">
        <v>-11.6</v>
      </c>
      <c r="G96" s="60">
        <v>-11.5</v>
      </c>
      <c r="H96" s="60">
        <v>-7.2</v>
      </c>
      <c r="I96" s="60">
        <v>-6.5</v>
      </c>
      <c r="J96" s="60">
        <v>-7.2</v>
      </c>
      <c r="K96" s="60">
        <v>8.6</v>
      </c>
      <c r="L96" s="60">
        <v>21.8</v>
      </c>
      <c r="M96" s="60">
        <v>22</v>
      </c>
      <c r="N96" s="60">
        <v>24.2</v>
      </c>
      <c r="O96" s="60">
        <v>24.3</v>
      </c>
      <c r="P96" s="60">
        <v>20.3</v>
      </c>
      <c r="Q96" s="60">
        <v>15.9</v>
      </c>
      <c r="R96" s="60">
        <v>11.1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27.5</v>
      </c>
      <c r="Y96" s="60">
        <v>46.8</v>
      </c>
      <c r="Z96" s="60">
        <v>41.8</v>
      </c>
      <c r="AA96" s="60">
        <v>38.4</v>
      </c>
      <c r="AB96" s="73">
        <v>24</v>
      </c>
      <c r="AC96" s="73">
        <v>21</v>
      </c>
      <c r="AD96" s="73">
        <v>11</v>
      </c>
      <c r="AE96" s="73">
        <v>11</v>
      </c>
      <c r="AF96" s="73">
        <v>0</v>
      </c>
      <c r="AG96" s="120">
        <v>60</v>
      </c>
      <c r="AH96" s="54">
        <f t="shared" si="38"/>
        <v>46.8</v>
      </c>
      <c r="AI96" s="121">
        <f t="shared" si="39"/>
        <v>0.77083333333333337</v>
      </c>
    </row>
    <row r="97" spans="1:37" x14ac:dyDescent="0.25">
      <c r="A97" s="124" t="s">
        <v>101</v>
      </c>
      <c r="B97" s="126">
        <v>98.5</v>
      </c>
      <c r="C97" s="125">
        <v>97</v>
      </c>
      <c r="D97" s="125">
        <v>92.2</v>
      </c>
      <c r="E97" s="63">
        <v>92.2</v>
      </c>
      <c r="F97" s="63">
        <v>85.9</v>
      </c>
      <c r="G97" s="63">
        <v>87.1</v>
      </c>
      <c r="H97" s="63">
        <v>95</v>
      </c>
      <c r="I97" s="63">
        <v>104.2</v>
      </c>
      <c r="J97" s="63">
        <v>95</v>
      </c>
      <c r="K97" s="63">
        <v>91.6</v>
      </c>
      <c r="L97" s="63">
        <v>116.2</v>
      </c>
      <c r="M97" s="63">
        <v>114.4</v>
      </c>
      <c r="N97" s="63">
        <v>106</v>
      </c>
      <c r="O97" s="63">
        <v>109.5</v>
      </c>
      <c r="P97" s="63">
        <v>99</v>
      </c>
      <c r="Q97" s="63">
        <v>90</v>
      </c>
      <c r="R97" s="63">
        <v>83.7</v>
      </c>
      <c r="S97" s="63">
        <v>92.2</v>
      </c>
      <c r="T97" s="63">
        <v>89.7</v>
      </c>
      <c r="U97" s="63">
        <v>93.1</v>
      </c>
      <c r="V97" s="63">
        <v>96.7</v>
      </c>
      <c r="W97" s="63">
        <v>96</v>
      </c>
      <c r="X97" s="63">
        <v>93.5</v>
      </c>
      <c r="Y97" s="63">
        <v>82.2</v>
      </c>
      <c r="Z97" s="63">
        <v>82.6</v>
      </c>
      <c r="AA97" s="63">
        <v>116</v>
      </c>
      <c r="AB97" s="126">
        <v>107</v>
      </c>
      <c r="AC97" s="126">
        <v>99</v>
      </c>
      <c r="AD97" s="126">
        <v>84</v>
      </c>
      <c r="AE97" s="126">
        <v>87</v>
      </c>
      <c r="AF97" s="126">
        <v>92</v>
      </c>
      <c r="AG97" s="127">
        <v>120</v>
      </c>
      <c r="AH97" s="54">
        <f t="shared" si="38"/>
        <v>116.2</v>
      </c>
      <c r="AI97" s="121">
        <f t="shared" si="39"/>
        <v>0.3125</v>
      </c>
    </row>
    <row r="98" spans="1:37" x14ac:dyDescent="0.25">
      <c r="A98" s="124" t="s">
        <v>102</v>
      </c>
      <c r="B98" s="126">
        <v>107</v>
      </c>
      <c r="C98" s="125">
        <v>104.4</v>
      </c>
      <c r="D98" s="125">
        <v>100.1</v>
      </c>
      <c r="E98" s="63">
        <v>97.4</v>
      </c>
      <c r="F98" s="63">
        <v>93.7</v>
      </c>
      <c r="G98" s="63">
        <v>92</v>
      </c>
      <c r="H98" s="63">
        <v>96</v>
      </c>
      <c r="I98" s="63">
        <v>102.7</v>
      </c>
      <c r="J98" s="63">
        <v>96</v>
      </c>
      <c r="K98" s="63">
        <v>88.2</v>
      </c>
      <c r="L98" s="63">
        <v>76.5</v>
      </c>
      <c r="M98" s="63">
        <v>77.7</v>
      </c>
      <c r="N98" s="63">
        <v>80.400000000000006</v>
      </c>
      <c r="O98" s="63">
        <v>82.8</v>
      </c>
      <c r="P98" s="63">
        <v>86.4</v>
      </c>
      <c r="Q98" s="63">
        <v>98.3</v>
      </c>
      <c r="R98" s="63">
        <v>84.2</v>
      </c>
      <c r="S98" s="63">
        <v>88.1</v>
      </c>
      <c r="T98" s="63">
        <v>88.9</v>
      </c>
      <c r="U98" s="63">
        <v>74.8</v>
      </c>
      <c r="V98" s="63">
        <v>90.1</v>
      </c>
      <c r="W98" s="63">
        <v>87</v>
      </c>
      <c r="X98" s="63">
        <v>55.8</v>
      </c>
      <c r="Y98" s="63">
        <v>73.8</v>
      </c>
      <c r="Z98" s="63">
        <v>96.7</v>
      </c>
      <c r="AA98" s="63">
        <v>76.7</v>
      </c>
      <c r="AB98" s="126">
        <v>86</v>
      </c>
      <c r="AC98" s="126">
        <v>80</v>
      </c>
      <c r="AD98" s="126">
        <v>88</v>
      </c>
      <c r="AE98" s="126">
        <v>87</v>
      </c>
      <c r="AF98" s="126">
        <v>94</v>
      </c>
      <c r="AG98" s="127"/>
      <c r="AH98" s="54">
        <f t="shared" si="38"/>
        <v>104.4</v>
      </c>
      <c r="AI98" s="121">
        <f t="shared" si="39"/>
        <v>4.1666666666666664E-2</v>
      </c>
    </row>
    <row r="99" spans="1:37" ht="15.75" thickBot="1" x14ac:dyDescent="0.3">
      <c r="A99" s="124" t="s">
        <v>103</v>
      </c>
      <c r="B99" s="126">
        <v>69.400000000000006</v>
      </c>
      <c r="C99" s="125">
        <v>70</v>
      </c>
      <c r="D99" s="125">
        <v>73</v>
      </c>
      <c r="E99" s="63">
        <v>75.900000000000006</v>
      </c>
      <c r="F99" s="63">
        <v>47.7</v>
      </c>
      <c r="G99" s="63">
        <v>47.4</v>
      </c>
      <c r="H99" s="63">
        <v>44.7</v>
      </c>
      <c r="I99" s="63">
        <v>46</v>
      </c>
      <c r="J99" s="63">
        <v>44.7</v>
      </c>
      <c r="K99" s="63">
        <v>19.399999999999999</v>
      </c>
      <c r="L99" s="63">
        <v>20.7</v>
      </c>
      <c r="M99" s="63">
        <v>17.7</v>
      </c>
      <c r="N99" s="63">
        <v>21.6</v>
      </c>
      <c r="O99" s="63">
        <v>23.9</v>
      </c>
      <c r="P99" s="63">
        <v>22.1</v>
      </c>
      <c r="Q99" s="63">
        <v>31.9</v>
      </c>
      <c r="R99" s="63">
        <v>18.3</v>
      </c>
      <c r="S99" s="63">
        <v>25.8</v>
      </c>
      <c r="T99" s="63">
        <v>21.7</v>
      </c>
      <c r="U99" s="63">
        <v>26.4</v>
      </c>
      <c r="V99" s="63">
        <v>23.6</v>
      </c>
      <c r="W99" s="63">
        <v>15</v>
      </c>
      <c r="X99" s="63">
        <v>11.2</v>
      </c>
      <c r="Y99" s="63">
        <v>8.4</v>
      </c>
      <c r="Z99" s="63">
        <v>22.5</v>
      </c>
      <c r="AA99" s="63">
        <v>24.3</v>
      </c>
      <c r="AB99" s="126">
        <v>27</v>
      </c>
      <c r="AC99" s="126">
        <v>19</v>
      </c>
      <c r="AD99" s="126">
        <v>34</v>
      </c>
      <c r="AE99" s="126">
        <v>32</v>
      </c>
      <c r="AF99" s="126">
        <v>58</v>
      </c>
      <c r="AG99" s="128"/>
      <c r="AH99" s="54">
        <f t="shared" si="38"/>
        <v>75.900000000000006</v>
      </c>
      <c r="AI99" s="121">
        <f t="shared" si="39"/>
        <v>0.125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1463.1399999999999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16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2078/11/16)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2078/11/16)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979.74</v>
      </c>
      <c r="U213" s="174">
        <f t="shared" si="76"/>
        <v>957.64</v>
      </c>
      <c r="V213" s="174">
        <f t="shared" si="76"/>
        <v>947.24</v>
      </c>
      <c r="W213" s="174">
        <f t="shared" si="76"/>
        <v>937.74</v>
      </c>
      <c r="X213" s="174">
        <f t="shared" si="76"/>
        <v>927.74</v>
      </c>
      <c r="Y213" s="174">
        <f t="shared" si="76"/>
        <v>977.24</v>
      </c>
      <c r="Z213" s="174">
        <f t="shared" si="76"/>
        <v>1033.94</v>
      </c>
      <c r="AA213" s="174">
        <f t="shared" si="76"/>
        <v>1123.94</v>
      </c>
      <c r="AB213" s="174">
        <f t="shared" si="76"/>
        <v>1225.74</v>
      </c>
      <c r="AC213" s="174">
        <f t="shared" si="76"/>
        <v>1315.2400000000002</v>
      </c>
      <c r="AD213" s="174">
        <f t="shared" si="76"/>
        <v>1463.1399999999999</v>
      </c>
      <c r="AE213" s="174">
        <f t="shared" si="76"/>
        <v>1458.54</v>
      </c>
      <c r="AF213" s="174">
        <f t="shared" si="76"/>
        <v>1382.64</v>
      </c>
      <c r="AG213" s="174">
        <f t="shared" si="76"/>
        <v>1331.2400000000002</v>
      </c>
      <c r="AH213" s="174">
        <f t="shared" si="76"/>
        <v>1275.24</v>
      </c>
      <c r="AI213" s="174">
        <f t="shared" si="76"/>
        <v>1244.24</v>
      </c>
      <c r="AJ213" s="174">
        <f t="shared" si="76"/>
        <v>1178.6400000000001</v>
      </c>
      <c r="AK213" s="174">
        <f t="shared" si="76"/>
        <v>1138.54</v>
      </c>
      <c r="AL213" s="174">
        <f t="shared" si="76"/>
        <v>1164.44</v>
      </c>
      <c r="AM213" s="174">
        <f t="shared" si="76"/>
        <v>1124.8400000000001</v>
      </c>
      <c r="AN213" s="174">
        <f t="shared" si="76"/>
        <v>1201.04</v>
      </c>
      <c r="AO213" s="174">
        <f t="shared" si="76"/>
        <v>1307.04</v>
      </c>
      <c r="AP213" s="174">
        <f t="shared" si="76"/>
        <v>1308.6399999999999</v>
      </c>
      <c r="AQ213" s="174">
        <f t="shared" si="76"/>
        <v>1477.04</v>
      </c>
      <c r="AR213" s="174">
        <f t="shared" si="76"/>
        <v>1488.94</v>
      </c>
      <c r="AS213" s="174">
        <f t="shared" si="76"/>
        <v>1441.24</v>
      </c>
      <c r="AT213" s="174">
        <f t="shared" si="76"/>
        <v>1323.84</v>
      </c>
      <c r="AU213" s="174">
        <f t="shared" si="76"/>
        <v>1252.1399999999999</v>
      </c>
      <c r="AV213" s="174">
        <f t="shared" si="76"/>
        <v>1184.8400000000001</v>
      </c>
      <c r="AW213" s="174">
        <f t="shared" si="76"/>
        <v>1036.44</v>
      </c>
      <c r="AX213" s="174">
        <f t="shared" si="76"/>
        <v>944.44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F57:L57 N62:N67 O61:O67 X85:Z91 AB81:AF81 C81:R81 C56:AF56 C82:AF83 D193:AF199 B193:B199 C68:AF80 B9:AF10 B191:AF191 AF57:AF61 AG73 AB94:AF99 U212:AF212 C84:D91 C94:D99 C57:E67 F58:G67 H58:I66 L60:O60 L61:N61 J58:K61 P60:R67 M39:W42 L58:W59 U40:Y42 M11:AE11 Z40:AE43 N37:AF37 AF42:AF43 P45:AF48 M53:AF55 AB84:AF91">
    <cfRule type="expression" dxfId="4431" priority="306">
      <formula>B$9&gt;=20/24</formula>
    </cfRule>
    <cfRule type="expression" dxfId="4430" priority="307">
      <formula>AND(B$9&gt;=14/24,B$9&lt;20/24)</formula>
    </cfRule>
    <cfRule type="expression" dxfId="4429" priority="308">
      <formula>AND(B$9&gt;=8/24,B$9&lt;14/24)</formula>
    </cfRule>
    <cfRule type="expression" dxfId="4428" priority="309">
      <formula>B$9&lt;8/24</formula>
    </cfRule>
  </conditionalFormatting>
  <conditionalFormatting sqref="AL4:AL6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4427" priority="301">
      <formula>M$9&gt;=20/24</formula>
    </cfRule>
    <cfRule type="expression" dxfId="4426" priority="302">
      <formula>AND(M$9&gt;=14/24,M$9&lt;20/24)</formula>
    </cfRule>
    <cfRule type="expression" dxfId="4425" priority="303">
      <formula>AND(M$9&gt;=8/24,M$9&lt;14/24)</formula>
    </cfRule>
    <cfRule type="expression" dxfId="4424" priority="304">
      <formula>M$9&lt;8/24</formula>
    </cfRule>
  </conditionalFormatting>
  <conditionalFormatting sqref="M43:W43">
    <cfRule type="expression" dxfId="4423" priority="297">
      <formula>M$9&gt;=20/24</formula>
    </cfRule>
    <cfRule type="expression" dxfId="4422" priority="298">
      <formula>AND(M$9&gt;=14/24,M$9&lt;20/24)</formula>
    </cfRule>
    <cfRule type="expression" dxfId="4421" priority="299">
      <formula>AND(M$9&gt;=8/24,M$9&lt;14/24)</formula>
    </cfRule>
    <cfRule type="expression" dxfId="4420" priority="300">
      <formula>M$9&lt;8/24</formula>
    </cfRule>
  </conditionalFormatting>
  <conditionalFormatting sqref="T39:AE39">
    <cfRule type="expression" dxfId="4419" priority="293">
      <formula>T$9&gt;=20/24</formula>
    </cfRule>
    <cfRule type="expression" dxfId="4418" priority="294">
      <formula>AND(T$9&gt;=14/24,T$9&lt;20/24)</formula>
    </cfRule>
    <cfRule type="expression" dxfId="4417" priority="295">
      <formula>AND(T$9&gt;=8/24,T$9&lt;14/24)</formula>
    </cfRule>
    <cfRule type="expression" dxfId="4416" priority="296">
      <formula>T$9&lt;8/24</formula>
    </cfRule>
  </conditionalFormatting>
  <conditionalFormatting sqref="S57:AE57">
    <cfRule type="expression" dxfId="4415" priority="289">
      <formula>S$9&gt;=20/24</formula>
    </cfRule>
    <cfRule type="expression" dxfId="4414" priority="290">
      <formula>AND(S$9&gt;=14/24,S$9&lt;20/24)</formula>
    </cfRule>
    <cfRule type="expression" dxfId="4413" priority="291">
      <formula>AND(S$9&gt;=8/24,S$9&lt;14/24)</formula>
    </cfRule>
    <cfRule type="expression" dxfId="4412" priority="292">
      <formula>S$9&lt;8/24</formula>
    </cfRule>
  </conditionalFormatting>
  <conditionalFormatting sqref="S81:AA81">
    <cfRule type="expression" dxfId="4411" priority="285">
      <formula>S$9&gt;=20/24</formula>
    </cfRule>
    <cfRule type="expression" dxfId="4410" priority="286">
      <formula>AND(S$9&gt;=14/24,S$9&lt;20/24)</formula>
    </cfRule>
    <cfRule type="expression" dxfId="4409" priority="287">
      <formula>AND(S$9&gt;=8/24,S$9&lt;14/24)</formula>
    </cfRule>
    <cfRule type="expression" dxfId="4408" priority="288">
      <formula>S$9&lt;8/24</formula>
    </cfRule>
  </conditionalFormatting>
  <conditionalFormatting sqref="U84:Z84">
    <cfRule type="expression" dxfId="4407" priority="281">
      <formula>U$9&gt;=20/24</formula>
    </cfRule>
    <cfRule type="expression" dxfId="4406" priority="282">
      <formula>AND(U$9&gt;=14/24,U$9&lt;20/24)</formula>
    </cfRule>
    <cfRule type="expression" dxfId="4405" priority="283">
      <formula>AND(U$9&gt;=8/24,U$9&lt;14/24)</formula>
    </cfRule>
    <cfRule type="expression" dxfId="4404" priority="284">
      <formula>U$9&lt;8/24</formula>
    </cfRule>
  </conditionalFormatting>
  <conditionalFormatting sqref="P49:AF49">
    <cfRule type="expression" dxfId="4403" priority="277">
      <formula>P$9&gt;=20/24</formula>
    </cfRule>
    <cfRule type="expression" dxfId="4402" priority="278">
      <formula>AND(P$9&gt;=14/24,P$9&lt;20/24)</formula>
    </cfRule>
    <cfRule type="expression" dxfId="4401" priority="279">
      <formula>AND(P$9&gt;=8/24,P$9&lt;14/24)</formula>
    </cfRule>
    <cfRule type="expression" dxfId="4400" priority="280">
      <formula>P$9&lt;8/24</formula>
    </cfRule>
  </conditionalFormatting>
  <conditionalFormatting sqref="P50:AF50">
    <cfRule type="expression" dxfId="4399" priority="273">
      <formula>P$9&gt;=20/24</formula>
    </cfRule>
    <cfRule type="expression" dxfId="4398" priority="274">
      <formula>AND(P$9&gt;=14/24,P$9&lt;20/24)</formula>
    </cfRule>
    <cfRule type="expression" dxfId="4397" priority="275">
      <formula>AND(P$9&gt;=8/24,P$9&lt;14/24)</formula>
    </cfRule>
    <cfRule type="expression" dxfId="4396" priority="276">
      <formula>P$9&lt;8/24</formula>
    </cfRule>
  </conditionalFormatting>
  <conditionalFormatting sqref="P45:AF48">
    <cfRule type="expression" dxfId="4395" priority="269">
      <formula>P$9&gt;=20/24</formula>
    </cfRule>
    <cfRule type="expression" dxfId="4394" priority="270">
      <formula>AND(P$9&gt;=14/24,P$9&lt;20/24)</formula>
    </cfRule>
    <cfRule type="expression" dxfId="4393" priority="271">
      <formula>AND(P$9&gt;=8/24,P$9&lt;14/24)</formula>
    </cfRule>
    <cfRule type="expression" dxfId="4392" priority="272">
      <formula>P$9&lt;8/24</formula>
    </cfRule>
  </conditionalFormatting>
  <conditionalFormatting sqref="T42:W43 U43:AB43 T45:AF48">
    <cfRule type="expression" dxfId="4391" priority="261">
      <formula>T$9&gt;=20/24</formula>
    </cfRule>
    <cfRule type="expression" dxfId="4390" priority="262">
      <formula>AND(T$9&gt;=14/24,T$9&lt;20/24)</formula>
    </cfRule>
    <cfRule type="expression" dxfId="4389" priority="263">
      <formula>AND(T$9&gt;=8/24,T$9&lt;14/24)</formula>
    </cfRule>
    <cfRule type="expression" dxfId="4388" priority="264">
      <formula>T$9&lt;8/24</formula>
    </cfRule>
  </conditionalFormatting>
  <conditionalFormatting sqref="T49:AF49">
    <cfRule type="expression" dxfId="4387" priority="257">
      <formula>T$9&gt;=20/24</formula>
    </cfRule>
    <cfRule type="expression" dxfId="4386" priority="258">
      <formula>AND(T$9&gt;=14/24,T$9&lt;20/24)</formula>
    </cfRule>
    <cfRule type="expression" dxfId="4385" priority="259">
      <formula>AND(T$9&gt;=8/24,T$9&lt;14/24)</formula>
    </cfRule>
    <cfRule type="expression" dxfId="4384" priority="260">
      <formula>T$9&lt;8/24</formula>
    </cfRule>
  </conditionalFormatting>
  <conditionalFormatting sqref="T50:AF50">
    <cfRule type="expression" dxfId="4383" priority="253">
      <formula>T$9&gt;=20/24</formula>
    </cfRule>
    <cfRule type="expression" dxfId="4382" priority="254">
      <formula>AND(T$9&gt;=14/24,T$9&lt;20/24)</formula>
    </cfRule>
    <cfRule type="expression" dxfId="4381" priority="255">
      <formula>AND(T$9&gt;=8/24,T$9&lt;14/24)</formula>
    </cfRule>
    <cfRule type="expression" dxfId="4380" priority="256">
      <formula>T$9&lt;8/24</formula>
    </cfRule>
  </conditionalFormatting>
  <conditionalFormatting sqref="S60:T67 X60:AE61 U62:AF67">
    <cfRule type="expression" dxfId="4379" priority="249">
      <formula>S$9&gt;=20/24</formula>
    </cfRule>
    <cfRule type="expression" dxfId="4378" priority="250">
      <formula>AND(S$9&gt;=14/24,S$9&lt;20/24)</formula>
    </cfRule>
    <cfRule type="expression" dxfId="4377" priority="251">
      <formula>AND(S$9&gt;=8/24,S$9&lt;14/24)</formula>
    </cfRule>
    <cfRule type="expression" dxfId="4376" priority="252">
      <formula>S$9&lt;8/24</formula>
    </cfRule>
  </conditionalFormatting>
  <conditionalFormatting sqref="J62:L67">
    <cfRule type="expression" dxfId="4375" priority="245">
      <formula>J$9&gt;=20/24</formula>
    </cfRule>
    <cfRule type="expression" dxfId="4374" priority="246">
      <formula>AND(J$9&gt;=14/24,J$9&lt;20/24)</formula>
    </cfRule>
    <cfRule type="expression" dxfId="4373" priority="247">
      <formula>AND(J$9&gt;=8/24,J$9&lt;14/24)</formula>
    </cfRule>
    <cfRule type="expression" dxfId="4372" priority="248">
      <formula>J$9&lt;8/24</formula>
    </cfRule>
  </conditionalFormatting>
  <conditionalFormatting sqref="U94:Z97">
    <cfRule type="expression" dxfId="4371" priority="241">
      <formula>U$9&gt;=20/24</formula>
    </cfRule>
    <cfRule type="expression" dxfId="4370" priority="242">
      <formula>AND(U$9&gt;=14/24,U$9&lt;20/24)</formula>
    </cfRule>
    <cfRule type="expression" dxfId="4369" priority="243">
      <formula>AND(U$9&gt;=8/24,U$9&lt;14/24)</formula>
    </cfRule>
    <cfRule type="expression" dxfId="4368" priority="244">
      <formula>U$9&lt;8/24</formula>
    </cfRule>
  </conditionalFormatting>
  <conditionalFormatting sqref="AG51 D37:L37 C51:AF52 C56:AF56 C38:AF38 P45:Q50 C44:Q44 R44:R50 C39:R43 E11:AF11 N37:AF37 S39:AF50 K53:AF55">
    <cfRule type="expression" dxfId="4367" priority="240">
      <formula>C11&gt;$AG11</formula>
    </cfRule>
  </conditionalFormatting>
  <conditionalFormatting sqref="A100:A156 A84:A97 A11:A14 A16:A32 A45:A72 A80:A82 A74:A78 A35:A43 A169:A199">
    <cfRule type="expression" dxfId="4366" priority="239">
      <formula>$AH11=0</formula>
    </cfRule>
  </conditionalFormatting>
  <conditionalFormatting sqref="U98:Z98">
    <cfRule type="expression" dxfId="4365" priority="235">
      <formula>U$9&gt;=20/24</formula>
    </cfRule>
    <cfRule type="expression" dxfId="4364" priority="236">
      <formula>AND(U$9&gt;=14/24,U$9&lt;20/24)</formula>
    </cfRule>
    <cfRule type="expression" dxfId="4363" priority="237">
      <formula>AND(U$9&gt;=8/24,U$9&lt;14/24)</formula>
    </cfRule>
    <cfRule type="expression" dxfId="4362" priority="238">
      <formula>U$9&lt;8/24</formula>
    </cfRule>
  </conditionalFormatting>
  <conditionalFormatting sqref="A98">
    <cfRule type="expression" dxfId="4361" priority="234">
      <formula>$AH98=0</formula>
    </cfRule>
  </conditionalFormatting>
  <conditionalFormatting sqref="H67:I67">
    <cfRule type="expression" dxfId="4360" priority="230">
      <formula>H$9&gt;=20/24</formula>
    </cfRule>
    <cfRule type="expression" dxfId="4359" priority="231">
      <formula>AND(H$9&gt;=14/24,H$9&lt;20/24)</formula>
    </cfRule>
    <cfRule type="expression" dxfId="4358" priority="232">
      <formula>AND(H$9&gt;=8/24,H$9&lt;14/24)</formula>
    </cfRule>
    <cfRule type="expression" dxfId="4357" priority="233">
      <formula>H$9&lt;8/24</formula>
    </cfRule>
  </conditionalFormatting>
  <conditionalFormatting sqref="M62:M67">
    <cfRule type="expression" dxfId="4356" priority="226">
      <formula>M$9&gt;=20/24</formula>
    </cfRule>
    <cfRule type="expression" dxfId="4355" priority="227">
      <formula>AND(M$9&gt;=14/24,M$9&lt;20/24)</formula>
    </cfRule>
    <cfRule type="expression" dxfId="4354" priority="228">
      <formula>AND(M$9&gt;=8/24,M$9&lt;14/24)</formula>
    </cfRule>
    <cfRule type="expression" dxfId="4353" priority="229">
      <formula>M$9&lt;8/24</formula>
    </cfRule>
  </conditionalFormatting>
  <conditionalFormatting sqref="AL32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352" priority="224">
      <formula>$AH34=0</formula>
    </cfRule>
  </conditionalFormatting>
  <conditionalFormatting sqref="A83">
    <cfRule type="expression" dxfId="4351" priority="223">
      <formula>$AH83=0</formula>
    </cfRule>
  </conditionalFormatting>
  <conditionalFormatting sqref="A15">
    <cfRule type="expression" dxfId="4350" priority="221">
      <formula>$AH15=0</formula>
    </cfRule>
  </conditionalFormatting>
  <conditionalFormatting sqref="A163:A168">
    <cfRule type="expression" dxfId="4349" priority="220">
      <formula>$AH163=0</formula>
    </cfRule>
  </conditionalFormatting>
  <conditionalFormatting sqref="A157:A162">
    <cfRule type="expression" dxfId="4348" priority="219">
      <formula>$AH157=0</formula>
    </cfRule>
  </conditionalFormatting>
  <conditionalFormatting sqref="Z44:AF44">
    <cfRule type="expression" dxfId="4347" priority="215">
      <formula>Z$9&gt;=20/24</formula>
    </cfRule>
    <cfRule type="expression" dxfId="4346" priority="216">
      <formula>AND(Z$9&gt;=14/24,Z$9&lt;20/24)</formula>
    </cfRule>
    <cfRule type="expression" dxfId="4345" priority="217">
      <formula>AND(Z$9&gt;=8/24,Z$9&lt;14/24)</formula>
    </cfRule>
    <cfRule type="expression" dxfId="4344" priority="218">
      <formula>Z$9&lt;8/24</formula>
    </cfRule>
  </conditionalFormatting>
  <conditionalFormatting sqref="M44:Y44">
    <cfRule type="expression" dxfId="4343" priority="211">
      <formula>M$9&gt;=20/24</formula>
    </cfRule>
    <cfRule type="expression" dxfId="4342" priority="212">
      <formula>AND(M$9&gt;=14/24,M$9&lt;20/24)</formula>
    </cfRule>
    <cfRule type="expression" dxfId="4341" priority="213">
      <formula>AND(M$9&gt;=8/24,M$9&lt;14/24)</formula>
    </cfRule>
    <cfRule type="expression" dxfId="4340" priority="214">
      <formula>M$9&lt;8/24</formula>
    </cfRule>
  </conditionalFormatting>
  <conditionalFormatting sqref="T44:AF44">
    <cfRule type="expression" dxfId="4339" priority="207">
      <formula>T$9&gt;=20/24</formula>
    </cfRule>
    <cfRule type="expression" dxfId="4338" priority="208">
      <formula>AND(T$9&gt;=14/24,T$9&lt;20/24)</formula>
    </cfRule>
    <cfRule type="expression" dxfId="4337" priority="209">
      <formula>AND(T$9&gt;=8/24,T$9&lt;14/24)</formula>
    </cfRule>
    <cfRule type="expression" dxfId="4336" priority="210">
      <formula>T$9&lt;8/24</formula>
    </cfRule>
  </conditionalFormatting>
  <conditionalFormatting sqref="A44">
    <cfRule type="expression" dxfId="4335" priority="206">
      <formula>$AH44=0</formula>
    </cfRule>
  </conditionalFormatting>
  <conditionalFormatting sqref="A79">
    <cfRule type="expression" dxfId="4334" priority="205">
      <formula>$AH79=0</formula>
    </cfRule>
  </conditionalFormatting>
  <conditionalFormatting sqref="A73">
    <cfRule type="expression" dxfId="4333" priority="204">
      <formula>$AH73=0</formula>
    </cfRule>
  </conditionalFormatting>
  <conditionalFormatting sqref="AL34:AL35 AL7:AL31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4332" priority="200">
      <formula>U$9&gt;=20/24</formula>
    </cfRule>
    <cfRule type="expression" dxfId="4331" priority="201">
      <formula>AND(U$9&gt;=14/24,U$9&lt;20/24)</formula>
    </cfRule>
    <cfRule type="expression" dxfId="4330" priority="202">
      <formula>AND(U$9&gt;=8/24,U$9&lt;14/24)</formula>
    </cfRule>
    <cfRule type="expression" dxfId="4329" priority="203">
      <formula>U$9&lt;8/24</formula>
    </cfRule>
  </conditionalFormatting>
  <conditionalFormatting sqref="U85:W91">
    <cfRule type="expression" dxfId="4328" priority="196">
      <formula>U$9&gt;=20/24</formula>
    </cfRule>
    <cfRule type="expression" dxfId="4327" priority="197">
      <formula>AND(U$9&gt;=14/24,U$9&lt;20/24)</formula>
    </cfRule>
    <cfRule type="expression" dxfId="4326" priority="198">
      <formula>AND(U$9&gt;=8/24,U$9&lt;14/24)</formula>
    </cfRule>
    <cfRule type="expression" dxfId="4325" priority="199">
      <formula>U$9&lt;8/24</formula>
    </cfRule>
  </conditionalFormatting>
  <conditionalFormatting sqref="S85:T91 E84:R91">
    <cfRule type="expression" dxfId="4324" priority="192">
      <formula>E$9&gt;=20/24</formula>
    </cfRule>
    <cfRule type="expression" dxfId="4323" priority="193">
      <formula>AND(E$9&gt;=14/24,E$9&lt;20/24)</formula>
    </cfRule>
    <cfRule type="expression" dxfId="4322" priority="194">
      <formula>AND(E$9&gt;=8/24,E$9&lt;14/24)</formula>
    </cfRule>
    <cfRule type="expression" dxfId="4321" priority="195">
      <formula>E$9&lt;8/24</formula>
    </cfRule>
  </conditionalFormatting>
  <conditionalFormatting sqref="S84:T84">
    <cfRule type="expression" dxfId="4320" priority="188">
      <formula>S$9&gt;=20/24</formula>
    </cfRule>
    <cfRule type="expression" dxfId="4319" priority="189">
      <formula>AND(S$9&gt;=14/24,S$9&lt;20/24)</formula>
    </cfRule>
    <cfRule type="expression" dxfId="4318" priority="190">
      <formula>AND(S$9&gt;=8/24,S$9&lt;14/24)</formula>
    </cfRule>
    <cfRule type="expression" dxfId="4317" priority="191">
      <formula>S$9&lt;8/24</formula>
    </cfRule>
  </conditionalFormatting>
  <conditionalFormatting sqref="E95:M97 E94:F94">
    <cfRule type="expression" dxfId="4316" priority="184">
      <formula>E$9&gt;=20/24</formula>
    </cfRule>
    <cfRule type="expression" dxfId="4315" priority="185">
      <formula>AND(E$9&gt;=14/24,E$9&lt;20/24)</formula>
    </cfRule>
    <cfRule type="expression" dxfId="4314" priority="186">
      <formula>AND(E$9&gt;=8/24,E$9&lt;14/24)</formula>
    </cfRule>
    <cfRule type="expression" dxfId="4313" priority="187">
      <formula>E$9&lt;8/24</formula>
    </cfRule>
  </conditionalFormatting>
  <conditionalFormatting sqref="N95:R97 O94:R94">
    <cfRule type="expression" dxfId="4312" priority="180">
      <formula>N$9&gt;=20/24</formula>
    </cfRule>
    <cfRule type="expression" dxfId="4311" priority="181">
      <formula>AND(N$9&gt;=14/24,N$9&lt;20/24)</formula>
    </cfRule>
    <cfRule type="expression" dxfId="4310" priority="182">
      <formula>AND(N$9&gt;=8/24,N$9&lt;14/24)</formula>
    </cfRule>
    <cfRule type="expression" dxfId="4309" priority="183">
      <formula>N$9&lt;8/24</formula>
    </cfRule>
  </conditionalFormatting>
  <conditionalFormatting sqref="S94:T97">
    <cfRule type="expression" dxfId="4308" priority="176">
      <formula>S$9&gt;=20/24</formula>
    </cfRule>
    <cfRule type="expression" dxfId="4307" priority="177">
      <formula>AND(S$9&gt;=14/24,S$9&lt;20/24)</formula>
    </cfRule>
    <cfRule type="expression" dxfId="4306" priority="178">
      <formula>AND(S$9&gt;=8/24,S$9&lt;14/24)</formula>
    </cfRule>
    <cfRule type="expression" dxfId="4305" priority="179">
      <formula>S$9&lt;8/24</formula>
    </cfRule>
  </conditionalFormatting>
  <conditionalFormatting sqref="E98:M98">
    <cfRule type="expression" dxfId="4304" priority="172">
      <formula>E$9&gt;=20/24</formula>
    </cfRule>
    <cfRule type="expression" dxfId="4303" priority="173">
      <formula>AND(E$9&gt;=14/24,E$9&lt;20/24)</formula>
    </cfRule>
    <cfRule type="expression" dxfId="4302" priority="174">
      <formula>AND(E$9&gt;=8/24,E$9&lt;14/24)</formula>
    </cfRule>
    <cfRule type="expression" dxfId="4301" priority="175">
      <formula>E$9&lt;8/24</formula>
    </cfRule>
  </conditionalFormatting>
  <conditionalFormatting sqref="N98:R98">
    <cfRule type="expression" dxfId="4300" priority="168">
      <formula>N$9&gt;=20/24</formula>
    </cfRule>
    <cfRule type="expression" dxfId="4299" priority="169">
      <formula>AND(N$9&gt;=14/24,N$9&lt;20/24)</formula>
    </cfRule>
    <cfRule type="expression" dxfId="4298" priority="170">
      <formula>AND(N$9&gt;=8/24,N$9&lt;14/24)</formula>
    </cfRule>
    <cfRule type="expression" dxfId="4297" priority="171">
      <formula>N$9&lt;8/24</formula>
    </cfRule>
  </conditionalFormatting>
  <conditionalFormatting sqref="S98:T98">
    <cfRule type="expression" dxfId="4296" priority="164">
      <formula>S$9&gt;=20/24</formula>
    </cfRule>
    <cfRule type="expression" dxfId="4295" priority="165">
      <formula>AND(S$9&gt;=14/24,S$9&lt;20/24)</formula>
    </cfRule>
    <cfRule type="expression" dxfId="4294" priority="166">
      <formula>AND(S$9&gt;=8/24,S$9&lt;14/24)</formula>
    </cfRule>
    <cfRule type="expression" dxfId="4293" priority="167">
      <formula>S$9&lt;8/24</formula>
    </cfRule>
  </conditionalFormatting>
  <conditionalFormatting sqref="M94:N94">
    <cfRule type="expression" dxfId="4292" priority="160">
      <formula>M$9&gt;=20/24</formula>
    </cfRule>
    <cfRule type="expression" dxfId="4291" priority="161">
      <formula>AND(M$9&gt;=14/24,M$9&lt;20/24)</formula>
    </cfRule>
    <cfRule type="expression" dxfId="4290" priority="162">
      <formula>AND(M$9&gt;=8/24,M$9&lt;14/24)</formula>
    </cfRule>
    <cfRule type="expression" dxfId="4289" priority="163">
      <formula>M$9&lt;8/24</formula>
    </cfRule>
  </conditionalFormatting>
  <conditionalFormatting sqref="G94:L94">
    <cfRule type="expression" dxfId="4288" priority="156">
      <formula>G$9&gt;=20/24</formula>
    </cfRule>
    <cfRule type="expression" dxfId="4287" priority="157">
      <formula>AND(G$9&gt;=14/24,G$9&lt;20/24)</formula>
    </cfRule>
    <cfRule type="expression" dxfId="4286" priority="158">
      <formula>AND(G$9&gt;=8/24,G$9&lt;14/24)</formula>
    </cfRule>
    <cfRule type="expression" dxfId="4285" priority="159">
      <formula>G$9&lt;8/24</formula>
    </cfRule>
  </conditionalFormatting>
  <conditionalFormatting sqref="U94:W94">
    <cfRule type="expression" dxfId="4284" priority="152">
      <formula>U$9&gt;=20/24</formula>
    </cfRule>
    <cfRule type="expression" dxfId="4283" priority="153">
      <formula>AND(U$9&gt;=14/24,U$9&lt;20/24)</formula>
    </cfRule>
    <cfRule type="expression" dxfId="4282" priority="154">
      <formula>AND(U$9&gt;=8/24,U$9&lt;14/24)</formula>
    </cfRule>
    <cfRule type="expression" dxfId="4281" priority="155">
      <formula>U$9&lt;8/24</formula>
    </cfRule>
  </conditionalFormatting>
  <conditionalFormatting sqref="N94:T94">
    <cfRule type="expression" dxfId="4280" priority="148">
      <formula>N$9&gt;=20/24</formula>
    </cfRule>
    <cfRule type="expression" dxfId="4279" priority="149">
      <formula>AND(N$9&gt;=14/24,N$9&lt;20/24)</formula>
    </cfRule>
    <cfRule type="expression" dxfId="4278" priority="150">
      <formula>AND(N$9&gt;=8/24,N$9&lt;14/24)</formula>
    </cfRule>
    <cfRule type="expression" dxfId="4277" priority="151">
      <formula>N$9&lt;8/24</formula>
    </cfRule>
  </conditionalFormatting>
  <conditionalFormatting sqref="U99:Z99">
    <cfRule type="expression" dxfId="4276" priority="144">
      <formula>U$9&gt;=20/24</formula>
    </cfRule>
    <cfRule type="expression" dxfId="4275" priority="145">
      <formula>AND(U$9&gt;=14/24,U$9&lt;20/24)</formula>
    </cfRule>
    <cfRule type="expression" dxfId="4274" priority="146">
      <formula>AND(U$9&gt;=8/24,U$9&lt;14/24)</formula>
    </cfRule>
    <cfRule type="expression" dxfId="4273" priority="147">
      <formula>U$9&lt;8/24</formula>
    </cfRule>
  </conditionalFormatting>
  <conditionalFormatting sqref="E99:M99">
    <cfRule type="expression" dxfId="4272" priority="140">
      <formula>E$9&gt;=20/24</formula>
    </cfRule>
    <cfRule type="expression" dxfId="4271" priority="141">
      <formula>AND(E$9&gt;=14/24,E$9&lt;20/24)</formula>
    </cfRule>
    <cfRule type="expression" dxfId="4270" priority="142">
      <formula>AND(E$9&gt;=8/24,E$9&lt;14/24)</formula>
    </cfRule>
    <cfRule type="expression" dxfId="4269" priority="143">
      <formula>E$9&lt;8/24</formula>
    </cfRule>
  </conditionalFormatting>
  <conditionalFormatting sqref="N99:R99">
    <cfRule type="expression" dxfId="4268" priority="136">
      <formula>N$9&gt;=20/24</formula>
    </cfRule>
    <cfRule type="expression" dxfId="4267" priority="137">
      <formula>AND(N$9&gt;=14/24,N$9&lt;20/24)</formula>
    </cfRule>
    <cfRule type="expression" dxfId="4266" priority="138">
      <formula>AND(N$9&gt;=8/24,N$9&lt;14/24)</formula>
    </cfRule>
    <cfRule type="expression" dxfId="4265" priority="139">
      <formula>N$9&lt;8/24</formula>
    </cfRule>
  </conditionalFormatting>
  <conditionalFormatting sqref="S99:T99">
    <cfRule type="expression" dxfId="4264" priority="132">
      <formula>S$9&gt;=20/24</formula>
    </cfRule>
    <cfRule type="expression" dxfId="4263" priority="133">
      <formula>AND(S$9&gt;=14/24,S$9&lt;20/24)</formula>
    </cfRule>
    <cfRule type="expression" dxfId="4262" priority="134">
      <formula>AND(S$9&gt;=8/24,S$9&lt;14/24)</formula>
    </cfRule>
    <cfRule type="expression" dxfId="4261" priority="135">
      <formula>S$9&lt;8/24</formula>
    </cfRule>
  </conditionalFormatting>
  <conditionalFormatting sqref="Z12:AF12">
    <cfRule type="expression" dxfId="4260" priority="128">
      <formula>Z$9&gt;=20/24</formula>
    </cfRule>
    <cfRule type="expression" dxfId="4259" priority="129">
      <formula>AND(Z$9&gt;=14/24,Z$9&lt;20/24)</formula>
    </cfRule>
    <cfRule type="expression" dxfId="4258" priority="130">
      <formula>AND(Z$9&gt;=8/24,Z$9&lt;14/24)</formula>
    </cfRule>
    <cfRule type="expression" dxfId="4257" priority="131">
      <formula>Z$9&lt;8/24</formula>
    </cfRule>
  </conditionalFormatting>
  <conditionalFormatting sqref="Z12:AF12">
    <cfRule type="expression" dxfId="4256" priority="124">
      <formula>Z$9&gt;=20/24</formula>
    </cfRule>
    <cfRule type="expression" dxfId="4255" priority="125">
      <formula>AND(Z$9&gt;=14/24,Z$9&lt;20/24)</formula>
    </cfRule>
    <cfRule type="expression" dxfId="4254" priority="126">
      <formula>AND(Z$9&gt;=8/24,Z$9&lt;14/24)</formula>
    </cfRule>
    <cfRule type="expression" dxfId="4253" priority="127">
      <formula>Z$9&lt;8/24</formula>
    </cfRule>
  </conditionalFormatting>
  <conditionalFormatting sqref="AB58:AE59">
    <cfRule type="expression" dxfId="4252" priority="120">
      <formula>AB$9&gt;=20/24</formula>
    </cfRule>
    <cfRule type="expression" dxfId="4251" priority="121">
      <formula>AND(AB$9&gt;=14/24,AB$9&lt;20/24)</formula>
    </cfRule>
    <cfRule type="expression" dxfId="4250" priority="122">
      <formula>AND(AB$9&gt;=8/24,AB$9&lt;14/24)</formula>
    </cfRule>
    <cfRule type="expression" dxfId="4249" priority="123">
      <formula>AB$9&lt;8/24</formula>
    </cfRule>
  </conditionalFormatting>
  <conditionalFormatting sqref="AL33">
    <cfRule type="iconSet" priority="1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48" priority="313">
      <formula>C$9&gt;=20/24</formula>
    </cfRule>
    <cfRule type="expression" dxfId="4247" priority="314">
      <formula>AND(C$9&gt;=14/24,C$9&lt;20/24)</formula>
    </cfRule>
    <cfRule type="expression" dxfId="4246" priority="315">
      <formula>AND(C$9&gt;=8/24,C$9&lt;14/24)</formula>
    </cfRule>
    <cfRule type="expression" dxfId="4245" priority="316">
      <formula>C$9&lt;8/24</formula>
    </cfRule>
  </conditionalFormatting>
  <conditionalFormatting sqref="A200">
    <cfRule type="expression" dxfId="4244" priority="317">
      <formula>$AH200=0</formula>
    </cfRule>
  </conditionalFormatting>
  <conditionalFormatting sqref="AG212">
    <cfRule type="expression" dxfId="4243" priority="318">
      <formula>B$9&gt;=20/24</formula>
    </cfRule>
    <cfRule type="expression" dxfId="4242" priority="319">
      <formula>AND(B$9&gt;=14/24,B$9&lt;20/24)</formula>
    </cfRule>
    <cfRule type="expression" dxfId="4241" priority="320">
      <formula>AND(B$9&gt;=8/24,B$9&lt;14/24)</formula>
    </cfRule>
    <cfRule type="expression" dxfId="4240" priority="321">
      <formula>B$9&lt;8/24</formula>
    </cfRule>
  </conditionalFormatting>
  <conditionalFormatting sqref="S8">
    <cfRule type="expression" dxfId="4239" priority="114">
      <formula>U$9&gt;=20/24</formula>
    </cfRule>
    <cfRule type="expression" dxfId="4238" priority="115">
      <formula>AND(U$9&gt;=14/24,U$9&lt;20/24)</formula>
    </cfRule>
    <cfRule type="expression" dxfId="4237" priority="116">
      <formula>AND(U$9&gt;=8/24,U$9&lt;14/24)</formula>
    </cfRule>
    <cfRule type="expression" dxfId="4236" priority="117">
      <formula>U$9&lt;8/24</formula>
    </cfRule>
  </conditionalFormatting>
  <conditionalFormatting sqref="AB8">
    <cfRule type="expression" dxfId="4235" priority="110">
      <formula>AD$9&gt;=20/24</formula>
    </cfRule>
    <cfRule type="expression" dxfId="4234" priority="111">
      <formula>AND(AD$9&gt;=14/24,AD$9&lt;20/24)</formula>
    </cfRule>
    <cfRule type="expression" dxfId="4233" priority="112">
      <formula>AND(AD$9&gt;=8/24,AD$9&lt;14/24)</formula>
    </cfRule>
    <cfRule type="expression" dxfId="4232" priority="113">
      <formula>AD$9&lt;8/24</formula>
    </cfRule>
  </conditionalFormatting>
  <conditionalFormatting sqref="AH212:AX212">
    <cfRule type="expression" dxfId="4231" priority="322">
      <formula>AG$9&gt;=20/24</formula>
    </cfRule>
    <cfRule type="expression" dxfId="4230" priority="323">
      <formula>AND(AG$9&gt;=14/24,AG$9&lt;20/24)</formula>
    </cfRule>
    <cfRule type="expression" dxfId="4229" priority="324">
      <formula>AND(AG$9&gt;=8/24,AG$9&lt;14/24)</formula>
    </cfRule>
    <cfRule type="expression" dxfId="4228" priority="325">
      <formula>AG$9&lt;8/24</formula>
    </cfRule>
  </conditionalFormatting>
  <conditionalFormatting sqref="T212">
    <cfRule type="expression" dxfId="4227" priority="326">
      <formula>AX$9&gt;=20/24</formula>
    </cfRule>
    <cfRule type="expression" dxfId="4226" priority="327">
      <formula>AND(AX$9&gt;=14/24,AX$9&lt;20/24)</formula>
    </cfRule>
    <cfRule type="expression" dxfId="4225" priority="328">
      <formula>AND(AX$9&gt;=8/24,AX$9&lt;14/24)</formula>
    </cfRule>
    <cfRule type="expression" dxfId="4224" priority="329">
      <formula>AX$9&lt;8/24</formula>
    </cfRule>
  </conditionalFormatting>
  <conditionalFormatting sqref="A99">
    <cfRule type="expression" dxfId="4223" priority="109">
      <formula>$AH99=0</formula>
    </cfRule>
  </conditionalFormatting>
  <conditionalFormatting sqref="M37 R12:Y14 Z13:AF14 Z16:AF32 Z36:AF36">
    <cfRule type="expression" dxfId="4222" priority="104">
      <formula>M$9&gt;=20/24</formula>
    </cfRule>
    <cfRule type="expression" dxfId="4221" priority="105">
      <formula>AND(M$9&gt;=14/24,M$9&lt;20/24)</formula>
    </cfRule>
    <cfRule type="expression" dxfId="4220" priority="106">
      <formula>AND(M$9&gt;=8/24,M$9&lt;14/24)</formula>
    </cfRule>
    <cfRule type="expression" dxfId="4219" priority="107">
      <formula>M$9&lt;8/24</formula>
    </cfRule>
  </conditionalFormatting>
  <conditionalFormatting sqref="Z35:AF35">
    <cfRule type="expression" dxfId="4218" priority="100">
      <formula>Z$9&gt;=20/24</formula>
    </cfRule>
    <cfRule type="expression" dxfId="4217" priority="101">
      <formula>AND(Z$9&gt;=14/24,Z$9&lt;20/24)</formula>
    </cfRule>
    <cfRule type="expression" dxfId="4216" priority="102">
      <formula>AND(Z$9&gt;=8/24,Z$9&lt;14/24)</formula>
    </cfRule>
    <cfRule type="expression" dxfId="4215" priority="103">
      <formula>Z$9&lt;8/24</formula>
    </cfRule>
  </conditionalFormatting>
  <conditionalFormatting sqref="M37 R12:Y14 Z16:AF32 Z34:AF36 Z13:AF14">
    <cfRule type="expression" dxfId="4214" priority="99">
      <formula>M12&gt;$AG12</formula>
    </cfRule>
  </conditionalFormatting>
  <conditionalFormatting sqref="Z34:AF34">
    <cfRule type="expression" dxfId="4213" priority="95">
      <formula>Z$9&gt;=20/24</formula>
    </cfRule>
    <cfRule type="expression" dxfId="4212" priority="96">
      <formula>AND(Z$9&gt;=14/24,Z$9&lt;20/24)</formula>
    </cfRule>
    <cfRule type="expression" dxfId="4211" priority="97">
      <formula>AND(Z$9&gt;=8/24,Z$9&lt;14/24)</formula>
    </cfRule>
    <cfRule type="expression" dxfId="4210" priority="98">
      <formula>Z$9&lt;8/24</formula>
    </cfRule>
  </conditionalFormatting>
  <conditionalFormatting sqref="R15:AF15">
    <cfRule type="expression" dxfId="4209" priority="91">
      <formula>R$9&gt;=20/24</formula>
    </cfRule>
    <cfRule type="expression" dxfId="4208" priority="92">
      <formula>AND(R$9&gt;=14/24,R$9&lt;20/24)</formula>
    </cfRule>
    <cfRule type="expression" dxfId="4207" priority="93">
      <formula>AND(R$9&gt;=8/24,R$9&lt;14/24)</formula>
    </cfRule>
    <cfRule type="expression" dxfId="4206" priority="94">
      <formula>R$9&lt;8/24</formula>
    </cfRule>
  </conditionalFormatting>
  <conditionalFormatting sqref="R15:AF15">
    <cfRule type="expression" dxfId="4205" priority="90">
      <formula>R15&gt;$AG15</formula>
    </cfRule>
  </conditionalFormatting>
  <conditionalFormatting sqref="Z33:AF33">
    <cfRule type="expression" dxfId="4204" priority="86">
      <formula>Z$9&gt;=20/24</formula>
    </cfRule>
    <cfRule type="expression" dxfId="4203" priority="87">
      <formula>AND(Z$9&gt;=14/24,Z$9&lt;20/24)</formula>
    </cfRule>
    <cfRule type="expression" dxfId="4202" priority="88">
      <formula>AND(Z$9&gt;=8/24,Z$9&lt;14/24)</formula>
    </cfRule>
    <cfRule type="expression" dxfId="4201" priority="89">
      <formula>Z$9&lt;8/24</formula>
    </cfRule>
  </conditionalFormatting>
  <conditionalFormatting sqref="Z33:AF33">
    <cfRule type="expression" dxfId="4200" priority="85">
      <formula>Z33&gt;$AG33</formula>
    </cfRule>
  </conditionalFormatting>
  <conditionalFormatting sqref="AA85:AA91">
    <cfRule type="expression" dxfId="4199" priority="81">
      <formula>AA$9&gt;=20/24</formula>
    </cfRule>
    <cfRule type="expression" dxfId="4198" priority="82">
      <formula>AND(AA$9&gt;=14/24,AA$9&lt;20/24)</formula>
    </cfRule>
    <cfRule type="expression" dxfId="4197" priority="83">
      <formula>AND(AA$9&gt;=8/24,AA$9&lt;14/24)</formula>
    </cfRule>
    <cfRule type="expression" dxfId="4196" priority="84">
      <formula>AA$9&lt;8/24</formula>
    </cfRule>
  </conditionalFormatting>
  <conditionalFormatting sqref="AA84">
    <cfRule type="expression" dxfId="4195" priority="77">
      <formula>AA$9&gt;=20/24</formula>
    </cfRule>
    <cfRule type="expression" dxfId="4194" priority="78">
      <formula>AND(AA$9&gt;=14/24,AA$9&lt;20/24)</formula>
    </cfRule>
    <cfRule type="expression" dxfId="4193" priority="79">
      <formula>AND(AA$9&gt;=8/24,AA$9&lt;14/24)</formula>
    </cfRule>
    <cfRule type="expression" dxfId="4192" priority="80">
      <formula>AA$9&lt;8/24</formula>
    </cfRule>
  </conditionalFormatting>
  <conditionalFormatting sqref="AA94:AA97">
    <cfRule type="expression" dxfId="4191" priority="73">
      <formula>AA$9&gt;=20/24</formula>
    </cfRule>
    <cfRule type="expression" dxfId="4190" priority="74">
      <formula>AND(AA$9&gt;=14/24,AA$9&lt;20/24)</formula>
    </cfRule>
    <cfRule type="expression" dxfId="4189" priority="75">
      <formula>AND(AA$9&gt;=8/24,AA$9&lt;14/24)</formula>
    </cfRule>
    <cfRule type="expression" dxfId="4188" priority="76">
      <formula>AA$9&lt;8/24</formula>
    </cfRule>
  </conditionalFormatting>
  <conditionalFormatting sqref="AA98">
    <cfRule type="expression" dxfId="4187" priority="69">
      <formula>AA$9&gt;=20/24</formula>
    </cfRule>
    <cfRule type="expression" dxfId="4186" priority="70">
      <formula>AND(AA$9&gt;=14/24,AA$9&lt;20/24)</formula>
    </cfRule>
    <cfRule type="expression" dxfId="4185" priority="71">
      <formula>AND(AA$9&gt;=8/24,AA$9&lt;14/24)</formula>
    </cfRule>
    <cfRule type="expression" dxfId="4184" priority="72">
      <formula>AA$9&lt;8/24</formula>
    </cfRule>
  </conditionalFormatting>
  <conditionalFormatting sqref="AA99">
    <cfRule type="expression" dxfId="4183" priority="65">
      <formula>AA$9&gt;=20/24</formula>
    </cfRule>
    <cfRule type="expression" dxfId="4182" priority="66">
      <formula>AND(AA$9&gt;=14/24,AA$9&lt;20/24)</formula>
    </cfRule>
    <cfRule type="expression" dxfId="4181" priority="67">
      <formula>AND(AA$9&gt;=8/24,AA$9&lt;14/24)</formula>
    </cfRule>
    <cfRule type="expression" dxfId="4180" priority="68">
      <formula>AA$9&lt;8/24</formula>
    </cfRule>
  </conditionalFormatting>
  <conditionalFormatting sqref="B53:B91 B94:B99 C53:J55 B45:O48">
    <cfRule type="expression" dxfId="4179" priority="61">
      <formula>B$9&gt;=20/24</formula>
    </cfRule>
    <cfRule type="expression" dxfId="4178" priority="62">
      <formula>AND(B$9&gt;=14/24,B$9&lt;20/24)</formula>
    </cfRule>
    <cfRule type="expression" dxfId="4177" priority="63">
      <formula>AND(B$9&gt;=8/24,B$9&lt;14/24)</formula>
    </cfRule>
    <cfRule type="expression" dxfId="4176" priority="64">
      <formula>B$9&lt;8/24</formula>
    </cfRule>
  </conditionalFormatting>
  <conditionalFormatting sqref="B49:O49">
    <cfRule type="expression" dxfId="4175" priority="57">
      <formula>B$9&gt;=20/24</formula>
    </cfRule>
    <cfRule type="expression" dxfId="4174" priority="58">
      <formula>AND(B$9&gt;=14/24,B$9&lt;20/24)</formula>
    </cfRule>
    <cfRule type="expression" dxfId="4173" priority="59">
      <formula>AND(B$9&gt;=8/24,B$9&lt;14/24)</formula>
    </cfRule>
    <cfRule type="expression" dxfId="4172" priority="60">
      <formula>B$9&lt;8/24</formula>
    </cfRule>
  </conditionalFormatting>
  <conditionalFormatting sqref="B50:O50">
    <cfRule type="expression" dxfId="4171" priority="53">
      <formula>B$9&gt;=20/24</formula>
    </cfRule>
    <cfRule type="expression" dxfId="4170" priority="54">
      <formula>AND(B$9&gt;=14/24,B$9&lt;20/24)</formula>
    </cfRule>
    <cfRule type="expression" dxfId="4169" priority="55">
      <formula>AND(B$9&gt;=8/24,B$9&lt;14/24)</formula>
    </cfRule>
    <cfRule type="expression" dxfId="4168" priority="56">
      <formula>B$9&lt;8/24</formula>
    </cfRule>
  </conditionalFormatting>
  <conditionalFormatting sqref="B45:O48">
    <cfRule type="expression" dxfId="4167" priority="49">
      <formula>B$9&gt;=20/24</formula>
    </cfRule>
    <cfRule type="expression" dxfId="4166" priority="50">
      <formula>AND(B$9&gt;=14/24,B$9&lt;20/24)</formula>
    </cfRule>
    <cfRule type="expression" dxfId="4165" priority="51">
      <formula>AND(B$9&gt;=8/24,B$9&lt;14/24)</formula>
    </cfRule>
    <cfRule type="expression" dxfId="4164" priority="52">
      <formula>B$9&lt;8/24</formula>
    </cfRule>
  </conditionalFormatting>
  <conditionalFormatting sqref="B45:O48">
    <cfRule type="expression" dxfId="4163" priority="45">
      <formula>B$9&gt;=20/24</formula>
    </cfRule>
    <cfRule type="expression" dxfId="4162" priority="46">
      <formula>AND(B$9&gt;=14/24,B$9&lt;20/24)</formula>
    </cfRule>
    <cfRule type="expression" dxfId="4161" priority="47">
      <formula>AND(B$9&gt;=8/24,B$9&lt;14/24)</formula>
    </cfRule>
    <cfRule type="expression" dxfId="4160" priority="48">
      <formula>B$9&lt;8/24</formula>
    </cfRule>
  </conditionalFormatting>
  <conditionalFormatting sqref="B49:O49">
    <cfRule type="expression" dxfId="4159" priority="41">
      <formula>B$9&gt;=20/24</formula>
    </cfRule>
    <cfRule type="expression" dxfId="4158" priority="42">
      <formula>AND(B$9&gt;=14/24,B$9&lt;20/24)</formula>
    </cfRule>
    <cfRule type="expression" dxfId="4157" priority="43">
      <formula>AND(B$9&gt;=8/24,B$9&lt;14/24)</formula>
    </cfRule>
    <cfRule type="expression" dxfId="4156" priority="44">
      <formula>B$9&lt;8/24</formula>
    </cfRule>
  </conditionalFormatting>
  <conditionalFormatting sqref="B50:O50">
    <cfRule type="expression" dxfId="4155" priority="37">
      <formula>B$9&gt;=20/24</formula>
    </cfRule>
    <cfRule type="expression" dxfId="4154" priority="38">
      <formula>AND(B$9&gt;=14/24,B$9&lt;20/24)</formula>
    </cfRule>
    <cfRule type="expression" dxfId="4153" priority="39">
      <formula>AND(B$9&gt;=8/24,B$9&lt;14/24)</formula>
    </cfRule>
    <cfRule type="expression" dxfId="4152" priority="40">
      <formula>B$9&lt;8/24</formula>
    </cfRule>
  </conditionalFormatting>
  <conditionalFormatting sqref="B37:B56 C37 B11:D11 C53:J55 C45:O50">
    <cfRule type="expression" dxfId="4151" priority="36">
      <formula>B11&gt;$AG11</formula>
    </cfRule>
  </conditionalFormatting>
  <conditionalFormatting sqref="B44">
    <cfRule type="expression" dxfId="4150" priority="32">
      <formula>B$9&gt;=20/24</formula>
    </cfRule>
    <cfRule type="expression" dxfId="4149" priority="33">
      <formula>AND(B$9&gt;=14/24,B$9&lt;20/24)</formula>
    </cfRule>
    <cfRule type="expression" dxfId="4148" priority="34">
      <formula>AND(B$9&gt;=8/24,B$9&lt;14/24)</formula>
    </cfRule>
    <cfRule type="expression" dxfId="4147" priority="35">
      <formula>B$9&lt;8/24</formula>
    </cfRule>
  </conditionalFormatting>
  <conditionalFormatting sqref="B12:Q12">
    <cfRule type="expression" dxfId="4146" priority="28">
      <formula>B$9&gt;=20/24</formula>
    </cfRule>
    <cfRule type="expression" dxfId="4145" priority="29">
      <formula>AND(B$9&gt;=14/24,B$9&lt;20/24)</formula>
    </cfRule>
    <cfRule type="expression" dxfId="4144" priority="30">
      <formula>AND(B$9&gt;=8/24,B$9&lt;14/24)</formula>
    </cfRule>
    <cfRule type="expression" dxfId="4143" priority="31">
      <formula>B$9&lt;8/24</formula>
    </cfRule>
  </conditionalFormatting>
  <conditionalFormatting sqref="B12:Q12">
    <cfRule type="expression" dxfId="4142" priority="24">
      <formula>B$9&gt;=20/24</formula>
    </cfRule>
    <cfRule type="expression" dxfId="4141" priority="25">
      <formula>AND(B$9&gt;=14/24,B$9&lt;20/24)</formula>
    </cfRule>
    <cfRule type="expression" dxfId="4140" priority="26">
      <formula>AND(B$9&gt;=8/24,B$9&lt;14/24)</formula>
    </cfRule>
    <cfRule type="expression" dxfId="4139" priority="27">
      <formula>B$9&lt;8/24</formula>
    </cfRule>
  </conditionalFormatting>
  <conditionalFormatting sqref="B13:Q14 B16:Y32 B36:Y36">
    <cfRule type="expression" dxfId="4138" priority="20">
      <formula>B$9&gt;=20/24</formula>
    </cfRule>
    <cfRule type="expression" dxfId="4137" priority="21">
      <formula>AND(B$9&gt;=14/24,B$9&lt;20/24)</formula>
    </cfRule>
    <cfRule type="expression" dxfId="4136" priority="22">
      <formula>AND(B$9&gt;=8/24,B$9&lt;14/24)</formula>
    </cfRule>
    <cfRule type="expression" dxfId="4135" priority="23">
      <formula>B$9&lt;8/24</formula>
    </cfRule>
  </conditionalFormatting>
  <conditionalFormatting sqref="B35:Y35">
    <cfRule type="expression" dxfId="4134" priority="16">
      <formula>B$9&gt;=20/24</formula>
    </cfRule>
    <cfRule type="expression" dxfId="4133" priority="17">
      <formula>AND(B$9&gt;=14/24,B$9&lt;20/24)</formula>
    </cfRule>
    <cfRule type="expression" dxfId="4132" priority="18">
      <formula>AND(B$9&gt;=8/24,B$9&lt;14/24)</formula>
    </cfRule>
    <cfRule type="expression" dxfId="4131" priority="19">
      <formula>B$9&lt;8/24</formula>
    </cfRule>
  </conditionalFormatting>
  <conditionalFormatting sqref="B13:Q14 B16:Y32 B34:Y36">
    <cfRule type="expression" dxfId="4130" priority="15">
      <formula>B13&gt;$AG13</formula>
    </cfRule>
  </conditionalFormatting>
  <conditionalFormatting sqref="B34:Y34">
    <cfRule type="expression" dxfId="4129" priority="11">
      <formula>B$9&gt;=20/24</formula>
    </cfRule>
    <cfRule type="expression" dxfId="4128" priority="12">
      <formula>AND(B$9&gt;=14/24,B$9&lt;20/24)</formula>
    </cfRule>
    <cfRule type="expression" dxfId="4127" priority="13">
      <formula>AND(B$9&gt;=8/24,B$9&lt;14/24)</formula>
    </cfRule>
    <cfRule type="expression" dxfId="4126" priority="14">
      <formula>B$9&lt;8/24</formula>
    </cfRule>
  </conditionalFormatting>
  <conditionalFormatting sqref="B15:Q15">
    <cfRule type="expression" dxfId="4125" priority="7">
      <formula>B$9&gt;=20/24</formula>
    </cfRule>
    <cfRule type="expression" dxfId="4124" priority="8">
      <formula>AND(B$9&gt;=14/24,B$9&lt;20/24)</formula>
    </cfRule>
    <cfRule type="expression" dxfId="4123" priority="9">
      <formula>AND(B$9&gt;=8/24,B$9&lt;14/24)</formula>
    </cfRule>
    <cfRule type="expression" dxfId="4122" priority="10">
      <formula>B$9&lt;8/24</formula>
    </cfRule>
  </conditionalFormatting>
  <conditionalFormatting sqref="B15:Q15">
    <cfRule type="expression" dxfId="4121" priority="6">
      <formula>B15&gt;$AG15</formula>
    </cfRule>
  </conditionalFormatting>
  <conditionalFormatting sqref="B33:Y33">
    <cfRule type="expression" dxfId="4120" priority="2">
      <formula>B$9&gt;=20/24</formula>
    </cfRule>
    <cfRule type="expression" dxfId="4119" priority="3">
      <formula>AND(B$9&gt;=14/24,B$9&lt;20/24)</formula>
    </cfRule>
    <cfRule type="expression" dxfId="4118" priority="4">
      <formula>AND(B$9&gt;=8/24,B$9&lt;14/24)</formula>
    </cfRule>
    <cfRule type="expression" dxfId="4117" priority="5">
      <formula>B$9&lt;8/24</formula>
    </cfRule>
  </conditionalFormatting>
  <conditionalFormatting sqref="B33:Y33">
    <cfRule type="expression" dxfId="4116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9" id="{1C877DAB-7F37-4BA0-A362-2E5A6791C28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I98" sqref="I9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2078/11/17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429</v>
      </c>
      <c r="C5" s="32">
        <f t="shared" si="0"/>
        <v>415</v>
      </c>
      <c r="D5" s="32">
        <f t="shared" si="0"/>
        <v>408.3</v>
      </c>
      <c r="E5" s="32">
        <f t="shared" si="0"/>
        <v>407</v>
      </c>
      <c r="F5" s="32">
        <f t="shared" si="0"/>
        <v>403</v>
      </c>
      <c r="G5" s="32">
        <f t="shared" si="0"/>
        <v>410</v>
      </c>
      <c r="H5" s="32">
        <f t="shared" si="0"/>
        <v>536.20000000000005</v>
      </c>
      <c r="I5" s="32">
        <f t="shared" si="0"/>
        <v>522.30000000000007</v>
      </c>
      <c r="J5" s="32">
        <f t="shared" si="0"/>
        <v>202.5</v>
      </c>
      <c r="K5" s="32">
        <f t="shared" si="0"/>
        <v>177.2</v>
      </c>
      <c r="L5" s="32">
        <f t="shared" si="0"/>
        <v>176.2</v>
      </c>
      <c r="M5" s="32">
        <f t="shared" si="0"/>
        <v>482.70000000000005</v>
      </c>
      <c r="N5" s="32">
        <f t="shared" si="0"/>
        <v>452.09999999999997</v>
      </c>
      <c r="O5" s="32">
        <f t="shared" si="0"/>
        <v>452.09999999999997</v>
      </c>
      <c r="P5" s="32">
        <f t="shared" si="0"/>
        <v>432.1</v>
      </c>
      <c r="Q5" s="32">
        <f t="shared" si="0"/>
        <v>438.20000000000005</v>
      </c>
      <c r="R5" s="32">
        <f t="shared" si="0"/>
        <v>525.70000000000005</v>
      </c>
      <c r="S5" s="32">
        <f t="shared" si="0"/>
        <v>505.20000000000005</v>
      </c>
      <c r="T5" s="32">
        <f t="shared" si="0"/>
        <v>514.6</v>
      </c>
      <c r="U5" s="32">
        <f t="shared" si="0"/>
        <v>515.69999999999993</v>
      </c>
      <c r="V5" s="32">
        <f t="shared" si="0"/>
        <v>468.79999999999995</v>
      </c>
      <c r="W5" s="32">
        <f t="shared" si="0"/>
        <v>535.70000000000005</v>
      </c>
      <c r="X5" s="32">
        <f t="shared" si="0"/>
        <v>466.9</v>
      </c>
      <c r="Y5" s="32">
        <f t="shared" si="0"/>
        <v>339.4</v>
      </c>
      <c r="Z5" s="32">
        <f t="shared" si="0"/>
        <v>409</v>
      </c>
      <c r="AA5" s="32">
        <f t="shared" si="0"/>
        <v>231.6</v>
      </c>
      <c r="AB5" s="32">
        <f t="shared" si="0"/>
        <v>250.3</v>
      </c>
      <c r="AC5" s="32">
        <f t="shared" si="0"/>
        <v>437.9</v>
      </c>
      <c r="AD5" s="32">
        <f t="shared" si="0"/>
        <v>410.5</v>
      </c>
      <c r="AE5" s="32">
        <f t="shared" si="0"/>
        <v>431</v>
      </c>
      <c r="AF5" s="32">
        <f>B68</f>
        <v>441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1372MW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Load=897</v>
      </c>
      <c r="B7" s="37">
        <f>B75</f>
        <v>931.54000000000008</v>
      </c>
      <c r="C7" s="37">
        <f t="shared" ref="C7:AF7" si="1">C75</f>
        <v>896.54000000000008</v>
      </c>
      <c r="D7" s="37">
        <f t="shared" si="1"/>
        <v>897.34</v>
      </c>
      <c r="E7" s="37">
        <f t="shared" si="1"/>
        <v>903.6400000000001</v>
      </c>
      <c r="F7" s="37">
        <f t="shared" si="1"/>
        <v>913.04000000000008</v>
      </c>
      <c r="G7" s="37">
        <f t="shared" si="1"/>
        <v>957.24</v>
      </c>
      <c r="H7" s="37">
        <f t="shared" si="1"/>
        <v>1048.94</v>
      </c>
      <c r="I7" s="37">
        <f t="shared" si="1"/>
        <v>1138.44</v>
      </c>
      <c r="J7" s="37">
        <f t="shared" si="1"/>
        <v>1247.04</v>
      </c>
      <c r="K7" s="37">
        <f t="shared" si="1"/>
        <v>1335.84</v>
      </c>
      <c r="L7" s="37">
        <f t="shared" si="1"/>
        <v>1372.04</v>
      </c>
      <c r="M7" s="37">
        <f t="shared" si="1"/>
        <v>1371.3400000000001</v>
      </c>
      <c r="N7" s="37">
        <f t="shared" si="1"/>
        <v>1323.64</v>
      </c>
      <c r="O7" s="37">
        <f t="shared" si="1"/>
        <v>1128.04</v>
      </c>
      <c r="P7" s="37">
        <f t="shared" si="1"/>
        <v>1087.6399999999999</v>
      </c>
      <c r="Q7" s="37">
        <f t="shared" si="1"/>
        <v>1026.54</v>
      </c>
      <c r="R7" s="37">
        <f t="shared" si="1"/>
        <v>1011.94</v>
      </c>
      <c r="S7" s="37">
        <f t="shared" si="1"/>
        <v>1069.6400000000001</v>
      </c>
      <c r="T7" s="37">
        <f t="shared" si="1"/>
        <v>1050.2400000000002</v>
      </c>
      <c r="U7" s="37">
        <f t="shared" si="1"/>
        <v>1047.94</v>
      </c>
      <c r="V7" s="37">
        <f t="shared" si="1"/>
        <v>1076.1399999999999</v>
      </c>
      <c r="W7" s="37">
        <f t="shared" si="1"/>
        <v>1039.54</v>
      </c>
      <c r="X7" s="37">
        <f t="shared" si="1"/>
        <v>1122.74</v>
      </c>
      <c r="Y7" s="37">
        <f t="shared" si="1"/>
        <v>1294.94</v>
      </c>
      <c r="Z7" s="37">
        <f t="shared" si="1"/>
        <v>1404.4399999999998</v>
      </c>
      <c r="AA7" s="37">
        <f t="shared" si="1"/>
        <v>1291.8399999999999</v>
      </c>
      <c r="AB7" s="37">
        <f t="shared" si="1"/>
        <v>1205.04</v>
      </c>
      <c r="AC7" s="37">
        <f t="shared" si="1"/>
        <v>1176.7400000000002</v>
      </c>
      <c r="AD7" s="37">
        <f t="shared" si="1"/>
        <v>1127.74</v>
      </c>
      <c r="AE7" s="37">
        <f t="shared" si="1"/>
        <v>1005.64</v>
      </c>
      <c r="AF7" s="37">
        <f t="shared" si="1"/>
        <v>934.83999999999992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13</v>
      </c>
      <c r="C11" s="49">
        <v>13</v>
      </c>
      <c r="D11" s="49">
        <v>30</v>
      </c>
      <c r="E11" s="49">
        <v>42</v>
      </c>
      <c r="F11" s="49">
        <v>30</v>
      </c>
      <c r="G11" s="49">
        <v>25</v>
      </c>
      <c r="H11" s="49">
        <v>60</v>
      </c>
      <c r="I11" s="49">
        <v>15</v>
      </c>
      <c r="J11" s="49">
        <v>65</v>
      </c>
      <c r="K11" s="49">
        <v>380</v>
      </c>
      <c r="L11" s="49">
        <v>420</v>
      </c>
      <c r="M11" s="50">
        <v>400</v>
      </c>
      <c r="N11" s="50">
        <v>100</v>
      </c>
      <c r="O11" s="50">
        <v>40</v>
      </c>
      <c r="P11" s="50">
        <v>30</v>
      </c>
      <c r="Q11" s="50">
        <v>30</v>
      </c>
      <c r="R11" s="50">
        <v>42</v>
      </c>
      <c r="S11" s="50">
        <v>42</v>
      </c>
      <c r="T11" s="50">
        <v>20.6</v>
      </c>
      <c r="U11" s="50">
        <v>10</v>
      </c>
      <c r="V11" s="50">
        <v>30</v>
      </c>
      <c r="W11" s="50">
        <v>20</v>
      </c>
      <c r="X11" s="50">
        <v>12</v>
      </c>
      <c r="Y11" s="50">
        <v>76</v>
      </c>
      <c r="Z11" s="52">
        <v>304</v>
      </c>
      <c r="AA11" s="50">
        <v>150</v>
      </c>
      <c r="AB11" s="50">
        <v>250</v>
      </c>
      <c r="AC11" s="50">
        <v>240</v>
      </c>
      <c r="AD11" s="50">
        <v>40</v>
      </c>
      <c r="AE11" s="50">
        <v>12</v>
      </c>
      <c r="AF11" s="50">
        <v>12</v>
      </c>
      <c r="AG11" s="53">
        <v>456</v>
      </c>
      <c r="AH11" s="54">
        <f>MAX(B11:AF11)</f>
        <v>420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29</v>
      </c>
      <c r="C12" s="49">
        <v>29</v>
      </c>
      <c r="D12" s="49">
        <v>29</v>
      </c>
      <c r="E12" s="49">
        <v>29</v>
      </c>
      <c r="F12" s="49">
        <v>29</v>
      </c>
      <c r="G12" s="49">
        <v>29</v>
      </c>
      <c r="H12" s="49">
        <v>29</v>
      </c>
      <c r="I12" s="49">
        <v>29</v>
      </c>
      <c r="J12" s="49">
        <v>29</v>
      </c>
      <c r="K12" s="49">
        <v>29</v>
      </c>
      <c r="L12" s="49">
        <v>29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30</v>
      </c>
      <c r="AC12" s="50">
        <v>30</v>
      </c>
      <c r="AD12" s="50">
        <v>30</v>
      </c>
      <c r="AE12" s="50">
        <v>30</v>
      </c>
      <c r="AF12" s="50">
        <v>30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29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16.8</v>
      </c>
      <c r="C13" s="49">
        <v>16.8</v>
      </c>
      <c r="D13" s="49">
        <v>16.8</v>
      </c>
      <c r="E13" s="49">
        <v>16.8</v>
      </c>
      <c r="F13" s="49">
        <v>16.8</v>
      </c>
      <c r="G13" s="49">
        <v>17.7</v>
      </c>
      <c r="H13" s="49">
        <v>17.7</v>
      </c>
      <c r="I13" s="49">
        <v>17.7</v>
      </c>
      <c r="J13" s="49">
        <v>17.7</v>
      </c>
      <c r="K13" s="49">
        <v>17.7</v>
      </c>
      <c r="L13" s="49">
        <v>17.7</v>
      </c>
      <c r="M13" s="49">
        <v>17.100000000000001</v>
      </c>
      <c r="N13" s="49">
        <v>17.100000000000001</v>
      </c>
      <c r="O13" s="49">
        <v>17.100000000000001</v>
      </c>
      <c r="P13" s="49">
        <v>17.100000000000001</v>
      </c>
      <c r="Q13" s="49">
        <v>17.100000000000001</v>
      </c>
      <c r="R13" s="49">
        <v>17.100000000000001</v>
      </c>
      <c r="S13" s="60">
        <v>17.100000000000001</v>
      </c>
      <c r="T13" s="60">
        <v>17.100000000000001</v>
      </c>
      <c r="U13" s="60">
        <v>17.100000000000001</v>
      </c>
      <c r="V13" s="60">
        <v>17.100000000000001</v>
      </c>
      <c r="W13" s="60">
        <v>17.100000000000001</v>
      </c>
      <c r="X13" s="60">
        <v>17.100000000000001</v>
      </c>
      <c r="Y13" s="60">
        <v>17.100000000000001</v>
      </c>
      <c r="Z13" s="50">
        <v>17.100000000000001</v>
      </c>
      <c r="AA13" s="50">
        <v>17.100000000000001</v>
      </c>
      <c r="AB13" s="50">
        <v>16.100000000000001</v>
      </c>
      <c r="AC13" s="50">
        <v>16.100000000000001</v>
      </c>
      <c r="AD13" s="50">
        <v>16.100000000000001</v>
      </c>
      <c r="AE13" s="50">
        <v>16.100000000000001</v>
      </c>
      <c r="AF13" s="50">
        <v>16.2</v>
      </c>
      <c r="AG13" s="59">
        <v>52.4</v>
      </c>
      <c r="AH13" s="54">
        <f t="shared" si="2"/>
        <v>17.7</v>
      </c>
      <c r="AI13" s="55">
        <f t="shared" si="3"/>
        <v>16.100000000000001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32.5</v>
      </c>
      <c r="C14" s="49">
        <v>32.5</v>
      </c>
      <c r="D14" s="49">
        <v>32.5</v>
      </c>
      <c r="E14" s="49">
        <v>32.5</v>
      </c>
      <c r="F14" s="49">
        <v>32.5</v>
      </c>
      <c r="G14" s="49">
        <v>32.5</v>
      </c>
      <c r="H14" s="49">
        <v>32.5</v>
      </c>
      <c r="I14" s="49">
        <v>32.5</v>
      </c>
      <c r="J14" s="49">
        <v>32.5</v>
      </c>
      <c r="K14" s="49">
        <v>32.5</v>
      </c>
      <c r="L14" s="49">
        <v>32.5</v>
      </c>
      <c r="M14" s="49">
        <v>32.5</v>
      </c>
      <c r="N14" s="49">
        <v>34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9">
        <v>50</v>
      </c>
      <c r="AH14" s="54">
        <f t="shared" si="2"/>
        <v>34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18.3</v>
      </c>
      <c r="C15" s="61">
        <v>18.3</v>
      </c>
      <c r="D15" s="61">
        <v>18.3</v>
      </c>
      <c r="E15" s="61">
        <v>18.3</v>
      </c>
      <c r="F15" s="61">
        <v>18.3</v>
      </c>
      <c r="G15" s="61">
        <v>18.3</v>
      </c>
      <c r="H15" s="61">
        <v>18.3</v>
      </c>
      <c r="I15" s="61">
        <v>18.3</v>
      </c>
      <c r="J15" s="61">
        <v>18.3</v>
      </c>
      <c r="K15" s="61">
        <v>18.3</v>
      </c>
      <c r="L15" s="61">
        <v>18.3</v>
      </c>
      <c r="M15" s="61">
        <v>18.3</v>
      </c>
      <c r="N15" s="61">
        <v>18.399999999999999</v>
      </c>
      <c r="O15" s="61">
        <v>18.399999999999999</v>
      </c>
      <c r="P15" s="61">
        <v>18.399999999999999</v>
      </c>
      <c r="Q15" s="61">
        <v>18.399999999999999</v>
      </c>
      <c r="R15" s="61">
        <v>18.399999999999999</v>
      </c>
      <c r="S15" s="63">
        <v>18.399999999999999</v>
      </c>
      <c r="T15" s="63">
        <v>18.399999999999999</v>
      </c>
      <c r="U15" s="63">
        <v>18.399999999999999</v>
      </c>
      <c r="V15" s="63">
        <v>18.399999999999999</v>
      </c>
      <c r="W15" s="63">
        <v>18.399999999999999</v>
      </c>
      <c r="X15" s="63">
        <v>18.399999999999999</v>
      </c>
      <c r="Y15" s="63">
        <v>18.399999999999999</v>
      </c>
      <c r="Z15" s="50">
        <v>18.399999999999999</v>
      </c>
      <c r="AA15" s="50">
        <v>18.399999999999999</v>
      </c>
      <c r="AB15" s="50">
        <v>18.399999999999999</v>
      </c>
      <c r="AC15" s="50">
        <v>18.399999999999999</v>
      </c>
      <c r="AD15" s="50">
        <v>20.8</v>
      </c>
      <c r="AE15" s="50">
        <v>20.8</v>
      </c>
      <c r="AF15" s="50">
        <v>20.100000000000001</v>
      </c>
      <c r="AG15" s="62">
        <v>45</v>
      </c>
      <c r="AH15" s="54">
        <f t="shared" si="2"/>
        <v>20.8</v>
      </c>
      <c r="AI15" s="55">
        <f t="shared" si="3"/>
        <v>18.3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49">
        <v>8.5</v>
      </c>
      <c r="N16" s="49">
        <v>8.5</v>
      </c>
      <c r="O16" s="49">
        <v>8.5</v>
      </c>
      <c r="P16" s="49">
        <v>8.5</v>
      </c>
      <c r="Q16" s="49">
        <v>0</v>
      </c>
      <c r="R16" s="49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0">
        <v>0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49">
        <v>6.5</v>
      </c>
      <c r="N17" s="49">
        <v>6.5</v>
      </c>
      <c r="O17" s="49">
        <v>6.5</v>
      </c>
      <c r="P17" s="49">
        <v>6.5</v>
      </c>
      <c r="Q17" s="49">
        <v>6.5</v>
      </c>
      <c r="R17" s="49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49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8.4</v>
      </c>
      <c r="C19" s="49">
        <v>8.4</v>
      </c>
      <c r="D19" s="49">
        <v>8.4</v>
      </c>
      <c r="E19" s="49">
        <v>8.4</v>
      </c>
      <c r="F19" s="49">
        <v>8.4</v>
      </c>
      <c r="G19" s="49">
        <v>8.4</v>
      </c>
      <c r="H19" s="49">
        <v>8.4</v>
      </c>
      <c r="I19" s="49">
        <v>8.4</v>
      </c>
      <c r="J19" s="49">
        <v>8.4</v>
      </c>
      <c r="K19" s="49">
        <v>8.4</v>
      </c>
      <c r="L19" s="49">
        <v>8.4</v>
      </c>
      <c r="M19" s="49">
        <v>8.4</v>
      </c>
      <c r="N19" s="49">
        <v>8.4</v>
      </c>
      <c r="O19" s="49">
        <v>8.4</v>
      </c>
      <c r="P19" s="49">
        <v>8.4</v>
      </c>
      <c r="Q19" s="49">
        <v>8.4</v>
      </c>
      <c r="R19" s="49">
        <v>8.4</v>
      </c>
      <c r="S19" s="50">
        <v>8.4</v>
      </c>
      <c r="T19" s="50">
        <v>8.4</v>
      </c>
      <c r="U19" s="50">
        <v>8.4</v>
      </c>
      <c r="V19" s="50">
        <v>8.4</v>
      </c>
      <c r="W19" s="50">
        <v>8.4</v>
      </c>
      <c r="X19" s="50">
        <v>8.4</v>
      </c>
      <c r="Y19" s="50">
        <v>8.4</v>
      </c>
      <c r="Z19" s="50">
        <v>8.4</v>
      </c>
      <c r="AA19" s="50">
        <v>8.4</v>
      </c>
      <c r="AB19" s="50">
        <v>10</v>
      </c>
      <c r="AC19" s="50">
        <v>10</v>
      </c>
      <c r="AD19" s="50">
        <v>10</v>
      </c>
      <c r="AE19" s="50">
        <v>9.8000000000000007</v>
      </c>
      <c r="AF19" s="50">
        <v>11.2</v>
      </c>
      <c r="AG19" s="59">
        <v>30</v>
      </c>
      <c r="AH19" s="54">
        <f t="shared" si="2"/>
        <v>11.2</v>
      </c>
      <c r="AI19" s="55">
        <f t="shared" si="3"/>
        <v>8.4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49">
        <v>10</v>
      </c>
      <c r="N20" s="49">
        <v>10</v>
      </c>
      <c r="O20" s="49">
        <v>10</v>
      </c>
      <c r="P20" s="49">
        <v>10</v>
      </c>
      <c r="Q20" s="49">
        <v>10</v>
      </c>
      <c r="R20" s="49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49">
        <v>4</v>
      </c>
      <c r="N21" s="49">
        <v>4</v>
      </c>
      <c r="O21" s="49">
        <v>4</v>
      </c>
      <c r="P21" s="49">
        <v>4</v>
      </c>
      <c r="Q21" s="49">
        <v>4</v>
      </c>
      <c r="R21" s="49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9.4</v>
      </c>
      <c r="C22" s="49">
        <v>9.4</v>
      </c>
      <c r="D22" s="49">
        <v>9.4</v>
      </c>
      <c r="E22" s="49">
        <v>9.4</v>
      </c>
      <c r="F22" s="49">
        <v>9.4</v>
      </c>
      <c r="G22" s="49">
        <v>9.4</v>
      </c>
      <c r="H22" s="49">
        <v>9.4</v>
      </c>
      <c r="I22" s="49">
        <v>9.4</v>
      </c>
      <c r="J22" s="49">
        <v>9.4</v>
      </c>
      <c r="K22" s="49">
        <v>9.4</v>
      </c>
      <c r="L22" s="49">
        <v>9.4</v>
      </c>
      <c r="M22" s="49">
        <v>9.4</v>
      </c>
      <c r="N22" s="49">
        <v>9.4</v>
      </c>
      <c r="O22" s="49">
        <v>9.4</v>
      </c>
      <c r="P22" s="49">
        <v>9.4</v>
      </c>
      <c r="Q22" s="49">
        <v>9.4</v>
      </c>
      <c r="R22" s="49">
        <v>9.4</v>
      </c>
      <c r="S22" s="50">
        <v>9.4</v>
      </c>
      <c r="T22" s="50">
        <v>9.4</v>
      </c>
      <c r="U22" s="50">
        <v>9.4</v>
      </c>
      <c r="V22" s="50">
        <v>9.4</v>
      </c>
      <c r="W22" s="50">
        <v>9.4</v>
      </c>
      <c r="X22" s="50">
        <v>9.4</v>
      </c>
      <c r="Y22" s="50">
        <v>9.4</v>
      </c>
      <c r="Z22" s="50">
        <v>17</v>
      </c>
      <c r="AA22" s="50">
        <v>17</v>
      </c>
      <c r="AB22" s="50">
        <v>10</v>
      </c>
      <c r="AC22" s="50">
        <v>10</v>
      </c>
      <c r="AD22" s="50">
        <v>11.2</v>
      </c>
      <c r="AE22" s="50">
        <v>11.1</v>
      </c>
      <c r="AF22" s="50">
        <v>11.1</v>
      </c>
      <c r="AG22" s="59">
        <v>25</v>
      </c>
      <c r="AH22" s="54">
        <f t="shared" si="2"/>
        <v>17</v>
      </c>
      <c r="AI22" s="55">
        <f t="shared" si="3"/>
        <v>9.4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49">
        <v>4.8</v>
      </c>
      <c r="N23" s="49">
        <v>4.8</v>
      </c>
      <c r="O23" s="49">
        <v>4.8</v>
      </c>
      <c r="P23" s="49">
        <v>4.8</v>
      </c>
      <c r="Q23" s="49">
        <v>4.8</v>
      </c>
      <c r="R23" s="49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7</v>
      </c>
      <c r="C24" s="49">
        <v>7</v>
      </c>
      <c r="D24" s="49">
        <v>7</v>
      </c>
      <c r="E24" s="49">
        <v>8</v>
      </c>
      <c r="F24" s="49">
        <v>8</v>
      </c>
      <c r="G24" s="49">
        <v>8</v>
      </c>
      <c r="H24" s="49">
        <v>8</v>
      </c>
      <c r="I24" s="49">
        <v>8</v>
      </c>
      <c r="J24" s="49">
        <v>8</v>
      </c>
      <c r="K24" s="49">
        <v>8</v>
      </c>
      <c r="L24" s="49">
        <v>8</v>
      </c>
      <c r="M24" s="49">
        <v>8</v>
      </c>
      <c r="N24" s="49">
        <v>8</v>
      </c>
      <c r="O24" s="49">
        <v>8</v>
      </c>
      <c r="P24" s="49">
        <v>8</v>
      </c>
      <c r="Q24" s="49">
        <v>8</v>
      </c>
      <c r="R24" s="49">
        <v>8</v>
      </c>
      <c r="S24" s="50">
        <v>8</v>
      </c>
      <c r="T24" s="50">
        <v>8</v>
      </c>
      <c r="U24" s="50">
        <v>8</v>
      </c>
      <c r="V24" s="50">
        <v>8</v>
      </c>
      <c r="W24" s="50">
        <v>8</v>
      </c>
      <c r="X24" s="50">
        <v>8</v>
      </c>
      <c r="Y24" s="50">
        <v>8</v>
      </c>
      <c r="Z24" s="50">
        <v>8</v>
      </c>
      <c r="AA24" s="50">
        <v>8</v>
      </c>
      <c r="AB24" s="50">
        <v>11.2</v>
      </c>
      <c r="AC24" s="50">
        <v>11.2</v>
      </c>
      <c r="AD24" s="50">
        <v>11.2</v>
      </c>
      <c r="AE24" s="50">
        <v>12</v>
      </c>
      <c r="AF24" s="50">
        <v>12</v>
      </c>
      <c r="AG24" s="59">
        <v>25</v>
      </c>
      <c r="AH24" s="54">
        <f t="shared" si="2"/>
        <v>12</v>
      </c>
      <c r="AI24" s="55">
        <f t="shared" si="3"/>
        <v>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49">
        <v>5.5</v>
      </c>
      <c r="N25" s="49">
        <v>5.5</v>
      </c>
      <c r="O25" s="49">
        <v>5.5</v>
      </c>
      <c r="P25" s="49">
        <v>5.5</v>
      </c>
      <c r="Q25" s="49">
        <v>5.5</v>
      </c>
      <c r="R25" s="49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49">
        <v>6.2</v>
      </c>
      <c r="N26" s="49">
        <v>6.2</v>
      </c>
      <c r="O26" s="49">
        <v>6.2</v>
      </c>
      <c r="P26" s="49">
        <v>6.2</v>
      </c>
      <c r="Q26" s="49">
        <v>6.2</v>
      </c>
      <c r="R26" s="49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49">
        <v>2.5</v>
      </c>
      <c r="N27" s="49">
        <v>2.5</v>
      </c>
      <c r="O27" s="49">
        <v>2.5</v>
      </c>
      <c r="P27" s="49">
        <v>2.5</v>
      </c>
      <c r="Q27" s="49">
        <v>2.5</v>
      </c>
      <c r="R27" s="49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49">
        <v>3</v>
      </c>
      <c r="N29" s="49">
        <v>3</v>
      </c>
      <c r="O29" s="49">
        <v>3</v>
      </c>
      <c r="P29" s="49">
        <v>3</v>
      </c>
      <c r="Q29" s="49">
        <v>3</v>
      </c>
      <c r="R29" s="49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49">
        <v>10</v>
      </c>
      <c r="N30" s="49">
        <v>10</v>
      </c>
      <c r="O30" s="49">
        <v>10</v>
      </c>
      <c r="P30" s="49">
        <v>10</v>
      </c>
      <c r="Q30" s="49">
        <v>10</v>
      </c>
      <c r="R30" s="49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61">
        <v>6</v>
      </c>
      <c r="O31" s="61">
        <v>6</v>
      </c>
      <c r="P31" s="61">
        <v>6</v>
      </c>
      <c r="Q31" s="61">
        <v>6</v>
      </c>
      <c r="R31" s="61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61">
        <v>5</v>
      </c>
      <c r="N32" s="61">
        <v>5</v>
      </c>
      <c r="O32" s="61">
        <v>5</v>
      </c>
      <c r="P32" s="61">
        <v>5</v>
      </c>
      <c r="Q32" s="61">
        <v>5</v>
      </c>
      <c r="R32" s="61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61">
        <v>4.2</v>
      </c>
      <c r="N34" s="61">
        <v>4.2</v>
      </c>
      <c r="O34" s="61">
        <v>4.2</v>
      </c>
      <c r="P34" s="61">
        <v>4.2</v>
      </c>
      <c r="Q34" s="61">
        <v>4.2</v>
      </c>
      <c r="R34" s="61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0</v>
      </c>
      <c r="Y35" s="61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70">
        <v>160</v>
      </c>
      <c r="T36" s="70">
        <v>160</v>
      </c>
      <c r="U36" s="70">
        <v>160</v>
      </c>
      <c r="V36" s="70">
        <v>160</v>
      </c>
      <c r="W36" s="70">
        <v>160</v>
      </c>
      <c r="X36" s="70">
        <v>160</v>
      </c>
      <c r="Y36" s="70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37</v>
      </c>
      <c r="C37" s="61">
        <v>37</v>
      </c>
      <c r="D37" s="61">
        <v>37</v>
      </c>
      <c r="E37" s="61">
        <v>38</v>
      </c>
      <c r="F37" s="61">
        <v>38</v>
      </c>
      <c r="G37" s="61">
        <v>38</v>
      </c>
      <c r="H37" s="61">
        <v>37.200000000000003</v>
      </c>
      <c r="I37" s="61">
        <v>37.200000000000003</v>
      </c>
      <c r="J37" s="61">
        <v>37.200000000000003</v>
      </c>
      <c r="K37" s="61">
        <v>36.700000000000003</v>
      </c>
      <c r="L37" s="61">
        <v>35</v>
      </c>
      <c r="M37" s="61">
        <f>33.9+0</f>
        <v>33.9</v>
      </c>
      <c r="N37" s="61">
        <f>33.9+0</f>
        <v>33.9</v>
      </c>
      <c r="O37" s="61">
        <f>33.9+0</f>
        <v>33.9</v>
      </c>
      <c r="P37" s="61">
        <f>36.6</f>
        <v>36.6</v>
      </c>
      <c r="Q37" s="61">
        <f>36.6</f>
        <v>36.6</v>
      </c>
      <c r="R37" s="61">
        <f>36.6</f>
        <v>36.6</v>
      </c>
      <c r="S37" s="70">
        <f>34.8+0</f>
        <v>34.799999999999997</v>
      </c>
      <c r="T37" s="70">
        <v>36.200000000000003</v>
      </c>
      <c r="U37" s="70">
        <v>35.5</v>
      </c>
      <c r="V37" s="70">
        <v>35.1</v>
      </c>
      <c r="W37" s="70">
        <v>33.700000000000003</v>
      </c>
      <c r="X37" s="70">
        <f>32.8+0</f>
        <v>32.799999999999997</v>
      </c>
      <c r="Y37" s="70">
        <v>31.7</v>
      </c>
      <c r="Z37" s="70">
        <v>32.200000000000003</v>
      </c>
      <c r="AA37" s="70">
        <v>30.6</v>
      </c>
      <c r="AB37" s="70">
        <f>10.5+20.7</f>
        <v>31.2</v>
      </c>
      <c r="AC37" s="70">
        <f>10.5+20.9</f>
        <v>31.4</v>
      </c>
      <c r="AD37" s="70">
        <v>31.3</v>
      </c>
      <c r="AE37" s="70">
        <v>33.700000000000003</v>
      </c>
      <c r="AF37" s="70">
        <v>34.299999999999997</v>
      </c>
      <c r="AG37" s="67">
        <v>240</v>
      </c>
      <c r="AH37" s="54">
        <f t="shared" si="2"/>
        <v>38</v>
      </c>
      <c r="AI37" s="55">
        <f t="shared" si="3"/>
        <v>30.6</v>
      </c>
      <c r="AK37" s="56"/>
    </row>
    <row r="38" spans="1:88" ht="15.75" thickBot="1" x14ac:dyDescent="0.3">
      <c r="A38" s="71" t="s">
        <v>46</v>
      </c>
      <c r="B38" s="72">
        <f>SUM(B11:B36)</f>
        <v>378.6</v>
      </c>
      <c r="C38" s="72">
        <f t="shared" ref="C38:AF38" si="4">SUM(C11:C36)</f>
        <v>378.6</v>
      </c>
      <c r="D38" s="72">
        <f t="shared" si="4"/>
        <v>395.6</v>
      </c>
      <c r="E38" s="72">
        <f t="shared" si="4"/>
        <v>408.6</v>
      </c>
      <c r="F38" s="72">
        <f t="shared" si="4"/>
        <v>396.6</v>
      </c>
      <c r="G38" s="72">
        <f t="shared" si="4"/>
        <v>392.5</v>
      </c>
      <c r="H38" s="72">
        <f t="shared" si="4"/>
        <v>427.5</v>
      </c>
      <c r="I38" s="72">
        <f t="shared" si="4"/>
        <v>382.5</v>
      </c>
      <c r="J38" s="72">
        <f t="shared" si="4"/>
        <v>432.5</v>
      </c>
      <c r="K38" s="72">
        <f t="shared" si="4"/>
        <v>747.5</v>
      </c>
      <c r="L38" s="72">
        <f t="shared" si="4"/>
        <v>787.5</v>
      </c>
      <c r="M38" s="72">
        <f t="shared" si="4"/>
        <v>768.90000000000009</v>
      </c>
      <c r="N38" s="72">
        <f t="shared" si="4"/>
        <v>470.5</v>
      </c>
      <c r="O38" s="72">
        <f t="shared" si="4"/>
        <v>376.5</v>
      </c>
      <c r="P38" s="72">
        <f t="shared" si="4"/>
        <v>366.5</v>
      </c>
      <c r="Q38" s="72">
        <f t="shared" si="4"/>
        <v>358</v>
      </c>
      <c r="R38" s="72">
        <f t="shared" si="4"/>
        <v>370</v>
      </c>
      <c r="S38" s="72">
        <f t="shared" si="4"/>
        <v>370</v>
      </c>
      <c r="T38" s="72">
        <f t="shared" si="4"/>
        <v>348.6</v>
      </c>
      <c r="U38" s="72">
        <f t="shared" si="4"/>
        <v>338</v>
      </c>
      <c r="V38" s="72">
        <f t="shared" si="4"/>
        <v>358</v>
      </c>
      <c r="W38" s="72">
        <f t="shared" si="4"/>
        <v>348</v>
      </c>
      <c r="X38" s="72">
        <f>SUM(X11:X36)</f>
        <v>340</v>
      </c>
      <c r="Y38" s="72">
        <f t="shared" si="4"/>
        <v>404</v>
      </c>
      <c r="Z38" s="72">
        <f t="shared" si="4"/>
        <v>648.09999999999991</v>
      </c>
      <c r="AA38" s="72">
        <f t="shared" si="4"/>
        <v>494.09999999999997</v>
      </c>
      <c r="AB38" s="72">
        <f t="shared" si="4"/>
        <v>589.9</v>
      </c>
      <c r="AC38" s="72">
        <f t="shared" si="4"/>
        <v>579.9</v>
      </c>
      <c r="AD38" s="72">
        <f t="shared" si="4"/>
        <v>383.49999999999994</v>
      </c>
      <c r="AE38" s="72">
        <f t="shared" si="4"/>
        <v>356</v>
      </c>
      <c r="AF38" s="72">
        <f t="shared" si="4"/>
        <v>356.8</v>
      </c>
      <c r="AG38" s="67">
        <f>SUM(AG11:AG37)</f>
        <v>1492.8299999999997</v>
      </c>
      <c r="AH38" s="54">
        <f t="shared" si="2"/>
        <v>787.5</v>
      </c>
      <c r="AI38" s="55">
        <f t="shared" si="3"/>
        <v>338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36</v>
      </c>
      <c r="H39" s="61">
        <v>67.5</v>
      </c>
      <c r="I39" s="61">
        <v>65.8</v>
      </c>
      <c r="J39" s="61">
        <v>112.9</v>
      </c>
      <c r="K39" s="61">
        <v>145.5</v>
      </c>
      <c r="L39" s="61">
        <v>145.80000000000001</v>
      </c>
      <c r="M39" s="61">
        <v>145.80000000000001</v>
      </c>
      <c r="N39" s="61">
        <v>135.5</v>
      </c>
      <c r="O39" s="61">
        <v>126.4</v>
      </c>
      <c r="P39" s="61">
        <v>96</v>
      </c>
      <c r="Q39" s="61">
        <v>93.3</v>
      </c>
      <c r="R39" s="61">
        <v>60.6</v>
      </c>
      <c r="S39" s="50">
        <v>61.7</v>
      </c>
      <c r="T39" s="50">
        <v>61.7</v>
      </c>
      <c r="U39" s="50">
        <v>60.9</v>
      </c>
      <c r="V39" s="50">
        <v>61.8</v>
      </c>
      <c r="W39" s="50">
        <v>68.900000000000006</v>
      </c>
      <c r="X39" s="50">
        <v>91.8</v>
      </c>
      <c r="Y39" s="50">
        <v>144</v>
      </c>
      <c r="Z39" s="50">
        <v>144</v>
      </c>
      <c r="AA39" s="50">
        <v>144</v>
      </c>
      <c r="AB39" s="50">
        <v>144.1</v>
      </c>
      <c r="AC39" s="50">
        <v>111.2</v>
      </c>
      <c r="AD39" s="50">
        <v>90</v>
      </c>
      <c r="AE39" s="50">
        <v>35.9</v>
      </c>
      <c r="AF39" s="49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24</v>
      </c>
      <c r="J40" s="61">
        <v>43.8</v>
      </c>
      <c r="K40" s="61">
        <v>70</v>
      </c>
      <c r="L40" s="61">
        <v>69.400000000000006</v>
      </c>
      <c r="M40" s="61">
        <v>69.599999999999994</v>
      </c>
      <c r="N40" s="61">
        <v>69.2</v>
      </c>
      <c r="O40" s="61">
        <v>60</v>
      </c>
      <c r="P40" s="61">
        <v>60</v>
      </c>
      <c r="Q40" s="61">
        <v>30</v>
      </c>
      <c r="R40" s="61">
        <v>30</v>
      </c>
      <c r="S40" s="73">
        <v>0</v>
      </c>
      <c r="T40" s="73">
        <v>22.4</v>
      </c>
      <c r="U40" s="73">
        <v>22.3</v>
      </c>
      <c r="V40" s="73">
        <v>22.8</v>
      </c>
      <c r="W40" s="73">
        <v>44.1</v>
      </c>
      <c r="X40" s="73">
        <v>45.3</v>
      </c>
      <c r="Y40" s="73">
        <v>70</v>
      </c>
      <c r="Z40" s="73">
        <v>70</v>
      </c>
      <c r="AA40" s="73">
        <v>70</v>
      </c>
      <c r="AB40" s="73">
        <v>68.8</v>
      </c>
      <c r="AC40" s="73">
        <v>69.400000000000006</v>
      </c>
      <c r="AD40" s="73">
        <v>51.4</v>
      </c>
      <c r="AE40" s="73">
        <v>45</v>
      </c>
      <c r="AF40" s="61">
        <v>22.8</v>
      </c>
      <c r="AG40" s="67">
        <v>70</v>
      </c>
      <c r="AH40" s="54">
        <f t="shared" si="2"/>
        <v>70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23</v>
      </c>
      <c r="C41" s="61">
        <v>0</v>
      </c>
      <c r="D41" s="61">
        <v>0</v>
      </c>
      <c r="E41" s="61">
        <v>0</v>
      </c>
      <c r="F41" s="61">
        <v>16</v>
      </c>
      <c r="G41" s="61">
        <v>32</v>
      </c>
      <c r="H41" s="61">
        <v>47</v>
      </c>
      <c r="I41" s="61">
        <v>33</v>
      </c>
      <c r="J41" s="61">
        <v>33.6</v>
      </c>
      <c r="K41" s="61">
        <v>68.400000000000006</v>
      </c>
      <c r="L41" s="61">
        <v>68</v>
      </c>
      <c r="M41" s="61">
        <v>68</v>
      </c>
      <c r="N41" s="61">
        <v>61.7</v>
      </c>
      <c r="O41" s="61">
        <v>46.2</v>
      </c>
      <c r="P41" s="61">
        <v>46.2</v>
      </c>
      <c r="Q41" s="61">
        <v>46.3</v>
      </c>
      <c r="R41" s="61">
        <v>46.3</v>
      </c>
      <c r="S41" s="73">
        <v>16.7</v>
      </c>
      <c r="T41" s="73">
        <v>17.8</v>
      </c>
      <c r="U41" s="73">
        <v>18</v>
      </c>
      <c r="V41" s="73">
        <v>23.6</v>
      </c>
      <c r="W41" s="73">
        <v>17.5</v>
      </c>
      <c r="X41" s="73">
        <v>17.7</v>
      </c>
      <c r="Y41" s="73">
        <v>69</v>
      </c>
      <c r="Z41" s="73">
        <v>69</v>
      </c>
      <c r="AA41" s="73">
        <v>69</v>
      </c>
      <c r="AB41" s="73">
        <v>67.400000000000006</v>
      </c>
      <c r="AC41" s="73">
        <v>67.900000000000006</v>
      </c>
      <c r="AD41" s="73">
        <v>67.2</v>
      </c>
      <c r="AE41" s="73">
        <v>56.8</v>
      </c>
      <c r="AF41" s="61">
        <v>34</v>
      </c>
      <c r="AG41" s="67">
        <v>69</v>
      </c>
      <c r="AH41" s="54">
        <f t="shared" si="2"/>
        <v>69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46</v>
      </c>
      <c r="C42" s="61">
        <v>46</v>
      </c>
      <c r="D42" s="61">
        <v>43.8</v>
      </c>
      <c r="E42" s="61">
        <v>43.8</v>
      </c>
      <c r="F42" s="61">
        <v>43.8</v>
      </c>
      <c r="G42" s="61">
        <v>44</v>
      </c>
      <c r="H42" s="61">
        <v>44</v>
      </c>
      <c r="I42" s="61">
        <v>44</v>
      </c>
      <c r="J42" s="61">
        <v>44</v>
      </c>
      <c r="K42" s="61">
        <v>44</v>
      </c>
      <c r="L42" s="61">
        <v>44</v>
      </c>
      <c r="M42" s="61">
        <v>44</v>
      </c>
      <c r="N42" s="61">
        <v>46.1</v>
      </c>
      <c r="O42" s="61">
        <v>13.8</v>
      </c>
      <c r="P42" s="61">
        <v>13.8</v>
      </c>
      <c r="Q42" s="61">
        <v>13.8</v>
      </c>
      <c r="R42" s="61">
        <v>13.8</v>
      </c>
      <c r="S42" s="73">
        <v>43.3</v>
      </c>
      <c r="T42" s="73">
        <v>45.3</v>
      </c>
      <c r="U42" s="73">
        <v>45.1</v>
      </c>
      <c r="V42" s="73">
        <v>45.1</v>
      </c>
      <c r="W42" s="73">
        <v>43.1</v>
      </c>
      <c r="X42" s="73">
        <v>43.1</v>
      </c>
      <c r="Y42" s="73">
        <v>42.3</v>
      </c>
      <c r="Z42" s="73">
        <v>42.3</v>
      </c>
      <c r="AA42" s="73">
        <v>40.299999999999997</v>
      </c>
      <c r="AB42" s="73">
        <v>45.6</v>
      </c>
      <c r="AC42" s="73">
        <v>45.6</v>
      </c>
      <c r="AD42" s="73">
        <v>45.6</v>
      </c>
      <c r="AE42" s="73">
        <v>45.6</v>
      </c>
      <c r="AF42" s="61">
        <v>47.4</v>
      </c>
      <c r="AG42" s="67">
        <v>60</v>
      </c>
      <c r="AH42" s="54">
        <f t="shared" si="2"/>
        <v>47.4</v>
      </c>
      <c r="AI42" s="55">
        <f t="shared" si="3"/>
        <v>13.8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6.7</v>
      </c>
      <c r="G43" s="61">
        <v>6.8</v>
      </c>
      <c r="H43" s="61">
        <v>10</v>
      </c>
      <c r="I43" s="61">
        <v>10</v>
      </c>
      <c r="J43" s="61">
        <v>15</v>
      </c>
      <c r="K43" s="61">
        <v>15</v>
      </c>
      <c r="L43" s="61">
        <v>15</v>
      </c>
      <c r="M43" s="61">
        <v>15</v>
      </c>
      <c r="N43" s="61">
        <v>15</v>
      </c>
      <c r="O43" s="61">
        <v>10.1</v>
      </c>
      <c r="P43" s="61">
        <v>10.1</v>
      </c>
      <c r="Q43" s="61">
        <v>10.1</v>
      </c>
      <c r="R43" s="61">
        <v>10.1</v>
      </c>
      <c r="S43" s="50">
        <v>9.3000000000000007</v>
      </c>
      <c r="T43" s="50">
        <v>6.3</v>
      </c>
      <c r="U43" s="50">
        <v>6.1</v>
      </c>
      <c r="V43" s="50">
        <v>6.2</v>
      </c>
      <c r="W43" s="50">
        <v>6.2</v>
      </c>
      <c r="X43" s="50">
        <v>6.2</v>
      </c>
      <c r="Y43" s="50">
        <v>10.8</v>
      </c>
      <c r="Z43" s="73">
        <v>10.8</v>
      </c>
      <c r="AA43" s="73">
        <v>14.8</v>
      </c>
      <c r="AB43" s="73">
        <v>14.8</v>
      </c>
      <c r="AC43" s="73">
        <v>9.6</v>
      </c>
      <c r="AD43" s="73">
        <v>9.3000000000000007</v>
      </c>
      <c r="AE43" s="73">
        <v>13</v>
      </c>
      <c r="AF43" s="61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61">
        <v>16</v>
      </c>
      <c r="S45" s="61">
        <v>16</v>
      </c>
      <c r="T45" s="61">
        <v>16</v>
      </c>
      <c r="U45" s="61">
        <v>16</v>
      </c>
      <c r="V45" s="61">
        <v>16</v>
      </c>
      <c r="W45" s="61">
        <v>16</v>
      </c>
      <c r="X45" s="61">
        <v>16</v>
      </c>
      <c r="Y45" s="61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4.9000000000000004</v>
      </c>
      <c r="C49" s="61">
        <v>4.9000000000000004</v>
      </c>
      <c r="D49" s="61">
        <v>4.9000000000000004</v>
      </c>
      <c r="E49" s="61">
        <v>4.9000000000000004</v>
      </c>
      <c r="F49" s="61">
        <v>4.9000000000000004</v>
      </c>
      <c r="G49" s="61">
        <v>4.9000000000000004</v>
      </c>
      <c r="H49" s="61">
        <v>4.9000000000000004</v>
      </c>
      <c r="I49" s="61">
        <v>4.9000000000000004</v>
      </c>
      <c r="J49" s="61">
        <v>4.9000000000000004</v>
      </c>
      <c r="K49" s="61">
        <v>4.9000000000000004</v>
      </c>
      <c r="L49" s="61">
        <v>4.9000000000000004</v>
      </c>
      <c r="M49" s="61">
        <v>4.9000000000000004</v>
      </c>
      <c r="N49" s="61">
        <v>4.9000000000000004</v>
      </c>
      <c r="O49" s="61">
        <v>4.9000000000000004</v>
      </c>
      <c r="P49" s="61">
        <v>4.9000000000000004</v>
      </c>
      <c r="Q49" s="61">
        <v>4.9000000000000004</v>
      </c>
      <c r="R49" s="61">
        <v>4.9000000000000004</v>
      </c>
      <c r="S49" s="61">
        <v>4.9000000000000004</v>
      </c>
      <c r="T49" s="61">
        <v>4.9000000000000004</v>
      </c>
      <c r="U49" s="61">
        <v>4.9000000000000004</v>
      </c>
      <c r="V49" s="61">
        <v>4.9000000000000004</v>
      </c>
      <c r="W49" s="61">
        <v>4.9000000000000004</v>
      </c>
      <c r="X49" s="61">
        <v>4.9000000000000004</v>
      </c>
      <c r="Y49" s="61">
        <v>4.9000000000000004</v>
      </c>
      <c r="Z49" s="50">
        <v>4.9000000000000004</v>
      </c>
      <c r="AA49" s="50">
        <v>4.9000000000000004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4.9000000000000004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111.94000000000001</v>
      </c>
      <c r="C52" s="72">
        <f t="shared" ref="C52:AF52" si="6">SUM(C39:C51)</f>
        <v>88.940000000000012</v>
      </c>
      <c r="D52" s="72">
        <f t="shared" si="6"/>
        <v>86.740000000000009</v>
      </c>
      <c r="E52" s="72">
        <f t="shared" si="6"/>
        <v>86.740000000000009</v>
      </c>
      <c r="F52" s="72">
        <f t="shared" si="6"/>
        <v>109.44000000000001</v>
      </c>
      <c r="G52" s="72">
        <f t="shared" si="6"/>
        <v>161.74</v>
      </c>
      <c r="H52" s="72">
        <f t="shared" si="6"/>
        <v>211.44</v>
      </c>
      <c r="I52" s="72">
        <f t="shared" si="6"/>
        <v>219.74</v>
      </c>
      <c r="J52" s="72">
        <f t="shared" si="6"/>
        <v>292.23999999999995</v>
      </c>
      <c r="K52" s="72">
        <f t="shared" si="6"/>
        <v>385.84</v>
      </c>
      <c r="L52" s="72">
        <f t="shared" si="6"/>
        <v>385.14000000000004</v>
      </c>
      <c r="M52" s="72">
        <f t="shared" si="6"/>
        <v>385.34</v>
      </c>
      <c r="N52" s="72">
        <f t="shared" si="6"/>
        <v>370.44</v>
      </c>
      <c r="O52" s="72">
        <f t="shared" si="6"/>
        <v>299.44000000000005</v>
      </c>
      <c r="P52" s="72">
        <f t="shared" si="6"/>
        <v>269.04000000000002</v>
      </c>
      <c r="Q52" s="72">
        <f t="shared" si="6"/>
        <v>236.44</v>
      </c>
      <c r="R52" s="72">
        <f t="shared" si="6"/>
        <v>203.73999999999998</v>
      </c>
      <c r="S52" s="72">
        <f t="shared" si="6"/>
        <v>173.94</v>
      </c>
      <c r="T52" s="72">
        <f t="shared" si="6"/>
        <v>196.44</v>
      </c>
      <c r="U52" s="72">
        <f t="shared" si="6"/>
        <v>195.34</v>
      </c>
      <c r="V52" s="72">
        <f t="shared" si="6"/>
        <v>202.43999999999997</v>
      </c>
      <c r="W52" s="72">
        <f t="shared" si="6"/>
        <v>222.73999999999998</v>
      </c>
      <c r="X52" s="72">
        <f t="shared" si="6"/>
        <v>247.03999999999996</v>
      </c>
      <c r="Y52" s="72">
        <f t="shared" si="6"/>
        <v>379.04</v>
      </c>
      <c r="Z52" s="72">
        <f t="shared" si="6"/>
        <v>379.04</v>
      </c>
      <c r="AA52" s="72">
        <f t="shared" si="6"/>
        <v>381.04</v>
      </c>
      <c r="AB52" s="72">
        <f t="shared" si="6"/>
        <v>383.54</v>
      </c>
      <c r="AC52" s="72">
        <f t="shared" si="6"/>
        <v>346.54000000000008</v>
      </c>
      <c r="AD52" s="72">
        <f t="shared" si="6"/>
        <v>306.34000000000003</v>
      </c>
      <c r="AE52" s="72">
        <f t="shared" si="6"/>
        <v>239.14</v>
      </c>
      <c r="AF52" s="72">
        <f t="shared" si="6"/>
        <v>147.04</v>
      </c>
      <c r="AG52" s="78">
        <f>SUM(AG39:AG51)</f>
        <v>489.91</v>
      </c>
      <c r="AH52" s="54">
        <f t="shared" si="2"/>
        <v>385.84</v>
      </c>
      <c r="AI52" s="55">
        <f t="shared" si="3"/>
        <v>86.740000000000009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14.3</v>
      </c>
      <c r="M53" s="79">
        <v>25.1</v>
      </c>
      <c r="N53" s="79">
        <v>0</v>
      </c>
      <c r="O53" s="79">
        <v>0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30</v>
      </c>
      <c r="Z53" s="50">
        <v>20.3</v>
      </c>
      <c r="AA53" s="50">
        <v>0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30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5.8</v>
      </c>
      <c r="M54" s="79">
        <v>11.6</v>
      </c>
      <c r="N54" s="79">
        <v>0</v>
      </c>
      <c r="O54" s="79">
        <v>0</v>
      </c>
      <c r="P54" s="79">
        <v>0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0</v>
      </c>
      <c r="Y54" s="73">
        <v>11</v>
      </c>
      <c r="Z54" s="73">
        <v>12.9</v>
      </c>
      <c r="AA54" s="73">
        <v>5.6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12.9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2.1</v>
      </c>
      <c r="M55" s="81">
        <v>4.2</v>
      </c>
      <c r="N55" s="81">
        <v>0</v>
      </c>
      <c r="O55" s="81">
        <v>0</v>
      </c>
      <c r="P55" s="81">
        <v>0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0</v>
      </c>
      <c r="Y55" s="80">
        <v>4</v>
      </c>
      <c r="Z55" s="80">
        <v>4.7</v>
      </c>
      <c r="AA55" s="80">
        <v>2.1</v>
      </c>
      <c r="AB55" s="80">
        <v>0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4.7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22.200000000000003</v>
      </c>
      <c r="M56" s="72">
        <f t="shared" si="7"/>
        <v>40.900000000000006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0</v>
      </c>
      <c r="Y56" s="72">
        <f t="shared" si="7"/>
        <v>45</v>
      </c>
      <c r="Z56" s="72">
        <f t="shared" si="7"/>
        <v>37.900000000000006</v>
      </c>
      <c r="AA56" s="72">
        <f t="shared" si="7"/>
        <v>7.6999999999999993</v>
      </c>
      <c r="AB56" s="72">
        <f t="shared" si="7"/>
        <v>0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45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71</v>
      </c>
      <c r="C57" s="50">
        <v>69</v>
      </c>
      <c r="D57" s="50">
        <v>66</v>
      </c>
      <c r="E57" s="50">
        <v>64.3</v>
      </c>
      <c r="F57" s="50">
        <v>61</v>
      </c>
      <c r="G57" s="50">
        <v>67</v>
      </c>
      <c r="H57" s="50">
        <v>72</v>
      </c>
      <c r="I57" s="50">
        <v>73</v>
      </c>
      <c r="J57" s="50">
        <v>71.599999999999994</v>
      </c>
      <c r="K57" s="50">
        <v>70</v>
      </c>
      <c r="L57" s="50">
        <v>71</v>
      </c>
      <c r="M57" s="50">
        <v>74.099999999999994</v>
      </c>
      <c r="N57" s="50">
        <v>71.599999999999994</v>
      </c>
      <c r="O57" s="50">
        <v>63.9</v>
      </c>
      <c r="P57" s="50">
        <v>63.9</v>
      </c>
      <c r="Q57" s="50">
        <v>63.1</v>
      </c>
      <c r="R57" s="50">
        <v>69.599999999999994</v>
      </c>
      <c r="S57" s="50">
        <v>69.3</v>
      </c>
      <c r="T57" s="50">
        <v>72.900000000000006</v>
      </c>
      <c r="U57" s="50">
        <v>70.7</v>
      </c>
      <c r="V57" s="50">
        <v>72.099999999999994</v>
      </c>
      <c r="W57" s="50">
        <v>68.900000000000006</v>
      </c>
      <c r="X57" s="50">
        <v>70</v>
      </c>
      <c r="Y57" s="50">
        <v>70.900000000000006</v>
      </c>
      <c r="Z57" s="50">
        <v>72.400000000000006</v>
      </c>
      <c r="AA57" s="50">
        <v>66.599999999999994</v>
      </c>
      <c r="AB57" s="50">
        <v>60.6</v>
      </c>
      <c r="AC57" s="50">
        <v>62.3</v>
      </c>
      <c r="AD57" s="50">
        <v>68.900000000000006</v>
      </c>
      <c r="AE57" s="50">
        <v>70.5</v>
      </c>
      <c r="AF57" s="50">
        <v>75</v>
      </c>
      <c r="AG57" s="62"/>
      <c r="AH57" s="54">
        <f t="shared" si="2"/>
        <v>75</v>
      </c>
      <c r="AI57" s="55">
        <f t="shared" si="3"/>
        <v>60.6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73">
        <v>0</v>
      </c>
      <c r="R58" s="73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370</v>
      </c>
      <c r="C59" s="73">
        <v>360</v>
      </c>
      <c r="D59" s="73">
        <v>349</v>
      </c>
      <c r="E59" s="73">
        <v>344</v>
      </c>
      <c r="F59" s="73">
        <v>346</v>
      </c>
      <c r="G59" s="73">
        <v>336</v>
      </c>
      <c r="H59" s="50">
        <v>338</v>
      </c>
      <c r="I59" s="50">
        <v>401.5</v>
      </c>
      <c r="J59" s="50">
        <v>388</v>
      </c>
      <c r="K59" s="50">
        <v>69</v>
      </c>
      <c r="L59" s="50">
        <v>46</v>
      </c>
      <c r="M59" s="50">
        <v>45.5</v>
      </c>
      <c r="N59" s="50">
        <v>355.6</v>
      </c>
      <c r="O59" s="50">
        <v>369.9</v>
      </c>
      <c r="P59" s="50">
        <v>369.9</v>
      </c>
      <c r="Q59" s="50">
        <v>369</v>
      </c>
      <c r="R59" s="50">
        <v>368.6</v>
      </c>
      <c r="S59" s="73">
        <v>377.3</v>
      </c>
      <c r="T59" s="73">
        <v>353.3</v>
      </c>
      <c r="U59" s="73">
        <v>369.1</v>
      </c>
      <c r="V59" s="73">
        <v>355.4</v>
      </c>
      <c r="W59" s="73">
        <v>333</v>
      </c>
      <c r="X59" s="84">
        <v>394</v>
      </c>
      <c r="Y59" s="84">
        <v>396</v>
      </c>
      <c r="Z59" s="84">
        <v>198</v>
      </c>
      <c r="AA59" s="84">
        <v>282</v>
      </c>
      <c r="AB59" s="73">
        <v>171</v>
      </c>
      <c r="AC59" s="73">
        <v>188</v>
      </c>
      <c r="AD59" s="73">
        <v>369</v>
      </c>
      <c r="AE59" s="73">
        <v>340</v>
      </c>
      <c r="AF59" s="73">
        <v>356</v>
      </c>
      <c r="AG59" s="85"/>
      <c r="AH59" s="54">
        <f t="shared" si="2"/>
        <v>401.5</v>
      </c>
      <c r="AI59" s="55">
        <f t="shared" si="3"/>
        <v>45.5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61.7</v>
      </c>
      <c r="J60" s="58">
        <v>62.7</v>
      </c>
      <c r="K60" s="58">
        <v>63.5</v>
      </c>
      <c r="L60" s="58">
        <v>60.2</v>
      </c>
      <c r="M60" s="58">
        <v>56.6</v>
      </c>
      <c r="N60" s="58">
        <v>55.5</v>
      </c>
      <c r="O60" s="58">
        <v>18.3</v>
      </c>
      <c r="P60" s="58">
        <v>18.3</v>
      </c>
      <c r="Q60" s="58">
        <v>0</v>
      </c>
      <c r="R60" s="58">
        <v>0</v>
      </c>
      <c r="S60" s="73">
        <v>18</v>
      </c>
      <c r="T60" s="73">
        <v>17</v>
      </c>
      <c r="U60" s="73">
        <v>16.899999999999999</v>
      </c>
      <c r="V60" s="73">
        <v>16.399999999999999</v>
      </c>
      <c r="W60" s="73">
        <v>0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63.5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61.1</v>
      </c>
      <c r="T61" s="50">
        <v>62</v>
      </c>
      <c r="U61" s="50">
        <v>57.9</v>
      </c>
      <c r="V61" s="50">
        <v>71.8</v>
      </c>
      <c r="W61" s="50">
        <v>66.900000000000006</v>
      </c>
      <c r="X61" s="50">
        <v>71.7</v>
      </c>
      <c r="Y61" s="50">
        <v>0</v>
      </c>
      <c r="Z61" s="50">
        <v>69</v>
      </c>
      <c r="AA61" s="50">
        <v>60.4</v>
      </c>
      <c r="AB61" s="50">
        <v>0</v>
      </c>
      <c r="AC61" s="50">
        <v>0</v>
      </c>
      <c r="AD61" s="50">
        <v>0</v>
      </c>
      <c r="AE61" s="73">
        <v>0</v>
      </c>
      <c r="AF61" s="58">
        <v>0</v>
      </c>
      <c r="AG61" s="85"/>
      <c r="AH61" s="54">
        <f t="shared" si="2"/>
        <v>71.8</v>
      </c>
      <c r="AI61" s="55">
        <f t="shared" si="3"/>
        <v>0</v>
      </c>
      <c r="AK61" s="56"/>
    </row>
    <row r="62" spans="1:37" x14ac:dyDescent="0.25">
      <c r="A62" s="66" t="s">
        <v>70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50">
        <v>0</v>
      </c>
      <c r="P62" s="50">
        <v>0</v>
      </c>
      <c r="Q62" s="50">
        <v>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73">
        <v>0</v>
      </c>
      <c r="AF62" s="58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0">
        <v>0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50">
        <v>0</v>
      </c>
      <c r="T63" s="50">
        <v>0</v>
      </c>
      <c r="U63" s="50">
        <v>0</v>
      </c>
      <c r="V63" s="5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73">
        <v>0</v>
      </c>
      <c r="AF63" s="58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60">
        <v>0</v>
      </c>
      <c r="AE64" s="73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50">
        <v>0</v>
      </c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60">
        <v>0</v>
      </c>
      <c r="AE65" s="73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0">
        <v>0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0">
        <v>0</v>
      </c>
      <c r="AE66" s="73">
        <v>0</v>
      </c>
      <c r="AF66" s="58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0">
        <v>0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0">
        <v>0</v>
      </c>
      <c r="AE67" s="73">
        <v>0</v>
      </c>
      <c r="AF67" s="58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441</v>
      </c>
      <c r="C68" s="72">
        <f>SUM(C57:C67)</f>
        <v>429</v>
      </c>
      <c r="D68" s="72">
        <f t="shared" ref="D68:AF68" si="8">SUM(D57:D67)</f>
        <v>415</v>
      </c>
      <c r="E68" s="72">
        <f t="shared" si="8"/>
        <v>408.3</v>
      </c>
      <c r="F68" s="72">
        <f t="shared" si="8"/>
        <v>407</v>
      </c>
      <c r="G68" s="72">
        <f t="shared" si="8"/>
        <v>403</v>
      </c>
      <c r="H68" s="72">
        <f t="shared" si="8"/>
        <v>410</v>
      </c>
      <c r="I68" s="72">
        <f t="shared" si="8"/>
        <v>536.20000000000005</v>
      </c>
      <c r="J68" s="72">
        <f t="shared" si="8"/>
        <v>522.30000000000007</v>
      </c>
      <c r="K68" s="72">
        <f t="shared" si="8"/>
        <v>202.5</v>
      </c>
      <c r="L68" s="72">
        <f t="shared" si="8"/>
        <v>177.2</v>
      </c>
      <c r="M68" s="72">
        <f t="shared" si="8"/>
        <v>176.2</v>
      </c>
      <c r="N68" s="72">
        <f t="shared" si="8"/>
        <v>482.70000000000005</v>
      </c>
      <c r="O68" s="72">
        <f t="shared" si="8"/>
        <v>452.09999999999997</v>
      </c>
      <c r="P68" s="72">
        <f t="shared" si="8"/>
        <v>452.09999999999997</v>
      </c>
      <c r="Q68" s="72">
        <f t="shared" si="8"/>
        <v>432.1</v>
      </c>
      <c r="R68" s="72">
        <f t="shared" si="8"/>
        <v>438.20000000000005</v>
      </c>
      <c r="S68" s="72">
        <f t="shared" si="8"/>
        <v>525.70000000000005</v>
      </c>
      <c r="T68" s="72">
        <f t="shared" si="8"/>
        <v>505.20000000000005</v>
      </c>
      <c r="U68" s="72">
        <f t="shared" si="8"/>
        <v>514.6</v>
      </c>
      <c r="V68" s="72">
        <f t="shared" si="8"/>
        <v>515.69999999999993</v>
      </c>
      <c r="W68" s="72">
        <f t="shared" si="8"/>
        <v>468.79999999999995</v>
      </c>
      <c r="X68" s="72">
        <f t="shared" si="8"/>
        <v>535.70000000000005</v>
      </c>
      <c r="Y68" s="72">
        <f t="shared" si="8"/>
        <v>466.9</v>
      </c>
      <c r="Z68" s="72">
        <f t="shared" si="8"/>
        <v>339.4</v>
      </c>
      <c r="AA68" s="72">
        <f t="shared" si="8"/>
        <v>409</v>
      </c>
      <c r="AB68" s="72">
        <f t="shared" si="8"/>
        <v>231.6</v>
      </c>
      <c r="AC68" s="72">
        <f t="shared" si="8"/>
        <v>250.3</v>
      </c>
      <c r="AD68" s="72">
        <f t="shared" si="8"/>
        <v>437.9</v>
      </c>
      <c r="AE68" s="72">
        <f t="shared" si="8"/>
        <v>410.5</v>
      </c>
      <c r="AF68" s="72">
        <f t="shared" si="8"/>
        <v>431</v>
      </c>
      <c r="AG68" s="78">
        <f>SUM(AG57:AG67)</f>
        <v>0</v>
      </c>
      <c r="AH68" s="54">
        <f t="shared" si="2"/>
        <v>536.20000000000005</v>
      </c>
      <c r="AI68" s="55">
        <f t="shared" si="3"/>
        <v>176.2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931.54000000000008</v>
      </c>
      <c r="C73" s="89">
        <f>C68+C56+C52+C38+C72</f>
        <v>896.54000000000008</v>
      </c>
      <c r="D73" s="89">
        <f t="shared" ref="D73:AG73" si="10">D68+D56+D52+D38+D72</f>
        <v>897.34</v>
      </c>
      <c r="E73" s="89">
        <f t="shared" si="10"/>
        <v>903.6400000000001</v>
      </c>
      <c r="F73" s="89">
        <f t="shared" si="10"/>
        <v>913.04000000000008</v>
      </c>
      <c r="G73" s="89">
        <f t="shared" si="10"/>
        <v>957.24</v>
      </c>
      <c r="H73" s="89">
        <f t="shared" si="10"/>
        <v>1048.94</v>
      </c>
      <c r="I73" s="89">
        <f t="shared" si="10"/>
        <v>1138.44</v>
      </c>
      <c r="J73" s="89">
        <f t="shared" si="10"/>
        <v>1247.04</v>
      </c>
      <c r="K73" s="89">
        <f t="shared" si="10"/>
        <v>1335.84</v>
      </c>
      <c r="L73" s="89">
        <f t="shared" si="10"/>
        <v>1372.04</v>
      </c>
      <c r="M73" s="89">
        <f t="shared" si="10"/>
        <v>1371.3400000000001</v>
      </c>
      <c r="N73" s="89">
        <f t="shared" si="10"/>
        <v>1323.64</v>
      </c>
      <c r="O73" s="89">
        <f t="shared" si="10"/>
        <v>1128.04</v>
      </c>
      <c r="P73" s="89">
        <f t="shared" si="10"/>
        <v>1087.6399999999999</v>
      </c>
      <c r="Q73" s="89">
        <f t="shared" si="10"/>
        <v>1026.54</v>
      </c>
      <c r="R73" s="89">
        <f t="shared" si="10"/>
        <v>1011.94</v>
      </c>
      <c r="S73" s="89">
        <f t="shared" si="10"/>
        <v>1069.6400000000001</v>
      </c>
      <c r="T73" s="89">
        <f t="shared" si="10"/>
        <v>1050.2400000000002</v>
      </c>
      <c r="U73" s="89">
        <f t="shared" si="10"/>
        <v>1047.94</v>
      </c>
      <c r="V73" s="89">
        <f t="shared" si="10"/>
        <v>1076.1399999999999</v>
      </c>
      <c r="W73" s="89">
        <f t="shared" si="10"/>
        <v>1039.54</v>
      </c>
      <c r="X73" s="89">
        <f t="shared" si="10"/>
        <v>1122.74</v>
      </c>
      <c r="Y73" s="89">
        <f t="shared" si="10"/>
        <v>1294.94</v>
      </c>
      <c r="Z73" s="89">
        <f t="shared" si="10"/>
        <v>1404.4399999999998</v>
      </c>
      <c r="AA73" s="89">
        <f t="shared" si="10"/>
        <v>1291.8399999999999</v>
      </c>
      <c r="AB73" s="89">
        <f t="shared" si="10"/>
        <v>1205.04</v>
      </c>
      <c r="AC73" s="89">
        <f t="shared" si="10"/>
        <v>1176.7400000000002</v>
      </c>
      <c r="AD73" s="89">
        <f t="shared" si="10"/>
        <v>1127.74</v>
      </c>
      <c r="AE73" s="89">
        <f t="shared" si="10"/>
        <v>1005.64</v>
      </c>
      <c r="AF73" s="89">
        <f t="shared" si="10"/>
        <v>934.83999999999992</v>
      </c>
      <c r="AG73" s="89">
        <f t="shared" si="10"/>
        <v>2144.14</v>
      </c>
      <c r="AH73" s="54">
        <f t="shared" si="2"/>
        <v>1404.4399999999998</v>
      </c>
      <c r="AI73" s="55">
        <f t="shared" si="3"/>
        <v>896.54000000000008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931.54000000000008</v>
      </c>
      <c r="C75" s="89">
        <f>C73+C74</f>
        <v>896.54000000000008</v>
      </c>
      <c r="D75" s="89">
        <f t="shared" ref="D75:AF75" si="11">D72+D68+D56+D52+D38+D74</f>
        <v>897.34</v>
      </c>
      <c r="E75" s="89">
        <f t="shared" si="11"/>
        <v>903.6400000000001</v>
      </c>
      <c r="F75" s="89">
        <f t="shared" si="11"/>
        <v>913.04000000000008</v>
      </c>
      <c r="G75" s="89">
        <f t="shared" si="11"/>
        <v>957.24</v>
      </c>
      <c r="H75" s="89">
        <f t="shared" si="11"/>
        <v>1048.94</v>
      </c>
      <c r="I75" s="89">
        <f t="shared" si="11"/>
        <v>1138.44</v>
      </c>
      <c r="J75" s="89">
        <f t="shared" si="11"/>
        <v>1247.04</v>
      </c>
      <c r="K75" s="89">
        <f t="shared" si="11"/>
        <v>1335.84</v>
      </c>
      <c r="L75" s="89">
        <f t="shared" si="11"/>
        <v>1372.04</v>
      </c>
      <c r="M75" s="89">
        <f t="shared" si="11"/>
        <v>1371.3400000000001</v>
      </c>
      <c r="N75" s="89">
        <f t="shared" si="11"/>
        <v>1323.64</v>
      </c>
      <c r="O75" s="89">
        <f t="shared" si="11"/>
        <v>1128.04</v>
      </c>
      <c r="P75" s="89">
        <f t="shared" si="11"/>
        <v>1087.6399999999999</v>
      </c>
      <c r="Q75" s="89">
        <f t="shared" si="11"/>
        <v>1026.54</v>
      </c>
      <c r="R75" s="89">
        <f t="shared" si="11"/>
        <v>1011.94</v>
      </c>
      <c r="S75" s="89">
        <f t="shared" si="11"/>
        <v>1069.6400000000001</v>
      </c>
      <c r="T75" s="89">
        <f t="shared" si="11"/>
        <v>1050.2400000000002</v>
      </c>
      <c r="U75" s="89">
        <f t="shared" si="11"/>
        <v>1047.94</v>
      </c>
      <c r="V75" s="89">
        <f t="shared" si="11"/>
        <v>1076.1399999999999</v>
      </c>
      <c r="W75" s="89">
        <f t="shared" si="11"/>
        <v>1039.54</v>
      </c>
      <c r="X75" s="89">
        <f t="shared" si="11"/>
        <v>1122.74</v>
      </c>
      <c r="Y75" s="89">
        <f t="shared" si="11"/>
        <v>1294.94</v>
      </c>
      <c r="Z75" s="89">
        <f t="shared" si="11"/>
        <v>1404.4399999999998</v>
      </c>
      <c r="AA75" s="89">
        <f t="shared" si="11"/>
        <v>1291.8399999999999</v>
      </c>
      <c r="AB75" s="89">
        <f t="shared" si="11"/>
        <v>1205.04</v>
      </c>
      <c r="AC75" s="89">
        <f t="shared" si="11"/>
        <v>1176.7400000000002</v>
      </c>
      <c r="AD75" s="89">
        <f t="shared" si="11"/>
        <v>1127.74</v>
      </c>
      <c r="AE75" s="89">
        <f t="shared" si="11"/>
        <v>1005.64</v>
      </c>
      <c r="AF75" s="89">
        <f t="shared" si="11"/>
        <v>934.83999999999992</v>
      </c>
      <c r="AG75" s="78">
        <f>AG72+AG68+AG56+AG52+AG38+AG74</f>
        <v>2144.14</v>
      </c>
      <c r="AH75" s="54">
        <f t="shared" si="2"/>
        <v>1404.4399999999998</v>
      </c>
      <c r="AI75" s="55">
        <f t="shared" si="3"/>
        <v>896.54000000000008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1863.0800000000002</v>
      </c>
      <c r="C83" s="72">
        <f t="shared" ref="C83:AG83" si="20">SUM(C70:C82)</f>
        <v>1793.0800000000002</v>
      </c>
      <c r="D83" s="72">
        <f t="shared" si="20"/>
        <v>1794.68</v>
      </c>
      <c r="E83" s="72">
        <f t="shared" si="20"/>
        <v>1807.2800000000002</v>
      </c>
      <c r="F83" s="72">
        <f t="shared" si="20"/>
        <v>1826.0800000000002</v>
      </c>
      <c r="G83" s="72">
        <f t="shared" si="20"/>
        <v>1914.48</v>
      </c>
      <c r="H83" s="72">
        <f t="shared" si="20"/>
        <v>2097.88</v>
      </c>
      <c r="I83" s="72">
        <f t="shared" si="20"/>
        <v>2276.88</v>
      </c>
      <c r="J83" s="72">
        <f t="shared" si="20"/>
        <v>2494.08</v>
      </c>
      <c r="K83" s="72">
        <f t="shared" si="20"/>
        <v>2671.68</v>
      </c>
      <c r="L83" s="72">
        <f t="shared" si="20"/>
        <v>2744.08</v>
      </c>
      <c r="M83" s="72">
        <f t="shared" si="20"/>
        <v>2742.6800000000003</v>
      </c>
      <c r="N83" s="72">
        <f t="shared" si="20"/>
        <v>2647.28</v>
      </c>
      <c r="O83" s="72">
        <f t="shared" si="20"/>
        <v>2256.08</v>
      </c>
      <c r="P83" s="72">
        <f t="shared" si="20"/>
        <v>2175.2799999999997</v>
      </c>
      <c r="Q83" s="72">
        <f t="shared" si="20"/>
        <v>2053.08</v>
      </c>
      <c r="R83" s="72">
        <f t="shared" si="20"/>
        <v>2023.88</v>
      </c>
      <c r="S83" s="72">
        <f t="shared" si="20"/>
        <v>2139.2800000000002</v>
      </c>
      <c r="T83" s="72">
        <f t="shared" si="20"/>
        <v>2100.4800000000005</v>
      </c>
      <c r="U83" s="72">
        <f t="shared" si="20"/>
        <v>2095.88</v>
      </c>
      <c r="V83" s="72">
        <f t="shared" si="20"/>
        <v>2152.2799999999997</v>
      </c>
      <c r="W83" s="72">
        <f t="shared" si="20"/>
        <v>2079.08</v>
      </c>
      <c r="X83" s="72">
        <f t="shared" si="20"/>
        <v>2245.48</v>
      </c>
      <c r="Y83" s="72">
        <f t="shared" si="20"/>
        <v>2589.88</v>
      </c>
      <c r="Z83" s="72">
        <f t="shared" si="20"/>
        <v>2808.8799999999997</v>
      </c>
      <c r="AA83" s="72">
        <f t="shared" si="20"/>
        <v>2583.6799999999998</v>
      </c>
      <c r="AB83" s="72">
        <f t="shared" si="20"/>
        <v>2410.08</v>
      </c>
      <c r="AC83" s="72">
        <f t="shared" si="20"/>
        <v>2353.4800000000005</v>
      </c>
      <c r="AD83" s="72">
        <f t="shared" si="20"/>
        <v>2255.48</v>
      </c>
      <c r="AE83" s="72">
        <f t="shared" si="20"/>
        <v>2011.28</v>
      </c>
      <c r="AF83" s="72">
        <f t="shared" si="20"/>
        <v>1869.6799999999998</v>
      </c>
      <c r="AG83" s="78">
        <f t="shared" si="20"/>
        <v>4360.08</v>
      </c>
      <c r="AH83" s="54">
        <f t="shared" si="13"/>
        <v>2808.8799999999997</v>
      </c>
      <c r="AI83" s="55">
        <f t="shared" si="14"/>
        <v>1793.0800000000002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49.92</v>
      </c>
      <c r="C84" s="96">
        <v>49.96</v>
      </c>
      <c r="D84" s="96">
        <v>49.98</v>
      </c>
      <c r="E84" s="96">
        <v>49.984000000000002</v>
      </c>
      <c r="F84" s="96">
        <v>50.034999999999997</v>
      </c>
      <c r="G84" s="96">
        <v>49.98</v>
      </c>
      <c r="H84" s="96">
        <v>50</v>
      </c>
      <c r="I84" s="96">
        <v>50.039000000000001</v>
      </c>
      <c r="J84" s="96">
        <v>50.076999999999998</v>
      </c>
      <c r="K84" s="96">
        <v>50.063000000000002</v>
      </c>
      <c r="L84" s="96">
        <v>50</v>
      </c>
      <c r="M84" s="96">
        <v>50.06</v>
      </c>
      <c r="N84" s="96">
        <v>49.99</v>
      </c>
      <c r="O84" s="96">
        <v>50.03</v>
      </c>
      <c r="P84" s="96">
        <v>50.05</v>
      </c>
      <c r="Q84" s="96">
        <v>49.99</v>
      </c>
      <c r="R84" s="96">
        <v>50.1</v>
      </c>
      <c r="S84" s="96">
        <v>50.012</v>
      </c>
      <c r="T84" s="96">
        <v>50.012</v>
      </c>
      <c r="U84" s="96">
        <v>50.018999999999998</v>
      </c>
      <c r="V84" s="96">
        <v>49.948999999999998</v>
      </c>
      <c r="W84" s="96">
        <v>50.052</v>
      </c>
      <c r="X84" s="96">
        <v>50.031999999999996</v>
      </c>
      <c r="Y84" s="96">
        <v>50.036000000000001</v>
      </c>
      <c r="Z84" s="96">
        <v>50.026000000000003</v>
      </c>
      <c r="AA84" s="96">
        <v>50.048999999999999</v>
      </c>
      <c r="AB84" s="96">
        <v>50.081000000000003</v>
      </c>
      <c r="AC84" s="96">
        <v>49.997999999999998</v>
      </c>
      <c r="AD84" s="96">
        <v>50</v>
      </c>
      <c r="AE84" s="96">
        <v>49.99</v>
      </c>
      <c r="AF84" s="96">
        <v>50</v>
      </c>
      <c r="AG84" s="97"/>
      <c r="AH84" s="54">
        <f t="shared" si="13"/>
        <v>50.1</v>
      </c>
      <c r="AI84" s="55">
        <f t="shared" si="14"/>
        <v>49.92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123</v>
      </c>
      <c r="C85" s="73">
        <v>125</v>
      </c>
      <c r="D85" s="73">
        <v>124</v>
      </c>
      <c r="E85" s="73">
        <v>125</v>
      </c>
      <c r="F85" s="73">
        <v>125</v>
      </c>
      <c r="G85" s="73">
        <v>126</v>
      </c>
      <c r="H85" s="73">
        <v>125</v>
      </c>
      <c r="I85" s="73">
        <v>123</v>
      </c>
      <c r="J85" s="73">
        <v>123</v>
      </c>
      <c r="K85" s="73">
        <v>122</v>
      </c>
      <c r="L85" s="73">
        <v>122</v>
      </c>
      <c r="M85" s="73">
        <v>123</v>
      </c>
      <c r="N85" s="73">
        <v>121.2</v>
      </c>
      <c r="O85" s="73">
        <v>123.9</v>
      </c>
      <c r="P85" s="73">
        <v>125.6</v>
      </c>
      <c r="Q85" s="73">
        <v>125</v>
      </c>
      <c r="R85" s="73">
        <v>124.8</v>
      </c>
      <c r="S85" s="73">
        <v>125.4</v>
      </c>
      <c r="T85" s="73">
        <v>126</v>
      </c>
      <c r="U85" s="100">
        <v>126.3</v>
      </c>
      <c r="V85" s="100">
        <v>126.1</v>
      </c>
      <c r="W85" s="100">
        <v>126.9</v>
      </c>
      <c r="X85" s="100">
        <v>126.1</v>
      </c>
      <c r="Y85" s="100">
        <v>123.6</v>
      </c>
      <c r="Z85" s="100">
        <v>126.1</v>
      </c>
      <c r="AA85" s="100">
        <v>127.5</v>
      </c>
      <c r="AB85" s="73">
        <v>126.2</v>
      </c>
      <c r="AC85" s="73">
        <v>124.3</v>
      </c>
      <c r="AD85" s="73">
        <v>125.1</v>
      </c>
      <c r="AE85" s="73">
        <v>127.3</v>
      </c>
      <c r="AF85" s="73">
        <v>124.7</v>
      </c>
      <c r="AG85" s="101"/>
      <c r="AH85" s="54">
        <f t="shared" si="13"/>
        <v>127.5</v>
      </c>
      <c r="AI85" s="55">
        <f t="shared" si="14"/>
        <v>121.2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128</v>
      </c>
      <c r="C86" s="73">
        <v>129.4</v>
      </c>
      <c r="D86" s="73">
        <v>129</v>
      </c>
      <c r="E86" s="73">
        <v>130</v>
      </c>
      <c r="F86" s="73">
        <v>130</v>
      </c>
      <c r="G86" s="73">
        <v>130</v>
      </c>
      <c r="H86" s="73">
        <v>129</v>
      </c>
      <c r="I86" s="73">
        <v>128</v>
      </c>
      <c r="J86" s="73">
        <v>128</v>
      </c>
      <c r="K86" s="73">
        <v>126</v>
      </c>
      <c r="L86" s="73">
        <v>126</v>
      </c>
      <c r="M86" s="73">
        <v>126.6</v>
      </c>
      <c r="N86" s="73">
        <v>125.8</v>
      </c>
      <c r="O86" s="73">
        <v>126.6</v>
      </c>
      <c r="P86" s="73">
        <v>128.4</v>
      </c>
      <c r="Q86" s="73">
        <v>128.1</v>
      </c>
      <c r="R86" s="73">
        <v>128.19999999999999</v>
      </c>
      <c r="S86" s="73">
        <v>128.69999999999999</v>
      </c>
      <c r="T86" s="73">
        <v>129.30000000000001</v>
      </c>
      <c r="U86" s="100">
        <v>129.19999999999999</v>
      </c>
      <c r="V86" s="100">
        <v>128.69999999999999</v>
      </c>
      <c r="W86" s="100">
        <v>129.4</v>
      </c>
      <c r="X86" s="100">
        <v>128.6</v>
      </c>
      <c r="Y86" s="100">
        <v>127.2</v>
      </c>
      <c r="Z86" s="100">
        <v>128.4</v>
      </c>
      <c r="AA86" s="100">
        <v>130.4</v>
      </c>
      <c r="AB86" s="73">
        <v>128.9</v>
      </c>
      <c r="AC86" s="73">
        <v>127.5</v>
      </c>
      <c r="AD86" s="73">
        <v>128.5</v>
      </c>
      <c r="AE86" s="73">
        <v>130.9</v>
      </c>
      <c r="AF86" s="73">
        <v>129.4</v>
      </c>
      <c r="AG86" s="101"/>
      <c r="AH86" s="54">
        <f t="shared" si="13"/>
        <v>130.9</v>
      </c>
      <c r="AI86" s="55">
        <f t="shared" si="14"/>
        <v>125.8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129</v>
      </c>
      <c r="C87" s="73">
        <v>130</v>
      </c>
      <c r="D87" s="73">
        <v>129</v>
      </c>
      <c r="E87" s="73">
        <v>130.6</v>
      </c>
      <c r="F87" s="73">
        <v>130.6</v>
      </c>
      <c r="G87" s="73">
        <v>129.5</v>
      </c>
      <c r="H87" s="73">
        <v>128</v>
      </c>
      <c r="I87" s="73">
        <v>129</v>
      </c>
      <c r="J87" s="73">
        <v>129</v>
      </c>
      <c r="K87" s="73">
        <v>128</v>
      </c>
      <c r="L87" s="73">
        <v>126</v>
      </c>
      <c r="M87" s="73">
        <v>126.8</v>
      </c>
      <c r="N87" s="73">
        <v>126.3</v>
      </c>
      <c r="O87" s="73">
        <v>129.5</v>
      </c>
      <c r="P87" s="73">
        <v>128.80000000000001</v>
      </c>
      <c r="Q87" s="73">
        <v>129.4</v>
      </c>
      <c r="R87" s="73">
        <v>130.30000000000001</v>
      </c>
      <c r="S87" s="73">
        <v>130.6</v>
      </c>
      <c r="T87" s="73">
        <v>131.9</v>
      </c>
      <c r="U87" s="73">
        <v>129.4</v>
      </c>
      <c r="V87" s="73">
        <v>129.80000000000001</v>
      </c>
      <c r="W87" s="73">
        <v>129</v>
      </c>
      <c r="X87" s="100">
        <v>127.1</v>
      </c>
      <c r="Y87" s="100">
        <v>128.5</v>
      </c>
      <c r="Z87" s="100">
        <v>130</v>
      </c>
      <c r="AA87" s="100">
        <v>131.19999999999999</v>
      </c>
      <c r="AB87" s="73">
        <v>132.1</v>
      </c>
      <c r="AC87" s="73">
        <v>131.30000000000001</v>
      </c>
      <c r="AD87" s="73">
        <v>130.6</v>
      </c>
      <c r="AE87" s="73">
        <v>131.5</v>
      </c>
      <c r="AF87" s="73">
        <v>130.6</v>
      </c>
      <c r="AG87" s="101"/>
      <c r="AH87" s="54">
        <f t="shared" si="13"/>
        <v>132.1</v>
      </c>
      <c r="AI87" s="55">
        <f t="shared" si="14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</v>
      </c>
      <c r="C88" s="73">
        <v>132.80000000000001</v>
      </c>
      <c r="D88" s="73">
        <v>132</v>
      </c>
      <c r="E88" s="73">
        <v>133</v>
      </c>
      <c r="F88" s="73">
        <v>133</v>
      </c>
      <c r="G88" s="73">
        <v>132</v>
      </c>
      <c r="H88" s="73">
        <v>131</v>
      </c>
      <c r="I88" s="73">
        <v>131</v>
      </c>
      <c r="J88" s="73">
        <v>131</v>
      </c>
      <c r="K88" s="73">
        <v>131</v>
      </c>
      <c r="L88" s="73">
        <v>128</v>
      </c>
      <c r="M88" s="73">
        <v>128</v>
      </c>
      <c r="N88" s="73">
        <v>127.4</v>
      </c>
      <c r="O88" s="73">
        <v>131.1</v>
      </c>
      <c r="P88" s="73">
        <v>131.1</v>
      </c>
      <c r="Q88" s="73">
        <v>132.4</v>
      </c>
      <c r="R88" s="73">
        <v>133</v>
      </c>
      <c r="S88" s="73">
        <v>133.1</v>
      </c>
      <c r="T88" s="73">
        <v>134.1</v>
      </c>
      <c r="U88" s="73">
        <v>131.69999999999999</v>
      </c>
      <c r="V88" s="73">
        <v>132.1</v>
      </c>
      <c r="W88" s="73">
        <v>131.6</v>
      </c>
      <c r="X88" s="100">
        <v>129.6</v>
      </c>
      <c r="Y88" s="100">
        <v>131.4</v>
      </c>
      <c r="Z88" s="100">
        <v>133.6</v>
      </c>
      <c r="AA88" s="100">
        <v>135.30000000000001</v>
      </c>
      <c r="AB88" s="73">
        <v>134.80000000000001</v>
      </c>
      <c r="AC88" s="73">
        <v>134.69999999999999</v>
      </c>
      <c r="AD88" s="73">
        <v>134.4</v>
      </c>
      <c r="AE88" s="73">
        <v>134.1</v>
      </c>
      <c r="AF88" s="73">
        <v>133.19999999999999</v>
      </c>
      <c r="AG88" s="101"/>
      <c r="AH88" s="54">
        <f t="shared" si="13"/>
        <v>135.30000000000001</v>
      </c>
      <c r="AI88" s="55">
        <f t="shared" si="14"/>
        <v>127.4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131</v>
      </c>
      <c r="C89" s="104">
        <v>132</v>
      </c>
      <c r="D89" s="104">
        <v>132</v>
      </c>
      <c r="E89" s="104">
        <v>131</v>
      </c>
      <c r="F89" s="104">
        <v>131</v>
      </c>
      <c r="G89" s="104">
        <v>136</v>
      </c>
      <c r="H89" s="104">
        <v>136.69999999999999</v>
      </c>
      <c r="I89" s="104">
        <v>133</v>
      </c>
      <c r="J89" s="104">
        <v>133</v>
      </c>
      <c r="K89" s="104">
        <v>136</v>
      </c>
      <c r="L89" s="104">
        <v>135</v>
      </c>
      <c r="M89" s="104">
        <v>135</v>
      </c>
      <c r="N89" s="104">
        <v>135.69999999999999</v>
      </c>
      <c r="O89" s="104">
        <v>134.30000000000001</v>
      </c>
      <c r="P89" s="104">
        <v>131.6</v>
      </c>
      <c r="Q89" s="104">
        <v>132.1</v>
      </c>
      <c r="R89" s="104">
        <v>132.30000000000001</v>
      </c>
      <c r="S89" s="104">
        <v>133.1</v>
      </c>
      <c r="T89" s="104">
        <v>132.1</v>
      </c>
      <c r="U89" s="104">
        <v>132.4</v>
      </c>
      <c r="V89" s="104">
        <v>134.4</v>
      </c>
      <c r="W89" s="104">
        <v>137.19999999999999</v>
      </c>
      <c r="X89" s="100">
        <v>136.4</v>
      </c>
      <c r="Y89" s="100">
        <v>133.30000000000001</v>
      </c>
      <c r="Z89" s="100">
        <v>134</v>
      </c>
      <c r="AA89" s="100">
        <v>134.5</v>
      </c>
      <c r="AB89" s="104">
        <v>135.1</v>
      </c>
      <c r="AC89" s="104">
        <v>136</v>
      </c>
      <c r="AD89" s="104">
        <v>13.8</v>
      </c>
      <c r="AE89" s="104">
        <v>131</v>
      </c>
      <c r="AF89" s="104">
        <v>130.9</v>
      </c>
      <c r="AG89" s="105"/>
      <c r="AH89" s="54">
        <f t="shared" si="13"/>
        <v>137.19999999999999</v>
      </c>
      <c r="AI89" s="55">
        <f t="shared" si="14"/>
        <v>13.8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136</v>
      </c>
      <c r="C90" s="73">
        <v>137.5</v>
      </c>
      <c r="D90" s="73">
        <v>134</v>
      </c>
      <c r="E90" s="73">
        <v>134</v>
      </c>
      <c r="F90" s="73">
        <v>134</v>
      </c>
      <c r="G90" s="73">
        <v>132.80000000000001</v>
      </c>
      <c r="H90" s="73">
        <v>131.6</v>
      </c>
      <c r="I90" s="73">
        <v>132</v>
      </c>
      <c r="J90" s="73">
        <v>132</v>
      </c>
      <c r="K90" s="73">
        <v>132</v>
      </c>
      <c r="L90" s="73">
        <v>130</v>
      </c>
      <c r="M90" s="73">
        <v>130</v>
      </c>
      <c r="N90" s="73">
        <v>134.4</v>
      </c>
      <c r="O90" s="73">
        <v>135.19999999999999</v>
      </c>
      <c r="P90" s="73">
        <v>134.1</v>
      </c>
      <c r="Q90" s="73">
        <v>135.30000000000001</v>
      </c>
      <c r="R90" s="73">
        <v>137.19999999999999</v>
      </c>
      <c r="S90" s="73">
        <v>134.4</v>
      </c>
      <c r="T90" s="73">
        <v>133.6</v>
      </c>
      <c r="U90" s="73">
        <v>133.9</v>
      </c>
      <c r="V90" s="73">
        <v>134.4</v>
      </c>
      <c r="W90" s="73">
        <v>135.4</v>
      </c>
      <c r="X90" s="100">
        <v>135.80000000000001</v>
      </c>
      <c r="Y90" s="100">
        <v>131.5</v>
      </c>
      <c r="Z90" s="100">
        <v>131</v>
      </c>
      <c r="AA90" s="100">
        <v>133.69999999999999</v>
      </c>
      <c r="AB90" s="73">
        <v>134.80000000000001</v>
      </c>
      <c r="AC90" s="73">
        <v>135.5</v>
      </c>
      <c r="AD90" s="73">
        <v>135.1</v>
      </c>
      <c r="AE90" s="73">
        <v>136.30000000000001</v>
      </c>
      <c r="AF90" s="73">
        <v>137</v>
      </c>
      <c r="AG90" s="101"/>
      <c r="AH90" s="54">
        <f t="shared" si="13"/>
        <v>137.5</v>
      </c>
      <c r="AI90" s="55">
        <f t="shared" si="14"/>
        <v>130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64.7</v>
      </c>
      <c r="C91" s="107">
        <v>65.3</v>
      </c>
      <c r="D91" s="107">
        <v>65.099999999999994</v>
      </c>
      <c r="E91" s="107">
        <v>65.8</v>
      </c>
      <c r="F91" s="107">
        <v>65.8</v>
      </c>
      <c r="G91" s="107">
        <v>66</v>
      </c>
      <c r="H91" s="107">
        <v>65.5</v>
      </c>
      <c r="I91" s="107">
        <v>65</v>
      </c>
      <c r="J91" s="107">
        <v>65</v>
      </c>
      <c r="K91" s="107">
        <v>63.7</v>
      </c>
      <c r="L91" s="107">
        <v>64</v>
      </c>
      <c r="M91" s="107">
        <v>64</v>
      </c>
      <c r="N91" s="107">
        <v>63.5</v>
      </c>
      <c r="O91" s="107">
        <v>63.9</v>
      </c>
      <c r="P91" s="107">
        <v>64.8</v>
      </c>
      <c r="Q91" s="107">
        <v>64.8</v>
      </c>
      <c r="R91" s="107">
        <v>64.8</v>
      </c>
      <c r="S91" s="107">
        <v>65.099999999999994</v>
      </c>
      <c r="T91" s="107">
        <v>65.7</v>
      </c>
      <c r="U91" s="107">
        <v>65.400000000000006</v>
      </c>
      <c r="V91" s="107">
        <v>64.8</v>
      </c>
      <c r="W91" s="107">
        <v>65.099999999999994</v>
      </c>
      <c r="X91" s="107">
        <v>64.8</v>
      </c>
      <c r="Y91" s="107">
        <v>64.3</v>
      </c>
      <c r="Z91" s="107">
        <v>65</v>
      </c>
      <c r="AA91" s="107">
        <v>65.400000000000006</v>
      </c>
      <c r="AB91" s="107">
        <v>65.2</v>
      </c>
      <c r="AC91" s="107">
        <v>64</v>
      </c>
      <c r="AD91" s="107">
        <v>64.8</v>
      </c>
      <c r="AE91" s="107">
        <v>66.2</v>
      </c>
      <c r="AF91" s="107">
        <v>65.2</v>
      </c>
      <c r="AG91" s="108"/>
      <c r="AH91" s="54">
        <f t="shared" si="13"/>
        <v>66.2</v>
      </c>
      <c r="AI91" s="55">
        <f t="shared" si="14"/>
        <v>63.5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187.44</v>
      </c>
      <c r="C93" s="114">
        <f>SUM(C15,C18,C21:C22,C42,C44:C45,C47,C49,C94:C97,C102,C108,C114,C123,C125,C137,C144,C147:C148,C155,C157,C159,C163:C165,C167:C169,C174,C180:C181,C183:C185,C193,C198)</f>
        <v>173.44</v>
      </c>
      <c r="D93" s="114">
        <f t="shared" ref="D93:AF93" si="21">SUM(D15,D18,D21:D22,D42,D44:D45,D47,D49,D94:D97,D102,D108,D114,D123,D125,D137,D144,D147:D148,D155,D157,D159,D163:D165,D167:D169,D174,D180:D181,D183:D185,D193,D198)</f>
        <v>169.23999999999998</v>
      </c>
      <c r="E93" s="114">
        <f t="shared" si="21"/>
        <v>169.64</v>
      </c>
      <c r="F93" s="114">
        <f t="shared" si="21"/>
        <v>179.73999999999998</v>
      </c>
      <c r="G93" s="113">
        <f t="shared" si="21"/>
        <v>197.33999999999997</v>
      </c>
      <c r="H93" s="113">
        <f t="shared" si="21"/>
        <v>221.64</v>
      </c>
      <c r="I93" s="113">
        <f t="shared" si="21"/>
        <v>251.64</v>
      </c>
      <c r="J93" s="113">
        <f t="shared" si="21"/>
        <v>281.44000000000005</v>
      </c>
      <c r="K93" s="113">
        <f t="shared" si="21"/>
        <v>323.84000000000003</v>
      </c>
      <c r="L93" s="113">
        <f t="shared" si="21"/>
        <v>347.44</v>
      </c>
      <c r="M93" s="113">
        <f t="shared" si="21"/>
        <v>347.34000000000003</v>
      </c>
      <c r="N93" s="113">
        <f t="shared" si="21"/>
        <v>371.54000000000008</v>
      </c>
      <c r="O93" s="113">
        <f t="shared" si="21"/>
        <v>296.24</v>
      </c>
      <c r="P93" s="113">
        <f t="shared" si="21"/>
        <v>257.54000000000002</v>
      </c>
      <c r="Q93" s="113">
        <f t="shared" si="21"/>
        <v>249.64</v>
      </c>
      <c r="R93" s="113">
        <f t="shared" si="21"/>
        <v>228.83999999999997</v>
      </c>
      <c r="S93" s="113">
        <f t="shared" si="21"/>
        <v>253.03999999999996</v>
      </c>
      <c r="T93" s="113">
        <f t="shared" si="21"/>
        <v>254.53999999999996</v>
      </c>
      <c r="U93" s="113">
        <f t="shared" si="21"/>
        <v>254.33999999999997</v>
      </c>
      <c r="V93" s="113">
        <f t="shared" si="21"/>
        <v>259.54000000000008</v>
      </c>
      <c r="W93" s="113">
        <f t="shared" si="21"/>
        <v>272.24000000000007</v>
      </c>
      <c r="X93" s="113">
        <f t="shared" si="21"/>
        <v>310.44000000000005</v>
      </c>
      <c r="Y93" s="113">
        <f t="shared" si="21"/>
        <v>350.74</v>
      </c>
      <c r="Z93" s="113">
        <f t="shared" si="21"/>
        <v>370.44000000000005</v>
      </c>
      <c r="AA93" s="113">
        <f t="shared" si="21"/>
        <v>352.24</v>
      </c>
      <c r="AB93" s="113">
        <f t="shared" si="21"/>
        <v>323.44000000000005</v>
      </c>
      <c r="AC93" s="113">
        <f t="shared" si="21"/>
        <v>308.64000000000004</v>
      </c>
      <c r="AD93" s="113">
        <f t="shared" si="21"/>
        <v>294.24</v>
      </c>
      <c r="AE93" s="113">
        <f t="shared" si="21"/>
        <v>237.43999999999997</v>
      </c>
      <c r="AF93" s="113">
        <f t="shared" si="21"/>
        <v>195.14</v>
      </c>
      <c r="AG93" s="115"/>
      <c r="AH93" s="54">
        <f>MAX(C93:AF93)</f>
        <v>371.54000000000008</v>
      </c>
      <c r="AI93" s="55">
        <f>MIN(C93:AF93)</f>
        <v>169.23999999999998</v>
      </c>
    </row>
    <row r="94" spans="1:88" x14ac:dyDescent="0.25">
      <c r="A94" s="116" t="s">
        <v>98</v>
      </c>
      <c r="B94" s="117">
        <v>-18</v>
      </c>
      <c r="C94" s="58">
        <v>-29</v>
      </c>
      <c r="D94" s="58">
        <v>-29</v>
      </c>
      <c r="E94" s="58">
        <v>-29.8</v>
      </c>
      <c r="F94" s="58">
        <v>-20</v>
      </c>
      <c r="G94" s="118">
        <v>-3.7</v>
      </c>
      <c r="H94" s="118">
        <v>8.5</v>
      </c>
      <c r="I94" s="118">
        <v>29.7</v>
      </c>
      <c r="J94" s="118">
        <v>50</v>
      </c>
      <c r="K94" s="118">
        <v>74.8</v>
      </c>
      <c r="L94" s="118">
        <v>77.099999999999994</v>
      </c>
      <c r="M94" s="118">
        <v>74.099999999999994</v>
      </c>
      <c r="N94" s="118">
        <v>69.599999999999994</v>
      </c>
      <c r="O94" s="118">
        <v>45.8</v>
      </c>
      <c r="P94" s="118">
        <v>26.6</v>
      </c>
      <c r="Q94" s="118">
        <v>11.2</v>
      </c>
      <c r="R94" s="118">
        <v>-6.2</v>
      </c>
      <c r="S94" s="118">
        <v>-15.8</v>
      </c>
      <c r="T94" s="118">
        <v>0</v>
      </c>
      <c r="U94" s="119">
        <v>-2.9</v>
      </c>
      <c r="V94" s="119">
        <v>0</v>
      </c>
      <c r="W94" s="119">
        <v>28.4</v>
      </c>
      <c r="X94" s="118">
        <v>34.6</v>
      </c>
      <c r="Y94" s="118">
        <v>61.5</v>
      </c>
      <c r="Z94" s="118">
        <v>45</v>
      </c>
      <c r="AA94" s="118">
        <v>50.2</v>
      </c>
      <c r="AB94" s="119">
        <v>59.5</v>
      </c>
      <c r="AC94" s="119">
        <v>52.9</v>
      </c>
      <c r="AD94" s="119">
        <v>43.9</v>
      </c>
      <c r="AE94" s="119">
        <v>21.8</v>
      </c>
      <c r="AF94" s="119">
        <v>-15.6</v>
      </c>
      <c r="AG94" s="120">
        <v>75</v>
      </c>
      <c r="AH94" s="54">
        <f t="shared" ref="AH94:AH99" si="22">IF(ABS(MAX(C94:AF94))&gt;ABS(MIN(C94:AF94)),MAX(C94:AF94),MIN(C94:AF94))</f>
        <v>77.099999999999994</v>
      </c>
      <c r="AI94" s="121">
        <f t="shared" ref="AI94:AI99" si="23">INDEX($C$9:$AF$9,1,MATCH(AH94,C94:AF94,0))</f>
        <v>0.3125</v>
      </c>
    </row>
    <row r="95" spans="1:88" x14ac:dyDescent="0.25">
      <c r="A95" s="122" t="s">
        <v>99</v>
      </c>
      <c r="B95" s="123">
        <v>-40</v>
      </c>
      <c r="C95" s="60">
        <v>-38</v>
      </c>
      <c r="D95" s="60">
        <v>-45</v>
      </c>
      <c r="E95" s="60">
        <v>-36</v>
      </c>
      <c r="F95" s="60">
        <v>-34</v>
      </c>
      <c r="G95" s="60">
        <v>-27.9</v>
      </c>
      <c r="H95" s="60">
        <v>-25.7</v>
      </c>
      <c r="I95" s="60">
        <v>-16.899999999999999</v>
      </c>
      <c r="J95" s="60">
        <v>-12</v>
      </c>
      <c r="K95" s="60">
        <v>-5.4</v>
      </c>
      <c r="L95" s="60">
        <v>10</v>
      </c>
      <c r="M95" s="60">
        <f>4+1.2</f>
        <v>5.2</v>
      </c>
      <c r="N95" s="60">
        <f>9.8+11.1</f>
        <v>20.9</v>
      </c>
      <c r="O95" s="60">
        <f>14+15.7</f>
        <v>29.7</v>
      </c>
      <c r="P95" s="60">
        <f>5.5+6.6</f>
        <v>12.1</v>
      </c>
      <c r="Q95" s="60">
        <f>4.5+5.3</f>
        <v>9.8000000000000007</v>
      </c>
      <c r="R95" s="60">
        <f>1.2+1.4</f>
        <v>2.5999999999999996</v>
      </c>
      <c r="S95" s="60">
        <v>5.7</v>
      </c>
      <c r="T95" s="60">
        <v>9</v>
      </c>
      <c r="U95" s="60">
        <v>8.6</v>
      </c>
      <c r="V95" s="60">
        <v>11</v>
      </c>
      <c r="W95" s="60">
        <v>10</v>
      </c>
      <c r="X95" s="60">
        <v>33.700000000000003</v>
      </c>
      <c r="Y95" s="60">
        <v>20</v>
      </c>
      <c r="Z95" s="60">
        <v>53</v>
      </c>
      <c r="AA95" s="60">
        <v>26</v>
      </c>
      <c r="AB95" s="73">
        <v>-0.2</v>
      </c>
      <c r="AC95" s="73">
        <v>-0.5</v>
      </c>
      <c r="AD95" s="73">
        <v>4.3</v>
      </c>
      <c r="AE95" s="73">
        <f>-13.1-15.4</f>
        <v>-28.5</v>
      </c>
      <c r="AF95" s="73">
        <f>-22.9-25.6</f>
        <v>-48.5</v>
      </c>
      <c r="AG95" s="120">
        <v>240</v>
      </c>
      <c r="AH95" s="54">
        <f t="shared" si="22"/>
        <v>53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0</v>
      </c>
      <c r="C96" s="60">
        <v>0</v>
      </c>
      <c r="D96" s="60">
        <v>0</v>
      </c>
      <c r="E96" s="60">
        <v>-9.6999999999999993</v>
      </c>
      <c r="F96" s="60">
        <v>-9.1999999999999993</v>
      </c>
      <c r="G96" s="60">
        <v>-5</v>
      </c>
      <c r="H96" s="60">
        <v>-3.5</v>
      </c>
      <c r="I96" s="60">
        <v>-3</v>
      </c>
      <c r="J96" s="60">
        <v>-2</v>
      </c>
      <c r="K96" s="60">
        <v>0</v>
      </c>
      <c r="L96" s="60">
        <v>11.1</v>
      </c>
      <c r="M96" s="60">
        <v>11.1</v>
      </c>
      <c r="N96" s="60">
        <v>10.9</v>
      </c>
      <c r="O96" s="60">
        <v>6.5</v>
      </c>
      <c r="P96" s="60">
        <v>6.3</v>
      </c>
      <c r="Q96" s="60">
        <v>6.3</v>
      </c>
      <c r="R96" s="60">
        <v>6.2</v>
      </c>
      <c r="S96" s="60">
        <v>6.2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36.700000000000003</v>
      </c>
      <c r="Z96" s="60">
        <v>29</v>
      </c>
      <c r="AA96" s="60">
        <v>8.6</v>
      </c>
      <c r="AB96" s="73">
        <v>10.8</v>
      </c>
      <c r="AC96" s="73">
        <v>9.9</v>
      </c>
      <c r="AD96" s="73">
        <v>11</v>
      </c>
      <c r="AE96" s="73">
        <v>11.4</v>
      </c>
      <c r="AF96" s="73">
        <v>11</v>
      </c>
      <c r="AG96" s="120">
        <v>60</v>
      </c>
      <c r="AH96" s="54">
        <f t="shared" si="22"/>
        <v>36.700000000000003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93</v>
      </c>
      <c r="C97" s="63">
        <v>88</v>
      </c>
      <c r="D97" s="63">
        <v>93</v>
      </c>
      <c r="E97" s="63">
        <v>94.9</v>
      </c>
      <c r="F97" s="63">
        <v>92.7</v>
      </c>
      <c r="G97" s="63">
        <v>83.5</v>
      </c>
      <c r="H97" s="63">
        <v>91.9</v>
      </c>
      <c r="I97" s="63">
        <v>91.4</v>
      </c>
      <c r="J97" s="63">
        <v>95</v>
      </c>
      <c r="K97" s="63">
        <v>104</v>
      </c>
      <c r="L97" s="63">
        <v>98.8</v>
      </c>
      <c r="M97" s="63">
        <v>106.5</v>
      </c>
      <c r="N97" s="63">
        <v>117.5</v>
      </c>
      <c r="O97" s="63">
        <v>93.9</v>
      </c>
      <c r="P97" s="63">
        <v>92.2</v>
      </c>
      <c r="Q97" s="63">
        <v>102</v>
      </c>
      <c r="R97" s="63">
        <v>105.9</v>
      </c>
      <c r="S97" s="63">
        <v>107.1</v>
      </c>
      <c r="T97" s="63">
        <v>93.7</v>
      </c>
      <c r="U97" s="63">
        <v>97</v>
      </c>
      <c r="V97" s="63">
        <v>96.9</v>
      </c>
      <c r="W97" s="63">
        <v>84.2</v>
      </c>
      <c r="X97" s="63">
        <v>92.5</v>
      </c>
      <c r="Y97" s="63">
        <v>83.7</v>
      </c>
      <c r="Z97" s="63">
        <v>87</v>
      </c>
      <c r="AA97" s="63">
        <v>113</v>
      </c>
      <c r="AB97" s="126">
        <v>100.7</v>
      </c>
      <c r="AC97" s="126">
        <v>93.7</v>
      </c>
      <c r="AD97" s="126">
        <v>78.8</v>
      </c>
      <c r="AE97" s="126">
        <v>76.599999999999994</v>
      </c>
      <c r="AF97" s="126">
        <v>91</v>
      </c>
      <c r="AG97" s="127">
        <v>120</v>
      </c>
      <c r="AH97" s="54">
        <f t="shared" si="22"/>
        <v>117.5</v>
      </c>
      <c r="AI97" s="121">
        <f t="shared" si="23"/>
        <v>0.375</v>
      </c>
    </row>
    <row r="98" spans="1:37" x14ac:dyDescent="0.25">
      <c r="A98" s="124" t="s">
        <v>102</v>
      </c>
      <c r="B98" s="125">
        <v>98</v>
      </c>
      <c r="C98" s="63">
        <v>93</v>
      </c>
      <c r="D98" s="63">
        <v>99.5</v>
      </c>
      <c r="E98" s="63">
        <v>100</v>
      </c>
      <c r="F98" s="63">
        <v>97.4</v>
      </c>
      <c r="G98" s="63">
        <v>85.4</v>
      </c>
      <c r="H98" s="63">
        <v>91</v>
      </c>
      <c r="I98" s="63">
        <v>90</v>
      </c>
      <c r="J98" s="63">
        <v>92</v>
      </c>
      <c r="K98" s="63">
        <v>75.400000000000006</v>
      </c>
      <c r="L98" s="63">
        <v>81.8</v>
      </c>
      <c r="M98" s="63">
        <v>70.400000000000006</v>
      </c>
      <c r="N98" s="63">
        <v>102</v>
      </c>
      <c r="O98" s="63">
        <v>86.4</v>
      </c>
      <c r="P98" s="63">
        <v>79.5</v>
      </c>
      <c r="Q98" s="63">
        <v>90.7</v>
      </c>
      <c r="R98" s="63">
        <v>94.6</v>
      </c>
      <c r="S98" s="63">
        <v>95</v>
      </c>
      <c r="T98" s="63">
        <v>82</v>
      </c>
      <c r="U98" s="63">
        <v>86.3</v>
      </c>
      <c r="V98" s="63">
        <v>84.8</v>
      </c>
      <c r="W98" s="63">
        <v>70</v>
      </c>
      <c r="X98" s="63">
        <v>75</v>
      </c>
      <c r="Y98" s="63">
        <v>96.2</v>
      </c>
      <c r="Z98" s="63">
        <v>92</v>
      </c>
      <c r="AA98" s="63">
        <v>74</v>
      </c>
      <c r="AB98" s="126">
        <v>81</v>
      </c>
      <c r="AC98" s="126">
        <v>98.4</v>
      </c>
      <c r="AD98" s="126">
        <v>93.7</v>
      </c>
      <c r="AE98" s="126">
        <v>80.900000000000006</v>
      </c>
      <c r="AF98" s="126">
        <v>99.6</v>
      </c>
      <c r="AG98" s="127"/>
      <c r="AH98" s="54">
        <f t="shared" si="22"/>
        <v>102</v>
      </c>
      <c r="AI98" s="121">
        <f t="shared" si="23"/>
        <v>0.375</v>
      </c>
    </row>
    <row r="99" spans="1:37" ht="15.75" thickBot="1" x14ac:dyDescent="0.3">
      <c r="A99" s="124" t="s">
        <v>103</v>
      </c>
      <c r="B99" s="125">
        <v>60</v>
      </c>
      <c r="C99" s="63">
        <v>63</v>
      </c>
      <c r="D99" s="63">
        <v>60</v>
      </c>
      <c r="E99" s="63">
        <v>62.7</v>
      </c>
      <c r="F99" s="63">
        <v>60</v>
      </c>
      <c r="G99" s="63">
        <v>49.8</v>
      </c>
      <c r="H99" s="63">
        <v>46.4</v>
      </c>
      <c r="I99" s="63">
        <v>14.8</v>
      </c>
      <c r="J99" s="63">
        <v>16</v>
      </c>
      <c r="K99" s="63">
        <v>4.5</v>
      </c>
      <c r="L99" s="63">
        <v>-1.1000000000000001</v>
      </c>
      <c r="M99" s="63">
        <v>-4.8</v>
      </c>
      <c r="N99" s="63">
        <v>-11.3</v>
      </c>
      <c r="O99" s="63">
        <v>12.3</v>
      </c>
      <c r="P99" s="63">
        <v>23.9</v>
      </c>
      <c r="Q99" s="63">
        <v>33.9</v>
      </c>
      <c r="R99" s="63">
        <v>28.6</v>
      </c>
      <c r="S99" s="63">
        <v>27.8</v>
      </c>
      <c r="T99" s="63">
        <v>26.9</v>
      </c>
      <c r="U99" s="63">
        <v>33.1</v>
      </c>
      <c r="V99" s="63">
        <v>29.2</v>
      </c>
      <c r="W99" s="63">
        <v>-2.7</v>
      </c>
      <c r="X99" s="63">
        <v>-4.5999999999999996</v>
      </c>
      <c r="Y99" s="63">
        <v>0</v>
      </c>
      <c r="Z99" s="63">
        <v>28</v>
      </c>
      <c r="AA99" s="63">
        <v>21</v>
      </c>
      <c r="AB99" s="126">
        <v>9.6</v>
      </c>
      <c r="AC99" s="126">
        <v>15.6</v>
      </c>
      <c r="AD99" s="126">
        <v>18.7</v>
      </c>
      <c r="AE99" s="126">
        <v>35</v>
      </c>
      <c r="AF99" s="126">
        <v>54.7</v>
      </c>
      <c r="AG99" s="128"/>
      <c r="AH99" s="54">
        <f t="shared" si="22"/>
        <v>63</v>
      </c>
      <c r="AI99" s="121">
        <f t="shared" si="23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 t="s">
        <v>221</v>
      </c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1372.04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17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2078/11/17)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2078/11/17)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931.54000000000008</v>
      </c>
      <c r="U213" s="174">
        <f t="shared" si="60"/>
        <v>896.54000000000008</v>
      </c>
      <c r="V213" s="174">
        <f t="shared" si="60"/>
        <v>897.34</v>
      </c>
      <c r="W213" s="174">
        <f t="shared" si="60"/>
        <v>903.6400000000001</v>
      </c>
      <c r="X213" s="174">
        <f t="shared" si="60"/>
        <v>913.04000000000008</v>
      </c>
      <c r="Y213" s="174">
        <f t="shared" si="60"/>
        <v>957.24</v>
      </c>
      <c r="Z213" s="174">
        <f t="shared" si="60"/>
        <v>1048.94</v>
      </c>
      <c r="AA213" s="174">
        <f t="shared" si="60"/>
        <v>1138.44</v>
      </c>
      <c r="AB213" s="174">
        <f t="shared" si="60"/>
        <v>1247.04</v>
      </c>
      <c r="AC213" s="174">
        <f t="shared" si="60"/>
        <v>1335.84</v>
      </c>
      <c r="AD213" s="174">
        <f t="shared" si="60"/>
        <v>1372.04</v>
      </c>
      <c r="AE213" s="174">
        <f t="shared" si="60"/>
        <v>1371.3400000000001</v>
      </c>
      <c r="AF213" s="174">
        <f t="shared" si="60"/>
        <v>1323.64</v>
      </c>
      <c r="AG213" s="174">
        <f t="shared" si="60"/>
        <v>1128.04</v>
      </c>
      <c r="AH213" s="174">
        <f t="shared" si="60"/>
        <v>1087.6399999999999</v>
      </c>
      <c r="AI213" s="174">
        <f t="shared" si="60"/>
        <v>1026.54</v>
      </c>
      <c r="AJ213" s="174">
        <f t="shared" si="60"/>
        <v>1011.94</v>
      </c>
      <c r="AK213" s="174">
        <f t="shared" si="60"/>
        <v>1069.6400000000001</v>
      </c>
      <c r="AL213" s="174">
        <f t="shared" si="60"/>
        <v>1050.2400000000002</v>
      </c>
      <c r="AM213" s="174">
        <f t="shared" si="60"/>
        <v>1047.94</v>
      </c>
      <c r="AN213" s="174">
        <f t="shared" si="60"/>
        <v>1076.1399999999999</v>
      </c>
      <c r="AO213" s="174">
        <f t="shared" si="60"/>
        <v>1039.54</v>
      </c>
      <c r="AP213" s="174">
        <f t="shared" si="60"/>
        <v>1122.74</v>
      </c>
      <c r="AQ213" s="174">
        <f t="shared" si="60"/>
        <v>1294.94</v>
      </c>
      <c r="AR213" s="174">
        <f t="shared" si="60"/>
        <v>1404.4399999999998</v>
      </c>
      <c r="AS213" s="174">
        <f t="shared" si="60"/>
        <v>1291.8399999999999</v>
      </c>
      <c r="AT213" s="174">
        <f t="shared" si="60"/>
        <v>1205.04</v>
      </c>
      <c r="AU213" s="174">
        <f t="shared" si="60"/>
        <v>1176.7400000000002</v>
      </c>
      <c r="AV213" s="174">
        <f t="shared" si="60"/>
        <v>1127.74</v>
      </c>
      <c r="AW213" s="174">
        <f t="shared" si="60"/>
        <v>1005.64</v>
      </c>
      <c r="AX213" s="174">
        <f t="shared" si="60"/>
        <v>934.83999999999992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S58:W59 X85:AA91 AB81:AF81 B81:R81 C56:AF56 B82:AF83 D193:AF199 B193:B199 C68:AF72 AB84:AF91 B84:B91 B73:AF80 B9:AF10 B191:AF191 AG73 AB94:AF99 B94:B99 U212:AF212 B53:B72 C53:C55 M39:R42 C57:R67 B36:R36 M12:R13 R40:T41 S62:V67 M11:AC11 U40:Y42 N45:Y48 Z40:AE43 Z12:AC14 Z16:AF31 Z36:AF36 AD11:AF14 M53:AF55 AF57:AF67">
    <cfRule type="expression" dxfId="4114" priority="285">
      <formula>B$9&gt;=20/24</formula>
    </cfRule>
    <cfRule type="expression" dxfId="4113" priority="286">
      <formula>AND(B$9&gt;=14/24,B$9&lt;20/24)</formula>
    </cfRule>
    <cfRule type="expression" dxfId="4112" priority="287">
      <formula>AND(B$9&gt;=8/24,B$9&lt;14/24)</formula>
    </cfRule>
    <cfRule type="expression" dxfId="4111" priority="288">
      <formula>B$9&lt;8/24</formula>
    </cfRule>
  </conditionalFormatting>
  <conditionalFormatting sqref="AL4:AL6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M43:R43">
    <cfRule type="expression" dxfId="4110" priority="276">
      <formula>M$9&gt;=20/24</formula>
    </cfRule>
    <cfRule type="expression" dxfId="4109" priority="277">
      <formula>AND(M$9&gt;=14/24,M$9&lt;20/24)</formula>
    </cfRule>
    <cfRule type="expression" dxfId="4108" priority="278">
      <formula>AND(M$9&gt;=8/24,M$9&lt;14/24)</formula>
    </cfRule>
    <cfRule type="expression" dxfId="4107" priority="279">
      <formula>M$9&lt;8/24</formula>
    </cfRule>
  </conditionalFormatting>
  <conditionalFormatting sqref="Z32:AF32">
    <cfRule type="expression" dxfId="4106" priority="272">
      <formula>Z$9&gt;=20/24</formula>
    </cfRule>
    <cfRule type="expression" dxfId="4105" priority="273">
      <formula>AND(Z$9&gt;=14/24,Z$9&lt;20/24)</formula>
    </cfRule>
    <cfRule type="expression" dxfId="4104" priority="274">
      <formula>AND(Z$9&gt;=8/24,Z$9&lt;14/24)</formula>
    </cfRule>
    <cfRule type="expression" dxfId="4103" priority="275">
      <formula>Z$9&lt;8/24</formula>
    </cfRule>
  </conditionalFormatting>
  <conditionalFormatting sqref="S39:AE39">
    <cfRule type="expression" dxfId="4102" priority="268">
      <formula>S$9&gt;=20/24</formula>
    </cfRule>
    <cfRule type="expression" dxfId="4101" priority="269">
      <formula>AND(S$9&gt;=14/24,S$9&lt;20/24)</formula>
    </cfRule>
    <cfRule type="expression" dxfId="4100" priority="270">
      <formula>AND(S$9&gt;=8/24,S$9&lt;14/24)</formula>
    </cfRule>
    <cfRule type="expression" dxfId="4099" priority="271">
      <formula>S$9&lt;8/24</formula>
    </cfRule>
  </conditionalFormatting>
  <conditionalFormatting sqref="S57:AE57">
    <cfRule type="expression" dxfId="4098" priority="264">
      <formula>S$9&gt;=20/24</formula>
    </cfRule>
    <cfRule type="expression" dxfId="4097" priority="265">
      <formula>AND(S$9&gt;=14/24,S$9&lt;20/24)</formula>
    </cfRule>
    <cfRule type="expression" dxfId="4096" priority="266">
      <formula>AND(S$9&gt;=8/24,S$9&lt;14/24)</formula>
    </cfRule>
    <cfRule type="expression" dxfId="4095" priority="267">
      <formula>S$9&lt;8/24</formula>
    </cfRule>
  </conditionalFormatting>
  <conditionalFormatting sqref="S81:AA81">
    <cfRule type="expression" dxfId="4094" priority="260">
      <formula>S$9&gt;=20/24</formula>
    </cfRule>
    <cfRule type="expression" dxfId="4093" priority="261">
      <formula>AND(S$9&gt;=14/24,S$9&lt;20/24)</formula>
    </cfRule>
    <cfRule type="expression" dxfId="4092" priority="262">
      <formula>AND(S$9&gt;=8/24,S$9&lt;14/24)</formula>
    </cfRule>
    <cfRule type="expression" dxfId="4091" priority="263">
      <formula>S$9&lt;8/24</formula>
    </cfRule>
  </conditionalFormatting>
  <conditionalFormatting sqref="U84:AA84">
    <cfRule type="expression" dxfId="4090" priority="256">
      <formula>U$9&gt;=20/24</formula>
    </cfRule>
    <cfRule type="expression" dxfId="4089" priority="257">
      <formula>AND(U$9&gt;=14/24,U$9&lt;20/24)</formula>
    </cfRule>
    <cfRule type="expression" dxfId="4088" priority="258">
      <formula>AND(U$9&gt;=8/24,U$9&lt;14/24)</formula>
    </cfRule>
    <cfRule type="expression" dxfId="4087" priority="259">
      <formula>U$9&lt;8/24</formula>
    </cfRule>
  </conditionalFormatting>
  <conditionalFormatting sqref="M49:Y49">
    <cfRule type="expression" dxfId="4086" priority="248">
      <formula>M$9&gt;=20/24</formula>
    </cfRule>
    <cfRule type="expression" dxfId="4085" priority="249">
      <formula>AND(M$9&gt;=14/24,M$9&lt;20/24)</formula>
    </cfRule>
    <cfRule type="expression" dxfId="4084" priority="250">
      <formula>AND(M$9&gt;=8/24,M$9&lt;14/24)</formula>
    </cfRule>
    <cfRule type="expression" dxfId="4083" priority="251">
      <formula>M$9&lt;8/24</formula>
    </cfRule>
  </conditionalFormatting>
  <conditionalFormatting sqref="M50:Y50">
    <cfRule type="expression" dxfId="4082" priority="244">
      <formula>M$9&gt;=20/24</formula>
    </cfRule>
    <cfRule type="expression" dxfId="4081" priority="245">
      <formula>AND(M$9&gt;=14/24,M$9&lt;20/24)</formula>
    </cfRule>
    <cfRule type="expression" dxfId="4080" priority="246">
      <formula>AND(M$9&gt;=8/24,M$9&lt;14/24)</formula>
    </cfRule>
    <cfRule type="expression" dxfId="4079" priority="247">
      <formula>M$9&lt;8/24</formula>
    </cfRule>
  </conditionalFormatting>
  <conditionalFormatting sqref="M45:Y48">
    <cfRule type="expression" dxfId="4078" priority="240">
      <formula>M$9&gt;=20/24</formula>
    </cfRule>
    <cfRule type="expression" dxfId="4077" priority="241">
      <formula>AND(M$9&gt;=14/24,M$9&lt;20/24)</formula>
    </cfRule>
    <cfRule type="expression" dxfId="4076" priority="242">
      <formula>AND(M$9&gt;=8/24,M$9&lt;14/24)</formula>
    </cfRule>
    <cfRule type="expression" dxfId="4075" priority="243">
      <formula>M$9&lt;8/24</formula>
    </cfRule>
  </conditionalFormatting>
  <conditionalFormatting sqref="S37:AF37">
    <cfRule type="expression" dxfId="4074" priority="236">
      <formula>S$9&gt;=20/24</formula>
    </cfRule>
    <cfRule type="expression" dxfId="4073" priority="237">
      <formula>AND(S$9&gt;=14/24,S$9&lt;20/24)</formula>
    </cfRule>
    <cfRule type="expression" dxfId="4072" priority="238">
      <formula>AND(S$9&gt;=8/24,S$9&lt;14/24)</formula>
    </cfRule>
    <cfRule type="expression" dxfId="4071" priority="239">
      <formula>S$9&lt;8/24</formula>
    </cfRule>
  </conditionalFormatting>
  <conditionalFormatting sqref="Z35:AF35">
    <cfRule type="expression" dxfId="4070" priority="232">
      <formula>Z$9&gt;=20/24</formula>
    </cfRule>
    <cfRule type="expression" dxfId="4069" priority="233">
      <formula>AND(Z$9&gt;=14/24,Z$9&lt;20/24)</formula>
    </cfRule>
    <cfRule type="expression" dxfId="4068" priority="234">
      <formula>AND(Z$9&gt;=8/24,Z$9&lt;14/24)</formula>
    </cfRule>
    <cfRule type="expression" dxfId="4067" priority="235">
      <formula>Z$9&lt;8/24</formula>
    </cfRule>
  </conditionalFormatting>
  <conditionalFormatting sqref="S42:T43 U43:Y43 S45:AF48">
    <cfRule type="expression" dxfId="4066" priority="228">
      <formula>S$9&gt;=20/24</formula>
    </cfRule>
    <cfRule type="expression" dxfId="4065" priority="229">
      <formula>AND(S$9&gt;=14/24,S$9&lt;20/24)</formula>
    </cfRule>
    <cfRule type="expression" dxfId="4064" priority="230">
      <formula>AND(S$9&gt;=8/24,S$9&lt;14/24)</formula>
    </cfRule>
    <cfRule type="expression" dxfId="4063" priority="231">
      <formula>S$9&lt;8/24</formula>
    </cfRule>
  </conditionalFormatting>
  <conditionalFormatting sqref="S49:AF49">
    <cfRule type="expression" dxfId="4062" priority="224">
      <formula>S$9&gt;=20/24</formula>
    </cfRule>
    <cfRule type="expression" dxfId="4061" priority="225">
      <formula>AND(S$9&gt;=14/24,S$9&lt;20/24)</formula>
    </cfRule>
    <cfRule type="expression" dxfId="4060" priority="226">
      <formula>AND(S$9&gt;=8/24,S$9&lt;14/24)</formula>
    </cfRule>
    <cfRule type="expression" dxfId="4059" priority="227">
      <formula>S$9&lt;8/24</formula>
    </cfRule>
  </conditionalFormatting>
  <conditionalFormatting sqref="S50:AF50">
    <cfRule type="expression" dxfId="4058" priority="220">
      <formula>S$9&gt;=20/24</formula>
    </cfRule>
    <cfRule type="expression" dxfId="4057" priority="221">
      <formula>AND(S$9&gt;=14/24,S$9&lt;20/24)</formula>
    </cfRule>
    <cfRule type="expression" dxfId="4056" priority="222">
      <formula>AND(S$9&gt;=8/24,S$9&lt;14/24)</formula>
    </cfRule>
    <cfRule type="expression" dxfId="4055" priority="223">
      <formula>S$9&lt;8/24</formula>
    </cfRule>
  </conditionalFormatting>
  <conditionalFormatting sqref="X60:Z61 Y62:Z67 AA60:AE67">
    <cfRule type="expression" dxfId="4054" priority="216">
      <formula>X$9&gt;=20/24</formula>
    </cfRule>
    <cfRule type="expression" dxfId="4053" priority="217">
      <formula>AND(X$9&gt;=14/24,X$9&lt;20/24)</formula>
    </cfRule>
    <cfRule type="expression" dxfId="4052" priority="218">
      <formula>AND(X$9&gt;=8/24,X$9&lt;14/24)</formula>
    </cfRule>
    <cfRule type="expression" dxfId="4051" priority="219">
      <formula>X$9&lt;8/24</formula>
    </cfRule>
  </conditionalFormatting>
  <conditionalFormatting sqref="U94:AA97">
    <cfRule type="expression" dxfId="4050" priority="208">
      <formula>U$9&gt;=20/24</formula>
    </cfRule>
    <cfRule type="expression" dxfId="4049" priority="209">
      <formula>AND(U$9&gt;=14/24,U$9&lt;20/24)</formula>
    </cfRule>
    <cfRule type="expression" dxfId="4048" priority="210">
      <formula>AND(U$9&gt;=8/24,U$9&lt;14/24)</formula>
    </cfRule>
    <cfRule type="expression" dxfId="4047" priority="211">
      <formula>U$9&lt;8/24</formula>
    </cfRule>
  </conditionalFormatting>
  <conditionalFormatting sqref="AG51 B34:R36 B12:R13 B11:AC11 B15:R32 B14:Y14 Z12:AC32 Z34:AC36 B37:AC37 AD11:AF32 AD34:AF37 B38:AF56">
    <cfRule type="expression" dxfId="4046" priority="207">
      <formula>B11&gt;$AG11</formula>
    </cfRule>
  </conditionalFormatting>
  <conditionalFormatting sqref="A100:A156 A84:A97 A11:A14 A16:A32 A45:A72 A80:A82 A74:A78 A35:A43 A169:A199">
    <cfRule type="expression" dxfId="4045" priority="206">
      <formula>$AH11=0</formula>
    </cfRule>
  </conditionalFormatting>
  <conditionalFormatting sqref="U98:AA98">
    <cfRule type="expression" dxfId="4044" priority="202">
      <formula>U$9&gt;=20/24</formula>
    </cfRule>
    <cfRule type="expression" dxfId="4043" priority="203">
      <formula>AND(U$9&gt;=14/24,U$9&lt;20/24)</formula>
    </cfRule>
    <cfRule type="expression" dxfId="4042" priority="204">
      <formula>AND(U$9&gt;=8/24,U$9&lt;14/24)</formula>
    </cfRule>
    <cfRule type="expression" dxfId="4041" priority="205">
      <formula>U$9&lt;8/24</formula>
    </cfRule>
  </conditionalFormatting>
  <conditionalFormatting sqref="A98">
    <cfRule type="expression" dxfId="4040" priority="201">
      <formula>$AH98=0</formula>
    </cfRule>
  </conditionalFormatting>
  <conditionalFormatting sqref="AL32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4039" priority="184">
      <formula>Z$9&gt;=20/24</formula>
    </cfRule>
    <cfRule type="expression" dxfId="4038" priority="185">
      <formula>AND(Z$9&gt;=14/24,Z$9&lt;20/24)</formula>
    </cfRule>
    <cfRule type="expression" dxfId="4037" priority="186">
      <formula>AND(Z$9&gt;=8/24,Z$9&lt;14/24)</formula>
    </cfRule>
    <cfRule type="expression" dxfId="4036" priority="187">
      <formula>Z$9&lt;8/24</formula>
    </cfRule>
  </conditionalFormatting>
  <conditionalFormatting sqref="A34">
    <cfRule type="expression" dxfId="4035" priority="175">
      <formula>$AH34=0</formula>
    </cfRule>
  </conditionalFormatting>
  <conditionalFormatting sqref="A83">
    <cfRule type="expression" dxfId="4034" priority="174">
      <formula>$AH83=0</formula>
    </cfRule>
  </conditionalFormatting>
  <conditionalFormatting sqref="Z15:AF15">
    <cfRule type="expression" dxfId="4033" priority="170">
      <formula>Z$9&gt;=20/24</formula>
    </cfRule>
    <cfRule type="expression" dxfId="4032" priority="171">
      <formula>AND(Z$9&gt;=14/24,Z$9&lt;20/24)</formula>
    </cfRule>
    <cfRule type="expression" dxfId="4031" priority="172">
      <formula>AND(Z$9&gt;=8/24,Z$9&lt;14/24)</formula>
    </cfRule>
    <cfRule type="expression" dxfId="4030" priority="173">
      <formula>Z$9&lt;8/24</formula>
    </cfRule>
  </conditionalFormatting>
  <conditionalFormatting sqref="A15">
    <cfRule type="expression" dxfId="4029" priority="164">
      <formula>$AH15=0</formula>
    </cfRule>
  </conditionalFormatting>
  <conditionalFormatting sqref="A163:A168">
    <cfRule type="expression" dxfId="4028" priority="163">
      <formula>$AH163=0</formula>
    </cfRule>
  </conditionalFormatting>
  <conditionalFormatting sqref="A157:A162">
    <cfRule type="expression" dxfId="4027" priority="162">
      <formula>$AH157=0</formula>
    </cfRule>
  </conditionalFormatting>
  <conditionalFormatting sqref="Z44:AE44">
    <cfRule type="expression" dxfId="4026" priority="158">
      <formula>Z$9&gt;=20/24</formula>
    </cfRule>
    <cfRule type="expression" dxfId="4025" priority="159">
      <formula>AND(Z$9&gt;=14/24,Z$9&lt;20/24)</formula>
    </cfRule>
    <cfRule type="expression" dxfId="4024" priority="160">
      <formula>AND(Z$9&gt;=8/24,Z$9&lt;14/24)</formula>
    </cfRule>
    <cfRule type="expression" dxfId="4023" priority="161">
      <formula>Z$9&lt;8/24</formula>
    </cfRule>
  </conditionalFormatting>
  <conditionalFormatting sqref="M44:Y44">
    <cfRule type="expression" dxfId="4022" priority="154">
      <formula>M$9&gt;=20/24</formula>
    </cfRule>
    <cfRule type="expression" dxfId="4021" priority="155">
      <formula>AND(M$9&gt;=14/24,M$9&lt;20/24)</formula>
    </cfRule>
    <cfRule type="expression" dxfId="4020" priority="156">
      <formula>AND(M$9&gt;=8/24,M$9&lt;14/24)</formula>
    </cfRule>
    <cfRule type="expression" dxfId="4019" priority="157">
      <formula>M$9&lt;8/24</formula>
    </cfRule>
  </conditionalFormatting>
  <conditionalFormatting sqref="S44:Y44">
    <cfRule type="expression" dxfId="4018" priority="150">
      <formula>S$9&gt;=20/24</formula>
    </cfRule>
    <cfRule type="expression" dxfId="4017" priority="151">
      <formula>AND(S$9&gt;=14/24,S$9&lt;20/24)</formula>
    </cfRule>
    <cfRule type="expression" dxfId="4016" priority="152">
      <formula>AND(S$9&gt;=8/24,S$9&lt;14/24)</formula>
    </cfRule>
    <cfRule type="expression" dxfId="4015" priority="153">
      <formula>S$9&lt;8/24</formula>
    </cfRule>
  </conditionalFormatting>
  <conditionalFormatting sqref="A44">
    <cfRule type="expression" dxfId="4014" priority="149">
      <formula>$AH44=0</formula>
    </cfRule>
  </conditionalFormatting>
  <conditionalFormatting sqref="A79">
    <cfRule type="expression" dxfId="4013" priority="148">
      <formula>$AH79=0</formula>
    </cfRule>
  </conditionalFormatting>
  <conditionalFormatting sqref="A73">
    <cfRule type="expression" dxfId="4012" priority="147">
      <formula>$AH73=0</formula>
    </cfRule>
  </conditionalFormatting>
  <conditionalFormatting sqref="AL34:AL35 AL7:AL31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S60:W61 W62:X67">
    <cfRule type="expression" dxfId="4011" priority="143">
      <formula>S$9&gt;=20/24</formula>
    </cfRule>
    <cfRule type="expression" dxfId="4010" priority="144">
      <formula>AND(S$9&gt;=14/24,S$9&lt;20/24)</formula>
    </cfRule>
    <cfRule type="expression" dxfId="4009" priority="145">
      <formula>AND(S$9&gt;=8/24,S$9&lt;14/24)</formula>
    </cfRule>
    <cfRule type="expression" dxfId="4008" priority="146">
      <formula>S$9&lt;8/24</formula>
    </cfRule>
  </conditionalFormatting>
  <conditionalFormatting sqref="U85:W91">
    <cfRule type="expression" dxfId="4007" priority="139">
      <formula>U$9&gt;=20/24</formula>
    </cfRule>
    <cfRule type="expression" dxfId="4006" priority="140">
      <formula>AND(U$9&gt;=14/24,U$9&lt;20/24)</formula>
    </cfRule>
    <cfRule type="expression" dxfId="4005" priority="141">
      <formula>AND(U$9&gt;=8/24,U$9&lt;14/24)</formula>
    </cfRule>
    <cfRule type="expression" dxfId="4004" priority="142">
      <formula>U$9&lt;8/24</formula>
    </cfRule>
  </conditionalFormatting>
  <conditionalFormatting sqref="S85:T91 C84:R91">
    <cfRule type="expression" dxfId="4003" priority="135">
      <formula>C$9&gt;=20/24</formula>
    </cfRule>
    <cfRule type="expression" dxfId="4002" priority="136">
      <formula>AND(C$9&gt;=14/24,C$9&lt;20/24)</formula>
    </cfRule>
    <cfRule type="expression" dxfId="4001" priority="137">
      <formula>AND(C$9&gt;=8/24,C$9&lt;14/24)</formula>
    </cfRule>
    <cfRule type="expression" dxfId="4000" priority="138">
      <formula>C$9&lt;8/24</formula>
    </cfRule>
  </conditionalFormatting>
  <conditionalFormatting sqref="S84:T84">
    <cfRule type="expression" dxfId="3999" priority="131">
      <formula>S$9&gt;=20/24</formula>
    </cfRule>
    <cfRule type="expression" dxfId="3998" priority="132">
      <formula>AND(S$9&gt;=14/24,S$9&lt;20/24)</formula>
    </cfRule>
    <cfRule type="expression" dxfId="3997" priority="133">
      <formula>AND(S$9&gt;=8/24,S$9&lt;14/24)</formula>
    </cfRule>
    <cfRule type="expression" dxfId="3996" priority="134">
      <formula>S$9&lt;8/24</formula>
    </cfRule>
  </conditionalFormatting>
  <conditionalFormatting sqref="C94:F94 C95:N97">
    <cfRule type="expression" dxfId="3995" priority="127">
      <formula>C$9&gt;=20/24</formula>
    </cfRule>
    <cfRule type="expression" dxfId="3994" priority="128">
      <formula>AND(C$9&gt;=14/24,C$9&lt;20/24)</formula>
    </cfRule>
    <cfRule type="expression" dxfId="3993" priority="129">
      <formula>AND(C$9&gt;=8/24,C$9&lt;14/24)</formula>
    </cfRule>
    <cfRule type="expression" dxfId="3992" priority="130">
      <formula>C$9&lt;8/24</formula>
    </cfRule>
  </conditionalFormatting>
  <conditionalFormatting sqref="O94:R97">
    <cfRule type="expression" dxfId="3991" priority="123">
      <formula>O$9&gt;=20/24</formula>
    </cfRule>
    <cfRule type="expression" dxfId="3990" priority="124">
      <formula>AND(O$9&gt;=14/24,O$9&lt;20/24)</formula>
    </cfRule>
    <cfRule type="expression" dxfId="3989" priority="125">
      <formula>AND(O$9&gt;=8/24,O$9&lt;14/24)</formula>
    </cfRule>
    <cfRule type="expression" dxfId="3988" priority="126">
      <formula>O$9&lt;8/24</formula>
    </cfRule>
  </conditionalFormatting>
  <conditionalFormatting sqref="S94:T97">
    <cfRule type="expression" dxfId="3987" priority="119">
      <formula>S$9&gt;=20/24</formula>
    </cfRule>
    <cfRule type="expression" dxfId="3986" priority="120">
      <formula>AND(S$9&gt;=14/24,S$9&lt;20/24)</formula>
    </cfRule>
    <cfRule type="expression" dxfId="3985" priority="121">
      <formula>AND(S$9&gt;=8/24,S$9&lt;14/24)</formula>
    </cfRule>
    <cfRule type="expression" dxfId="3984" priority="122">
      <formula>S$9&lt;8/24</formula>
    </cfRule>
  </conditionalFormatting>
  <conditionalFormatting sqref="C98:N98">
    <cfRule type="expression" dxfId="3983" priority="115">
      <formula>C$9&gt;=20/24</formula>
    </cfRule>
    <cfRule type="expression" dxfId="3982" priority="116">
      <formula>AND(C$9&gt;=14/24,C$9&lt;20/24)</formula>
    </cfRule>
    <cfRule type="expression" dxfId="3981" priority="117">
      <formula>AND(C$9&gt;=8/24,C$9&lt;14/24)</formula>
    </cfRule>
    <cfRule type="expression" dxfId="3980" priority="118">
      <formula>C$9&lt;8/24</formula>
    </cfRule>
  </conditionalFormatting>
  <conditionalFormatting sqref="O98:R98">
    <cfRule type="expression" dxfId="3979" priority="111">
      <formula>O$9&gt;=20/24</formula>
    </cfRule>
    <cfRule type="expression" dxfId="3978" priority="112">
      <formula>AND(O$9&gt;=14/24,O$9&lt;20/24)</formula>
    </cfRule>
    <cfRule type="expression" dxfId="3977" priority="113">
      <formula>AND(O$9&gt;=8/24,O$9&lt;14/24)</formula>
    </cfRule>
    <cfRule type="expression" dxfId="3976" priority="114">
      <formula>O$9&lt;8/24</formula>
    </cfRule>
  </conditionalFormatting>
  <conditionalFormatting sqref="S98:T98">
    <cfRule type="expression" dxfId="3975" priority="107">
      <formula>S$9&gt;=20/24</formula>
    </cfRule>
    <cfRule type="expression" dxfId="3974" priority="108">
      <formula>AND(S$9&gt;=14/24,S$9&lt;20/24)</formula>
    </cfRule>
    <cfRule type="expression" dxfId="3973" priority="109">
      <formula>AND(S$9&gt;=8/24,S$9&lt;14/24)</formula>
    </cfRule>
    <cfRule type="expression" dxfId="3972" priority="110">
      <formula>S$9&lt;8/24</formula>
    </cfRule>
  </conditionalFormatting>
  <conditionalFormatting sqref="G94:N94">
    <cfRule type="expression" dxfId="3971" priority="99">
      <formula>G$9&gt;=20/24</formula>
    </cfRule>
    <cfRule type="expression" dxfId="3970" priority="100">
      <formula>AND(G$9&gt;=14/24,G$9&lt;20/24)</formula>
    </cfRule>
    <cfRule type="expression" dxfId="3969" priority="101">
      <formula>AND(G$9&gt;=8/24,G$9&lt;14/24)</formula>
    </cfRule>
    <cfRule type="expression" dxfId="3968" priority="102">
      <formula>G$9&lt;8/24</formula>
    </cfRule>
  </conditionalFormatting>
  <conditionalFormatting sqref="U94:W94">
    <cfRule type="expression" dxfId="3967" priority="95">
      <formula>U$9&gt;=20/24</formula>
    </cfRule>
    <cfRule type="expression" dxfId="3966" priority="96">
      <formula>AND(U$9&gt;=14/24,U$9&lt;20/24)</formula>
    </cfRule>
    <cfRule type="expression" dxfId="3965" priority="97">
      <formula>AND(U$9&gt;=8/24,U$9&lt;14/24)</formula>
    </cfRule>
    <cfRule type="expression" dxfId="3964" priority="98">
      <formula>U$9&lt;8/24</formula>
    </cfRule>
  </conditionalFormatting>
  <conditionalFormatting sqref="O94:T94">
    <cfRule type="expression" dxfId="3963" priority="91">
      <formula>O$9&gt;=20/24</formula>
    </cfRule>
    <cfRule type="expression" dxfId="3962" priority="92">
      <formula>AND(O$9&gt;=14/24,O$9&lt;20/24)</formula>
    </cfRule>
    <cfRule type="expression" dxfId="3961" priority="93">
      <formula>AND(O$9&gt;=8/24,O$9&lt;14/24)</formula>
    </cfRule>
    <cfRule type="expression" dxfId="3960" priority="94">
      <formula>O$9&lt;8/24</formula>
    </cfRule>
  </conditionalFormatting>
  <conditionalFormatting sqref="U99:AA99">
    <cfRule type="expression" dxfId="3959" priority="87">
      <formula>U$9&gt;=20/24</formula>
    </cfRule>
    <cfRule type="expression" dxfId="3958" priority="88">
      <formula>AND(U$9&gt;=14/24,U$9&lt;20/24)</formula>
    </cfRule>
    <cfRule type="expression" dxfId="3957" priority="89">
      <formula>AND(U$9&gt;=8/24,U$9&lt;14/24)</formula>
    </cfRule>
    <cfRule type="expression" dxfId="3956" priority="90">
      <formula>U$9&lt;8/24</formula>
    </cfRule>
  </conditionalFormatting>
  <conditionalFormatting sqref="C99:N99">
    <cfRule type="expression" dxfId="3955" priority="83">
      <formula>C$9&gt;=20/24</formula>
    </cfRule>
    <cfRule type="expression" dxfId="3954" priority="84">
      <formula>AND(C$9&gt;=14/24,C$9&lt;20/24)</formula>
    </cfRule>
    <cfRule type="expression" dxfId="3953" priority="85">
      <formula>AND(C$9&gt;=8/24,C$9&lt;14/24)</formula>
    </cfRule>
    <cfRule type="expression" dxfId="3952" priority="86">
      <formula>C$9&lt;8/24</formula>
    </cfRule>
  </conditionalFormatting>
  <conditionalFormatting sqref="O99:R99">
    <cfRule type="expression" dxfId="3951" priority="79">
      <formula>O$9&gt;=20/24</formula>
    </cfRule>
    <cfRule type="expression" dxfId="3950" priority="80">
      <formula>AND(O$9&gt;=14/24,O$9&lt;20/24)</formula>
    </cfRule>
    <cfRule type="expression" dxfId="3949" priority="81">
      <formula>AND(O$9&gt;=8/24,O$9&lt;14/24)</formula>
    </cfRule>
    <cfRule type="expression" dxfId="3948" priority="82">
      <formula>O$9&lt;8/24</formula>
    </cfRule>
  </conditionalFormatting>
  <conditionalFormatting sqref="S99:T99">
    <cfRule type="expression" dxfId="3947" priority="75">
      <formula>S$9&gt;=20/24</formula>
    </cfRule>
    <cfRule type="expression" dxfId="3946" priority="76">
      <formula>AND(S$9&gt;=14/24,S$9&lt;20/24)</formula>
    </cfRule>
    <cfRule type="expression" dxfId="3945" priority="77">
      <formula>AND(S$9&gt;=8/24,S$9&lt;14/24)</formula>
    </cfRule>
    <cfRule type="expression" dxfId="3944" priority="78">
      <formula>S$9&lt;8/24</formula>
    </cfRule>
  </conditionalFormatting>
  <conditionalFormatting sqref="AB58:AE59">
    <cfRule type="expression" dxfId="3943" priority="59">
      <formula>AB$9&gt;=20/24</formula>
    </cfRule>
    <cfRule type="expression" dxfId="3942" priority="60">
      <formula>AND(AB$9&gt;=14/24,AB$9&lt;20/24)</formula>
    </cfRule>
    <cfRule type="expression" dxfId="3941" priority="61">
      <formula>AND(AB$9&gt;=8/24,AB$9&lt;14/24)</formula>
    </cfRule>
    <cfRule type="expression" dxfId="3940" priority="62">
      <formula>AB$9&lt;8/24</formula>
    </cfRule>
  </conditionalFormatting>
  <conditionalFormatting sqref="AL33">
    <cfRule type="iconSet" priority="5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39" priority="292">
      <formula>C$9&gt;=20/24</formula>
    </cfRule>
    <cfRule type="expression" dxfId="3938" priority="293">
      <formula>AND(C$9&gt;=14/24,C$9&lt;20/24)</formula>
    </cfRule>
    <cfRule type="expression" dxfId="3937" priority="294">
      <formula>AND(C$9&gt;=8/24,C$9&lt;14/24)</formula>
    </cfRule>
    <cfRule type="expression" dxfId="3936" priority="295">
      <formula>C$9&lt;8/24</formula>
    </cfRule>
  </conditionalFormatting>
  <conditionalFormatting sqref="A200">
    <cfRule type="expression" dxfId="3935" priority="296">
      <formula>$AH200=0</formula>
    </cfRule>
  </conditionalFormatting>
  <conditionalFormatting sqref="AG212">
    <cfRule type="expression" dxfId="3934" priority="297">
      <formula>B$9&gt;=20/24</formula>
    </cfRule>
    <cfRule type="expression" dxfId="3933" priority="298">
      <formula>AND(B$9&gt;=14/24,B$9&lt;20/24)</formula>
    </cfRule>
    <cfRule type="expression" dxfId="3932" priority="299">
      <formula>AND(B$9&gt;=8/24,B$9&lt;14/24)</formula>
    </cfRule>
    <cfRule type="expression" dxfId="3931" priority="300">
      <formula>B$9&lt;8/24</formula>
    </cfRule>
  </conditionalFormatting>
  <conditionalFormatting sqref="S8">
    <cfRule type="expression" dxfId="3930" priority="53">
      <formula>U$9&gt;=20/24</formula>
    </cfRule>
    <cfRule type="expression" dxfId="3929" priority="54">
      <formula>AND(U$9&gt;=14/24,U$9&lt;20/24)</formula>
    </cfRule>
    <cfRule type="expression" dxfId="3928" priority="55">
      <formula>AND(U$9&gt;=8/24,U$9&lt;14/24)</formula>
    </cfRule>
    <cfRule type="expression" dxfId="3927" priority="56">
      <formula>U$9&lt;8/24</formula>
    </cfRule>
  </conditionalFormatting>
  <conditionalFormatting sqref="AB8">
    <cfRule type="expression" dxfId="3926" priority="49">
      <formula>AD$9&gt;=20/24</formula>
    </cfRule>
    <cfRule type="expression" dxfId="3925" priority="50">
      <formula>AND(AD$9&gt;=14/24,AD$9&lt;20/24)</formula>
    </cfRule>
    <cfRule type="expression" dxfId="3924" priority="51">
      <formula>AND(AD$9&gt;=8/24,AD$9&lt;14/24)</formula>
    </cfRule>
    <cfRule type="expression" dxfId="3923" priority="52">
      <formula>AD$9&lt;8/24</formula>
    </cfRule>
  </conditionalFormatting>
  <conditionalFormatting sqref="AH212:AX212">
    <cfRule type="expression" dxfId="3922" priority="301">
      <formula>AG$9&gt;=20/24</formula>
    </cfRule>
    <cfRule type="expression" dxfId="3921" priority="302">
      <formula>AND(AG$9&gt;=14/24,AG$9&lt;20/24)</formula>
    </cfRule>
    <cfRule type="expression" dxfId="3920" priority="303">
      <formula>AND(AG$9&gt;=8/24,AG$9&lt;14/24)</formula>
    </cfRule>
    <cfRule type="expression" dxfId="3919" priority="304">
      <formula>AG$9&lt;8/24</formula>
    </cfRule>
  </conditionalFormatting>
  <conditionalFormatting sqref="T212">
    <cfRule type="expression" dxfId="3918" priority="305">
      <formula>AX$9&gt;=20/24</formula>
    </cfRule>
    <cfRule type="expression" dxfId="3917" priority="306">
      <formula>AND(AX$9&gt;=14/24,AX$9&lt;20/24)</formula>
    </cfRule>
    <cfRule type="expression" dxfId="3916" priority="307">
      <formula>AND(AX$9&gt;=8/24,AX$9&lt;14/24)</formula>
    </cfRule>
    <cfRule type="expression" dxfId="3915" priority="308">
      <formula>AX$9&lt;8/24</formula>
    </cfRule>
  </conditionalFormatting>
  <conditionalFormatting sqref="A99">
    <cfRule type="expression" dxfId="3914" priority="48">
      <formula>$AH99=0</formula>
    </cfRule>
  </conditionalFormatting>
  <conditionalFormatting sqref="Z33:AF33">
    <cfRule type="expression" dxfId="3913" priority="40">
      <formula>Z$9&gt;=20/24</formula>
    </cfRule>
    <cfRule type="expression" dxfId="3912" priority="41">
      <formula>AND(Z$9&gt;=14/24,Z$9&lt;20/24)</formula>
    </cfRule>
    <cfRule type="expression" dxfId="3911" priority="42">
      <formula>AND(Z$9&gt;=8/24,Z$9&lt;14/24)</formula>
    </cfRule>
    <cfRule type="expression" dxfId="3910" priority="43">
      <formula>Z$9&lt;8/24</formula>
    </cfRule>
  </conditionalFormatting>
  <conditionalFormatting sqref="B33:R33 Z33:AF33">
    <cfRule type="expression" dxfId="3909" priority="35">
      <formula>B33&gt;$AG33</formula>
    </cfRule>
  </conditionalFormatting>
  <conditionalFormatting sqref="S17:Y29 S35:Y35">
    <cfRule type="expression" dxfId="3908" priority="31">
      <formula>S$9&gt;=20/24</formula>
    </cfRule>
    <cfRule type="expression" dxfId="3907" priority="32">
      <formula>AND(S$9&gt;=14/24,S$9&lt;20/24)</formula>
    </cfRule>
    <cfRule type="expression" dxfId="3906" priority="33">
      <formula>AND(S$9&gt;=8/24,S$9&lt;14/24)</formula>
    </cfRule>
    <cfRule type="expression" dxfId="3905" priority="34">
      <formula>S$9&lt;8/24</formula>
    </cfRule>
  </conditionalFormatting>
  <conditionalFormatting sqref="S36:Y36">
    <cfRule type="expression" dxfId="3904" priority="27">
      <formula>S$9&gt;=20/24</formula>
    </cfRule>
    <cfRule type="expression" dxfId="3903" priority="28">
      <formula>AND(S$9&gt;=14/24,S$9&lt;20/24)</formula>
    </cfRule>
    <cfRule type="expression" dxfId="3902" priority="29">
      <formula>AND(S$9&gt;=8/24,S$9&lt;14/24)</formula>
    </cfRule>
    <cfRule type="expression" dxfId="3901" priority="30">
      <formula>S$9&lt;8/24</formula>
    </cfRule>
  </conditionalFormatting>
  <conditionalFormatting sqref="S30:Y31 S34:Y34">
    <cfRule type="expression" dxfId="3900" priority="23">
      <formula>S$9&gt;=20/24</formula>
    </cfRule>
    <cfRule type="expression" dxfId="3899" priority="24">
      <formula>AND(S$9&gt;=14/24,S$9&lt;20/24)</formula>
    </cfRule>
    <cfRule type="expression" dxfId="3898" priority="25">
      <formula>AND(S$9&gt;=8/24,S$9&lt;14/24)</formula>
    </cfRule>
    <cfRule type="expression" dxfId="3897" priority="26">
      <formula>S$9&lt;8/24</formula>
    </cfRule>
  </conditionalFormatting>
  <conditionalFormatting sqref="S17:Y31 S33:Y36">
    <cfRule type="expression" dxfId="3896" priority="22">
      <formula>S17&gt;$AG17</formula>
    </cfRule>
  </conditionalFormatting>
  <conditionalFormatting sqref="S33:Y33">
    <cfRule type="expression" dxfId="3895" priority="18">
      <formula>S$9&gt;=20/24</formula>
    </cfRule>
    <cfRule type="expression" dxfId="3894" priority="19">
      <formula>AND(S$9&gt;=14/24,S$9&lt;20/24)</formula>
    </cfRule>
    <cfRule type="expression" dxfId="3893" priority="20">
      <formula>AND(S$9&gt;=8/24,S$9&lt;14/24)</formula>
    </cfRule>
    <cfRule type="expression" dxfId="3892" priority="21">
      <formula>S$9&lt;8/24</formula>
    </cfRule>
  </conditionalFormatting>
  <conditionalFormatting sqref="S12:Y13 S15:Y15">
    <cfRule type="expression" dxfId="3891" priority="14">
      <formula>S$9&gt;=20/24</formula>
    </cfRule>
    <cfRule type="expression" dxfId="3890" priority="15">
      <formula>AND(S$9&gt;=14/24,S$9&lt;20/24)</formula>
    </cfRule>
    <cfRule type="expression" dxfId="3889" priority="16">
      <formula>AND(S$9&gt;=8/24,S$9&lt;14/24)</formula>
    </cfRule>
    <cfRule type="expression" dxfId="3888" priority="17">
      <formula>S$9&lt;8/24</formula>
    </cfRule>
  </conditionalFormatting>
  <conditionalFormatting sqref="S16:Y16">
    <cfRule type="expression" dxfId="3887" priority="10">
      <formula>S$9&gt;=20/24</formula>
    </cfRule>
    <cfRule type="expression" dxfId="3886" priority="11">
      <formula>AND(S$9&gt;=14/24,S$9&lt;20/24)</formula>
    </cfRule>
    <cfRule type="expression" dxfId="3885" priority="12">
      <formula>AND(S$9&gt;=8/24,S$9&lt;14/24)</formula>
    </cfRule>
    <cfRule type="expression" dxfId="3884" priority="13">
      <formula>S$9&lt;8/24</formula>
    </cfRule>
  </conditionalFormatting>
  <conditionalFormatting sqref="S12:Y12">
    <cfRule type="expression" dxfId="3883" priority="6">
      <formula>S$9&gt;=20/24</formula>
    </cfRule>
    <cfRule type="expression" dxfId="3882" priority="7">
      <formula>AND(S$9&gt;=14/24,S$9&lt;20/24)</formula>
    </cfRule>
    <cfRule type="expression" dxfId="3881" priority="8">
      <formula>AND(S$9&gt;=8/24,S$9&lt;14/24)</formula>
    </cfRule>
    <cfRule type="expression" dxfId="3880" priority="9">
      <formula>S$9&lt;8/24</formula>
    </cfRule>
  </conditionalFormatting>
  <conditionalFormatting sqref="S32:Y32">
    <cfRule type="expression" dxfId="3879" priority="2">
      <formula>S$9&gt;=20/24</formula>
    </cfRule>
    <cfRule type="expression" dxfId="3878" priority="3">
      <formula>AND(S$9&gt;=14/24,S$9&lt;20/24)</formula>
    </cfRule>
    <cfRule type="expression" dxfId="3877" priority="4">
      <formula>AND(S$9&gt;=8/24,S$9&lt;14/24)</formula>
    </cfRule>
    <cfRule type="expression" dxfId="3876" priority="5">
      <formula>S$9&lt;8/24</formula>
    </cfRule>
  </conditionalFormatting>
  <conditionalFormatting sqref="S32:Y32">
    <cfRule type="expression" dxfId="3875" priority="1">
      <formula>S32&gt;$AG32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C0508ABA-4EBA-4FCB-9C80-7F1CE7055DF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M58" sqref="M5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2078/11/18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440.8</v>
      </c>
      <c r="C5" s="32">
        <f t="shared" si="0"/>
        <v>431.7</v>
      </c>
      <c r="D5" s="32">
        <f t="shared" si="0"/>
        <v>415.4</v>
      </c>
      <c r="E5" s="32">
        <f t="shared" si="0"/>
        <v>408.20000000000005</v>
      </c>
      <c r="F5" s="32">
        <f t="shared" si="0"/>
        <v>451.79999999999995</v>
      </c>
      <c r="G5" s="32">
        <f t="shared" si="0"/>
        <v>464.6</v>
      </c>
      <c r="H5" s="32">
        <f t="shared" si="0"/>
        <v>392.3</v>
      </c>
      <c r="I5" s="32">
        <f t="shared" si="0"/>
        <v>459.9</v>
      </c>
      <c r="J5" s="32">
        <f t="shared" si="0"/>
        <v>324.89999999999998</v>
      </c>
      <c r="K5" s="32">
        <f t="shared" si="0"/>
        <v>224</v>
      </c>
      <c r="L5" s="32">
        <f t="shared" si="0"/>
        <v>296.59999999999997</v>
      </c>
      <c r="M5" s="32">
        <f t="shared" si="0"/>
        <v>563.69999999999993</v>
      </c>
      <c r="N5" s="32">
        <f t="shared" si="0"/>
        <v>559.40000000000009</v>
      </c>
      <c r="O5" s="32">
        <f t="shared" si="0"/>
        <v>535.1</v>
      </c>
      <c r="P5" s="32">
        <f t="shared" si="0"/>
        <v>478</v>
      </c>
      <c r="Q5" s="32">
        <f t="shared" si="0"/>
        <v>471.70000000000005</v>
      </c>
      <c r="R5" s="32">
        <f t="shared" si="0"/>
        <v>522</v>
      </c>
      <c r="S5" s="32">
        <f t="shared" si="0"/>
        <v>530</v>
      </c>
      <c r="T5" s="32">
        <f t="shared" si="0"/>
        <v>550.20000000000005</v>
      </c>
      <c r="U5" s="32">
        <f t="shared" si="0"/>
        <v>555.6</v>
      </c>
      <c r="V5" s="32">
        <f t="shared" si="0"/>
        <v>584.80000000000007</v>
      </c>
      <c r="W5" s="32">
        <f t="shared" si="0"/>
        <v>519</v>
      </c>
      <c r="X5" s="32">
        <f t="shared" si="0"/>
        <v>599</v>
      </c>
      <c r="Y5" s="32">
        <f t="shared" si="0"/>
        <v>375.7</v>
      </c>
      <c r="Z5" s="32">
        <f t="shared" si="0"/>
        <v>531.9</v>
      </c>
      <c r="AA5" s="32">
        <f t="shared" si="0"/>
        <v>524.20000000000005</v>
      </c>
      <c r="AB5" s="32">
        <f t="shared" si="0"/>
        <v>502.4</v>
      </c>
      <c r="AC5" s="32">
        <f t="shared" si="0"/>
        <v>496</v>
      </c>
      <c r="AD5" s="32">
        <f t="shared" si="0"/>
        <v>422</v>
      </c>
      <c r="AE5" s="32">
        <f t="shared" si="0"/>
        <v>422</v>
      </c>
      <c r="AF5" s="32">
        <f>B68</f>
        <v>418.9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1417MW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Load=872</v>
      </c>
      <c r="B7" s="37">
        <f>B75</f>
        <v>924.43999999999994</v>
      </c>
      <c r="C7" s="37">
        <f t="shared" ref="C7:AF7" si="1">C75</f>
        <v>901.24</v>
      </c>
      <c r="D7" s="37">
        <f t="shared" si="1"/>
        <v>888.24</v>
      </c>
      <c r="E7" s="37">
        <f t="shared" si="1"/>
        <v>872.2399999999999</v>
      </c>
      <c r="F7" s="37">
        <f t="shared" si="1"/>
        <v>884.64</v>
      </c>
      <c r="G7" s="37">
        <f t="shared" si="1"/>
        <v>948.74</v>
      </c>
      <c r="H7" s="37">
        <f t="shared" si="1"/>
        <v>1001.24</v>
      </c>
      <c r="I7" s="37">
        <f t="shared" si="1"/>
        <v>1076.8400000000001</v>
      </c>
      <c r="J7" s="37">
        <f t="shared" si="1"/>
        <v>1152.04</v>
      </c>
      <c r="K7" s="37">
        <f t="shared" si="1"/>
        <v>1301.8400000000001</v>
      </c>
      <c r="L7" s="37">
        <f t="shared" si="1"/>
        <v>1394.24</v>
      </c>
      <c r="M7" s="37">
        <f t="shared" si="1"/>
        <v>1417.44</v>
      </c>
      <c r="N7" s="37">
        <f t="shared" si="1"/>
        <v>1373.2399999999998</v>
      </c>
      <c r="O7" s="37">
        <f t="shared" si="1"/>
        <v>1284.94</v>
      </c>
      <c r="P7" s="37">
        <f t="shared" si="1"/>
        <v>1264.1400000000001</v>
      </c>
      <c r="Q7" s="37">
        <f t="shared" si="1"/>
        <v>1176.24</v>
      </c>
      <c r="R7" s="37">
        <f t="shared" si="1"/>
        <v>1172.1399999999999</v>
      </c>
      <c r="S7" s="37">
        <f t="shared" si="1"/>
        <v>1117.94</v>
      </c>
      <c r="T7" s="37">
        <f t="shared" si="1"/>
        <v>1166.24</v>
      </c>
      <c r="U7" s="37">
        <f t="shared" si="1"/>
        <v>1187.04</v>
      </c>
      <c r="V7" s="37">
        <f t="shared" si="1"/>
        <v>1194.6400000000001</v>
      </c>
      <c r="W7" s="37">
        <f t="shared" si="1"/>
        <v>1238.3400000000001</v>
      </c>
      <c r="X7" s="37">
        <f t="shared" si="1"/>
        <v>1283.04</v>
      </c>
      <c r="Y7" s="37">
        <f t="shared" si="1"/>
        <v>1442.44</v>
      </c>
      <c r="Z7" s="37">
        <f t="shared" si="1"/>
        <v>1448.54</v>
      </c>
      <c r="AA7" s="37">
        <f t="shared" si="1"/>
        <v>1313.24</v>
      </c>
      <c r="AB7" s="37">
        <f t="shared" si="1"/>
        <v>1270.44</v>
      </c>
      <c r="AC7" s="37">
        <f t="shared" si="1"/>
        <v>1244.3399999999999</v>
      </c>
      <c r="AD7" s="37">
        <f t="shared" si="1"/>
        <v>1173.94</v>
      </c>
      <c r="AE7" s="37">
        <f t="shared" si="1"/>
        <v>1022.5400000000001</v>
      </c>
      <c r="AF7" s="37">
        <f t="shared" si="1"/>
        <v>950.13999999999987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30</v>
      </c>
      <c r="C11" s="50">
        <v>12</v>
      </c>
      <c r="D11" s="50">
        <v>12</v>
      </c>
      <c r="E11" s="49">
        <v>12</v>
      </c>
      <c r="F11" s="49">
        <v>30</v>
      </c>
      <c r="G11" s="49">
        <v>30</v>
      </c>
      <c r="H11" s="49">
        <v>60</v>
      </c>
      <c r="I11" s="49">
        <v>130</v>
      </c>
      <c r="J11" s="49">
        <v>80</v>
      </c>
      <c r="K11" s="49">
        <v>280</v>
      </c>
      <c r="L11" s="49">
        <v>440</v>
      </c>
      <c r="M11" s="50">
        <v>350</v>
      </c>
      <c r="N11" s="50">
        <v>110</v>
      </c>
      <c r="O11" s="50">
        <v>95</v>
      </c>
      <c r="P11" s="50">
        <v>75</v>
      </c>
      <c r="Q11" s="50">
        <v>12</v>
      </c>
      <c r="R11" s="50">
        <v>12</v>
      </c>
      <c r="S11" s="50">
        <v>40</v>
      </c>
      <c r="T11" s="50">
        <v>76</v>
      </c>
      <c r="U11" s="50">
        <v>60</v>
      </c>
      <c r="V11" s="50">
        <v>70</v>
      </c>
      <c r="W11" s="50">
        <v>65</v>
      </c>
      <c r="X11" s="50">
        <v>140</v>
      </c>
      <c r="Y11" s="50">
        <v>110</v>
      </c>
      <c r="Z11" s="50">
        <v>320</v>
      </c>
      <c r="AA11" s="50">
        <v>100</v>
      </c>
      <c r="AB11" s="50">
        <v>100</v>
      </c>
      <c r="AC11" s="50">
        <v>100</v>
      </c>
      <c r="AD11" s="50">
        <v>80</v>
      </c>
      <c r="AE11" s="50">
        <v>40</v>
      </c>
      <c r="AF11" s="49">
        <v>20</v>
      </c>
      <c r="AG11" s="53">
        <v>456</v>
      </c>
      <c r="AH11" s="54">
        <f>MAX(B11:AF11)</f>
        <v>440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30</v>
      </c>
      <c r="C12" s="50">
        <v>30</v>
      </c>
      <c r="D12" s="50">
        <v>30</v>
      </c>
      <c r="E12" s="50">
        <v>30</v>
      </c>
      <c r="F12" s="50">
        <v>30</v>
      </c>
      <c r="G12" s="50">
        <v>30</v>
      </c>
      <c r="H12" s="50">
        <v>30</v>
      </c>
      <c r="I12" s="50">
        <v>30</v>
      </c>
      <c r="J12" s="50">
        <v>30</v>
      </c>
      <c r="K12" s="50">
        <v>30</v>
      </c>
      <c r="L12" s="49">
        <v>30</v>
      </c>
      <c r="M12" s="49">
        <v>30</v>
      </c>
      <c r="N12" s="49">
        <v>30</v>
      </c>
      <c r="O12" s="49">
        <v>30</v>
      </c>
      <c r="P12" s="49">
        <v>30</v>
      </c>
      <c r="Q12" s="49">
        <v>30</v>
      </c>
      <c r="R12" s="49">
        <v>30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16.100000000000001</v>
      </c>
      <c r="C13" s="50">
        <v>17.7</v>
      </c>
      <c r="D13" s="50">
        <v>17.7</v>
      </c>
      <c r="E13" s="50">
        <v>17.7</v>
      </c>
      <c r="F13" s="50">
        <v>17.7</v>
      </c>
      <c r="G13" s="50">
        <v>17.7</v>
      </c>
      <c r="H13" s="50">
        <v>17.7</v>
      </c>
      <c r="I13" s="50">
        <v>17.7</v>
      </c>
      <c r="J13" s="50">
        <v>17.7</v>
      </c>
      <c r="K13" s="50">
        <v>17.7</v>
      </c>
      <c r="L13" s="49">
        <v>16.7</v>
      </c>
      <c r="M13" s="49">
        <v>16.7</v>
      </c>
      <c r="N13" s="49">
        <v>16.7</v>
      </c>
      <c r="O13" s="49">
        <v>16.7</v>
      </c>
      <c r="P13" s="49">
        <v>16.7</v>
      </c>
      <c r="Q13" s="49">
        <v>16.7</v>
      </c>
      <c r="R13" s="49">
        <v>16.7</v>
      </c>
      <c r="S13" s="49">
        <v>16.7</v>
      </c>
      <c r="T13" s="49">
        <v>16.7</v>
      </c>
      <c r="U13" s="49">
        <v>16.7</v>
      </c>
      <c r="V13" s="49">
        <v>16.7</v>
      </c>
      <c r="W13" s="49">
        <v>16.7</v>
      </c>
      <c r="X13" s="49">
        <v>16.7</v>
      </c>
      <c r="Y13" s="49">
        <v>16.7</v>
      </c>
      <c r="Z13" s="49">
        <v>16.7</v>
      </c>
      <c r="AA13" s="49">
        <v>16.7</v>
      </c>
      <c r="AB13" s="49">
        <v>16.7</v>
      </c>
      <c r="AC13" s="49">
        <v>16.7</v>
      </c>
      <c r="AD13" s="49">
        <v>16.7</v>
      </c>
      <c r="AE13" s="49">
        <v>16.7</v>
      </c>
      <c r="AF13" s="49">
        <v>16.7</v>
      </c>
      <c r="AG13" s="59">
        <v>52.4</v>
      </c>
      <c r="AH13" s="54">
        <f t="shared" si="2"/>
        <v>17.7</v>
      </c>
      <c r="AI13" s="55">
        <f t="shared" si="3"/>
        <v>16.100000000000001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49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9">
        <v>50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19.399999999999999</v>
      </c>
      <c r="C15" s="50">
        <v>20.6</v>
      </c>
      <c r="D15" s="50">
        <v>20.399999999999999</v>
      </c>
      <c r="E15" s="50">
        <v>20.399999999999999</v>
      </c>
      <c r="F15" s="50">
        <v>20.399999999999999</v>
      </c>
      <c r="G15" s="50">
        <v>20.399999999999999</v>
      </c>
      <c r="H15" s="50">
        <v>20.399999999999999</v>
      </c>
      <c r="I15" s="50">
        <v>20.399999999999999</v>
      </c>
      <c r="J15" s="50">
        <v>20.399999999999999</v>
      </c>
      <c r="K15" s="50">
        <v>20.399999999999999</v>
      </c>
      <c r="L15" s="61">
        <v>19.399999999999999</v>
      </c>
      <c r="M15" s="50">
        <v>19.399999999999999</v>
      </c>
      <c r="N15" s="50">
        <v>19.399999999999999</v>
      </c>
      <c r="O15" s="50">
        <v>19.399999999999999</v>
      </c>
      <c r="P15" s="50">
        <v>19.399999999999999</v>
      </c>
      <c r="Q15" s="50">
        <v>19.399999999999999</v>
      </c>
      <c r="R15" s="50">
        <v>19.399999999999999</v>
      </c>
      <c r="S15" s="50">
        <v>19.399999999999999</v>
      </c>
      <c r="T15" s="50">
        <v>19.399999999999999</v>
      </c>
      <c r="U15" s="50">
        <v>19.399999999999999</v>
      </c>
      <c r="V15" s="50">
        <v>19.399999999999999</v>
      </c>
      <c r="W15" s="50">
        <v>19.399999999999999</v>
      </c>
      <c r="X15" s="50">
        <v>19.399999999999999</v>
      </c>
      <c r="Y15" s="50">
        <v>19.399999999999999</v>
      </c>
      <c r="Z15" s="50">
        <v>19.399999999999999</v>
      </c>
      <c r="AA15" s="50">
        <v>19.399999999999999</v>
      </c>
      <c r="AB15" s="50">
        <v>19.399999999999999</v>
      </c>
      <c r="AC15" s="50">
        <v>19.399999999999999</v>
      </c>
      <c r="AD15" s="50">
        <v>19.399999999999999</v>
      </c>
      <c r="AE15" s="50">
        <v>19.399999999999999</v>
      </c>
      <c r="AF15" s="50">
        <v>19.399999999999999</v>
      </c>
      <c r="AG15" s="62">
        <v>45</v>
      </c>
      <c r="AH15" s="54">
        <f t="shared" si="2"/>
        <v>20.6</v>
      </c>
      <c r="AI15" s="55">
        <f t="shared" si="3"/>
        <v>19.399999999999999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9.8000000000000007</v>
      </c>
      <c r="C19" s="50">
        <v>9</v>
      </c>
      <c r="D19" s="50">
        <v>9</v>
      </c>
      <c r="E19" s="50">
        <v>9</v>
      </c>
      <c r="F19" s="50">
        <v>9</v>
      </c>
      <c r="G19" s="50">
        <v>9</v>
      </c>
      <c r="H19" s="50">
        <v>9</v>
      </c>
      <c r="I19" s="50">
        <v>9</v>
      </c>
      <c r="J19" s="50">
        <v>9</v>
      </c>
      <c r="K19" s="50">
        <v>9</v>
      </c>
      <c r="L19" s="49">
        <v>9.3000000000000007</v>
      </c>
      <c r="M19" s="50">
        <v>9.3000000000000007</v>
      </c>
      <c r="N19" s="50">
        <v>9.3000000000000007</v>
      </c>
      <c r="O19" s="50">
        <v>9.3000000000000007</v>
      </c>
      <c r="P19" s="50">
        <v>9.3000000000000007</v>
      </c>
      <c r="Q19" s="50">
        <v>9.3000000000000007</v>
      </c>
      <c r="R19" s="50">
        <v>9.3000000000000007</v>
      </c>
      <c r="S19" s="50">
        <v>9.3000000000000007</v>
      </c>
      <c r="T19" s="50">
        <v>9.3000000000000007</v>
      </c>
      <c r="U19" s="50">
        <v>9.3000000000000007</v>
      </c>
      <c r="V19" s="50">
        <v>9.3000000000000007</v>
      </c>
      <c r="W19" s="50">
        <v>9.3000000000000007</v>
      </c>
      <c r="X19" s="50">
        <v>9.3000000000000007</v>
      </c>
      <c r="Y19" s="50">
        <v>9.3000000000000007</v>
      </c>
      <c r="Z19" s="50">
        <v>9.3000000000000007</v>
      </c>
      <c r="AA19" s="50">
        <v>9.3000000000000007</v>
      </c>
      <c r="AB19" s="50">
        <v>9.3000000000000007</v>
      </c>
      <c r="AC19" s="50">
        <v>9.3000000000000007</v>
      </c>
      <c r="AD19" s="50">
        <v>9.3000000000000007</v>
      </c>
      <c r="AE19" s="50">
        <v>9.3000000000000007</v>
      </c>
      <c r="AF19" s="50">
        <v>9.3000000000000007</v>
      </c>
      <c r="AG19" s="59">
        <v>30</v>
      </c>
      <c r="AH19" s="54">
        <f t="shared" si="2"/>
        <v>9.8000000000000007</v>
      </c>
      <c r="AI19" s="55">
        <f t="shared" si="3"/>
        <v>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11.1</v>
      </c>
      <c r="C22" s="50">
        <v>11</v>
      </c>
      <c r="D22" s="50">
        <v>10.6</v>
      </c>
      <c r="E22" s="50">
        <v>10.6</v>
      </c>
      <c r="F22" s="50">
        <v>10.6</v>
      </c>
      <c r="G22" s="50">
        <v>10.6</v>
      </c>
      <c r="H22" s="50">
        <v>10.6</v>
      </c>
      <c r="I22" s="50">
        <v>10.6</v>
      </c>
      <c r="J22" s="50">
        <v>10.6</v>
      </c>
      <c r="K22" s="50">
        <v>10.6</v>
      </c>
      <c r="L22" s="49">
        <v>10.6</v>
      </c>
      <c r="M22" s="50">
        <v>10.6</v>
      </c>
      <c r="N22" s="50">
        <v>10.6</v>
      </c>
      <c r="O22" s="50">
        <v>10.6</v>
      </c>
      <c r="P22" s="50">
        <v>10.6</v>
      </c>
      <c r="Q22" s="50">
        <v>10.6</v>
      </c>
      <c r="R22" s="50">
        <v>10.6</v>
      </c>
      <c r="S22" s="50">
        <v>10.6</v>
      </c>
      <c r="T22" s="50">
        <v>10.6</v>
      </c>
      <c r="U22" s="50">
        <v>10.6</v>
      </c>
      <c r="V22" s="50">
        <v>10.6</v>
      </c>
      <c r="W22" s="50">
        <v>10.6</v>
      </c>
      <c r="X22" s="50">
        <v>10.6</v>
      </c>
      <c r="Y22" s="50">
        <v>10.6</v>
      </c>
      <c r="Z22" s="50">
        <v>10.6</v>
      </c>
      <c r="AA22" s="50">
        <v>10.6</v>
      </c>
      <c r="AB22" s="50">
        <v>10.6</v>
      </c>
      <c r="AC22" s="50">
        <v>10.6</v>
      </c>
      <c r="AD22" s="50">
        <v>10.6</v>
      </c>
      <c r="AE22" s="50">
        <v>10.6</v>
      </c>
      <c r="AF22" s="50">
        <v>10.6</v>
      </c>
      <c r="AG22" s="59">
        <v>25</v>
      </c>
      <c r="AH22" s="54">
        <f t="shared" si="2"/>
        <v>11.1</v>
      </c>
      <c r="AI22" s="55">
        <f t="shared" si="3"/>
        <v>10.6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12</v>
      </c>
      <c r="C24" s="50">
        <v>12</v>
      </c>
      <c r="D24" s="50">
        <v>10</v>
      </c>
      <c r="E24" s="50">
        <v>10</v>
      </c>
      <c r="F24" s="50">
        <v>10</v>
      </c>
      <c r="G24" s="50">
        <v>9.6</v>
      </c>
      <c r="H24" s="50">
        <v>9.6</v>
      </c>
      <c r="I24" s="50">
        <v>9.6</v>
      </c>
      <c r="J24" s="50">
        <v>9.6</v>
      </c>
      <c r="K24" s="50">
        <v>9.6</v>
      </c>
      <c r="L24" s="49">
        <v>8.9</v>
      </c>
      <c r="M24" s="50">
        <v>8.9</v>
      </c>
      <c r="N24" s="50">
        <v>8.9</v>
      </c>
      <c r="O24" s="50">
        <v>8.9</v>
      </c>
      <c r="P24" s="50">
        <v>8.9</v>
      </c>
      <c r="Q24" s="50">
        <v>8.9</v>
      </c>
      <c r="R24" s="50">
        <v>8.9</v>
      </c>
      <c r="S24" s="50">
        <v>8.9</v>
      </c>
      <c r="T24" s="50">
        <v>8.9</v>
      </c>
      <c r="U24" s="50">
        <v>8.9</v>
      </c>
      <c r="V24" s="50">
        <v>8.9</v>
      </c>
      <c r="W24" s="50">
        <v>8.9</v>
      </c>
      <c r="X24" s="50">
        <v>8.9</v>
      </c>
      <c r="Y24" s="50">
        <v>8.9</v>
      </c>
      <c r="Z24" s="50">
        <v>8.9</v>
      </c>
      <c r="AA24" s="50">
        <v>8.9</v>
      </c>
      <c r="AB24" s="50">
        <v>8.9</v>
      </c>
      <c r="AC24" s="50">
        <v>8.9</v>
      </c>
      <c r="AD24" s="50">
        <v>8.9</v>
      </c>
      <c r="AE24" s="50">
        <v>8.9</v>
      </c>
      <c r="AF24" s="50">
        <v>8.9</v>
      </c>
      <c r="AG24" s="59">
        <v>25</v>
      </c>
      <c r="AH24" s="54">
        <f t="shared" si="2"/>
        <v>12</v>
      </c>
      <c r="AI24" s="55">
        <f t="shared" si="3"/>
        <v>8.9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49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61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v>34</v>
      </c>
      <c r="C37" s="70">
        <v>35.5</v>
      </c>
      <c r="D37" s="70">
        <f>35.4</f>
        <v>35.4</v>
      </c>
      <c r="E37" s="61">
        <f>12.1+23.9</f>
        <v>36</v>
      </c>
      <c r="F37" s="61">
        <f>12.4+24.2</f>
        <v>36.6</v>
      </c>
      <c r="G37" s="61">
        <f>12.4+24.3</f>
        <v>36.700000000000003</v>
      </c>
      <c r="H37" s="61">
        <f>12.3+24.1</f>
        <v>36.400000000000006</v>
      </c>
      <c r="I37" s="61">
        <f>12.2+23.6</f>
        <v>35.799999999999997</v>
      </c>
      <c r="J37" s="61">
        <f>12.4+23.7</f>
        <v>36.1</v>
      </c>
      <c r="K37" s="61">
        <f>12.6+24.8</f>
        <v>37.4</v>
      </c>
      <c r="L37" s="61">
        <v>34.1</v>
      </c>
      <c r="M37" s="70">
        <f>34.4</f>
        <v>34.4</v>
      </c>
      <c r="N37" s="70">
        <v>35.299999999999997</v>
      </c>
      <c r="O37" s="70">
        <v>35</v>
      </c>
      <c r="P37" s="70">
        <v>36</v>
      </c>
      <c r="Q37" s="70">
        <v>36.4</v>
      </c>
      <c r="R37" s="70">
        <v>36.200000000000003</v>
      </c>
      <c r="S37" s="70">
        <f>35.4</f>
        <v>35.4</v>
      </c>
      <c r="T37" s="70">
        <f>35.4</f>
        <v>35.4</v>
      </c>
      <c r="U37" s="70">
        <f>35.4</f>
        <v>35.4</v>
      </c>
      <c r="V37" s="70">
        <f>33.4</f>
        <v>33.4</v>
      </c>
      <c r="W37" s="70">
        <f>31.9</f>
        <v>31.9</v>
      </c>
      <c r="X37" s="70">
        <f>31.9</f>
        <v>31.9</v>
      </c>
      <c r="Y37" s="70">
        <v>29</v>
      </c>
      <c r="Z37" s="70">
        <v>29</v>
      </c>
      <c r="AA37" s="70">
        <v>29</v>
      </c>
      <c r="AB37" s="70">
        <v>31.7</v>
      </c>
      <c r="AC37" s="70">
        <v>31.7</v>
      </c>
      <c r="AD37" s="70">
        <v>32.6</v>
      </c>
      <c r="AE37" s="70">
        <v>34.4</v>
      </c>
      <c r="AF37" s="61">
        <v>34.799999999999997</v>
      </c>
      <c r="AG37" s="67">
        <v>240</v>
      </c>
      <c r="AH37" s="54">
        <f t="shared" si="2"/>
        <v>37.4</v>
      </c>
      <c r="AI37" s="55">
        <f t="shared" si="3"/>
        <v>29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372.6</v>
      </c>
      <c r="C38" s="72">
        <f t="shared" ref="C38:AF38" si="5">SUM(C11:C36)</f>
        <v>356.5</v>
      </c>
      <c r="D38" s="72">
        <f t="shared" ref="D38" si="6">SUM(D11:D36)</f>
        <v>353.9</v>
      </c>
      <c r="E38" s="72">
        <f t="shared" si="5"/>
        <v>353.9</v>
      </c>
      <c r="F38" s="72">
        <f t="shared" si="5"/>
        <v>371.9</v>
      </c>
      <c r="G38" s="72">
        <f t="shared" si="5"/>
        <v>371.5</v>
      </c>
      <c r="H38" s="72">
        <f t="shared" si="5"/>
        <v>401.5</v>
      </c>
      <c r="I38" s="72">
        <f t="shared" si="5"/>
        <v>471.5</v>
      </c>
      <c r="J38" s="72">
        <f t="shared" si="5"/>
        <v>421.49999999999994</v>
      </c>
      <c r="K38" s="72">
        <f t="shared" si="5"/>
        <v>621.5</v>
      </c>
      <c r="L38" s="72">
        <f t="shared" si="5"/>
        <v>779.09999999999991</v>
      </c>
      <c r="M38" s="72">
        <f t="shared" si="5"/>
        <v>689.1</v>
      </c>
      <c r="N38" s="72">
        <f t="shared" si="5"/>
        <v>449.1</v>
      </c>
      <c r="O38" s="72">
        <f t="shared" si="5"/>
        <v>434.09999999999997</v>
      </c>
      <c r="P38" s="72">
        <f t="shared" si="5"/>
        <v>414.1</v>
      </c>
      <c r="Q38" s="72">
        <f t="shared" si="5"/>
        <v>351.1</v>
      </c>
      <c r="R38" s="72">
        <f t="shared" si="5"/>
        <v>351.1</v>
      </c>
      <c r="S38" s="72">
        <f t="shared" si="5"/>
        <v>380.1</v>
      </c>
      <c r="T38" s="72">
        <f t="shared" si="5"/>
        <v>416.1</v>
      </c>
      <c r="U38" s="72">
        <f t="shared" si="5"/>
        <v>400.1</v>
      </c>
      <c r="V38" s="72">
        <f t="shared" si="5"/>
        <v>410.1</v>
      </c>
      <c r="W38" s="72">
        <f t="shared" si="5"/>
        <v>405.1</v>
      </c>
      <c r="X38" s="72">
        <f t="shared" si="5"/>
        <v>480.09999999999997</v>
      </c>
      <c r="Y38" s="72">
        <f t="shared" si="5"/>
        <v>450.1</v>
      </c>
      <c r="Z38" s="72">
        <f t="shared" si="5"/>
        <v>660.09999999999991</v>
      </c>
      <c r="AA38" s="72">
        <f t="shared" si="5"/>
        <v>440.09999999999997</v>
      </c>
      <c r="AB38" s="72">
        <f t="shared" si="5"/>
        <v>440.09999999999997</v>
      </c>
      <c r="AC38" s="72">
        <f t="shared" si="5"/>
        <v>440.09999999999997</v>
      </c>
      <c r="AD38" s="72">
        <f t="shared" si="5"/>
        <v>420.1</v>
      </c>
      <c r="AE38" s="72">
        <f t="shared" si="5"/>
        <v>380.1</v>
      </c>
      <c r="AF38" s="72">
        <f t="shared" si="5"/>
        <v>360.09999999999997</v>
      </c>
      <c r="AG38" s="67">
        <f>SUM(AG11:AG37)</f>
        <v>1492.8299999999997</v>
      </c>
      <c r="AH38" s="54">
        <f t="shared" si="2"/>
        <v>779.09999999999991</v>
      </c>
      <c r="AI38" s="55">
        <f t="shared" si="3"/>
        <v>351.1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27.7</v>
      </c>
      <c r="J39" s="61">
        <v>48.3</v>
      </c>
      <c r="K39" s="61">
        <v>90</v>
      </c>
      <c r="L39" s="61">
        <v>97.1</v>
      </c>
      <c r="M39" s="50">
        <v>97.1</v>
      </c>
      <c r="N39" s="50">
        <v>97.2</v>
      </c>
      <c r="O39" s="50">
        <v>97.2</v>
      </c>
      <c r="P39" s="50">
        <v>116.8</v>
      </c>
      <c r="Q39" s="50">
        <v>137.6</v>
      </c>
      <c r="R39" s="50">
        <v>145.19999999999999</v>
      </c>
      <c r="S39" s="50">
        <v>66</v>
      </c>
      <c r="T39" s="50">
        <v>66</v>
      </c>
      <c r="U39" s="50">
        <v>80.7</v>
      </c>
      <c r="V39" s="50">
        <v>81</v>
      </c>
      <c r="W39" s="50">
        <v>80.8</v>
      </c>
      <c r="X39" s="50">
        <v>101</v>
      </c>
      <c r="Y39" s="50">
        <v>146.80000000000001</v>
      </c>
      <c r="Z39" s="50">
        <v>144.80000000000001</v>
      </c>
      <c r="AA39" s="50">
        <v>105</v>
      </c>
      <c r="AB39" s="50">
        <v>80.599999999999994</v>
      </c>
      <c r="AC39" s="50">
        <v>91.1</v>
      </c>
      <c r="AD39" s="50">
        <v>64.3</v>
      </c>
      <c r="AE39" s="50">
        <v>35</v>
      </c>
      <c r="AF39" s="49">
        <v>0</v>
      </c>
      <c r="AG39" s="62">
        <v>144</v>
      </c>
      <c r="AH39" s="54">
        <f t="shared" si="2"/>
        <v>146.80000000000001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22.8</v>
      </c>
      <c r="C40" s="61">
        <v>0</v>
      </c>
      <c r="D40" s="61">
        <v>0</v>
      </c>
      <c r="E40" s="61">
        <v>0</v>
      </c>
      <c r="F40" s="61">
        <v>0</v>
      </c>
      <c r="G40" s="61">
        <v>19.899999999999999</v>
      </c>
      <c r="H40" s="61">
        <v>19.8</v>
      </c>
      <c r="I40" s="61">
        <v>50.8</v>
      </c>
      <c r="J40" s="61">
        <v>65.8</v>
      </c>
      <c r="K40" s="61">
        <v>68.7</v>
      </c>
      <c r="L40" s="61">
        <v>70.3</v>
      </c>
      <c r="M40" s="73">
        <v>69.900000000000006</v>
      </c>
      <c r="N40" s="73">
        <v>34.799999999999997</v>
      </c>
      <c r="O40" s="73">
        <v>34.799999999999997</v>
      </c>
      <c r="P40" s="73">
        <v>26.3</v>
      </c>
      <c r="Q40" s="73">
        <v>34.799999999999997</v>
      </c>
      <c r="R40" s="73">
        <v>36.1</v>
      </c>
      <c r="S40" s="73">
        <v>30.1</v>
      </c>
      <c r="T40" s="73">
        <v>34.299999999999997</v>
      </c>
      <c r="U40" s="73">
        <v>35.9</v>
      </c>
      <c r="V40" s="73">
        <v>35.200000000000003</v>
      </c>
      <c r="W40" s="73">
        <v>29.9</v>
      </c>
      <c r="X40" s="73">
        <v>45.8</v>
      </c>
      <c r="Y40" s="73">
        <v>45.8</v>
      </c>
      <c r="Z40" s="73">
        <v>70.8</v>
      </c>
      <c r="AA40" s="73">
        <v>47.2</v>
      </c>
      <c r="AB40" s="73">
        <v>46.9</v>
      </c>
      <c r="AC40" s="73">
        <v>55.8</v>
      </c>
      <c r="AD40" s="73">
        <v>45.3</v>
      </c>
      <c r="AE40" s="73">
        <v>35</v>
      </c>
      <c r="AF40" s="73">
        <v>35</v>
      </c>
      <c r="AG40" s="67">
        <v>70</v>
      </c>
      <c r="AH40" s="54">
        <f t="shared" si="2"/>
        <v>70.8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22</v>
      </c>
      <c r="C41" s="61">
        <v>16</v>
      </c>
      <c r="D41" s="61">
        <v>17</v>
      </c>
      <c r="E41" s="61">
        <v>17.3</v>
      </c>
      <c r="F41" s="61">
        <v>17.399999999999999</v>
      </c>
      <c r="G41" s="61">
        <v>17.399999999999999</v>
      </c>
      <c r="H41" s="61">
        <v>17.399999999999999</v>
      </c>
      <c r="I41" s="61">
        <v>35.9</v>
      </c>
      <c r="J41" s="61">
        <v>51.6</v>
      </c>
      <c r="K41" s="61">
        <v>68.8</v>
      </c>
      <c r="L41" s="61">
        <v>68.7</v>
      </c>
      <c r="M41" s="73">
        <v>68.099999999999994</v>
      </c>
      <c r="N41" s="73">
        <v>67.599999999999994</v>
      </c>
      <c r="O41" s="73">
        <v>46.9</v>
      </c>
      <c r="P41" s="73">
        <v>36.5</v>
      </c>
      <c r="Q41" s="73">
        <v>43.1</v>
      </c>
      <c r="R41" s="73">
        <v>32.5</v>
      </c>
      <c r="S41" s="73">
        <v>23.6</v>
      </c>
      <c r="T41" s="73">
        <v>23.7</v>
      </c>
      <c r="U41" s="73">
        <v>23.7</v>
      </c>
      <c r="V41" s="73">
        <v>16.600000000000001</v>
      </c>
      <c r="W41" s="73">
        <v>41.6</v>
      </c>
      <c r="X41" s="73">
        <v>41</v>
      </c>
      <c r="Y41" s="73">
        <v>41</v>
      </c>
      <c r="Z41" s="73">
        <v>48.2</v>
      </c>
      <c r="AA41" s="73">
        <v>52.7</v>
      </c>
      <c r="AB41" s="73">
        <v>52.7</v>
      </c>
      <c r="AC41" s="73">
        <v>62</v>
      </c>
      <c r="AD41" s="73">
        <v>53.6</v>
      </c>
      <c r="AE41" s="73">
        <v>55.8</v>
      </c>
      <c r="AF41" s="61">
        <v>33.700000000000003</v>
      </c>
      <c r="AG41" s="67">
        <v>69</v>
      </c>
      <c r="AH41" s="54">
        <f t="shared" si="2"/>
        <v>68.8</v>
      </c>
      <c r="AI41" s="55">
        <f t="shared" si="3"/>
        <v>16</v>
      </c>
      <c r="AK41" s="56"/>
    </row>
    <row r="42" spans="1:88" x14ac:dyDescent="0.25">
      <c r="A42" s="66" t="s">
        <v>50</v>
      </c>
      <c r="B42" s="61">
        <v>45.3</v>
      </c>
      <c r="C42" s="61">
        <v>45.1</v>
      </c>
      <c r="D42" s="61">
        <v>42.8</v>
      </c>
      <c r="E42" s="61">
        <v>42.8</v>
      </c>
      <c r="F42" s="61">
        <v>44.3</v>
      </c>
      <c r="G42" s="61">
        <v>45.3</v>
      </c>
      <c r="H42" s="61">
        <v>45.3</v>
      </c>
      <c r="I42" s="61">
        <v>46.1</v>
      </c>
      <c r="J42" s="61">
        <v>47.1</v>
      </c>
      <c r="K42" s="61">
        <v>46.1</v>
      </c>
      <c r="L42" s="61">
        <v>43.1</v>
      </c>
      <c r="M42" s="73">
        <v>43.3</v>
      </c>
      <c r="N42" s="73">
        <v>43.3</v>
      </c>
      <c r="O42" s="73">
        <v>44.3</v>
      </c>
      <c r="P42" s="73">
        <v>47.4</v>
      </c>
      <c r="Q42" s="73">
        <v>46.1</v>
      </c>
      <c r="R42" s="73">
        <v>43.8</v>
      </c>
      <c r="S42" s="73">
        <v>43.8</v>
      </c>
      <c r="T42" s="73">
        <v>43.8</v>
      </c>
      <c r="U42" s="73">
        <v>44.1</v>
      </c>
      <c r="V42" s="73">
        <v>43.8</v>
      </c>
      <c r="W42" s="73">
        <v>43.8</v>
      </c>
      <c r="X42" s="73">
        <v>43.8</v>
      </c>
      <c r="Y42" s="73">
        <v>43.8</v>
      </c>
      <c r="Z42" s="73">
        <v>46.4</v>
      </c>
      <c r="AA42" s="73">
        <v>46.4</v>
      </c>
      <c r="AB42" s="73">
        <v>44.1</v>
      </c>
      <c r="AC42" s="73">
        <v>44.1</v>
      </c>
      <c r="AD42" s="73">
        <v>43.1</v>
      </c>
      <c r="AE42" s="73">
        <v>45.3</v>
      </c>
      <c r="AF42" s="61">
        <v>46.6</v>
      </c>
      <c r="AG42" s="67">
        <v>60</v>
      </c>
      <c r="AH42" s="54">
        <f t="shared" si="2"/>
        <v>47.4</v>
      </c>
      <c r="AI42" s="55">
        <f t="shared" si="3"/>
        <v>42.8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9.8000000000000007</v>
      </c>
      <c r="I43" s="61">
        <v>9.6999999999999993</v>
      </c>
      <c r="J43" s="61">
        <v>15</v>
      </c>
      <c r="K43" s="61">
        <v>15</v>
      </c>
      <c r="L43" s="61">
        <v>15</v>
      </c>
      <c r="M43" s="50">
        <v>14.8</v>
      </c>
      <c r="N43" s="50">
        <v>10.4</v>
      </c>
      <c r="O43" s="50">
        <v>10.4</v>
      </c>
      <c r="P43" s="50">
        <v>10</v>
      </c>
      <c r="Q43" s="50">
        <v>9.5</v>
      </c>
      <c r="R43" s="50">
        <v>9.5</v>
      </c>
      <c r="S43" s="50">
        <v>9.5</v>
      </c>
      <c r="T43" s="50">
        <v>9.5</v>
      </c>
      <c r="U43" s="50">
        <v>9.5</v>
      </c>
      <c r="V43" s="50">
        <v>9.5</v>
      </c>
      <c r="W43" s="50">
        <v>9.5</v>
      </c>
      <c r="X43" s="50">
        <v>9.5</v>
      </c>
      <c r="Y43" s="50">
        <v>15</v>
      </c>
      <c r="Z43" s="50">
        <v>15</v>
      </c>
      <c r="AA43" s="50">
        <v>15</v>
      </c>
      <c r="AB43" s="50">
        <v>6</v>
      </c>
      <c r="AC43" s="73">
        <v>6</v>
      </c>
      <c r="AD43" s="73">
        <v>8.6999999999999993</v>
      </c>
      <c r="AE43" s="73">
        <v>6.5</v>
      </c>
      <c r="AF43" s="61">
        <v>9.9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16</v>
      </c>
      <c r="C45" s="50">
        <v>16</v>
      </c>
      <c r="D45" s="50">
        <v>16</v>
      </c>
      <c r="E45" s="50">
        <v>16</v>
      </c>
      <c r="F45" s="50">
        <v>16</v>
      </c>
      <c r="G45" s="50">
        <v>16</v>
      </c>
      <c r="H45" s="50">
        <v>16</v>
      </c>
      <c r="I45" s="50">
        <v>16</v>
      </c>
      <c r="J45" s="50">
        <v>16</v>
      </c>
      <c r="K45" s="50">
        <v>16</v>
      </c>
      <c r="L45" s="50">
        <v>16</v>
      </c>
      <c r="M45" s="50">
        <v>16</v>
      </c>
      <c r="N45" s="50">
        <v>16</v>
      </c>
      <c r="O45" s="50">
        <v>16</v>
      </c>
      <c r="P45" s="50">
        <v>16</v>
      </c>
      <c r="Q45" s="50">
        <v>16</v>
      </c>
      <c r="R45" s="50">
        <v>16</v>
      </c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50">
        <v>0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11</v>
      </c>
      <c r="C47" s="50">
        <v>11</v>
      </c>
      <c r="D47" s="50">
        <v>11</v>
      </c>
      <c r="E47" s="50">
        <v>11</v>
      </c>
      <c r="F47" s="50">
        <v>11</v>
      </c>
      <c r="G47" s="50">
        <v>11</v>
      </c>
      <c r="H47" s="50">
        <v>11</v>
      </c>
      <c r="I47" s="50">
        <v>11</v>
      </c>
      <c r="J47" s="50">
        <v>11</v>
      </c>
      <c r="K47" s="50">
        <v>11</v>
      </c>
      <c r="L47" s="50">
        <v>11</v>
      </c>
      <c r="M47" s="50">
        <v>11</v>
      </c>
      <c r="N47" s="50">
        <v>11</v>
      </c>
      <c r="O47" s="50">
        <v>11</v>
      </c>
      <c r="P47" s="50">
        <v>11</v>
      </c>
      <c r="Q47" s="50">
        <v>11</v>
      </c>
      <c r="R47" s="50">
        <v>11</v>
      </c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4.8</v>
      </c>
      <c r="C49" s="50">
        <v>4.8</v>
      </c>
      <c r="D49" s="50">
        <v>4.8</v>
      </c>
      <c r="E49" s="50">
        <v>4.8</v>
      </c>
      <c r="F49" s="50">
        <v>4.8</v>
      </c>
      <c r="G49" s="50">
        <v>4.8</v>
      </c>
      <c r="H49" s="50">
        <v>4.8</v>
      </c>
      <c r="I49" s="50">
        <v>4.8</v>
      </c>
      <c r="J49" s="50">
        <v>4.8</v>
      </c>
      <c r="K49" s="50">
        <v>4.8</v>
      </c>
      <c r="L49" s="50">
        <v>4.8</v>
      </c>
      <c r="M49" s="50">
        <v>4.8</v>
      </c>
      <c r="N49" s="50">
        <v>4.8</v>
      </c>
      <c r="O49" s="50">
        <v>4.8</v>
      </c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7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8">U199</f>
        <v>3.54</v>
      </c>
      <c r="V51" s="77">
        <f t="shared" si="8"/>
        <v>3.54</v>
      </c>
      <c r="W51" s="77">
        <f t="shared" si="8"/>
        <v>3.54</v>
      </c>
      <c r="X51" s="77">
        <f t="shared" si="8"/>
        <v>3.54</v>
      </c>
      <c r="Y51" s="77">
        <f t="shared" si="8"/>
        <v>3.54</v>
      </c>
      <c r="Z51" s="77">
        <v>3.54</v>
      </c>
      <c r="AA51" s="77">
        <f t="shared" si="8"/>
        <v>3.54</v>
      </c>
      <c r="AB51" s="77">
        <f t="shared" si="8"/>
        <v>3.54</v>
      </c>
      <c r="AC51" s="77">
        <f t="shared" si="8"/>
        <v>3.54</v>
      </c>
      <c r="AD51" s="77">
        <f t="shared" si="8"/>
        <v>3.54</v>
      </c>
      <c r="AE51" s="77">
        <f t="shared" si="8"/>
        <v>3.54</v>
      </c>
      <c r="AF51" s="77">
        <f t="shared" si="8"/>
        <v>3.54</v>
      </c>
      <c r="AG51" s="77">
        <f t="shared" si="8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9">SUM(B39:B51)</f>
        <v>132.93999999999997</v>
      </c>
      <c r="C52" s="72">
        <f t="shared" ref="C52:AF52" si="10">SUM(C39:C51)</f>
        <v>103.94</v>
      </c>
      <c r="D52" s="72">
        <f t="shared" si="10"/>
        <v>102.64</v>
      </c>
      <c r="E52" s="72">
        <f t="shared" si="10"/>
        <v>102.94</v>
      </c>
      <c r="F52" s="72">
        <f t="shared" si="10"/>
        <v>104.53999999999999</v>
      </c>
      <c r="G52" s="72">
        <f t="shared" si="10"/>
        <v>125.44</v>
      </c>
      <c r="H52" s="72">
        <f t="shared" si="10"/>
        <v>135.13999999999999</v>
      </c>
      <c r="I52" s="72">
        <f t="shared" si="10"/>
        <v>213.04</v>
      </c>
      <c r="J52" s="72">
        <f t="shared" si="10"/>
        <v>270.64</v>
      </c>
      <c r="K52" s="72">
        <f t="shared" si="10"/>
        <v>331.44000000000005</v>
      </c>
      <c r="L52" s="72">
        <f t="shared" si="10"/>
        <v>337.04</v>
      </c>
      <c r="M52" s="72">
        <f t="shared" si="10"/>
        <v>336.04</v>
      </c>
      <c r="N52" s="72">
        <f t="shared" si="10"/>
        <v>296.14</v>
      </c>
      <c r="O52" s="72">
        <f t="shared" si="10"/>
        <v>276.44000000000005</v>
      </c>
      <c r="P52" s="72">
        <f t="shared" si="10"/>
        <v>279.84000000000003</v>
      </c>
      <c r="Q52" s="72">
        <f t="shared" si="10"/>
        <v>313.94</v>
      </c>
      <c r="R52" s="72">
        <f t="shared" si="10"/>
        <v>309.94</v>
      </c>
      <c r="S52" s="72">
        <f t="shared" si="10"/>
        <v>215.84</v>
      </c>
      <c r="T52" s="72">
        <f t="shared" si="10"/>
        <v>220.14000000000001</v>
      </c>
      <c r="U52" s="72">
        <f>SUM(U39:U51)</f>
        <v>236.73999999999998</v>
      </c>
      <c r="V52" s="72">
        <f t="shared" si="10"/>
        <v>228.94000000000003</v>
      </c>
      <c r="W52" s="72">
        <f t="shared" si="10"/>
        <v>248.43999999999997</v>
      </c>
      <c r="X52" s="72">
        <f t="shared" si="10"/>
        <v>283.94000000000005</v>
      </c>
      <c r="Y52" s="72">
        <f t="shared" si="10"/>
        <v>335.24000000000007</v>
      </c>
      <c r="Z52" s="72">
        <f t="shared" si="10"/>
        <v>368.04</v>
      </c>
      <c r="AA52" s="72">
        <f t="shared" si="10"/>
        <v>309.14</v>
      </c>
      <c r="AB52" s="72">
        <f t="shared" si="10"/>
        <v>273.14</v>
      </c>
      <c r="AC52" s="72">
        <f t="shared" si="10"/>
        <v>301.84000000000003</v>
      </c>
      <c r="AD52" s="72">
        <f t="shared" si="10"/>
        <v>257.83999999999997</v>
      </c>
      <c r="AE52" s="72">
        <f t="shared" si="10"/>
        <v>220.44</v>
      </c>
      <c r="AF52" s="72">
        <f t="shared" si="10"/>
        <v>168.04000000000002</v>
      </c>
      <c r="AG52" s="78">
        <f>SUM(AG39:AG51)</f>
        <v>489.91</v>
      </c>
      <c r="AH52" s="54">
        <f t="shared" si="2"/>
        <v>368.04</v>
      </c>
      <c r="AI52" s="55">
        <f t="shared" si="3"/>
        <v>102.64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13.9</v>
      </c>
      <c r="L53" s="61">
        <v>31</v>
      </c>
      <c r="M53" s="79">
        <v>51.7</v>
      </c>
      <c r="N53" s="79">
        <v>29.5</v>
      </c>
      <c r="O53" s="79">
        <v>0</v>
      </c>
      <c r="P53" s="79">
        <v>14</v>
      </c>
      <c r="Q53" s="50">
        <v>11.4</v>
      </c>
      <c r="R53" s="50">
        <v>13.9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40.5</v>
      </c>
      <c r="Z53" s="50">
        <v>24.3</v>
      </c>
      <c r="AA53" s="50">
        <v>20</v>
      </c>
      <c r="AB53" s="50">
        <v>20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51.7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7.4</v>
      </c>
      <c r="L54" s="61">
        <v>16.899999999999999</v>
      </c>
      <c r="M54" s="79">
        <v>17.600000000000001</v>
      </c>
      <c r="N54" s="79">
        <v>14.5</v>
      </c>
      <c r="O54" s="79">
        <v>0</v>
      </c>
      <c r="P54" s="79">
        <v>4.5</v>
      </c>
      <c r="Q54" s="73">
        <v>5</v>
      </c>
      <c r="R54" s="73">
        <v>7.7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0</v>
      </c>
      <c r="Y54" s="73">
        <v>12.9</v>
      </c>
      <c r="Z54" s="73">
        <v>14.9</v>
      </c>
      <c r="AA54" s="73">
        <v>8.9</v>
      </c>
      <c r="AB54" s="73">
        <v>9.5</v>
      </c>
      <c r="AC54" s="73">
        <v>0</v>
      </c>
      <c r="AD54" s="73">
        <v>0</v>
      </c>
      <c r="AE54" s="73">
        <v>0</v>
      </c>
      <c r="AF54" s="73">
        <v>0</v>
      </c>
      <c r="AG54" s="67">
        <v>32</v>
      </c>
      <c r="AH54" s="54">
        <f t="shared" si="2"/>
        <v>17.600000000000001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2.7</v>
      </c>
      <c r="L55" s="74">
        <v>6.2</v>
      </c>
      <c r="M55" s="81">
        <v>6.4</v>
      </c>
      <c r="N55" s="81">
        <v>5.3</v>
      </c>
      <c r="O55" s="81">
        <v>0</v>
      </c>
      <c r="P55" s="81">
        <v>1.6</v>
      </c>
      <c r="Q55" s="80">
        <v>1.8</v>
      </c>
      <c r="R55" s="80">
        <v>2.8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0</v>
      </c>
      <c r="Y55" s="80">
        <v>4.7</v>
      </c>
      <c r="Z55" s="80">
        <v>5.5</v>
      </c>
      <c r="AA55" s="80">
        <v>3.2</v>
      </c>
      <c r="AB55" s="80">
        <v>3.5</v>
      </c>
      <c r="AC55" s="80">
        <v>0</v>
      </c>
      <c r="AD55" s="80">
        <v>0</v>
      </c>
      <c r="AE55" s="80">
        <v>0</v>
      </c>
      <c r="AF55" s="80">
        <v>0</v>
      </c>
      <c r="AG55" s="82">
        <v>14</v>
      </c>
      <c r="AH55" s="54">
        <f t="shared" si="2"/>
        <v>6.4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24</v>
      </c>
      <c r="L56" s="72">
        <f t="shared" si="11"/>
        <v>54.1</v>
      </c>
      <c r="M56" s="72">
        <f t="shared" si="11"/>
        <v>75.700000000000017</v>
      </c>
      <c r="N56" s="72">
        <f t="shared" si="11"/>
        <v>49.3</v>
      </c>
      <c r="O56" s="72">
        <f t="shared" si="11"/>
        <v>0</v>
      </c>
      <c r="P56" s="72">
        <f t="shared" si="11"/>
        <v>20.100000000000001</v>
      </c>
      <c r="Q56" s="72">
        <f t="shared" si="11"/>
        <v>18.2</v>
      </c>
      <c r="R56" s="72">
        <f t="shared" si="11"/>
        <v>24.400000000000002</v>
      </c>
      <c r="S56" s="72">
        <f t="shared" si="11"/>
        <v>0</v>
      </c>
      <c r="T56" s="72">
        <f t="shared" si="11"/>
        <v>0</v>
      </c>
      <c r="U56" s="72">
        <f t="shared" si="11"/>
        <v>0</v>
      </c>
      <c r="V56" s="72">
        <f t="shared" si="11"/>
        <v>0</v>
      </c>
      <c r="W56" s="72">
        <f t="shared" si="11"/>
        <v>0</v>
      </c>
      <c r="X56" s="72">
        <f t="shared" si="11"/>
        <v>0</v>
      </c>
      <c r="Y56" s="72">
        <f t="shared" si="11"/>
        <v>58.1</v>
      </c>
      <c r="Z56" s="72">
        <f t="shared" si="11"/>
        <v>44.7</v>
      </c>
      <c r="AA56" s="72">
        <f t="shared" si="11"/>
        <v>32.1</v>
      </c>
      <c r="AB56" s="72">
        <f t="shared" si="11"/>
        <v>33</v>
      </c>
      <c r="AC56" s="72">
        <f t="shared" si="11"/>
        <v>0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75.700000000000017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72.900000000000006</v>
      </c>
      <c r="C57" s="50">
        <v>72</v>
      </c>
      <c r="D57" s="50">
        <v>69.5</v>
      </c>
      <c r="E57" s="50">
        <v>69.900000000000006</v>
      </c>
      <c r="F57" s="50">
        <v>68.099999999999994</v>
      </c>
      <c r="G57" s="50">
        <v>77.599999999999994</v>
      </c>
      <c r="H57" s="50">
        <v>74.400000000000006</v>
      </c>
      <c r="I57" s="50">
        <v>72.2</v>
      </c>
      <c r="J57" s="50">
        <v>74.900000000000006</v>
      </c>
      <c r="K57" s="50">
        <v>52.3</v>
      </c>
      <c r="L57" s="50">
        <v>54.2</v>
      </c>
      <c r="M57" s="50">
        <v>54.7</v>
      </c>
      <c r="N57" s="50">
        <v>73.5</v>
      </c>
      <c r="O57" s="50">
        <v>68.599999999999994</v>
      </c>
      <c r="P57" s="50">
        <v>64.5</v>
      </c>
      <c r="Q57" s="50">
        <v>73.099999999999994</v>
      </c>
      <c r="R57" s="50">
        <v>67.099999999999994</v>
      </c>
      <c r="S57" s="50">
        <v>71.400000000000006</v>
      </c>
      <c r="T57" s="50">
        <v>69.7</v>
      </c>
      <c r="U57" s="50">
        <v>72.400000000000006</v>
      </c>
      <c r="V57" s="50">
        <v>71.8</v>
      </c>
      <c r="W57" s="50">
        <v>67.599999999999994</v>
      </c>
      <c r="X57" s="50">
        <v>70.7</v>
      </c>
      <c r="Y57" s="50">
        <v>64</v>
      </c>
      <c r="Z57" s="50">
        <v>70.900000000000006</v>
      </c>
      <c r="AA57" s="50">
        <v>65.7</v>
      </c>
      <c r="AB57" s="50">
        <v>67.5</v>
      </c>
      <c r="AC57" s="50">
        <v>64.400000000000006</v>
      </c>
      <c r="AD57" s="50">
        <v>70.8</v>
      </c>
      <c r="AE57" s="50">
        <v>68</v>
      </c>
      <c r="AF57" s="50">
        <v>68</v>
      </c>
      <c r="AG57" s="62"/>
      <c r="AH57" s="54">
        <f t="shared" si="2"/>
        <v>77.599999999999994</v>
      </c>
      <c r="AI57" s="55">
        <f t="shared" si="3"/>
        <v>52.3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115</v>
      </c>
      <c r="L58" s="73">
        <v>0</v>
      </c>
      <c r="M58" s="50">
        <v>74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115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346</v>
      </c>
      <c r="C59" s="73">
        <v>316.8</v>
      </c>
      <c r="D59" s="73">
        <v>310.2</v>
      </c>
      <c r="E59" s="73">
        <v>293.5</v>
      </c>
      <c r="F59" s="73">
        <v>288.10000000000002</v>
      </c>
      <c r="G59" s="73">
        <v>322.2</v>
      </c>
      <c r="H59" s="50">
        <v>338.2</v>
      </c>
      <c r="I59" s="50">
        <v>266.60000000000002</v>
      </c>
      <c r="J59" s="50">
        <v>331</v>
      </c>
      <c r="K59" s="50">
        <v>36.1</v>
      </c>
      <c r="L59" s="50">
        <v>45.1</v>
      </c>
      <c r="M59" s="73">
        <v>46</v>
      </c>
      <c r="N59" s="73">
        <v>370.2</v>
      </c>
      <c r="O59" s="73">
        <v>376.6</v>
      </c>
      <c r="P59" s="73">
        <v>352.5</v>
      </c>
      <c r="Q59" s="73">
        <v>306</v>
      </c>
      <c r="R59" s="73">
        <v>290</v>
      </c>
      <c r="S59" s="73">
        <v>343.7</v>
      </c>
      <c r="T59" s="73">
        <v>348</v>
      </c>
      <c r="U59" s="73">
        <v>369</v>
      </c>
      <c r="V59" s="73">
        <v>355</v>
      </c>
      <c r="W59" s="73">
        <v>392</v>
      </c>
      <c r="X59" s="73">
        <v>325</v>
      </c>
      <c r="Y59" s="73">
        <v>410</v>
      </c>
      <c r="Z59" s="73">
        <v>180</v>
      </c>
      <c r="AA59" s="73">
        <v>353</v>
      </c>
      <c r="AB59" s="73">
        <v>346</v>
      </c>
      <c r="AC59" s="73">
        <v>362</v>
      </c>
      <c r="AD59" s="73">
        <v>348.7</v>
      </c>
      <c r="AE59" s="73">
        <v>354</v>
      </c>
      <c r="AF59" s="73">
        <v>354</v>
      </c>
      <c r="AG59" s="85"/>
      <c r="AH59" s="54">
        <f t="shared" si="2"/>
        <v>410</v>
      </c>
      <c r="AI59" s="55">
        <f t="shared" si="3"/>
        <v>36.1</v>
      </c>
      <c r="AK59" s="56"/>
    </row>
    <row r="60" spans="1:37" x14ac:dyDescent="0.25">
      <c r="A60" s="66" t="s">
        <v>68</v>
      </c>
      <c r="B60" s="58">
        <v>0</v>
      </c>
      <c r="C60" s="58">
        <v>52</v>
      </c>
      <c r="D60" s="58">
        <v>52</v>
      </c>
      <c r="E60" s="58">
        <v>52</v>
      </c>
      <c r="F60" s="58">
        <v>52</v>
      </c>
      <c r="G60" s="58">
        <v>52</v>
      </c>
      <c r="H60" s="58">
        <v>52</v>
      </c>
      <c r="I60" s="58">
        <v>53.5</v>
      </c>
      <c r="J60" s="58">
        <v>54</v>
      </c>
      <c r="K60" s="58">
        <v>56.6</v>
      </c>
      <c r="L60" s="58">
        <v>57.5</v>
      </c>
      <c r="M60" s="73">
        <v>58.1</v>
      </c>
      <c r="N60" s="73">
        <v>56.2</v>
      </c>
      <c r="O60" s="73">
        <v>55</v>
      </c>
      <c r="P60" s="73">
        <v>54.4</v>
      </c>
      <c r="Q60" s="73">
        <v>56.4</v>
      </c>
      <c r="R60" s="73">
        <v>54.5</v>
      </c>
      <c r="S60" s="73">
        <v>55.3</v>
      </c>
      <c r="T60" s="73">
        <v>49.9</v>
      </c>
      <c r="U60" s="73">
        <v>51.1</v>
      </c>
      <c r="V60" s="73">
        <v>54.5</v>
      </c>
      <c r="W60" s="73">
        <v>49.3</v>
      </c>
      <c r="X60" s="73">
        <v>51.3</v>
      </c>
      <c r="Y60" s="73">
        <v>51</v>
      </c>
      <c r="Z60" s="73">
        <v>53.1</v>
      </c>
      <c r="AA60" s="73">
        <v>48.7</v>
      </c>
      <c r="AB60" s="73">
        <v>48.8</v>
      </c>
      <c r="AC60" s="73">
        <v>0</v>
      </c>
      <c r="AD60" s="73">
        <v>0</v>
      </c>
      <c r="AE60" s="73">
        <v>0</v>
      </c>
      <c r="AF60" s="58">
        <v>0</v>
      </c>
      <c r="AG60" s="85"/>
      <c r="AH60" s="54">
        <f t="shared" si="2"/>
        <v>58.1</v>
      </c>
      <c r="AI60" s="55">
        <f t="shared" si="3"/>
        <v>0</v>
      </c>
      <c r="AK60" s="56"/>
    </row>
    <row r="61" spans="1:37" x14ac:dyDescent="0.25">
      <c r="A61" s="66" t="s">
        <v>69</v>
      </c>
      <c r="B61" s="58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64.900000000000006</v>
      </c>
      <c r="L61" s="58">
        <v>67.2</v>
      </c>
      <c r="M61" s="50">
        <v>63.8</v>
      </c>
      <c r="N61" s="50">
        <v>63.8</v>
      </c>
      <c r="O61" s="50">
        <v>59.2</v>
      </c>
      <c r="P61" s="50">
        <v>63.7</v>
      </c>
      <c r="Q61" s="50">
        <v>42.5</v>
      </c>
      <c r="R61" s="50">
        <v>60.1</v>
      </c>
      <c r="S61" s="50">
        <v>51.6</v>
      </c>
      <c r="T61" s="50">
        <v>62.4</v>
      </c>
      <c r="U61" s="50">
        <v>57.7</v>
      </c>
      <c r="V61" s="50">
        <v>74.3</v>
      </c>
      <c r="W61" s="50">
        <v>75.900000000000006</v>
      </c>
      <c r="X61" s="50">
        <v>72</v>
      </c>
      <c r="Y61" s="50">
        <v>74</v>
      </c>
      <c r="Z61" s="50">
        <v>71.7</v>
      </c>
      <c r="AA61" s="50">
        <v>64.5</v>
      </c>
      <c r="AB61" s="50">
        <v>61.9</v>
      </c>
      <c r="AC61" s="50">
        <v>76</v>
      </c>
      <c r="AD61" s="50">
        <v>76.5</v>
      </c>
      <c r="AE61" s="50">
        <v>0</v>
      </c>
      <c r="AF61" s="50">
        <v>0</v>
      </c>
      <c r="AG61" s="85"/>
      <c r="AH61" s="54">
        <f t="shared" si="2"/>
        <v>76.5</v>
      </c>
      <c r="AI61" s="55">
        <f t="shared" si="3"/>
        <v>0</v>
      </c>
      <c r="AK61" s="56"/>
    </row>
    <row r="62" spans="1:37" x14ac:dyDescent="0.25">
      <c r="A62" s="66" t="s">
        <v>70</v>
      </c>
      <c r="B62" s="58">
        <v>0</v>
      </c>
      <c r="C62" s="58">
        <v>0</v>
      </c>
      <c r="D62" s="58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58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0">
        <v>0</v>
      </c>
      <c r="K63" s="50">
        <v>0</v>
      </c>
      <c r="L63" s="73">
        <v>0</v>
      </c>
      <c r="M63" s="50">
        <v>0</v>
      </c>
      <c r="N63" s="5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73">
        <v>0</v>
      </c>
      <c r="M64" s="58">
        <v>0</v>
      </c>
      <c r="N64" s="58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73">
        <v>0</v>
      </c>
      <c r="M65" s="58">
        <v>0</v>
      </c>
      <c r="N65" s="58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8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60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8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0">
        <v>0</v>
      </c>
      <c r="K67" s="50">
        <v>0</v>
      </c>
      <c r="L67" s="73">
        <v>0</v>
      </c>
      <c r="M67" s="50">
        <v>0</v>
      </c>
      <c r="N67" s="50">
        <v>0</v>
      </c>
      <c r="O67" s="60">
        <v>0</v>
      </c>
      <c r="P67" s="60">
        <v>0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418.9</v>
      </c>
      <c r="C68" s="72">
        <f>SUM(C57:C67)</f>
        <v>440.8</v>
      </c>
      <c r="D68" s="72">
        <f t="shared" ref="D68:AF68" si="12">SUM(D57:D67)</f>
        <v>431.7</v>
      </c>
      <c r="E68" s="72">
        <f t="shared" si="12"/>
        <v>415.4</v>
      </c>
      <c r="F68" s="72">
        <f t="shared" si="12"/>
        <v>408.20000000000005</v>
      </c>
      <c r="G68" s="72">
        <f t="shared" si="12"/>
        <v>451.79999999999995</v>
      </c>
      <c r="H68" s="72">
        <f>SUM(H57:H67)</f>
        <v>464.6</v>
      </c>
      <c r="I68" s="72">
        <f t="shared" si="12"/>
        <v>392.3</v>
      </c>
      <c r="J68" s="72">
        <f t="shared" si="12"/>
        <v>459.9</v>
      </c>
      <c r="K68" s="72">
        <f t="shared" si="12"/>
        <v>324.89999999999998</v>
      </c>
      <c r="L68" s="72">
        <f t="shared" si="12"/>
        <v>224</v>
      </c>
      <c r="M68" s="72">
        <f t="shared" si="12"/>
        <v>296.59999999999997</v>
      </c>
      <c r="N68" s="72">
        <f t="shared" si="12"/>
        <v>563.69999999999993</v>
      </c>
      <c r="O68" s="72">
        <f t="shared" si="12"/>
        <v>559.40000000000009</v>
      </c>
      <c r="P68" s="72">
        <f t="shared" si="12"/>
        <v>535.1</v>
      </c>
      <c r="Q68" s="72">
        <f t="shared" si="12"/>
        <v>478</v>
      </c>
      <c r="R68" s="72">
        <f t="shared" si="12"/>
        <v>471.70000000000005</v>
      </c>
      <c r="S68" s="72">
        <f t="shared" si="12"/>
        <v>522</v>
      </c>
      <c r="T68" s="72">
        <f t="shared" si="12"/>
        <v>530</v>
      </c>
      <c r="U68" s="72">
        <f t="shared" si="12"/>
        <v>550.20000000000005</v>
      </c>
      <c r="V68" s="72">
        <f t="shared" si="12"/>
        <v>555.6</v>
      </c>
      <c r="W68" s="72">
        <f t="shared" si="12"/>
        <v>584.80000000000007</v>
      </c>
      <c r="X68" s="72">
        <f t="shared" si="12"/>
        <v>519</v>
      </c>
      <c r="Y68" s="72">
        <f t="shared" si="12"/>
        <v>599</v>
      </c>
      <c r="Z68" s="72">
        <f t="shared" si="12"/>
        <v>375.7</v>
      </c>
      <c r="AA68" s="72">
        <f t="shared" si="12"/>
        <v>531.9</v>
      </c>
      <c r="AB68" s="72">
        <f t="shared" si="12"/>
        <v>524.20000000000005</v>
      </c>
      <c r="AC68" s="72">
        <f t="shared" si="12"/>
        <v>502.4</v>
      </c>
      <c r="AD68" s="72">
        <f t="shared" si="12"/>
        <v>496</v>
      </c>
      <c r="AE68" s="72">
        <f t="shared" si="12"/>
        <v>422</v>
      </c>
      <c r="AF68" s="72">
        <f t="shared" si="12"/>
        <v>422</v>
      </c>
      <c r="AG68" s="78">
        <f>SUM(AG57:AG67)</f>
        <v>0</v>
      </c>
      <c r="AH68" s="54">
        <f t="shared" si="2"/>
        <v>599</v>
      </c>
      <c r="AI68" s="55">
        <f t="shared" si="3"/>
        <v>224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13">SUM(D69:D71)</f>
        <v>0</v>
      </c>
      <c r="E72" s="72">
        <f t="shared" si="13"/>
        <v>0</v>
      </c>
      <c r="F72" s="72">
        <f t="shared" si="13"/>
        <v>0</v>
      </c>
      <c r="G72" s="72">
        <f t="shared" si="13"/>
        <v>0</v>
      </c>
      <c r="H72" s="72">
        <f t="shared" si="13"/>
        <v>0</v>
      </c>
      <c r="I72" s="72">
        <f t="shared" si="13"/>
        <v>0</v>
      </c>
      <c r="J72" s="72">
        <f t="shared" si="13"/>
        <v>0</v>
      </c>
      <c r="K72" s="72">
        <f t="shared" si="13"/>
        <v>0</v>
      </c>
      <c r="L72" s="72">
        <f t="shared" si="13"/>
        <v>0</v>
      </c>
      <c r="M72" s="72">
        <f t="shared" si="13"/>
        <v>0</v>
      </c>
      <c r="N72" s="72">
        <f t="shared" si="13"/>
        <v>0</v>
      </c>
      <c r="O72" s="72">
        <f t="shared" si="13"/>
        <v>0</v>
      </c>
      <c r="P72" s="72">
        <f t="shared" si="13"/>
        <v>0</v>
      </c>
      <c r="Q72" s="72">
        <f t="shared" si="13"/>
        <v>0</v>
      </c>
      <c r="R72" s="72">
        <f t="shared" si="13"/>
        <v>0</v>
      </c>
      <c r="S72" s="72">
        <f t="shared" si="13"/>
        <v>0</v>
      </c>
      <c r="T72" s="72">
        <f t="shared" si="13"/>
        <v>0</v>
      </c>
      <c r="U72" s="72">
        <f t="shared" si="13"/>
        <v>0</v>
      </c>
      <c r="V72" s="72">
        <f t="shared" si="13"/>
        <v>0</v>
      </c>
      <c r="W72" s="72">
        <f t="shared" si="13"/>
        <v>0</v>
      </c>
      <c r="X72" s="72">
        <f t="shared" si="13"/>
        <v>0</v>
      </c>
      <c r="Y72" s="72">
        <f t="shared" si="13"/>
        <v>0</v>
      </c>
      <c r="Z72" s="72">
        <f t="shared" si="13"/>
        <v>0</v>
      </c>
      <c r="AA72" s="72">
        <f t="shared" si="13"/>
        <v>0</v>
      </c>
      <c r="AB72" s="72">
        <f t="shared" si="13"/>
        <v>0</v>
      </c>
      <c r="AC72" s="72">
        <f t="shared" si="13"/>
        <v>0</v>
      </c>
      <c r="AD72" s="72">
        <f t="shared" si="13"/>
        <v>0</v>
      </c>
      <c r="AE72" s="72">
        <f t="shared" si="13"/>
        <v>0</v>
      </c>
      <c r="AF72" s="72">
        <f t="shared" si="13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924.43999999999994</v>
      </c>
      <c r="C73" s="89">
        <f>C68+C56+C52+C38+C72</f>
        <v>901.24</v>
      </c>
      <c r="D73" s="89">
        <f t="shared" ref="D73:AG73" si="14">D68+D56+D52+D38+D72</f>
        <v>888.24</v>
      </c>
      <c r="E73" s="89">
        <f t="shared" si="14"/>
        <v>872.2399999999999</v>
      </c>
      <c r="F73" s="89">
        <f t="shared" si="14"/>
        <v>884.64</v>
      </c>
      <c r="G73" s="89">
        <f t="shared" si="14"/>
        <v>948.74</v>
      </c>
      <c r="H73" s="89">
        <f t="shared" si="14"/>
        <v>1001.24</v>
      </c>
      <c r="I73" s="89">
        <f t="shared" si="14"/>
        <v>1076.8400000000001</v>
      </c>
      <c r="J73" s="89">
        <f t="shared" si="14"/>
        <v>1152.04</v>
      </c>
      <c r="K73" s="89">
        <f t="shared" si="14"/>
        <v>1301.8400000000001</v>
      </c>
      <c r="L73" s="89">
        <f t="shared" si="14"/>
        <v>1394.24</v>
      </c>
      <c r="M73" s="89">
        <f t="shared" si="14"/>
        <v>1397.44</v>
      </c>
      <c r="N73" s="89">
        <f t="shared" si="14"/>
        <v>1358.2399999999998</v>
      </c>
      <c r="O73" s="89">
        <f t="shared" si="14"/>
        <v>1269.94</v>
      </c>
      <c r="P73" s="89">
        <f t="shared" si="14"/>
        <v>1249.1400000000001</v>
      </c>
      <c r="Q73" s="89">
        <f t="shared" si="14"/>
        <v>1161.24</v>
      </c>
      <c r="R73" s="89">
        <f t="shared" si="14"/>
        <v>1157.1399999999999</v>
      </c>
      <c r="S73" s="89">
        <f t="shared" si="14"/>
        <v>1117.94</v>
      </c>
      <c r="T73" s="89">
        <f t="shared" si="14"/>
        <v>1166.24</v>
      </c>
      <c r="U73" s="89">
        <f t="shared" si="14"/>
        <v>1187.04</v>
      </c>
      <c r="V73" s="89">
        <f t="shared" si="14"/>
        <v>1194.6400000000001</v>
      </c>
      <c r="W73" s="89">
        <f t="shared" si="14"/>
        <v>1238.3400000000001</v>
      </c>
      <c r="X73" s="89">
        <f t="shared" si="14"/>
        <v>1283.04</v>
      </c>
      <c r="Y73" s="89">
        <f t="shared" si="14"/>
        <v>1442.44</v>
      </c>
      <c r="Z73" s="89">
        <f t="shared" si="14"/>
        <v>1448.54</v>
      </c>
      <c r="AA73" s="89">
        <f t="shared" si="14"/>
        <v>1313.24</v>
      </c>
      <c r="AB73" s="89">
        <f t="shared" si="14"/>
        <v>1270.44</v>
      </c>
      <c r="AC73" s="89">
        <f t="shared" si="14"/>
        <v>1244.3399999999999</v>
      </c>
      <c r="AD73" s="89">
        <f t="shared" si="14"/>
        <v>1173.94</v>
      </c>
      <c r="AE73" s="89">
        <f t="shared" si="14"/>
        <v>1022.5400000000001</v>
      </c>
      <c r="AF73" s="89">
        <f t="shared" si="14"/>
        <v>950.13999999999987</v>
      </c>
      <c r="AG73" s="89">
        <f t="shared" si="14"/>
        <v>2144.14</v>
      </c>
      <c r="AH73" s="54">
        <f t="shared" si="2"/>
        <v>1448.54</v>
      </c>
      <c r="AI73" s="55">
        <f t="shared" si="3"/>
        <v>872.2399999999999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>
        <v>20</v>
      </c>
      <c r="N74" s="91">
        <v>15</v>
      </c>
      <c r="O74" s="91">
        <v>15</v>
      </c>
      <c r="P74" s="91">
        <v>15</v>
      </c>
      <c r="Q74" s="91">
        <v>15</v>
      </c>
      <c r="R74" s="91">
        <v>15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20</v>
      </c>
      <c r="AI74" s="55">
        <f t="shared" si="3"/>
        <v>15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924.43999999999994</v>
      </c>
      <c r="C75" s="89">
        <f>C73+C74</f>
        <v>901.24</v>
      </c>
      <c r="D75" s="89">
        <f t="shared" ref="D75:AF75" si="15">D72+D68+D56+D52+D38+D74</f>
        <v>888.24</v>
      </c>
      <c r="E75" s="89">
        <f t="shared" si="15"/>
        <v>872.2399999999999</v>
      </c>
      <c r="F75" s="89">
        <f t="shared" si="15"/>
        <v>884.64</v>
      </c>
      <c r="G75" s="89">
        <f t="shared" si="15"/>
        <v>948.74</v>
      </c>
      <c r="H75" s="89">
        <f t="shared" si="15"/>
        <v>1001.24</v>
      </c>
      <c r="I75" s="89">
        <f t="shared" si="15"/>
        <v>1076.8400000000001</v>
      </c>
      <c r="J75" s="89">
        <f t="shared" si="15"/>
        <v>1152.04</v>
      </c>
      <c r="K75" s="89">
        <f t="shared" si="15"/>
        <v>1301.8400000000001</v>
      </c>
      <c r="L75" s="89">
        <f t="shared" si="15"/>
        <v>1394.24</v>
      </c>
      <c r="M75" s="89">
        <f t="shared" si="15"/>
        <v>1417.44</v>
      </c>
      <c r="N75" s="89">
        <f t="shared" si="15"/>
        <v>1373.2399999999998</v>
      </c>
      <c r="O75" s="89">
        <f t="shared" si="15"/>
        <v>1284.94</v>
      </c>
      <c r="P75" s="89">
        <f t="shared" si="15"/>
        <v>1264.1400000000001</v>
      </c>
      <c r="Q75" s="89">
        <f t="shared" si="15"/>
        <v>1176.24</v>
      </c>
      <c r="R75" s="89">
        <f t="shared" si="15"/>
        <v>1172.1399999999999</v>
      </c>
      <c r="S75" s="89">
        <f t="shared" si="15"/>
        <v>1117.94</v>
      </c>
      <c r="T75" s="89">
        <f t="shared" si="15"/>
        <v>1166.24</v>
      </c>
      <c r="U75" s="89">
        <f t="shared" si="15"/>
        <v>1187.04</v>
      </c>
      <c r="V75" s="89">
        <f t="shared" si="15"/>
        <v>1194.6400000000001</v>
      </c>
      <c r="W75" s="89">
        <f t="shared" si="15"/>
        <v>1238.3400000000001</v>
      </c>
      <c r="X75" s="89">
        <f t="shared" si="15"/>
        <v>1283.04</v>
      </c>
      <c r="Y75" s="89">
        <f t="shared" si="15"/>
        <v>1442.44</v>
      </c>
      <c r="Z75" s="89">
        <f t="shared" si="15"/>
        <v>1448.54</v>
      </c>
      <c r="AA75" s="89">
        <f t="shared" si="15"/>
        <v>1313.24</v>
      </c>
      <c r="AB75" s="89">
        <f t="shared" si="15"/>
        <v>1270.44</v>
      </c>
      <c r="AC75" s="89">
        <f t="shared" si="15"/>
        <v>1244.3399999999999</v>
      </c>
      <c r="AD75" s="89">
        <f t="shared" si="15"/>
        <v>1173.94</v>
      </c>
      <c r="AE75" s="89">
        <f t="shared" si="15"/>
        <v>1022.5400000000001</v>
      </c>
      <c r="AF75" s="89">
        <f t="shared" si="15"/>
        <v>950.13999999999987</v>
      </c>
      <c r="AG75" s="78">
        <f>AG72+AG68+AG56+AG52+AG38+AG74</f>
        <v>2144.14</v>
      </c>
      <c r="AH75" s="54">
        <f t="shared" si="2"/>
        <v>1448.54</v>
      </c>
      <c r="AI75" s="55">
        <f t="shared" si="3"/>
        <v>872.2399999999999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6">IF(D60&lt;0,D60*-1,0)</f>
        <v>0</v>
      </c>
      <c r="E76" s="58">
        <f t="shared" si="16"/>
        <v>0</v>
      </c>
      <c r="F76" s="58">
        <f t="shared" si="16"/>
        <v>0</v>
      </c>
      <c r="G76" s="58">
        <f>IF(G60&lt;0,G60*-1,0)</f>
        <v>0</v>
      </c>
      <c r="H76" s="58">
        <f>IF(H60&lt;0,H60*-1,0)</f>
        <v>0</v>
      </c>
      <c r="I76" s="58">
        <f t="shared" si="16"/>
        <v>0</v>
      </c>
      <c r="J76" s="58">
        <f t="shared" si="16"/>
        <v>0</v>
      </c>
      <c r="K76" s="58">
        <f t="shared" si="16"/>
        <v>0</v>
      </c>
      <c r="L76" s="58">
        <f t="shared" si="16"/>
        <v>0</v>
      </c>
      <c r="M76" s="58">
        <f t="shared" si="16"/>
        <v>0</v>
      </c>
      <c r="N76" s="58">
        <f t="shared" si="16"/>
        <v>0</v>
      </c>
      <c r="O76" s="58">
        <f t="shared" si="16"/>
        <v>0</v>
      </c>
      <c r="P76" s="58">
        <f t="shared" si="16"/>
        <v>0</v>
      </c>
      <c r="Q76" s="58">
        <f t="shared" si="16"/>
        <v>0</v>
      </c>
      <c r="R76" s="58">
        <f t="shared" si="16"/>
        <v>0</v>
      </c>
      <c r="S76" s="58">
        <f t="shared" si="16"/>
        <v>0</v>
      </c>
      <c r="T76" s="58">
        <f t="shared" si="16"/>
        <v>0</v>
      </c>
      <c r="U76" s="58">
        <f t="shared" si="16"/>
        <v>0</v>
      </c>
      <c r="V76" s="58">
        <f t="shared" si="16"/>
        <v>0</v>
      </c>
      <c r="W76" s="58">
        <f t="shared" si="16"/>
        <v>0</v>
      </c>
      <c r="X76" s="58">
        <f t="shared" si="16"/>
        <v>0</v>
      </c>
      <c r="Y76" s="58">
        <f t="shared" si="16"/>
        <v>0</v>
      </c>
      <c r="Z76" s="58">
        <f t="shared" si="16"/>
        <v>0</v>
      </c>
      <c r="AA76" s="58">
        <f t="shared" si="16"/>
        <v>0</v>
      </c>
      <c r="AB76" s="58">
        <f t="shared" si="16"/>
        <v>0</v>
      </c>
      <c r="AC76" s="58">
        <f t="shared" si="16"/>
        <v>0</v>
      </c>
      <c r="AD76" s="58">
        <f t="shared" si="16"/>
        <v>0</v>
      </c>
      <c r="AE76" s="58">
        <f t="shared" si="16"/>
        <v>0</v>
      </c>
      <c r="AF76" s="58">
        <f t="shared" si="16"/>
        <v>0</v>
      </c>
      <c r="AG76" s="62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9">IF(D58&lt;0,D58*-1,0)</f>
        <v>0</v>
      </c>
      <c r="E77" s="58">
        <f t="shared" si="19"/>
        <v>0</v>
      </c>
      <c r="F77" s="58">
        <f t="shared" si="19"/>
        <v>0</v>
      </c>
      <c r="G77" s="58">
        <f t="shared" si="19"/>
        <v>0</v>
      </c>
      <c r="H77" s="58">
        <f t="shared" si="19"/>
        <v>0</v>
      </c>
      <c r="I77" s="58">
        <f t="shared" si="19"/>
        <v>0</v>
      </c>
      <c r="J77" s="58">
        <f t="shared" si="19"/>
        <v>0</v>
      </c>
      <c r="K77" s="58">
        <f t="shared" si="19"/>
        <v>0</v>
      </c>
      <c r="L77" s="58">
        <f t="shared" si="19"/>
        <v>0</v>
      </c>
      <c r="M77" s="58">
        <f t="shared" si="19"/>
        <v>0</v>
      </c>
      <c r="N77" s="58">
        <f t="shared" si="19"/>
        <v>0</v>
      </c>
      <c r="O77" s="58">
        <f t="shared" si="19"/>
        <v>0</v>
      </c>
      <c r="P77" s="58">
        <f t="shared" si="19"/>
        <v>0</v>
      </c>
      <c r="Q77" s="58">
        <f t="shared" si="19"/>
        <v>0</v>
      </c>
      <c r="R77" s="58">
        <f t="shared" si="19"/>
        <v>0</v>
      </c>
      <c r="S77" s="58">
        <f t="shared" si="19"/>
        <v>0</v>
      </c>
      <c r="T77" s="58">
        <f t="shared" si="19"/>
        <v>0</v>
      </c>
      <c r="U77" s="58">
        <f t="shared" si="19"/>
        <v>0</v>
      </c>
      <c r="V77" s="58">
        <f t="shared" si="19"/>
        <v>0</v>
      </c>
      <c r="W77" s="58">
        <f t="shared" si="19"/>
        <v>0</v>
      </c>
      <c r="X77" s="58">
        <f t="shared" si="19"/>
        <v>0</v>
      </c>
      <c r="Y77" s="58">
        <f t="shared" si="19"/>
        <v>0</v>
      </c>
      <c r="Z77" s="58">
        <f t="shared" si="19"/>
        <v>0</v>
      </c>
      <c r="AA77" s="58">
        <f t="shared" si="19"/>
        <v>0</v>
      </c>
      <c r="AB77" s="58">
        <f t="shared" si="19"/>
        <v>0</v>
      </c>
      <c r="AC77" s="58">
        <f t="shared" si="19"/>
        <v>0</v>
      </c>
      <c r="AD77" s="58">
        <f t="shared" si="19"/>
        <v>0</v>
      </c>
      <c r="AE77" s="58">
        <f t="shared" si="19"/>
        <v>0</v>
      </c>
      <c r="AF77" s="58">
        <f t="shared" si="19"/>
        <v>0</v>
      </c>
      <c r="AG77" s="67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20">IF(D61&lt;0,D61*-1,0)</f>
        <v>0</v>
      </c>
      <c r="E78" s="58">
        <f t="shared" si="20"/>
        <v>0</v>
      </c>
      <c r="F78" s="58">
        <f t="shared" si="20"/>
        <v>0</v>
      </c>
      <c r="G78" s="58">
        <f>IF(G61&lt;0,G61*-1,0)</f>
        <v>0</v>
      </c>
      <c r="H78" s="58">
        <f>IF(H61&lt;0,H61*-1,0)</f>
        <v>0</v>
      </c>
      <c r="I78" s="58">
        <f t="shared" si="20"/>
        <v>0</v>
      </c>
      <c r="J78" s="58">
        <f t="shared" si="20"/>
        <v>0</v>
      </c>
      <c r="K78" s="58">
        <f t="shared" si="20"/>
        <v>0</v>
      </c>
      <c r="L78" s="58">
        <f t="shared" si="20"/>
        <v>0</v>
      </c>
      <c r="M78" s="58">
        <f t="shared" si="20"/>
        <v>0</v>
      </c>
      <c r="N78" s="58">
        <f t="shared" si="20"/>
        <v>0</v>
      </c>
      <c r="O78" s="58">
        <f t="shared" si="20"/>
        <v>0</v>
      </c>
      <c r="P78" s="58">
        <f t="shared" si="20"/>
        <v>0</v>
      </c>
      <c r="Q78" s="58">
        <f t="shared" si="20"/>
        <v>0</v>
      </c>
      <c r="R78" s="58">
        <f t="shared" si="20"/>
        <v>0</v>
      </c>
      <c r="S78" s="58">
        <f t="shared" si="20"/>
        <v>0</v>
      </c>
      <c r="T78" s="58">
        <f t="shared" si="20"/>
        <v>0</v>
      </c>
      <c r="U78" s="58">
        <f t="shared" si="20"/>
        <v>0</v>
      </c>
      <c r="V78" s="58">
        <f t="shared" si="20"/>
        <v>0</v>
      </c>
      <c r="W78" s="58">
        <f t="shared" si="20"/>
        <v>0</v>
      </c>
      <c r="X78" s="58">
        <f t="shared" si="20"/>
        <v>0</v>
      </c>
      <c r="Y78" s="58">
        <f t="shared" si="20"/>
        <v>0</v>
      </c>
      <c r="Z78" s="58">
        <f t="shared" si="20"/>
        <v>0</v>
      </c>
      <c r="AA78" s="58">
        <f t="shared" si="20"/>
        <v>0</v>
      </c>
      <c r="AB78" s="58">
        <f t="shared" si="20"/>
        <v>0</v>
      </c>
      <c r="AC78" s="58">
        <f t="shared" si="20"/>
        <v>0</v>
      </c>
      <c r="AD78" s="58">
        <f t="shared" si="20"/>
        <v>0</v>
      </c>
      <c r="AE78" s="58">
        <f t="shared" si="20"/>
        <v>0</v>
      </c>
      <c r="AF78" s="58">
        <f t="shared" si="20"/>
        <v>0</v>
      </c>
      <c r="AG78" s="92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21">IF(D59&lt;0,D59*-1,0)</f>
        <v>0</v>
      </c>
      <c r="E79" s="58">
        <f t="shared" si="21"/>
        <v>0</v>
      </c>
      <c r="F79" s="58">
        <f t="shared" si="21"/>
        <v>0</v>
      </c>
      <c r="G79" s="58">
        <f t="shared" si="21"/>
        <v>0</v>
      </c>
      <c r="H79" s="58">
        <f t="shared" si="21"/>
        <v>0</v>
      </c>
      <c r="I79" s="58">
        <f t="shared" si="21"/>
        <v>0</v>
      </c>
      <c r="J79" s="58">
        <f t="shared" si="21"/>
        <v>0</v>
      </c>
      <c r="K79" s="58">
        <f t="shared" si="21"/>
        <v>0</v>
      </c>
      <c r="L79" s="58">
        <f t="shared" si="21"/>
        <v>0</v>
      </c>
      <c r="M79" s="58">
        <f t="shared" si="21"/>
        <v>0</v>
      </c>
      <c r="N79" s="58">
        <f t="shared" si="21"/>
        <v>0</v>
      </c>
      <c r="O79" s="58">
        <f t="shared" si="21"/>
        <v>0</v>
      </c>
      <c r="P79" s="58">
        <f t="shared" si="21"/>
        <v>0</v>
      </c>
      <c r="Q79" s="58">
        <f t="shared" si="21"/>
        <v>0</v>
      </c>
      <c r="R79" s="58">
        <f t="shared" si="21"/>
        <v>0</v>
      </c>
      <c r="S79" s="58">
        <f t="shared" si="21"/>
        <v>0</v>
      </c>
      <c r="T79" s="58">
        <f t="shared" si="21"/>
        <v>0</v>
      </c>
      <c r="U79" s="58">
        <f t="shared" si="21"/>
        <v>0</v>
      </c>
      <c r="V79" s="58">
        <f t="shared" si="21"/>
        <v>0</v>
      </c>
      <c r="W79" s="58">
        <f t="shared" si="21"/>
        <v>0</v>
      </c>
      <c r="X79" s="58">
        <f t="shared" si="21"/>
        <v>0</v>
      </c>
      <c r="Y79" s="58">
        <f t="shared" si="21"/>
        <v>0</v>
      </c>
      <c r="Z79" s="58">
        <f t="shared" si="21"/>
        <v>0</v>
      </c>
      <c r="AA79" s="58">
        <f t="shared" si="21"/>
        <v>0</v>
      </c>
      <c r="AB79" s="58">
        <f t="shared" si="21"/>
        <v>0</v>
      </c>
      <c r="AC79" s="58">
        <f t="shared" si="21"/>
        <v>0</v>
      </c>
      <c r="AD79" s="58">
        <f t="shared" si="21"/>
        <v>0</v>
      </c>
      <c r="AE79" s="58">
        <f t="shared" si="21"/>
        <v>0</v>
      </c>
      <c r="AF79" s="58">
        <f t="shared" si="21"/>
        <v>0</v>
      </c>
      <c r="AG79" s="92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22">IF(D57&lt;0,D57*-1,0)</f>
        <v>0</v>
      </c>
      <c r="E80" s="58">
        <f t="shared" si="22"/>
        <v>0</v>
      </c>
      <c r="F80" s="58">
        <f t="shared" si="22"/>
        <v>0</v>
      </c>
      <c r="G80" s="58">
        <f t="shared" si="22"/>
        <v>0</v>
      </c>
      <c r="H80" s="58">
        <f t="shared" si="22"/>
        <v>0</v>
      </c>
      <c r="I80" s="58">
        <f t="shared" si="22"/>
        <v>0</v>
      </c>
      <c r="J80" s="58">
        <f t="shared" si="22"/>
        <v>0</v>
      </c>
      <c r="K80" s="58">
        <f t="shared" si="22"/>
        <v>0</v>
      </c>
      <c r="L80" s="58">
        <f t="shared" si="22"/>
        <v>0</v>
      </c>
      <c r="M80" s="58">
        <f t="shared" si="22"/>
        <v>0</v>
      </c>
      <c r="N80" s="58">
        <f t="shared" si="22"/>
        <v>0</v>
      </c>
      <c r="O80" s="58">
        <f t="shared" si="22"/>
        <v>0</v>
      </c>
      <c r="P80" s="58">
        <f t="shared" si="22"/>
        <v>0</v>
      </c>
      <c r="Q80" s="58">
        <f t="shared" si="22"/>
        <v>0</v>
      </c>
      <c r="R80" s="58">
        <f t="shared" si="22"/>
        <v>0</v>
      </c>
      <c r="S80" s="58">
        <f t="shared" si="22"/>
        <v>0</v>
      </c>
      <c r="T80" s="58">
        <f t="shared" si="22"/>
        <v>0</v>
      </c>
      <c r="U80" s="58">
        <f t="shared" si="22"/>
        <v>0</v>
      </c>
      <c r="V80" s="58">
        <f t="shared" si="22"/>
        <v>0</v>
      </c>
      <c r="W80" s="58">
        <f t="shared" si="22"/>
        <v>0</v>
      </c>
      <c r="X80" s="58">
        <f t="shared" si="22"/>
        <v>0</v>
      </c>
      <c r="Y80" s="58">
        <f t="shared" si="22"/>
        <v>0</v>
      </c>
      <c r="Z80" s="58">
        <f t="shared" si="22"/>
        <v>0</v>
      </c>
      <c r="AA80" s="58">
        <f t="shared" si="22"/>
        <v>0</v>
      </c>
      <c r="AB80" s="58">
        <f t="shared" si="22"/>
        <v>0</v>
      </c>
      <c r="AC80" s="58">
        <f t="shared" si="22"/>
        <v>0</v>
      </c>
      <c r="AD80" s="58">
        <f t="shared" si="22"/>
        <v>0</v>
      </c>
      <c r="AE80" s="58">
        <f t="shared" si="22"/>
        <v>0</v>
      </c>
      <c r="AF80" s="58">
        <f t="shared" si="22"/>
        <v>0</v>
      </c>
      <c r="AG80" s="92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23">SUM(C76:C81)</f>
        <v>0</v>
      </c>
      <c r="D82" s="72">
        <f t="shared" si="23"/>
        <v>0</v>
      </c>
      <c r="E82" s="72">
        <f t="shared" si="23"/>
        <v>0</v>
      </c>
      <c r="F82" s="72">
        <f t="shared" si="23"/>
        <v>0</v>
      </c>
      <c r="G82" s="72">
        <f t="shared" si="23"/>
        <v>0</v>
      </c>
      <c r="H82" s="72">
        <f t="shared" si="23"/>
        <v>0</v>
      </c>
      <c r="I82" s="72">
        <f t="shared" si="23"/>
        <v>0</v>
      </c>
      <c r="J82" s="72">
        <f t="shared" si="23"/>
        <v>0</v>
      </c>
      <c r="K82" s="72">
        <f t="shared" si="23"/>
        <v>0</v>
      </c>
      <c r="L82" s="72">
        <f t="shared" si="23"/>
        <v>0</v>
      </c>
      <c r="M82" s="72">
        <f t="shared" si="23"/>
        <v>0</v>
      </c>
      <c r="N82" s="72">
        <f t="shared" si="23"/>
        <v>0</v>
      </c>
      <c r="O82" s="72">
        <f t="shared" si="23"/>
        <v>0</v>
      </c>
      <c r="P82" s="72">
        <f t="shared" si="23"/>
        <v>0</v>
      </c>
      <c r="Q82" s="72">
        <f t="shared" si="23"/>
        <v>0</v>
      </c>
      <c r="R82" s="72">
        <f t="shared" si="23"/>
        <v>0</v>
      </c>
      <c r="S82" s="72">
        <f t="shared" si="23"/>
        <v>0</v>
      </c>
      <c r="T82" s="72">
        <f t="shared" si="23"/>
        <v>0</v>
      </c>
      <c r="U82" s="72">
        <f t="shared" si="23"/>
        <v>0</v>
      </c>
      <c r="V82" s="72">
        <f t="shared" si="23"/>
        <v>0</v>
      </c>
      <c r="W82" s="72">
        <f t="shared" si="23"/>
        <v>0</v>
      </c>
      <c r="X82" s="72">
        <f t="shared" si="23"/>
        <v>0</v>
      </c>
      <c r="Y82" s="72">
        <f t="shared" si="23"/>
        <v>0</v>
      </c>
      <c r="Z82" s="72">
        <f t="shared" si="23"/>
        <v>0</v>
      </c>
      <c r="AA82" s="72">
        <f t="shared" si="23"/>
        <v>0</v>
      </c>
      <c r="AB82" s="72">
        <f t="shared" si="23"/>
        <v>0</v>
      </c>
      <c r="AC82" s="72">
        <f t="shared" si="23"/>
        <v>0</v>
      </c>
      <c r="AD82" s="72">
        <f t="shared" si="23"/>
        <v>0</v>
      </c>
      <c r="AE82" s="72">
        <f t="shared" si="23"/>
        <v>0</v>
      </c>
      <c r="AF82" s="72">
        <f t="shared" si="23"/>
        <v>0</v>
      </c>
      <c r="AG82" s="78">
        <f t="shared" si="23"/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1848.8799999999999</v>
      </c>
      <c r="C83" s="72">
        <f t="shared" ref="C83:AG83" si="24">SUM(C70:C82)</f>
        <v>1802.48</v>
      </c>
      <c r="D83" s="72">
        <f t="shared" si="24"/>
        <v>1776.48</v>
      </c>
      <c r="E83" s="72">
        <f t="shared" si="24"/>
        <v>1744.4799999999998</v>
      </c>
      <c r="F83" s="72">
        <f t="shared" si="24"/>
        <v>1769.28</v>
      </c>
      <c r="G83" s="72">
        <f t="shared" si="24"/>
        <v>1897.48</v>
      </c>
      <c r="H83" s="72">
        <f t="shared" si="24"/>
        <v>2002.48</v>
      </c>
      <c r="I83" s="72">
        <f t="shared" si="24"/>
        <v>2153.6800000000003</v>
      </c>
      <c r="J83" s="72">
        <f t="shared" si="24"/>
        <v>2304.08</v>
      </c>
      <c r="K83" s="72">
        <f t="shared" si="24"/>
        <v>2603.6800000000003</v>
      </c>
      <c r="L83" s="72">
        <f t="shared" si="24"/>
        <v>2788.48</v>
      </c>
      <c r="M83" s="72">
        <f t="shared" si="24"/>
        <v>2834.88</v>
      </c>
      <c r="N83" s="72">
        <f t="shared" si="24"/>
        <v>2746.4799999999996</v>
      </c>
      <c r="O83" s="72">
        <f t="shared" si="24"/>
        <v>2569.88</v>
      </c>
      <c r="P83" s="72">
        <f t="shared" si="24"/>
        <v>2528.2800000000002</v>
      </c>
      <c r="Q83" s="72">
        <f t="shared" si="24"/>
        <v>2352.48</v>
      </c>
      <c r="R83" s="72">
        <f t="shared" si="24"/>
        <v>2344.2799999999997</v>
      </c>
      <c r="S83" s="72">
        <f t="shared" si="24"/>
        <v>2235.88</v>
      </c>
      <c r="T83" s="72">
        <f t="shared" si="24"/>
        <v>2332.48</v>
      </c>
      <c r="U83" s="72">
        <f t="shared" si="24"/>
        <v>2374.08</v>
      </c>
      <c r="V83" s="72">
        <f t="shared" si="24"/>
        <v>2389.2800000000002</v>
      </c>
      <c r="W83" s="72">
        <f t="shared" si="24"/>
        <v>2476.6800000000003</v>
      </c>
      <c r="X83" s="72">
        <f t="shared" si="24"/>
        <v>2566.08</v>
      </c>
      <c r="Y83" s="72">
        <f t="shared" si="24"/>
        <v>2884.88</v>
      </c>
      <c r="Z83" s="72">
        <f t="shared" si="24"/>
        <v>2897.08</v>
      </c>
      <c r="AA83" s="72">
        <f t="shared" si="24"/>
        <v>2626.48</v>
      </c>
      <c r="AB83" s="72">
        <f t="shared" si="24"/>
        <v>2540.88</v>
      </c>
      <c r="AC83" s="72">
        <f t="shared" si="24"/>
        <v>2488.6799999999998</v>
      </c>
      <c r="AD83" s="72">
        <f t="shared" si="24"/>
        <v>2347.88</v>
      </c>
      <c r="AE83" s="72">
        <f t="shared" si="24"/>
        <v>2045.0800000000002</v>
      </c>
      <c r="AF83" s="72">
        <f t="shared" si="24"/>
        <v>1900.2799999999997</v>
      </c>
      <c r="AG83" s="78">
        <f t="shared" si="24"/>
        <v>4360.08</v>
      </c>
      <c r="AH83" s="54">
        <f t="shared" si="17"/>
        <v>2897.08</v>
      </c>
      <c r="AI83" s="55">
        <f t="shared" si="18"/>
        <v>1744.4799999999998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50.02</v>
      </c>
      <c r="C84" s="96">
        <v>50.01</v>
      </c>
      <c r="D84" s="96">
        <v>50.01</v>
      </c>
      <c r="E84" s="96">
        <v>50.061999999999998</v>
      </c>
      <c r="F84" s="96">
        <v>49.981999999999999</v>
      </c>
      <c r="G84" s="96">
        <v>50.036999999999999</v>
      </c>
      <c r="H84" s="96">
        <v>50.061999999999998</v>
      </c>
      <c r="I84" s="96">
        <v>50.05</v>
      </c>
      <c r="J84" s="96">
        <v>50.154000000000003</v>
      </c>
      <c r="K84" s="96">
        <v>50.05</v>
      </c>
      <c r="L84" s="96">
        <v>50.07</v>
      </c>
      <c r="M84" s="96">
        <v>50.042999999999999</v>
      </c>
      <c r="N84" s="96">
        <v>49.984000000000002</v>
      </c>
      <c r="O84" s="96">
        <v>50.021000000000001</v>
      </c>
      <c r="P84" s="96">
        <v>49.98</v>
      </c>
      <c r="Q84" s="96">
        <v>50.014000000000003</v>
      </c>
      <c r="R84" s="96">
        <v>50.008000000000003</v>
      </c>
      <c r="S84" s="96">
        <v>49.99</v>
      </c>
      <c r="T84" s="96">
        <v>50.06</v>
      </c>
      <c r="U84" s="96">
        <v>50.01</v>
      </c>
      <c r="V84" s="96">
        <v>49.9</v>
      </c>
      <c r="W84" s="96">
        <v>50.1</v>
      </c>
      <c r="X84" s="96">
        <v>49.95</v>
      </c>
      <c r="Y84" s="96">
        <v>50.07</v>
      </c>
      <c r="Z84" s="96">
        <v>50.02</v>
      </c>
      <c r="AA84" s="96">
        <v>49.93</v>
      </c>
      <c r="AB84" s="96">
        <v>49.994999999999997</v>
      </c>
      <c r="AC84" s="96">
        <v>49.994999999999997</v>
      </c>
      <c r="AD84" s="96">
        <v>50.078000000000003</v>
      </c>
      <c r="AE84" s="96">
        <v>50.026000000000003</v>
      </c>
      <c r="AF84" s="96">
        <v>49.993000000000002</v>
      </c>
      <c r="AG84" s="97"/>
      <c r="AH84" s="54">
        <f t="shared" si="17"/>
        <v>50.154000000000003</v>
      </c>
      <c r="AI84" s="55">
        <f t="shared" si="18"/>
        <v>49.9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126.2</v>
      </c>
      <c r="C85" s="73">
        <v>126</v>
      </c>
      <c r="D85" s="73">
        <v>127.8</v>
      </c>
      <c r="E85" s="73">
        <v>128</v>
      </c>
      <c r="F85" s="73">
        <v>127.2</v>
      </c>
      <c r="G85" s="73">
        <v>126.7</v>
      </c>
      <c r="H85" s="73">
        <v>124.4</v>
      </c>
      <c r="I85" s="73">
        <v>126.6</v>
      </c>
      <c r="J85" s="73">
        <v>125.3</v>
      </c>
      <c r="K85" s="73">
        <v>126.6</v>
      </c>
      <c r="L85" s="73">
        <v>126.6</v>
      </c>
      <c r="M85" s="73">
        <v>125.1</v>
      </c>
      <c r="N85" s="73">
        <v>124.9</v>
      </c>
      <c r="O85" s="73">
        <v>122.9</v>
      </c>
      <c r="P85" s="73">
        <v>124.6</v>
      </c>
      <c r="Q85" s="73">
        <v>125.6</v>
      </c>
      <c r="R85" s="73">
        <v>126.1</v>
      </c>
      <c r="S85" s="73">
        <v>125.6</v>
      </c>
      <c r="T85" s="73">
        <v>122.4</v>
      </c>
      <c r="U85" s="73">
        <v>123.4</v>
      </c>
      <c r="V85" s="73">
        <v>125.1</v>
      </c>
      <c r="W85" s="73">
        <v>125.5</v>
      </c>
      <c r="X85" s="73">
        <v>125.8</v>
      </c>
      <c r="Y85" s="73">
        <v>125.4</v>
      </c>
      <c r="Z85" s="73">
        <v>126.2</v>
      </c>
      <c r="AA85" s="73">
        <v>127.6</v>
      </c>
      <c r="AB85" s="73">
        <v>128.1</v>
      </c>
      <c r="AC85" s="73">
        <v>127</v>
      </c>
      <c r="AD85" s="73">
        <v>127.7</v>
      </c>
      <c r="AE85" s="73">
        <v>124.2</v>
      </c>
      <c r="AF85" s="73">
        <v>124.7</v>
      </c>
      <c r="AG85" s="101"/>
      <c r="AH85" s="54">
        <f t="shared" si="17"/>
        <v>128.1</v>
      </c>
      <c r="AI85" s="55">
        <f t="shared" si="18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130.4</v>
      </c>
      <c r="C86" s="73">
        <v>130.69999999999999</v>
      </c>
      <c r="D86" s="73">
        <v>131.69999999999999</v>
      </c>
      <c r="E86" s="73">
        <v>131.9</v>
      </c>
      <c r="F86" s="73">
        <v>131.6</v>
      </c>
      <c r="G86" s="73">
        <v>130.69999999999999</v>
      </c>
      <c r="H86" s="73">
        <v>128.80000000000001</v>
      </c>
      <c r="I86" s="73">
        <v>130.5</v>
      </c>
      <c r="J86" s="73">
        <v>128.9</v>
      </c>
      <c r="K86" s="73">
        <v>130.5</v>
      </c>
      <c r="L86" s="73">
        <v>130.5</v>
      </c>
      <c r="M86" s="73">
        <v>128.4</v>
      </c>
      <c r="N86" s="73">
        <v>128.4</v>
      </c>
      <c r="O86" s="73">
        <v>125.5</v>
      </c>
      <c r="P86" s="73">
        <v>127.8</v>
      </c>
      <c r="Q86" s="73">
        <v>128.69999999999999</v>
      </c>
      <c r="R86" s="73">
        <v>129.1</v>
      </c>
      <c r="S86" s="73">
        <v>128</v>
      </c>
      <c r="T86" s="73">
        <v>125.6</v>
      </c>
      <c r="U86" s="73">
        <v>126.1</v>
      </c>
      <c r="V86" s="73">
        <v>128.30000000000001</v>
      </c>
      <c r="W86" s="73">
        <v>128.4</v>
      </c>
      <c r="X86" s="73">
        <v>128.69999999999999</v>
      </c>
      <c r="Y86" s="73">
        <v>128</v>
      </c>
      <c r="Z86" s="73">
        <v>128.5</v>
      </c>
      <c r="AA86" s="73">
        <v>128.5</v>
      </c>
      <c r="AB86" s="73">
        <v>130.4</v>
      </c>
      <c r="AC86" s="73">
        <v>130</v>
      </c>
      <c r="AD86" s="73">
        <v>130.9</v>
      </c>
      <c r="AE86" s="73">
        <v>129</v>
      </c>
      <c r="AF86" s="73">
        <v>129.69999999999999</v>
      </c>
      <c r="AG86" s="101"/>
      <c r="AH86" s="54">
        <f t="shared" si="17"/>
        <v>131.9</v>
      </c>
      <c r="AI86" s="55">
        <f t="shared" si="18"/>
        <v>125.5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131.9</v>
      </c>
      <c r="C87" s="73">
        <v>131.69999999999999</v>
      </c>
      <c r="D87" s="73">
        <v>132.1</v>
      </c>
      <c r="E87" s="73">
        <v>133.1</v>
      </c>
      <c r="F87" s="73">
        <v>133.1</v>
      </c>
      <c r="G87" s="73">
        <v>131</v>
      </c>
      <c r="H87" s="73">
        <v>128.9</v>
      </c>
      <c r="I87" s="73">
        <v>131</v>
      </c>
      <c r="J87" s="73">
        <v>130.19999999999999</v>
      </c>
      <c r="K87" s="73">
        <v>131</v>
      </c>
      <c r="L87" s="73">
        <v>131</v>
      </c>
      <c r="M87" s="73">
        <v>130.4</v>
      </c>
      <c r="N87" s="73">
        <v>126.1</v>
      </c>
      <c r="O87" s="73">
        <v>126.5</v>
      </c>
      <c r="P87" s="73">
        <v>126.5</v>
      </c>
      <c r="Q87" s="73">
        <v>130.69999999999999</v>
      </c>
      <c r="R87" s="73">
        <v>131.4</v>
      </c>
      <c r="S87" s="73">
        <v>129.80000000000001</v>
      </c>
      <c r="T87" s="73">
        <v>129</v>
      </c>
      <c r="U87" s="73">
        <v>127.1</v>
      </c>
      <c r="V87" s="73">
        <v>129.30000000000001</v>
      </c>
      <c r="W87" s="73">
        <v>128.4</v>
      </c>
      <c r="X87" s="73">
        <v>127.9</v>
      </c>
      <c r="Y87" s="73">
        <v>125.9</v>
      </c>
      <c r="Z87" s="73">
        <v>129.19999999999999</v>
      </c>
      <c r="AA87" s="73">
        <v>129.19999999999999</v>
      </c>
      <c r="AB87" s="73">
        <v>131.9</v>
      </c>
      <c r="AC87" s="73">
        <v>132.9</v>
      </c>
      <c r="AD87" s="73">
        <v>130.19999999999999</v>
      </c>
      <c r="AE87" s="73">
        <v>130.4</v>
      </c>
      <c r="AF87" s="73">
        <v>130.69999999999999</v>
      </c>
      <c r="AG87" s="101"/>
      <c r="AH87" s="54">
        <f t="shared" si="17"/>
        <v>133.1</v>
      </c>
      <c r="AI87" s="55">
        <f t="shared" si="18"/>
        <v>125.9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134.4</v>
      </c>
      <c r="C88" s="73">
        <v>134.5</v>
      </c>
      <c r="D88" s="73">
        <v>134.80000000000001</v>
      </c>
      <c r="E88" s="73">
        <v>135.69999999999999</v>
      </c>
      <c r="F88" s="73">
        <v>135.80000000000001</v>
      </c>
      <c r="G88" s="73">
        <v>133.5</v>
      </c>
      <c r="H88" s="73">
        <v>131.5</v>
      </c>
      <c r="I88" s="73">
        <v>132</v>
      </c>
      <c r="J88" s="73">
        <v>130.69999999999999</v>
      </c>
      <c r="K88" s="73">
        <v>132</v>
      </c>
      <c r="L88" s="73">
        <v>132</v>
      </c>
      <c r="M88" s="73">
        <v>129</v>
      </c>
      <c r="N88" s="73">
        <v>128</v>
      </c>
      <c r="O88" s="73">
        <v>128.6</v>
      </c>
      <c r="P88" s="73">
        <v>128.80000000000001</v>
      </c>
      <c r="Q88" s="73">
        <v>133.30000000000001</v>
      </c>
      <c r="R88" s="73">
        <v>135.30000000000001</v>
      </c>
      <c r="S88" s="73">
        <v>133.1</v>
      </c>
      <c r="T88" s="73">
        <v>131.69999999999999</v>
      </c>
      <c r="U88" s="73">
        <v>129.69999999999999</v>
      </c>
      <c r="V88" s="73">
        <v>131.6</v>
      </c>
      <c r="W88" s="73">
        <v>130.69999999999999</v>
      </c>
      <c r="X88" s="73">
        <v>130.19999999999999</v>
      </c>
      <c r="Y88" s="73">
        <v>128.19999999999999</v>
      </c>
      <c r="Z88" s="73">
        <v>131.80000000000001</v>
      </c>
      <c r="AA88" s="73">
        <v>131.80000000000001</v>
      </c>
      <c r="AB88" s="73">
        <v>136.5</v>
      </c>
      <c r="AC88" s="73">
        <v>137.80000000000001</v>
      </c>
      <c r="AD88" s="73">
        <v>134.19999999999999</v>
      </c>
      <c r="AE88" s="73">
        <v>135.19999999999999</v>
      </c>
      <c r="AF88" s="73">
        <v>135.5</v>
      </c>
      <c r="AG88" s="101"/>
      <c r="AH88" s="54">
        <f t="shared" si="17"/>
        <v>137.80000000000001</v>
      </c>
      <c r="AI88" s="55">
        <f t="shared" si="18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129.19999999999999</v>
      </c>
      <c r="C89" s="104">
        <v>134.5</v>
      </c>
      <c r="D89" s="104">
        <v>136.19999999999999</v>
      </c>
      <c r="E89" s="104">
        <v>135.30000000000001</v>
      </c>
      <c r="F89" s="104">
        <v>135.30000000000001</v>
      </c>
      <c r="G89" s="104">
        <v>134.80000000000001</v>
      </c>
      <c r="H89" s="104">
        <v>133.30000000000001</v>
      </c>
      <c r="I89" s="104">
        <v>133.19999999999999</v>
      </c>
      <c r="J89" s="104">
        <v>131.5</v>
      </c>
      <c r="K89" s="104">
        <v>133.19999999999999</v>
      </c>
      <c r="L89" s="104">
        <v>133.19999999999999</v>
      </c>
      <c r="M89" s="104">
        <v>133.6</v>
      </c>
      <c r="N89" s="104">
        <v>132.9</v>
      </c>
      <c r="O89" s="104">
        <v>134.69999999999999</v>
      </c>
      <c r="P89" s="104">
        <v>135.80000000000001</v>
      </c>
      <c r="Q89" s="104">
        <v>137</v>
      </c>
      <c r="R89" s="104">
        <v>135.69999999999999</v>
      </c>
      <c r="S89" s="104">
        <v>132.5</v>
      </c>
      <c r="T89" s="104">
        <v>132.80000000000001</v>
      </c>
      <c r="U89" s="104">
        <v>132.80000000000001</v>
      </c>
      <c r="V89" s="104">
        <v>135.80000000000001</v>
      </c>
      <c r="W89" s="104">
        <v>135.5</v>
      </c>
      <c r="X89" s="104">
        <v>135.80000000000001</v>
      </c>
      <c r="Y89" s="104">
        <v>134.5</v>
      </c>
      <c r="Z89" s="104">
        <v>136.30000000000001</v>
      </c>
      <c r="AA89" s="104">
        <v>136.30000000000001</v>
      </c>
      <c r="AB89" s="104">
        <v>137.1</v>
      </c>
      <c r="AC89" s="104">
        <v>132.9</v>
      </c>
      <c r="AD89" s="104">
        <v>133.4</v>
      </c>
      <c r="AE89" s="104">
        <v>131.5</v>
      </c>
      <c r="AF89" s="104">
        <v>126.3</v>
      </c>
      <c r="AG89" s="105"/>
      <c r="AH89" s="54">
        <f t="shared" si="17"/>
        <v>137.1</v>
      </c>
      <c r="AI89" s="55">
        <f t="shared" si="18"/>
        <v>126.3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138.30000000000001</v>
      </c>
      <c r="C90" s="73">
        <v>138</v>
      </c>
      <c r="D90" s="73">
        <v>138</v>
      </c>
      <c r="E90" s="73">
        <v>135</v>
      </c>
      <c r="F90" s="73">
        <v>135.19999999999999</v>
      </c>
      <c r="G90" s="73">
        <v>132.5</v>
      </c>
      <c r="H90" s="73">
        <v>131</v>
      </c>
      <c r="I90" s="73">
        <v>134</v>
      </c>
      <c r="J90" s="73">
        <v>129</v>
      </c>
      <c r="K90" s="73">
        <v>134</v>
      </c>
      <c r="L90" s="73">
        <v>134</v>
      </c>
      <c r="M90" s="73">
        <v>129.9</v>
      </c>
      <c r="N90" s="73">
        <v>129</v>
      </c>
      <c r="O90" s="73">
        <v>130</v>
      </c>
      <c r="P90" s="73">
        <v>129.4</v>
      </c>
      <c r="Q90" s="73">
        <v>131.1</v>
      </c>
      <c r="R90" s="73">
        <v>135.4</v>
      </c>
      <c r="S90" s="73">
        <v>132.4</v>
      </c>
      <c r="T90" s="73">
        <v>134.9</v>
      </c>
      <c r="U90" s="73">
        <v>134.9</v>
      </c>
      <c r="V90" s="73">
        <v>130.19999999999999</v>
      </c>
      <c r="W90" s="73">
        <v>127.8</v>
      </c>
      <c r="X90" s="73">
        <v>129.19999999999999</v>
      </c>
      <c r="Y90" s="73">
        <v>131.80000000000001</v>
      </c>
      <c r="Z90" s="73">
        <v>130.69999999999999</v>
      </c>
      <c r="AA90" s="73">
        <v>130.69999999999999</v>
      </c>
      <c r="AB90" s="73">
        <v>132.4</v>
      </c>
      <c r="AC90" s="73">
        <v>133.9</v>
      </c>
      <c r="AD90" s="73">
        <v>133.9</v>
      </c>
      <c r="AE90" s="73">
        <v>136.19999999999999</v>
      </c>
      <c r="AF90" s="73">
        <v>136</v>
      </c>
      <c r="AG90" s="101"/>
      <c r="AH90" s="54">
        <f t="shared" si="17"/>
        <v>138.30000000000001</v>
      </c>
      <c r="AI90" s="55">
        <f t="shared" si="18"/>
        <v>127.8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65.5</v>
      </c>
      <c r="C91" s="107">
        <v>65.8</v>
      </c>
      <c r="D91" s="107">
        <v>66.400000000000006</v>
      </c>
      <c r="E91" s="107">
        <v>66.2</v>
      </c>
      <c r="F91" s="107">
        <v>66.099999999999994</v>
      </c>
      <c r="G91" s="107">
        <v>65.599999999999994</v>
      </c>
      <c r="H91" s="107">
        <v>64.7</v>
      </c>
      <c r="I91" s="107">
        <v>65.7</v>
      </c>
      <c r="J91" s="107">
        <v>64.400000000000006</v>
      </c>
      <c r="K91" s="107">
        <v>65.7</v>
      </c>
      <c r="L91" s="107">
        <v>65.7</v>
      </c>
      <c r="M91" s="107">
        <v>64.900000000000006</v>
      </c>
      <c r="N91" s="107">
        <v>64.7</v>
      </c>
      <c r="O91" s="107">
        <v>66.900000000000006</v>
      </c>
      <c r="P91" s="107">
        <v>64.2</v>
      </c>
      <c r="Q91" s="107">
        <v>64.900000000000006</v>
      </c>
      <c r="R91" s="107">
        <v>65.3</v>
      </c>
      <c r="S91" s="107">
        <v>64.3</v>
      </c>
      <c r="T91" s="107">
        <v>63.1</v>
      </c>
      <c r="U91" s="107">
        <v>63.1</v>
      </c>
      <c r="V91" s="107">
        <v>65.099999999999994</v>
      </c>
      <c r="W91" s="107">
        <v>65.2</v>
      </c>
      <c r="X91" s="107">
        <v>65.099999999999994</v>
      </c>
      <c r="Y91" s="107">
        <v>64.8</v>
      </c>
      <c r="Z91" s="107">
        <v>65.099999999999994</v>
      </c>
      <c r="AA91" s="107">
        <v>66.099999999999994</v>
      </c>
      <c r="AB91" s="107">
        <v>66.2</v>
      </c>
      <c r="AC91" s="107">
        <v>65.8</v>
      </c>
      <c r="AD91" s="107">
        <v>66</v>
      </c>
      <c r="AE91" s="107">
        <v>65.3</v>
      </c>
      <c r="AF91" s="107">
        <v>65.8</v>
      </c>
      <c r="AG91" s="108"/>
      <c r="AH91" s="54">
        <f t="shared" si="17"/>
        <v>66.900000000000006</v>
      </c>
      <c r="AI91" s="55">
        <f t="shared" si="18"/>
        <v>63.1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172.23999999999998</v>
      </c>
      <c r="C93" s="114">
        <f>SUM(C15,C18,C21:C22,C42,C44:C45,C47,C49,C94:C97,C102,C108,C114,C123,C125,C137,C144,C147:C148,C155,C157,C159,C163:C165,C167:C169,C174,C180:C181,C183:C185,C193,C198)</f>
        <v>163.53999999999996</v>
      </c>
      <c r="D93" s="114">
        <f t="shared" ref="D93:AF93" si="25">SUM(D15,D18,D21:D22,D42,D44:D45,D47,D49,D94:D97,D102,D108,D114,D123,D125,D137,D144,D147:D148,D155,D157,D159,D163:D165,D167:D169,D174,D180:D181,D183:D185,D193,D198)</f>
        <v>160.73999999999998</v>
      </c>
      <c r="E93" s="114">
        <f t="shared" si="25"/>
        <v>159.03999999999996</v>
      </c>
      <c r="F93" s="114">
        <f t="shared" si="25"/>
        <v>163.63999999999999</v>
      </c>
      <c r="G93" s="113">
        <f t="shared" si="25"/>
        <v>190.13999999999996</v>
      </c>
      <c r="H93" s="113">
        <f t="shared" si="25"/>
        <v>212.83999999999997</v>
      </c>
      <c r="I93" s="113">
        <f t="shared" si="25"/>
        <v>248.43999999999994</v>
      </c>
      <c r="J93" s="113">
        <f t="shared" si="25"/>
        <v>294.74</v>
      </c>
      <c r="K93" s="113">
        <f t="shared" si="25"/>
        <v>346.84000000000003</v>
      </c>
      <c r="L93" s="113">
        <f t="shared" si="25"/>
        <v>342.84000000000003</v>
      </c>
      <c r="M93" s="113">
        <f t="shared" si="25"/>
        <v>373.64</v>
      </c>
      <c r="N93" s="113">
        <f t="shared" si="25"/>
        <v>346.84000000000003</v>
      </c>
      <c r="O93" s="113">
        <f t="shared" si="25"/>
        <v>338.74</v>
      </c>
      <c r="P93" s="113">
        <f t="shared" si="25"/>
        <v>325.64</v>
      </c>
      <c r="Q93" s="113">
        <f t="shared" si="25"/>
        <v>311.24000000000007</v>
      </c>
      <c r="R93" s="113">
        <f t="shared" si="25"/>
        <v>302.64</v>
      </c>
      <c r="S93" s="113">
        <f t="shared" si="25"/>
        <v>288.44000000000005</v>
      </c>
      <c r="T93" s="113">
        <f>SUM(T15,T18,T21:T22,T42,T44:T45,T47,T49,T94:T97,T102,T108,T114,T123,T125,T137,T144,T147:T148,T155,T157,T159,T163:T165,T167:T169,T174,T180:T181,T183:T185,T193,T198)</f>
        <v>297.04000000000002</v>
      </c>
      <c r="U93" s="113">
        <f>SUM(U15,U18,U21:U22,U42,U44:U45,U47,U49,U94:U97,U102,U108,U114,U123,U125,U137,U144,U147:U148,U155,U157,U159,U163:U165,U167:U169,U174,U180:U181,U183:U185,U193,U198)</f>
        <v>204.53999999999996</v>
      </c>
      <c r="V93" s="113">
        <f t="shared" si="25"/>
        <v>315.94000000000005</v>
      </c>
      <c r="W93" s="113">
        <f t="shared" si="25"/>
        <v>230.03999999999996</v>
      </c>
      <c r="X93" s="113">
        <f t="shared" si="25"/>
        <v>353.04</v>
      </c>
      <c r="Y93" s="113">
        <f t="shared" si="25"/>
        <v>409.24</v>
      </c>
      <c r="Z93" s="113">
        <f t="shared" si="25"/>
        <v>408.04000000000008</v>
      </c>
      <c r="AA93" s="113">
        <f t="shared" si="25"/>
        <v>377.04000000000008</v>
      </c>
      <c r="AB93" s="113">
        <f t="shared" si="25"/>
        <v>360.94000000000005</v>
      </c>
      <c r="AC93" s="113">
        <f t="shared" si="25"/>
        <v>339.64</v>
      </c>
      <c r="AD93" s="113">
        <f t="shared" si="25"/>
        <v>312.34000000000003</v>
      </c>
      <c r="AE93" s="113">
        <f t="shared" si="25"/>
        <v>249.73999999999995</v>
      </c>
      <c r="AF93" s="113">
        <f t="shared" si="25"/>
        <v>205.63999999999996</v>
      </c>
      <c r="AG93" s="115"/>
      <c r="AH93" s="54">
        <f>MAX(C93:AF93)</f>
        <v>409.24</v>
      </c>
      <c r="AI93" s="55">
        <f>MIN(C93:AF93)</f>
        <v>159.03999999999996</v>
      </c>
    </row>
    <row r="94" spans="1:88" x14ac:dyDescent="0.25">
      <c r="A94" s="116" t="s">
        <v>98</v>
      </c>
      <c r="B94" s="117">
        <v>-20.100000000000001</v>
      </c>
      <c r="C94" s="58">
        <v>-19.399999999999999</v>
      </c>
      <c r="D94" s="58">
        <v>-17</v>
      </c>
      <c r="E94" s="58">
        <v>-17.899999999999999</v>
      </c>
      <c r="F94" s="58">
        <v>-18.600000000000001</v>
      </c>
      <c r="G94" s="118">
        <v>-11.5</v>
      </c>
      <c r="H94" s="118">
        <v>-9.1</v>
      </c>
      <c r="I94" s="118">
        <v>13.3</v>
      </c>
      <c r="J94" s="118">
        <v>28.5</v>
      </c>
      <c r="K94" s="118">
        <v>32.200000000000003</v>
      </c>
      <c r="L94" s="118">
        <v>32.200000000000003</v>
      </c>
      <c r="M94" s="119">
        <v>25.7</v>
      </c>
      <c r="N94" s="118">
        <v>28.8</v>
      </c>
      <c r="O94" s="118">
        <v>28.4</v>
      </c>
      <c r="P94" s="118">
        <v>30.4</v>
      </c>
      <c r="Q94" s="118">
        <v>49.2</v>
      </c>
      <c r="R94" s="118">
        <v>50.1</v>
      </c>
      <c r="S94" s="118">
        <v>17.8</v>
      </c>
      <c r="T94" s="118">
        <v>12.6</v>
      </c>
      <c r="U94" s="118">
        <v>12</v>
      </c>
      <c r="V94" s="118">
        <v>12.9</v>
      </c>
      <c r="W94" s="118">
        <v>9.6999999999999993</v>
      </c>
      <c r="X94" s="118">
        <v>28.9</v>
      </c>
      <c r="Y94" s="118">
        <v>40.299999999999997</v>
      </c>
      <c r="Z94" s="118">
        <v>43.2</v>
      </c>
      <c r="AA94" s="118">
        <v>33.200000000000003</v>
      </c>
      <c r="AB94" s="119">
        <v>27.6</v>
      </c>
      <c r="AC94" s="119">
        <v>25.4</v>
      </c>
      <c r="AD94" s="119">
        <v>14.3</v>
      </c>
      <c r="AE94" s="119">
        <v>12</v>
      </c>
      <c r="AF94" s="119">
        <v>-13.7</v>
      </c>
      <c r="AG94" s="120">
        <v>75</v>
      </c>
      <c r="AH94" s="54">
        <f t="shared" ref="AH94:AH99" si="26">IF(ABS(MAX(C94:AF94))&gt;ABS(MIN(C94:AF94)),MAX(C94:AF94),MIN(C94:AF94))</f>
        <v>50.1</v>
      </c>
      <c r="AI94" s="121">
        <f t="shared" ref="AI94:AI99" si="27">INDEX($C$9:$AF$9,1,MATCH(AH94,C94:AF94,0))</f>
        <v>0.54166666666666696</v>
      </c>
    </row>
    <row r="95" spans="1:88" x14ac:dyDescent="0.25">
      <c r="A95" s="122" t="s">
        <v>99</v>
      </c>
      <c r="B95" s="123">
        <f>-25-27.5</f>
        <v>-52.5</v>
      </c>
      <c r="C95" s="60">
        <f>-28.1-31.6</f>
        <v>-59.7</v>
      </c>
      <c r="D95" s="60">
        <f>-25.5-28.9</f>
        <v>-54.4</v>
      </c>
      <c r="E95" s="60">
        <v>-57.7</v>
      </c>
      <c r="F95" s="60">
        <v>-56</v>
      </c>
      <c r="G95" s="60">
        <v>-45.5</v>
      </c>
      <c r="H95" s="60">
        <v>-38</v>
      </c>
      <c r="I95" s="60">
        <v>-25</v>
      </c>
      <c r="J95" s="60">
        <v>-5.4</v>
      </c>
      <c r="K95" s="60">
        <v>27</v>
      </c>
      <c r="L95" s="60">
        <v>27</v>
      </c>
      <c r="M95" s="60">
        <v>33</v>
      </c>
      <c r="N95" s="60">
        <v>28.8</v>
      </c>
      <c r="O95" s="60">
        <v>38.1</v>
      </c>
      <c r="P95" s="60">
        <v>18.600000000000001</v>
      </c>
      <c r="Q95" s="60">
        <v>-2.7</v>
      </c>
      <c r="R95" s="60">
        <v>-4.9000000000000004</v>
      </c>
      <c r="S95" s="60">
        <f>14+16.3</f>
        <v>30.3</v>
      </c>
      <c r="T95" s="60">
        <f>19+20.9</f>
        <v>39.9</v>
      </c>
      <c r="U95" s="60">
        <f>9.5+11.3</f>
        <v>20.8</v>
      </c>
      <c r="V95" s="60">
        <f>15+13.1</f>
        <v>28.1</v>
      </c>
      <c r="W95" s="60">
        <f>15.7+16</f>
        <v>31.7</v>
      </c>
      <c r="X95" s="60">
        <f>28.8+27.9</f>
        <v>56.7</v>
      </c>
      <c r="Y95" s="60">
        <f>30.7+30.8</f>
        <v>61.5</v>
      </c>
      <c r="Z95" s="60">
        <f>32.1+31.5</f>
        <v>63.6</v>
      </c>
      <c r="AA95" s="60">
        <f>23.1+23.4</f>
        <v>46.5</v>
      </c>
      <c r="AB95" s="73">
        <v>42.4</v>
      </c>
      <c r="AC95" s="73">
        <v>39</v>
      </c>
      <c r="AD95" s="73">
        <v>38.200000000000003</v>
      </c>
      <c r="AE95" s="73">
        <v>-13.4</v>
      </c>
      <c r="AF95" s="73">
        <v>-24</v>
      </c>
      <c r="AG95" s="120">
        <v>240</v>
      </c>
      <c r="AH95" s="54">
        <f t="shared" si="26"/>
        <v>63.6</v>
      </c>
      <c r="AI95" s="121">
        <f t="shared" si="27"/>
        <v>0.79166666666666663</v>
      </c>
    </row>
    <row r="96" spans="1:88" x14ac:dyDescent="0.25">
      <c r="A96" s="122" t="s">
        <v>100</v>
      </c>
      <c r="B96" s="123">
        <v>11</v>
      </c>
      <c r="C96" s="60">
        <v>10.199999999999999</v>
      </c>
      <c r="D96" s="60">
        <v>9.6999999999999993</v>
      </c>
      <c r="E96" s="60">
        <v>9</v>
      </c>
      <c r="F96" s="60">
        <v>8.8000000000000007</v>
      </c>
      <c r="G96" s="60">
        <v>8.6</v>
      </c>
      <c r="H96" s="60">
        <v>8.4</v>
      </c>
      <c r="I96" s="60">
        <v>8.1</v>
      </c>
      <c r="J96" s="60">
        <v>7.9</v>
      </c>
      <c r="K96" s="60">
        <v>20.9</v>
      </c>
      <c r="L96" s="60">
        <v>20.9</v>
      </c>
      <c r="M96" s="60">
        <v>62.3</v>
      </c>
      <c r="N96" s="60">
        <v>35.9</v>
      </c>
      <c r="O96" s="60">
        <v>8</v>
      </c>
      <c r="P96" s="60">
        <v>20.2</v>
      </c>
      <c r="Q96" s="60">
        <v>15.3</v>
      </c>
      <c r="R96" s="60">
        <v>15.7</v>
      </c>
      <c r="S96" s="60">
        <v>5.6</v>
      </c>
      <c r="T96" s="60">
        <v>5.2</v>
      </c>
      <c r="U96" s="60">
        <v>4.8</v>
      </c>
      <c r="V96" s="60">
        <v>18.8</v>
      </c>
      <c r="W96" s="60">
        <v>25</v>
      </c>
      <c r="X96" s="60">
        <v>34.9</v>
      </c>
      <c r="Y96" s="60">
        <v>49.7</v>
      </c>
      <c r="Z96" s="60">
        <v>42.8</v>
      </c>
      <c r="AA96" s="60">
        <v>33.4</v>
      </c>
      <c r="AB96" s="73">
        <v>33.4</v>
      </c>
      <c r="AC96" s="73">
        <v>18.600000000000001</v>
      </c>
      <c r="AD96" s="73">
        <v>18.5</v>
      </c>
      <c r="AE96" s="73">
        <v>0.6</v>
      </c>
      <c r="AF96" s="73">
        <v>-6</v>
      </c>
      <c r="AG96" s="120">
        <v>60</v>
      </c>
      <c r="AH96" s="54">
        <f t="shared" si="26"/>
        <v>62.3</v>
      </c>
      <c r="AI96" s="121">
        <f t="shared" si="27"/>
        <v>0.33333333333333331</v>
      </c>
    </row>
    <row r="97" spans="1:37" x14ac:dyDescent="0.25">
      <c r="A97" s="124" t="s">
        <v>101</v>
      </c>
      <c r="B97" s="125">
        <v>79.400000000000006</v>
      </c>
      <c r="C97" s="63">
        <v>77.099999999999994</v>
      </c>
      <c r="D97" s="63">
        <v>70</v>
      </c>
      <c r="E97" s="63">
        <v>73.2</v>
      </c>
      <c r="F97" s="63">
        <v>75.5</v>
      </c>
      <c r="G97" s="63">
        <v>83.6</v>
      </c>
      <c r="H97" s="63">
        <v>96.6</v>
      </c>
      <c r="I97" s="63">
        <v>96.3</v>
      </c>
      <c r="J97" s="63">
        <v>107</v>
      </c>
      <c r="K97" s="63">
        <v>111</v>
      </c>
      <c r="L97" s="63">
        <v>111</v>
      </c>
      <c r="M97" s="63">
        <v>100.7</v>
      </c>
      <c r="N97" s="63">
        <v>101.4</v>
      </c>
      <c r="O97" s="63">
        <v>111.3</v>
      </c>
      <c r="P97" s="63">
        <v>100.4</v>
      </c>
      <c r="Q97" s="63">
        <v>94.7</v>
      </c>
      <c r="R97" s="63">
        <v>89.3</v>
      </c>
      <c r="S97" s="63">
        <v>82.3</v>
      </c>
      <c r="T97" s="63">
        <v>86.9</v>
      </c>
      <c r="U97" s="63">
        <v>14.2</v>
      </c>
      <c r="V97" s="63">
        <v>103.7</v>
      </c>
      <c r="W97" s="63">
        <v>11.2</v>
      </c>
      <c r="X97" s="63">
        <v>80.099999999999994</v>
      </c>
      <c r="Y97" s="63">
        <v>105.3</v>
      </c>
      <c r="Z97" s="63">
        <v>103.4</v>
      </c>
      <c r="AA97" s="63">
        <v>108.9</v>
      </c>
      <c r="AB97" s="126">
        <v>104.8</v>
      </c>
      <c r="AC97" s="126">
        <v>103.9</v>
      </c>
      <c r="AD97" s="126">
        <v>89.6</v>
      </c>
      <c r="AE97" s="126">
        <v>96.6</v>
      </c>
      <c r="AF97" s="126">
        <v>94.1</v>
      </c>
      <c r="AG97" s="127">
        <v>120</v>
      </c>
      <c r="AH97" s="54">
        <f t="shared" si="26"/>
        <v>111.3</v>
      </c>
      <c r="AI97" s="121">
        <f t="shared" si="27"/>
        <v>0.41666666666666702</v>
      </c>
    </row>
    <row r="98" spans="1:37" x14ac:dyDescent="0.25">
      <c r="A98" s="124" t="s">
        <v>102</v>
      </c>
      <c r="B98" s="125">
        <v>88.8</v>
      </c>
      <c r="C98" s="63">
        <v>88.4</v>
      </c>
      <c r="D98" s="63">
        <v>80.900000000000006</v>
      </c>
      <c r="E98" s="63">
        <v>84</v>
      </c>
      <c r="F98" s="63">
        <v>85.3</v>
      </c>
      <c r="G98" s="63">
        <v>90</v>
      </c>
      <c r="H98" s="63">
        <v>100.6</v>
      </c>
      <c r="I98" s="63">
        <v>90</v>
      </c>
      <c r="J98" s="63">
        <v>102.1</v>
      </c>
      <c r="K98" s="63">
        <v>84.5</v>
      </c>
      <c r="L98" s="63">
        <v>84.5</v>
      </c>
      <c r="M98" s="63">
        <v>93.7</v>
      </c>
      <c r="N98" s="63">
        <v>92.4</v>
      </c>
      <c r="O98" s="63">
        <v>104.5</v>
      </c>
      <c r="P98" s="63">
        <v>83.7</v>
      </c>
      <c r="Q98" s="63"/>
      <c r="R98" s="63"/>
      <c r="S98" s="63">
        <v>84.1</v>
      </c>
      <c r="T98" s="63">
        <v>107</v>
      </c>
      <c r="U98" s="63">
        <v>95.1</v>
      </c>
      <c r="V98" s="63">
        <v>82.9</v>
      </c>
      <c r="W98" s="63">
        <v>89.2</v>
      </c>
      <c r="X98" s="63">
        <v>95</v>
      </c>
      <c r="Y98" s="63">
        <v>89.6</v>
      </c>
      <c r="Z98" s="63">
        <v>90.5</v>
      </c>
      <c r="AA98" s="63">
        <v>80.400000000000006</v>
      </c>
      <c r="AB98" s="126">
        <v>77.5</v>
      </c>
      <c r="AC98" s="126">
        <v>94</v>
      </c>
      <c r="AD98" s="126">
        <v>95.8</v>
      </c>
      <c r="AE98" s="126">
        <v>96.2</v>
      </c>
      <c r="AF98" s="126">
        <v>95.9</v>
      </c>
      <c r="AG98" s="127"/>
      <c r="AH98" s="54">
        <f t="shared" si="26"/>
        <v>107</v>
      </c>
      <c r="AI98" s="121">
        <f t="shared" si="27"/>
        <v>0.625</v>
      </c>
    </row>
    <row r="99" spans="1:37" ht="15.75" thickBot="1" x14ac:dyDescent="0.3">
      <c r="A99" s="124" t="s">
        <v>103</v>
      </c>
      <c r="B99" s="125">
        <v>61.3</v>
      </c>
      <c r="C99" s="63">
        <v>33.1</v>
      </c>
      <c r="D99" s="63">
        <v>30.9</v>
      </c>
      <c r="E99" s="63">
        <v>32.799999999999997</v>
      </c>
      <c r="F99" s="63">
        <v>33.1</v>
      </c>
      <c r="G99" s="63">
        <v>34.4</v>
      </c>
      <c r="H99" s="63">
        <v>37.4</v>
      </c>
      <c r="I99" s="63">
        <v>33</v>
      </c>
      <c r="J99" s="63">
        <v>31.5</v>
      </c>
      <c r="K99" s="63">
        <v>35</v>
      </c>
      <c r="L99" s="63">
        <v>35</v>
      </c>
      <c r="M99" s="63">
        <v>24.4</v>
      </c>
      <c r="N99" s="63">
        <v>20.2</v>
      </c>
      <c r="O99" s="63">
        <v>12.9</v>
      </c>
      <c r="P99" s="63">
        <v>7.7</v>
      </c>
      <c r="Q99" s="63">
        <v>10.3</v>
      </c>
      <c r="R99" s="63">
        <v>17.2</v>
      </c>
      <c r="S99" s="63">
        <v>13</v>
      </c>
      <c r="T99" s="63">
        <v>14.3</v>
      </c>
      <c r="U99" s="63">
        <v>19.8</v>
      </c>
      <c r="V99" s="63">
        <v>19</v>
      </c>
      <c r="W99" s="63">
        <v>26.8</v>
      </c>
      <c r="X99" s="63">
        <v>14.7</v>
      </c>
      <c r="Y99" s="63">
        <v>25.3</v>
      </c>
      <c r="Z99" s="63">
        <v>16.8</v>
      </c>
      <c r="AA99" s="63">
        <v>22.2</v>
      </c>
      <c r="AB99" s="126">
        <v>24.3</v>
      </c>
      <c r="AC99" s="126">
        <v>50.7</v>
      </c>
      <c r="AD99" s="126">
        <v>52.4</v>
      </c>
      <c r="AE99" s="126">
        <v>47.1</v>
      </c>
      <c r="AF99" s="126">
        <v>59.9</v>
      </c>
      <c r="AG99" s="128"/>
      <c r="AH99" s="54">
        <f t="shared" si="26"/>
        <v>59.9</v>
      </c>
      <c r="AI99" s="121">
        <f t="shared" si="27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8">AF101</f>
        <v>9.9</v>
      </c>
      <c r="C101" s="53">
        <v>9.9</v>
      </c>
      <c r="D101" s="134">
        <f t="shared" ref="D101:S106" si="29">C101</f>
        <v>9.9</v>
      </c>
      <c r="E101" s="134">
        <f t="shared" si="29"/>
        <v>9.9</v>
      </c>
      <c r="F101" s="134">
        <f t="shared" si="29"/>
        <v>9.9</v>
      </c>
      <c r="G101" s="134">
        <f t="shared" si="29"/>
        <v>9.9</v>
      </c>
      <c r="H101" s="134">
        <f t="shared" si="29"/>
        <v>9.9</v>
      </c>
      <c r="I101" s="134">
        <f t="shared" si="29"/>
        <v>9.9</v>
      </c>
      <c r="J101" s="134">
        <f t="shared" si="29"/>
        <v>9.9</v>
      </c>
      <c r="K101" s="134">
        <f t="shared" si="29"/>
        <v>9.9</v>
      </c>
      <c r="L101" s="134">
        <f t="shared" si="29"/>
        <v>9.9</v>
      </c>
      <c r="M101" s="134">
        <f t="shared" si="29"/>
        <v>9.9</v>
      </c>
      <c r="N101" s="134">
        <f t="shared" si="29"/>
        <v>9.9</v>
      </c>
      <c r="O101" s="134">
        <f t="shared" si="29"/>
        <v>9.9</v>
      </c>
      <c r="P101" s="134">
        <f t="shared" si="29"/>
        <v>9.9</v>
      </c>
      <c r="Q101" s="134">
        <f t="shared" si="29"/>
        <v>9.9</v>
      </c>
      <c r="R101" s="134">
        <f t="shared" si="29"/>
        <v>9.9</v>
      </c>
      <c r="S101" s="134">
        <f t="shared" si="29"/>
        <v>9.9</v>
      </c>
      <c r="T101" s="134">
        <f t="shared" ref="T101:AF106" si="30">S101</f>
        <v>9.9</v>
      </c>
      <c r="U101" s="134">
        <f t="shared" si="30"/>
        <v>9.9</v>
      </c>
      <c r="V101" s="134">
        <f t="shared" si="30"/>
        <v>9.9</v>
      </c>
      <c r="W101" s="134">
        <f t="shared" si="30"/>
        <v>9.9</v>
      </c>
      <c r="X101" s="134">
        <f t="shared" si="30"/>
        <v>9.9</v>
      </c>
      <c r="Y101" s="134">
        <f t="shared" si="30"/>
        <v>9.9</v>
      </c>
      <c r="Z101" s="134">
        <f t="shared" si="30"/>
        <v>9.9</v>
      </c>
      <c r="AA101" s="134">
        <f t="shared" si="30"/>
        <v>9.9</v>
      </c>
      <c r="AB101" s="134">
        <f t="shared" si="30"/>
        <v>9.9</v>
      </c>
      <c r="AC101" s="134">
        <f t="shared" si="30"/>
        <v>9.9</v>
      </c>
      <c r="AD101" s="134">
        <f t="shared" si="30"/>
        <v>9.9</v>
      </c>
      <c r="AE101" s="134">
        <f t="shared" si="30"/>
        <v>9.9</v>
      </c>
      <c r="AF101" s="134">
        <f t="shared" si="30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8"/>
        <v>9.6</v>
      </c>
      <c r="C102" s="137">
        <v>9.6</v>
      </c>
      <c r="D102" s="136">
        <f t="shared" si="29"/>
        <v>9.6</v>
      </c>
      <c r="E102" s="136">
        <f t="shared" si="29"/>
        <v>9.6</v>
      </c>
      <c r="F102" s="136">
        <f t="shared" si="29"/>
        <v>9.6</v>
      </c>
      <c r="G102" s="136">
        <f t="shared" si="29"/>
        <v>9.6</v>
      </c>
      <c r="H102" s="136">
        <f t="shared" si="29"/>
        <v>9.6</v>
      </c>
      <c r="I102" s="136">
        <f t="shared" si="29"/>
        <v>9.6</v>
      </c>
      <c r="J102" s="136">
        <f t="shared" si="29"/>
        <v>9.6</v>
      </c>
      <c r="K102" s="136">
        <f t="shared" si="29"/>
        <v>9.6</v>
      </c>
      <c r="L102" s="136">
        <f t="shared" si="29"/>
        <v>9.6</v>
      </c>
      <c r="M102" s="136">
        <f t="shared" si="29"/>
        <v>9.6</v>
      </c>
      <c r="N102" s="136">
        <f t="shared" si="29"/>
        <v>9.6</v>
      </c>
      <c r="O102" s="136">
        <f t="shared" si="29"/>
        <v>9.6</v>
      </c>
      <c r="P102" s="136">
        <f t="shared" si="29"/>
        <v>9.6</v>
      </c>
      <c r="Q102" s="136">
        <f t="shared" si="29"/>
        <v>9.6</v>
      </c>
      <c r="R102" s="136">
        <f t="shared" si="29"/>
        <v>9.6</v>
      </c>
      <c r="S102" s="136">
        <f t="shared" si="29"/>
        <v>9.6</v>
      </c>
      <c r="T102" s="136">
        <f t="shared" si="30"/>
        <v>9.6</v>
      </c>
      <c r="U102" s="136">
        <f t="shared" si="30"/>
        <v>9.6</v>
      </c>
      <c r="V102" s="136">
        <f t="shared" si="30"/>
        <v>9.6</v>
      </c>
      <c r="W102" s="136">
        <f t="shared" si="30"/>
        <v>9.6</v>
      </c>
      <c r="X102" s="136">
        <f t="shared" si="30"/>
        <v>9.6</v>
      </c>
      <c r="Y102" s="136">
        <f t="shared" si="30"/>
        <v>9.6</v>
      </c>
      <c r="Z102" s="136">
        <f t="shared" si="30"/>
        <v>9.6</v>
      </c>
      <c r="AA102" s="136">
        <f t="shared" si="30"/>
        <v>9.6</v>
      </c>
      <c r="AB102" s="136">
        <f t="shared" si="30"/>
        <v>9.6</v>
      </c>
      <c r="AC102" s="136">
        <f t="shared" si="30"/>
        <v>9.6</v>
      </c>
      <c r="AD102" s="136">
        <f t="shared" si="30"/>
        <v>9.6</v>
      </c>
      <c r="AE102" s="136">
        <f t="shared" si="30"/>
        <v>9.6</v>
      </c>
      <c r="AF102" s="136">
        <f t="shared" si="30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8"/>
        <v>9.98</v>
      </c>
      <c r="C103" s="137">
        <v>9.98</v>
      </c>
      <c r="D103" s="136">
        <f t="shared" si="29"/>
        <v>9.98</v>
      </c>
      <c r="E103" s="136">
        <f t="shared" si="29"/>
        <v>9.98</v>
      </c>
      <c r="F103" s="136">
        <f t="shared" si="29"/>
        <v>9.98</v>
      </c>
      <c r="G103" s="136">
        <f t="shared" si="29"/>
        <v>9.98</v>
      </c>
      <c r="H103" s="136">
        <f t="shared" si="29"/>
        <v>9.98</v>
      </c>
      <c r="I103" s="136">
        <f t="shared" si="29"/>
        <v>9.98</v>
      </c>
      <c r="J103" s="136">
        <f t="shared" si="29"/>
        <v>9.98</v>
      </c>
      <c r="K103" s="136">
        <f t="shared" si="29"/>
        <v>9.98</v>
      </c>
      <c r="L103" s="136">
        <f t="shared" si="29"/>
        <v>9.98</v>
      </c>
      <c r="M103" s="136">
        <f t="shared" si="29"/>
        <v>9.98</v>
      </c>
      <c r="N103" s="136">
        <f t="shared" si="29"/>
        <v>9.98</v>
      </c>
      <c r="O103" s="136">
        <f t="shared" si="29"/>
        <v>9.98</v>
      </c>
      <c r="P103" s="136">
        <f t="shared" si="29"/>
        <v>9.98</v>
      </c>
      <c r="Q103" s="136">
        <f t="shared" si="29"/>
        <v>9.98</v>
      </c>
      <c r="R103" s="136">
        <f t="shared" si="29"/>
        <v>9.98</v>
      </c>
      <c r="S103" s="136">
        <f t="shared" si="29"/>
        <v>9.98</v>
      </c>
      <c r="T103" s="136">
        <f t="shared" si="30"/>
        <v>9.98</v>
      </c>
      <c r="U103" s="136">
        <f t="shared" si="30"/>
        <v>9.98</v>
      </c>
      <c r="V103" s="136">
        <f t="shared" si="30"/>
        <v>9.98</v>
      </c>
      <c r="W103" s="136">
        <f t="shared" si="30"/>
        <v>9.98</v>
      </c>
      <c r="X103" s="136">
        <f t="shared" si="30"/>
        <v>9.98</v>
      </c>
      <c r="Y103" s="136">
        <f t="shared" si="30"/>
        <v>9.98</v>
      </c>
      <c r="Z103" s="136">
        <f t="shared" si="30"/>
        <v>9.98</v>
      </c>
      <c r="AA103" s="136">
        <f t="shared" si="30"/>
        <v>9.98</v>
      </c>
      <c r="AB103" s="136">
        <f t="shared" si="30"/>
        <v>9.98</v>
      </c>
      <c r="AC103" s="136">
        <f t="shared" si="30"/>
        <v>9.98</v>
      </c>
      <c r="AD103" s="136">
        <f t="shared" si="30"/>
        <v>9.98</v>
      </c>
      <c r="AE103" s="136">
        <f t="shared" si="30"/>
        <v>9.98</v>
      </c>
      <c r="AF103" s="136">
        <f t="shared" si="30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8"/>
        <v>9.1</v>
      </c>
      <c r="C104" s="137">
        <v>9.1</v>
      </c>
      <c r="D104" s="136">
        <f t="shared" si="29"/>
        <v>9.1</v>
      </c>
      <c r="E104" s="136">
        <f t="shared" si="29"/>
        <v>9.1</v>
      </c>
      <c r="F104" s="136">
        <f t="shared" si="29"/>
        <v>9.1</v>
      </c>
      <c r="G104" s="136">
        <f t="shared" si="29"/>
        <v>9.1</v>
      </c>
      <c r="H104" s="136">
        <f t="shared" si="29"/>
        <v>9.1</v>
      </c>
      <c r="I104" s="136">
        <f t="shared" si="29"/>
        <v>9.1</v>
      </c>
      <c r="J104" s="136">
        <f t="shared" si="29"/>
        <v>9.1</v>
      </c>
      <c r="K104" s="136">
        <f t="shared" si="29"/>
        <v>9.1</v>
      </c>
      <c r="L104" s="136">
        <f t="shared" si="29"/>
        <v>9.1</v>
      </c>
      <c r="M104" s="136">
        <f t="shared" si="29"/>
        <v>9.1</v>
      </c>
      <c r="N104" s="136">
        <f t="shared" si="29"/>
        <v>9.1</v>
      </c>
      <c r="O104" s="136">
        <f t="shared" si="29"/>
        <v>9.1</v>
      </c>
      <c r="P104" s="136">
        <f t="shared" si="29"/>
        <v>9.1</v>
      </c>
      <c r="Q104" s="136">
        <f t="shared" si="29"/>
        <v>9.1</v>
      </c>
      <c r="R104" s="136">
        <f t="shared" si="29"/>
        <v>9.1</v>
      </c>
      <c r="S104" s="136">
        <f t="shared" si="29"/>
        <v>9.1</v>
      </c>
      <c r="T104" s="136">
        <f t="shared" si="30"/>
        <v>9.1</v>
      </c>
      <c r="U104" s="136">
        <f t="shared" si="30"/>
        <v>9.1</v>
      </c>
      <c r="V104" s="136">
        <f t="shared" si="30"/>
        <v>9.1</v>
      </c>
      <c r="W104" s="136">
        <f t="shared" si="30"/>
        <v>9.1</v>
      </c>
      <c r="X104" s="136">
        <f t="shared" si="30"/>
        <v>9.1</v>
      </c>
      <c r="Y104" s="136">
        <f t="shared" si="30"/>
        <v>9.1</v>
      </c>
      <c r="Z104" s="136">
        <f t="shared" si="30"/>
        <v>9.1</v>
      </c>
      <c r="AA104" s="136">
        <f t="shared" si="30"/>
        <v>9.1</v>
      </c>
      <c r="AB104" s="136">
        <f t="shared" si="30"/>
        <v>9.1</v>
      </c>
      <c r="AC104" s="136">
        <f t="shared" si="30"/>
        <v>9.1</v>
      </c>
      <c r="AD104" s="136">
        <f t="shared" si="30"/>
        <v>9.1</v>
      </c>
      <c r="AE104" s="136">
        <f t="shared" si="30"/>
        <v>9.1</v>
      </c>
      <c r="AF104" s="136">
        <f t="shared" si="30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8"/>
        <v>9.18</v>
      </c>
      <c r="C105" s="137">
        <v>9.18</v>
      </c>
      <c r="D105" s="136">
        <f t="shared" si="29"/>
        <v>9.18</v>
      </c>
      <c r="E105" s="136">
        <f t="shared" si="29"/>
        <v>9.18</v>
      </c>
      <c r="F105" s="136">
        <f t="shared" si="29"/>
        <v>9.18</v>
      </c>
      <c r="G105" s="136">
        <f t="shared" si="29"/>
        <v>9.18</v>
      </c>
      <c r="H105" s="136">
        <f t="shared" si="29"/>
        <v>9.18</v>
      </c>
      <c r="I105" s="136">
        <f t="shared" si="29"/>
        <v>9.18</v>
      </c>
      <c r="J105" s="136">
        <f t="shared" si="29"/>
        <v>9.18</v>
      </c>
      <c r="K105" s="136">
        <f t="shared" si="29"/>
        <v>9.18</v>
      </c>
      <c r="L105" s="136">
        <f t="shared" si="29"/>
        <v>9.18</v>
      </c>
      <c r="M105" s="136">
        <f t="shared" si="29"/>
        <v>9.18</v>
      </c>
      <c r="N105" s="136">
        <f t="shared" si="29"/>
        <v>9.18</v>
      </c>
      <c r="O105" s="136">
        <f t="shared" si="29"/>
        <v>9.18</v>
      </c>
      <c r="P105" s="136">
        <f t="shared" si="29"/>
        <v>9.18</v>
      </c>
      <c r="Q105" s="136">
        <f t="shared" si="29"/>
        <v>9.18</v>
      </c>
      <c r="R105" s="136">
        <f t="shared" si="29"/>
        <v>9.18</v>
      </c>
      <c r="S105" s="136">
        <f t="shared" si="29"/>
        <v>9.18</v>
      </c>
      <c r="T105" s="136">
        <f t="shared" si="30"/>
        <v>9.18</v>
      </c>
      <c r="U105" s="136">
        <f t="shared" si="30"/>
        <v>9.18</v>
      </c>
      <c r="V105" s="136">
        <f t="shared" si="30"/>
        <v>9.18</v>
      </c>
      <c r="W105" s="136">
        <f t="shared" si="30"/>
        <v>9.18</v>
      </c>
      <c r="X105" s="136">
        <f t="shared" si="30"/>
        <v>9.18</v>
      </c>
      <c r="Y105" s="136">
        <f t="shared" si="30"/>
        <v>9.18</v>
      </c>
      <c r="Z105" s="136">
        <f t="shared" si="30"/>
        <v>9.18</v>
      </c>
      <c r="AA105" s="136">
        <f t="shared" si="30"/>
        <v>9.18</v>
      </c>
      <c r="AB105" s="136">
        <f t="shared" si="30"/>
        <v>9.18</v>
      </c>
      <c r="AC105" s="136">
        <f t="shared" si="30"/>
        <v>9.18</v>
      </c>
      <c r="AD105" s="136">
        <f t="shared" si="30"/>
        <v>9.18</v>
      </c>
      <c r="AE105" s="136">
        <f t="shared" si="30"/>
        <v>9.18</v>
      </c>
      <c r="AF105" s="136">
        <f t="shared" si="30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8"/>
        <v>7</v>
      </c>
      <c r="C106" s="137">
        <v>7</v>
      </c>
      <c r="D106" s="136">
        <f t="shared" si="29"/>
        <v>7</v>
      </c>
      <c r="E106" s="136">
        <f t="shared" si="29"/>
        <v>7</v>
      </c>
      <c r="F106" s="136">
        <f t="shared" si="29"/>
        <v>7</v>
      </c>
      <c r="G106" s="136">
        <f t="shared" si="29"/>
        <v>7</v>
      </c>
      <c r="H106" s="136">
        <f t="shared" si="29"/>
        <v>7</v>
      </c>
      <c r="I106" s="136">
        <f t="shared" si="29"/>
        <v>7</v>
      </c>
      <c r="J106" s="136">
        <f t="shared" si="29"/>
        <v>7</v>
      </c>
      <c r="K106" s="136">
        <f t="shared" si="29"/>
        <v>7</v>
      </c>
      <c r="L106" s="136">
        <f t="shared" si="29"/>
        <v>7</v>
      </c>
      <c r="M106" s="136">
        <f t="shared" si="29"/>
        <v>7</v>
      </c>
      <c r="N106" s="136">
        <f t="shared" si="29"/>
        <v>7</v>
      </c>
      <c r="O106" s="136">
        <f t="shared" si="29"/>
        <v>7</v>
      </c>
      <c r="P106" s="136">
        <f t="shared" si="29"/>
        <v>7</v>
      </c>
      <c r="Q106" s="136">
        <f t="shared" si="29"/>
        <v>7</v>
      </c>
      <c r="R106" s="136">
        <f t="shared" si="29"/>
        <v>7</v>
      </c>
      <c r="S106" s="136">
        <f t="shared" si="29"/>
        <v>7</v>
      </c>
      <c r="T106" s="136">
        <f t="shared" si="30"/>
        <v>7</v>
      </c>
      <c r="U106" s="136">
        <f t="shared" si="30"/>
        <v>7</v>
      </c>
      <c r="V106" s="136">
        <f t="shared" si="30"/>
        <v>7</v>
      </c>
      <c r="W106" s="136">
        <f t="shared" si="30"/>
        <v>7</v>
      </c>
      <c r="X106" s="136">
        <f t="shared" si="30"/>
        <v>7</v>
      </c>
      <c r="Y106" s="136">
        <f t="shared" si="30"/>
        <v>7</v>
      </c>
      <c r="Z106" s="136">
        <f t="shared" si="30"/>
        <v>7</v>
      </c>
      <c r="AA106" s="136">
        <f t="shared" si="30"/>
        <v>7</v>
      </c>
      <c r="AB106" s="136">
        <f t="shared" si="30"/>
        <v>7</v>
      </c>
      <c r="AC106" s="136">
        <f t="shared" si="30"/>
        <v>7</v>
      </c>
      <c r="AD106" s="136">
        <f t="shared" si="30"/>
        <v>7</v>
      </c>
      <c r="AE106" s="136">
        <f t="shared" si="30"/>
        <v>7</v>
      </c>
      <c r="AF106" s="136">
        <f t="shared" si="30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31">C108</f>
        <v>2.25</v>
      </c>
      <c r="E108" s="136">
        <f t="shared" si="31"/>
        <v>2.25</v>
      </c>
      <c r="F108" s="136">
        <f t="shared" si="31"/>
        <v>2.25</v>
      </c>
      <c r="G108" s="136">
        <f t="shared" si="31"/>
        <v>2.25</v>
      </c>
      <c r="H108" s="136">
        <f t="shared" si="31"/>
        <v>2.25</v>
      </c>
      <c r="I108" s="136">
        <f t="shared" si="31"/>
        <v>2.25</v>
      </c>
      <c r="J108" s="136">
        <f t="shared" si="31"/>
        <v>2.25</v>
      </c>
      <c r="K108" s="136">
        <f t="shared" si="31"/>
        <v>2.25</v>
      </c>
      <c r="L108" s="136">
        <f t="shared" si="31"/>
        <v>2.25</v>
      </c>
      <c r="M108" s="136">
        <f t="shared" si="31"/>
        <v>2.25</v>
      </c>
      <c r="N108" s="136">
        <f t="shared" si="31"/>
        <v>2.25</v>
      </c>
      <c r="O108" s="136">
        <f t="shared" si="31"/>
        <v>2.25</v>
      </c>
      <c r="P108" s="136">
        <f t="shared" si="31"/>
        <v>2.25</v>
      </c>
      <c r="Q108" s="136">
        <f t="shared" si="31"/>
        <v>2.25</v>
      </c>
      <c r="R108" s="136">
        <f t="shared" si="31"/>
        <v>2.25</v>
      </c>
      <c r="S108" s="136">
        <f t="shared" si="31"/>
        <v>2.25</v>
      </c>
      <c r="T108" s="136">
        <f t="shared" ref="T108:AF109" si="32">S108</f>
        <v>2.25</v>
      </c>
      <c r="U108" s="136">
        <f t="shared" si="32"/>
        <v>2.25</v>
      </c>
      <c r="V108" s="136">
        <f t="shared" si="32"/>
        <v>2.25</v>
      </c>
      <c r="W108" s="136">
        <f t="shared" si="32"/>
        <v>2.25</v>
      </c>
      <c r="X108" s="136">
        <f t="shared" si="32"/>
        <v>2.25</v>
      </c>
      <c r="Y108" s="136">
        <f t="shared" si="32"/>
        <v>2.25</v>
      </c>
      <c r="Z108" s="136">
        <f t="shared" si="32"/>
        <v>2.25</v>
      </c>
      <c r="AA108" s="136">
        <f t="shared" si="32"/>
        <v>2.25</v>
      </c>
      <c r="AB108" s="136">
        <f t="shared" si="32"/>
        <v>2.25</v>
      </c>
      <c r="AC108" s="136">
        <f t="shared" si="32"/>
        <v>2.25</v>
      </c>
      <c r="AD108" s="136">
        <f t="shared" si="32"/>
        <v>2.25</v>
      </c>
      <c r="AE108" s="136">
        <f t="shared" si="32"/>
        <v>2.25</v>
      </c>
      <c r="AF108" s="136">
        <f t="shared" si="32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31"/>
        <v>1.64</v>
      </c>
      <c r="E109" s="136">
        <f t="shared" si="31"/>
        <v>1.64</v>
      </c>
      <c r="F109" s="136">
        <f t="shared" si="31"/>
        <v>1.64</v>
      </c>
      <c r="G109" s="136">
        <f t="shared" si="31"/>
        <v>1.64</v>
      </c>
      <c r="H109" s="136">
        <f t="shared" si="31"/>
        <v>1.64</v>
      </c>
      <c r="I109" s="136">
        <f t="shared" si="31"/>
        <v>1.64</v>
      </c>
      <c r="J109" s="136">
        <f t="shared" si="31"/>
        <v>1.64</v>
      </c>
      <c r="K109" s="136">
        <f t="shared" si="31"/>
        <v>1.64</v>
      </c>
      <c r="L109" s="136">
        <f t="shared" si="31"/>
        <v>1.64</v>
      </c>
      <c r="M109" s="136">
        <f t="shared" si="31"/>
        <v>1.64</v>
      </c>
      <c r="N109" s="136">
        <f t="shared" si="31"/>
        <v>1.64</v>
      </c>
      <c r="O109" s="136">
        <f t="shared" si="31"/>
        <v>1.64</v>
      </c>
      <c r="P109" s="136">
        <f t="shared" si="31"/>
        <v>1.64</v>
      </c>
      <c r="Q109" s="136">
        <f t="shared" si="31"/>
        <v>1.64</v>
      </c>
      <c r="R109" s="136">
        <f t="shared" si="31"/>
        <v>1.64</v>
      </c>
      <c r="S109" s="136">
        <f t="shared" si="31"/>
        <v>1.64</v>
      </c>
      <c r="T109" s="136">
        <f t="shared" si="32"/>
        <v>1.64</v>
      </c>
      <c r="U109" s="136">
        <f t="shared" si="32"/>
        <v>1.64</v>
      </c>
      <c r="V109" s="136">
        <f t="shared" si="32"/>
        <v>1.64</v>
      </c>
      <c r="W109" s="136">
        <f t="shared" si="32"/>
        <v>1.64</v>
      </c>
      <c r="X109" s="136">
        <f t="shared" si="32"/>
        <v>1.64</v>
      </c>
      <c r="Y109" s="136">
        <f t="shared" si="32"/>
        <v>1.64</v>
      </c>
      <c r="Z109" s="136">
        <f t="shared" si="32"/>
        <v>1.64</v>
      </c>
      <c r="AA109" s="136">
        <f t="shared" si="32"/>
        <v>1.64</v>
      </c>
      <c r="AB109" s="136">
        <f t="shared" si="32"/>
        <v>1.64</v>
      </c>
      <c r="AC109" s="136">
        <f t="shared" si="32"/>
        <v>1.64</v>
      </c>
      <c r="AD109" s="136">
        <f t="shared" si="32"/>
        <v>1.64</v>
      </c>
      <c r="AE109" s="136">
        <f t="shared" si="32"/>
        <v>1.64</v>
      </c>
      <c r="AF109" s="136">
        <f t="shared" si="32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33">AF111</f>
        <v>1.62</v>
      </c>
      <c r="C111" s="137">
        <v>1.62</v>
      </c>
      <c r="D111" s="136">
        <f t="shared" ref="D111:S118" si="34">C111</f>
        <v>1.62</v>
      </c>
      <c r="E111" s="136">
        <f t="shared" si="34"/>
        <v>1.62</v>
      </c>
      <c r="F111" s="136">
        <f t="shared" si="34"/>
        <v>1.62</v>
      </c>
      <c r="G111" s="136">
        <f t="shared" si="34"/>
        <v>1.62</v>
      </c>
      <c r="H111" s="136">
        <f t="shared" si="34"/>
        <v>1.62</v>
      </c>
      <c r="I111" s="136">
        <f t="shared" si="34"/>
        <v>1.62</v>
      </c>
      <c r="J111" s="136">
        <f t="shared" si="34"/>
        <v>1.62</v>
      </c>
      <c r="K111" s="136">
        <f t="shared" si="34"/>
        <v>1.62</v>
      </c>
      <c r="L111" s="136">
        <f t="shared" si="34"/>
        <v>1.62</v>
      </c>
      <c r="M111" s="136">
        <f t="shared" si="34"/>
        <v>1.62</v>
      </c>
      <c r="N111" s="136">
        <f t="shared" si="34"/>
        <v>1.62</v>
      </c>
      <c r="O111" s="136">
        <f t="shared" si="34"/>
        <v>1.62</v>
      </c>
      <c r="P111" s="136">
        <f t="shared" si="34"/>
        <v>1.62</v>
      </c>
      <c r="Q111" s="136">
        <f t="shared" si="34"/>
        <v>1.62</v>
      </c>
      <c r="R111" s="136">
        <f t="shared" si="34"/>
        <v>1.62</v>
      </c>
      <c r="S111" s="136">
        <f t="shared" si="34"/>
        <v>1.62</v>
      </c>
      <c r="T111" s="136">
        <f t="shared" ref="T111:AF126" si="35">S111</f>
        <v>1.62</v>
      </c>
      <c r="U111" s="136">
        <f t="shared" si="35"/>
        <v>1.62</v>
      </c>
      <c r="V111" s="136">
        <f t="shared" si="35"/>
        <v>1.62</v>
      </c>
      <c r="W111" s="136">
        <f t="shared" si="35"/>
        <v>1.62</v>
      </c>
      <c r="X111" s="136">
        <f t="shared" si="35"/>
        <v>1.62</v>
      </c>
      <c r="Y111" s="136">
        <f t="shared" si="35"/>
        <v>1.62</v>
      </c>
      <c r="Z111" s="136">
        <f t="shared" si="35"/>
        <v>1.62</v>
      </c>
      <c r="AA111" s="136">
        <f t="shared" si="35"/>
        <v>1.62</v>
      </c>
      <c r="AB111" s="136">
        <f t="shared" si="35"/>
        <v>1.62</v>
      </c>
      <c r="AC111" s="136">
        <f t="shared" si="35"/>
        <v>1.62</v>
      </c>
      <c r="AD111" s="136">
        <f t="shared" si="35"/>
        <v>1.62</v>
      </c>
      <c r="AE111" s="136">
        <f t="shared" si="35"/>
        <v>1.62</v>
      </c>
      <c r="AF111" s="136">
        <f t="shared" si="35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33"/>
        <v>8.36</v>
      </c>
      <c r="C112" s="137">
        <v>8.36</v>
      </c>
      <c r="D112" s="136">
        <f t="shared" si="34"/>
        <v>8.36</v>
      </c>
      <c r="E112" s="136">
        <f t="shared" si="34"/>
        <v>8.36</v>
      </c>
      <c r="F112" s="136">
        <f t="shared" si="34"/>
        <v>8.36</v>
      </c>
      <c r="G112" s="136">
        <f t="shared" si="34"/>
        <v>8.36</v>
      </c>
      <c r="H112" s="136">
        <f t="shared" si="34"/>
        <v>8.36</v>
      </c>
      <c r="I112" s="136">
        <f t="shared" si="34"/>
        <v>8.36</v>
      </c>
      <c r="J112" s="136">
        <f t="shared" si="34"/>
        <v>8.36</v>
      </c>
      <c r="K112" s="136">
        <f t="shared" si="34"/>
        <v>8.36</v>
      </c>
      <c r="L112" s="136">
        <f t="shared" si="34"/>
        <v>8.36</v>
      </c>
      <c r="M112" s="136">
        <f t="shared" si="34"/>
        <v>8.36</v>
      </c>
      <c r="N112" s="136">
        <f t="shared" si="34"/>
        <v>8.36</v>
      </c>
      <c r="O112" s="136">
        <f t="shared" si="34"/>
        <v>8.36</v>
      </c>
      <c r="P112" s="136">
        <f t="shared" si="34"/>
        <v>8.36</v>
      </c>
      <c r="Q112" s="136">
        <f t="shared" si="34"/>
        <v>8.36</v>
      </c>
      <c r="R112" s="136">
        <f t="shared" si="34"/>
        <v>8.36</v>
      </c>
      <c r="S112" s="136">
        <f t="shared" si="34"/>
        <v>8.36</v>
      </c>
      <c r="T112" s="136">
        <f t="shared" si="35"/>
        <v>8.36</v>
      </c>
      <c r="U112" s="136">
        <f t="shared" si="35"/>
        <v>8.36</v>
      </c>
      <c r="V112" s="136">
        <f t="shared" si="35"/>
        <v>8.36</v>
      </c>
      <c r="W112" s="136">
        <f t="shared" si="35"/>
        <v>8.36</v>
      </c>
      <c r="X112" s="136">
        <f t="shared" si="35"/>
        <v>8.36</v>
      </c>
      <c r="Y112" s="136">
        <f t="shared" si="35"/>
        <v>8.36</v>
      </c>
      <c r="Z112" s="136">
        <f t="shared" si="35"/>
        <v>8.36</v>
      </c>
      <c r="AA112" s="136">
        <f t="shared" si="35"/>
        <v>8.36</v>
      </c>
      <c r="AB112" s="136">
        <f t="shared" si="35"/>
        <v>8.36</v>
      </c>
      <c r="AC112" s="136">
        <f t="shared" si="35"/>
        <v>8.36</v>
      </c>
      <c r="AD112" s="136">
        <f t="shared" si="35"/>
        <v>8.36</v>
      </c>
      <c r="AE112" s="136">
        <f t="shared" si="35"/>
        <v>8.36</v>
      </c>
      <c r="AF112" s="136">
        <f t="shared" si="35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33"/>
        <v>5.4</v>
      </c>
      <c r="C113" s="137">
        <v>8</v>
      </c>
      <c r="D113" s="136">
        <f t="shared" si="34"/>
        <v>8</v>
      </c>
      <c r="E113" s="136">
        <f t="shared" si="34"/>
        <v>8</v>
      </c>
      <c r="F113" s="136">
        <f t="shared" si="34"/>
        <v>8</v>
      </c>
      <c r="G113" s="136">
        <f t="shared" si="34"/>
        <v>8</v>
      </c>
      <c r="H113" s="136">
        <f t="shared" si="34"/>
        <v>8</v>
      </c>
      <c r="I113" s="136">
        <f t="shared" si="34"/>
        <v>8</v>
      </c>
      <c r="J113" s="136">
        <v>5.4</v>
      </c>
      <c r="K113" s="136">
        <f t="shared" si="34"/>
        <v>5.4</v>
      </c>
      <c r="L113" s="136">
        <f t="shared" si="34"/>
        <v>5.4</v>
      </c>
      <c r="M113" s="136">
        <f t="shared" si="34"/>
        <v>5.4</v>
      </c>
      <c r="N113" s="136">
        <f t="shared" si="34"/>
        <v>5.4</v>
      </c>
      <c r="O113" s="136">
        <f t="shared" si="34"/>
        <v>5.4</v>
      </c>
      <c r="P113" s="136">
        <f t="shared" si="34"/>
        <v>5.4</v>
      </c>
      <c r="Q113" s="136">
        <f t="shared" si="34"/>
        <v>5.4</v>
      </c>
      <c r="R113" s="136">
        <f t="shared" si="34"/>
        <v>5.4</v>
      </c>
      <c r="S113" s="136">
        <f t="shared" si="34"/>
        <v>5.4</v>
      </c>
      <c r="T113" s="136">
        <f t="shared" si="35"/>
        <v>5.4</v>
      </c>
      <c r="U113" s="136">
        <f t="shared" si="35"/>
        <v>5.4</v>
      </c>
      <c r="V113" s="136">
        <f t="shared" si="35"/>
        <v>5.4</v>
      </c>
      <c r="W113" s="136">
        <f t="shared" si="35"/>
        <v>5.4</v>
      </c>
      <c r="X113" s="136">
        <f t="shared" si="35"/>
        <v>5.4</v>
      </c>
      <c r="Y113" s="136">
        <f t="shared" si="35"/>
        <v>5.4</v>
      </c>
      <c r="Z113" s="136">
        <f t="shared" si="35"/>
        <v>5.4</v>
      </c>
      <c r="AA113" s="136">
        <f t="shared" si="35"/>
        <v>5.4</v>
      </c>
      <c r="AB113" s="136">
        <f t="shared" si="35"/>
        <v>5.4</v>
      </c>
      <c r="AC113" s="136">
        <f t="shared" si="35"/>
        <v>5.4</v>
      </c>
      <c r="AD113" s="136">
        <f t="shared" si="35"/>
        <v>5.4</v>
      </c>
      <c r="AE113" s="136">
        <f t="shared" si="35"/>
        <v>5.4</v>
      </c>
      <c r="AF113" s="136">
        <f t="shared" si="35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33"/>
        <v>6.57</v>
      </c>
      <c r="C114" s="137">
        <v>6.57</v>
      </c>
      <c r="D114" s="136">
        <f t="shared" si="34"/>
        <v>6.57</v>
      </c>
      <c r="E114" s="136">
        <f t="shared" si="34"/>
        <v>6.57</v>
      </c>
      <c r="F114" s="136">
        <f t="shared" si="34"/>
        <v>6.57</v>
      </c>
      <c r="G114" s="136">
        <f t="shared" si="34"/>
        <v>6.57</v>
      </c>
      <c r="H114" s="136">
        <f t="shared" si="34"/>
        <v>6.57</v>
      </c>
      <c r="I114" s="136">
        <f t="shared" si="34"/>
        <v>6.57</v>
      </c>
      <c r="J114" s="136">
        <f t="shared" si="34"/>
        <v>6.57</v>
      </c>
      <c r="K114" s="136">
        <f t="shared" si="34"/>
        <v>6.57</v>
      </c>
      <c r="L114" s="136">
        <f t="shared" si="34"/>
        <v>6.57</v>
      </c>
      <c r="M114" s="136">
        <f t="shared" si="34"/>
        <v>6.57</v>
      </c>
      <c r="N114" s="136">
        <f t="shared" si="34"/>
        <v>6.57</v>
      </c>
      <c r="O114" s="136">
        <f t="shared" si="34"/>
        <v>6.57</v>
      </c>
      <c r="P114" s="136">
        <f t="shared" si="34"/>
        <v>6.57</v>
      </c>
      <c r="Q114" s="136">
        <f t="shared" si="34"/>
        <v>6.57</v>
      </c>
      <c r="R114" s="136">
        <f t="shared" si="34"/>
        <v>6.57</v>
      </c>
      <c r="S114" s="136">
        <f t="shared" si="34"/>
        <v>6.57</v>
      </c>
      <c r="T114" s="136">
        <f t="shared" si="35"/>
        <v>6.57</v>
      </c>
      <c r="U114" s="136">
        <f t="shared" si="35"/>
        <v>6.57</v>
      </c>
      <c r="V114" s="136">
        <f t="shared" si="35"/>
        <v>6.57</v>
      </c>
      <c r="W114" s="136">
        <f t="shared" si="35"/>
        <v>6.57</v>
      </c>
      <c r="X114" s="136">
        <f t="shared" si="35"/>
        <v>6.57</v>
      </c>
      <c r="Y114" s="136">
        <f t="shared" si="35"/>
        <v>6.57</v>
      </c>
      <c r="Z114" s="136">
        <f t="shared" si="35"/>
        <v>6.57</v>
      </c>
      <c r="AA114" s="136">
        <f t="shared" si="35"/>
        <v>6.57</v>
      </c>
      <c r="AB114" s="136">
        <f t="shared" si="35"/>
        <v>6.57</v>
      </c>
      <c r="AC114" s="136">
        <f t="shared" si="35"/>
        <v>6.57</v>
      </c>
      <c r="AD114" s="136">
        <f t="shared" si="35"/>
        <v>6.57</v>
      </c>
      <c r="AE114" s="136">
        <f t="shared" si="35"/>
        <v>6.57</v>
      </c>
      <c r="AF114" s="136">
        <f t="shared" si="35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33"/>
        <v>3.43</v>
      </c>
      <c r="C115" s="137">
        <v>3.43</v>
      </c>
      <c r="D115" s="136">
        <f t="shared" si="34"/>
        <v>3.43</v>
      </c>
      <c r="E115" s="136">
        <f t="shared" si="34"/>
        <v>3.43</v>
      </c>
      <c r="F115" s="136">
        <f t="shared" si="34"/>
        <v>3.43</v>
      </c>
      <c r="G115" s="136">
        <f t="shared" si="34"/>
        <v>3.43</v>
      </c>
      <c r="H115" s="136">
        <f t="shared" si="34"/>
        <v>3.43</v>
      </c>
      <c r="I115" s="136">
        <f t="shared" si="34"/>
        <v>3.43</v>
      </c>
      <c r="J115" s="136">
        <f t="shared" si="34"/>
        <v>3.43</v>
      </c>
      <c r="K115" s="136">
        <f t="shared" si="34"/>
        <v>3.43</v>
      </c>
      <c r="L115" s="136">
        <f t="shared" si="34"/>
        <v>3.43</v>
      </c>
      <c r="M115" s="136">
        <f t="shared" si="34"/>
        <v>3.43</v>
      </c>
      <c r="N115" s="136">
        <f t="shared" si="34"/>
        <v>3.43</v>
      </c>
      <c r="O115" s="136">
        <f t="shared" si="34"/>
        <v>3.43</v>
      </c>
      <c r="P115" s="136">
        <f t="shared" si="34"/>
        <v>3.43</v>
      </c>
      <c r="Q115" s="136">
        <f t="shared" si="34"/>
        <v>3.43</v>
      </c>
      <c r="R115" s="136">
        <f t="shared" si="34"/>
        <v>3.43</v>
      </c>
      <c r="S115" s="136">
        <f t="shared" si="34"/>
        <v>3.43</v>
      </c>
      <c r="T115" s="136">
        <f t="shared" si="35"/>
        <v>3.43</v>
      </c>
      <c r="U115" s="136">
        <f t="shared" si="35"/>
        <v>3.43</v>
      </c>
      <c r="V115" s="136">
        <f t="shared" si="35"/>
        <v>3.43</v>
      </c>
      <c r="W115" s="136">
        <f t="shared" si="35"/>
        <v>3.43</v>
      </c>
      <c r="X115" s="136">
        <f t="shared" si="35"/>
        <v>3.43</v>
      </c>
      <c r="Y115" s="136">
        <f t="shared" si="35"/>
        <v>3.43</v>
      </c>
      <c r="Z115" s="136">
        <f t="shared" si="35"/>
        <v>3.43</v>
      </c>
      <c r="AA115" s="136">
        <f t="shared" si="35"/>
        <v>3.43</v>
      </c>
      <c r="AB115" s="136">
        <f t="shared" si="35"/>
        <v>3.43</v>
      </c>
      <c r="AC115" s="136">
        <f t="shared" si="35"/>
        <v>3.43</v>
      </c>
      <c r="AD115" s="136">
        <f t="shared" si="35"/>
        <v>3.43</v>
      </c>
      <c r="AE115" s="136">
        <f t="shared" si="35"/>
        <v>3.43</v>
      </c>
      <c r="AF115" s="136">
        <f t="shared" si="35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33"/>
        <v>2.96</v>
      </c>
      <c r="C116" s="137">
        <v>2.96</v>
      </c>
      <c r="D116" s="136">
        <f t="shared" si="34"/>
        <v>2.96</v>
      </c>
      <c r="E116" s="136">
        <f t="shared" si="34"/>
        <v>2.96</v>
      </c>
      <c r="F116" s="136">
        <f t="shared" si="34"/>
        <v>2.96</v>
      </c>
      <c r="G116" s="136">
        <f t="shared" si="34"/>
        <v>2.96</v>
      </c>
      <c r="H116" s="136">
        <f t="shared" si="34"/>
        <v>2.96</v>
      </c>
      <c r="I116" s="136">
        <f t="shared" si="34"/>
        <v>2.96</v>
      </c>
      <c r="J116" s="136">
        <f t="shared" si="34"/>
        <v>2.96</v>
      </c>
      <c r="K116" s="136">
        <f t="shared" si="34"/>
        <v>2.96</v>
      </c>
      <c r="L116" s="136">
        <f t="shared" si="34"/>
        <v>2.96</v>
      </c>
      <c r="M116" s="136">
        <f t="shared" si="34"/>
        <v>2.96</v>
      </c>
      <c r="N116" s="136">
        <f t="shared" si="34"/>
        <v>2.96</v>
      </c>
      <c r="O116" s="136">
        <f t="shared" si="34"/>
        <v>2.96</v>
      </c>
      <c r="P116" s="136">
        <f t="shared" si="34"/>
        <v>2.96</v>
      </c>
      <c r="Q116" s="136">
        <f t="shared" si="34"/>
        <v>2.96</v>
      </c>
      <c r="R116" s="136">
        <f t="shared" si="34"/>
        <v>2.96</v>
      </c>
      <c r="S116" s="136">
        <f t="shared" si="34"/>
        <v>2.96</v>
      </c>
      <c r="T116" s="136">
        <f t="shared" si="35"/>
        <v>2.96</v>
      </c>
      <c r="U116" s="136">
        <f t="shared" si="35"/>
        <v>2.96</v>
      </c>
      <c r="V116" s="136">
        <f t="shared" si="35"/>
        <v>2.96</v>
      </c>
      <c r="W116" s="136">
        <f t="shared" si="35"/>
        <v>2.96</v>
      </c>
      <c r="X116" s="136">
        <f t="shared" si="35"/>
        <v>2.96</v>
      </c>
      <c r="Y116" s="136">
        <f t="shared" si="35"/>
        <v>2.96</v>
      </c>
      <c r="Z116" s="136">
        <f t="shared" si="35"/>
        <v>2.96</v>
      </c>
      <c r="AA116" s="136">
        <f t="shared" si="35"/>
        <v>2.96</v>
      </c>
      <c r="AB116" s="136">
        <f t="shared" si="35"/>
        <v>2.96</v>
      </c>
      <c r="AC116" s="136">
        <f t="shared" si="35"/>
        <v>2.96</v>
      </c>
      <c r="AD116" s="136">
        <f t="shared" si="35"/>
        <v>2.96</v>
      </c>
      <c r="AE116" s="136">
        <f t="shared" si="35"/>
        <v>2.96</v>
      </c>
      <c r="AF116" s="136">
        <f t="shared" si="35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33"/>
        <v>8</v>
      </c>
      <c r="C117" s="137">
        <v>8</v>
      </c>
      <c r="D117" s="136">
        <f t="shared" si="34"/>
        <v>8</v>
      </c>
      <c r="E117" s="136">
        <f t="shared" si="34"/>
        <v>8</v>
      </c>
      <c r="F117" s="136">
        <f t="shared" si="34"/>
        <v>8</v>
      </c>
      <c r="G117" s="136">
        <f t="shared" si="34"/>
        <v>8</v>
      </c>
      <c r="H117" s="136">
        <f t="shared" si="34"/>
        <v>8</v>
      </c>
      <c r="I117" s="136">
        <f t="shared" si="34"/>
        <v>8</v>
      </c>
      <c r="J117" s="136">
        <f t="shared" si="34"/>
        <v>8</v>
      </c>
      <c r="K117" s="136">
        <f t="shared" si="34"/>
        <v>8</v>
      </c>
      <c r="L117" s="136">
        <f t="shared" si="34"/>
        <v>8</v>
      </c>
      <c r="M117" s="136">
        <f t="shared" si="34"/>
        <v>8</v>
      </c>
      <c r="N117" s="136">
        <f t="shared" si="34"/>
        <v>8</v>
      </c>
      <c r="O117" s="136">
        <f t="shared" si="34"/>
        <v>8</v>
      </c>
      <c r="P117" s="136">
        <f t="shared" si="34"/>
        <v>8</v>
      </c>
      <c r="Q117" s="136">
        <f t="shared" si="34"/>
        <v>8</v>
      </c>
      <c r="R117" s="136">
        <f t="shared" si="34"/>
        <v>8</v>
      </c>
      <c r="S117" s="136">
        <f t="shared" si="34"/>
        <v>8</v>
      </c>
      <c r="T117" s="136">
        <f t="shared" si="35"/>
        <v>8</v>
      </c>
      <c r="U117" s="136">
        <f t="shared" si="35"/>
        <v>8</v>
      </c>
      <c r="V117" s="136">
        <f t="shared" si="35"/>
        <v>8</v>
      </c>
      <c r="W117" s="136">
        <f t="shared" si="35"/>
        <v>8</v>
      </c>
      <c r="X117" s="136">
        <f t="shared" si="35"/>
        <v>8</v>
      </c>
      <c r="Y117" s="136">
        <f t="shared" si="35"/>
        <v>8</v>
      </c>
      <c r="Z117" s="136">
        <f t="shared" si="35"/>
        <v>8</v>
      </c>
      <c r="AA117" s="136">
        <f t="shared" si="35"/>
        <v>8</v>
      </c>
      <c r="AB117" s="136">
        <f t="shared" si="35"/>
        <v>8</v>
      </c>
      <c r="AC117" s="136">
        <f t="shared" si="35"/>
        <v>8</v>
      </c>
      <c r="AD117" s="136">
        <f t="shared" si="35"/>
        <v>8</v>
      </c>
      <c r="AE117" s="136">
        <f t="shared" si="35"/>
        <v>8</v>
      </c>
      <c r="AF117" s="136">
        <f t="shared" si="35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33"/>
        <v>7</v>
      </c>
      <c r="C118" s="137">
        <v>7</v>
      </c>
      <c r="D118" s="136">
        <f>C118</f>
        <v>7</v>
      </c>
      <c r="E118" s="136">
        <f t="shared" si="34"/>
        <v>7</v>
      </c>
      <c r="F118" s="136">
        <f t="shared" si="34"/>
        <v>7</v>
      </c>
      <c r="G118" s="136">
        <f t="shared" si="34"/>
        <v>7</v>
      </c>
      <c r="H118" s="136">
        <f t="shared" si="34"/>
        <v>7</v>
      </c>
      <c r="I118" s="136">
        <f t="shared" si="34"/>
        <v>7</v>
      </c>
      <c r="J118" s="136">
        <f t="shared" si="34"/>
        <v>7</v>
      </c>
      <c r="K118" s="136">
        <f t="shared" si="34"/>
        <v>7</v>
      </c>
      <c r="L118" s="136">
        <f t="shared" si="34"/>
        <v>7</v>
      </c>
      <c r="M118" s="136">
        <f t="shared" si="34"/>
        <v>7</v>
      </c>
      <c r="N118" s="136">
        <f t="shared" si="34"/>
        <v>7</v>
      </c>
      <c r="O118" s="136">
        <f t="shared" si="34"/>
        <v>7</v>
      </c>
      <c r="P118" s="136">
        <f t="shared" si="34"/>
        <v>7</v>
      </c>
      <c r="Q118" s="136">
        <f t="shared" si="34"/>
        <v>7</v>
      </c>
      <c r="R118" s="136">
        <f t="shared" si="34"/>
        <v>7</v>
      </c>
      <c r="S118" s="136">
        <f t="shared" si="34"/>
        <v>7</v>
      </c>
      <c r="T118" s="136">
        <f t="shared" si="35"/>
        <v>7</v>
      </c>
      <c r="U118" s="136">
        <f t="shared" si="35"/>
        <v>7</v>
      </c>
      <c r="V118" s="136">
        <f t="shared" si="35"/>
        <v>7</v>
      </c>
      <c r="W118" s="136">
        <f t="shared" si="35"/>
        <v>7</v>
      </c>
      <c r="X118" s="136">
        <f t="shared" si="35"/>
        <v>7</v>
      </c>
      <c r="Y118" s="136">
        <f t="shared" si="35"/>
        <v>7</v>
      </c>
      <c r="Z118" s="136">
        <f t="shared" si="35"/>
        <v>7</v>
      </c>
      <c r="AA118" s="136">
        <f t="shared" si="35"/>
        <v>7</v>
      </c>
      <c r="AB118" s="136">
        <f t="shared" si="35"/>
        <v>7</v>
      </c>
      <c r="AC118" s="136">
        <f t="shared" si="35"/>
        <v>7</v>
      </c>
      <c r="AD118" s="136">
        <f t="shared" si="35"/>
        <v>7</v>
      </c>
      <c r="AE118" s="136">
        <f t="shared" si="35"/>
        <v>7</v>
      </c>
      <c r="AF118" s="136">
        <f t="shared" si="35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33"/>
        <v>3.47</v>
      </c>
      <c r="C119" s="137">
        <v>3.47</v>
      </c>
      <c r="D119" s="136">
        <f t="shared" ref="D119:S128" si="36">C119</f>
        <v>3.47</v>
      </c>
      <c r="E119" s="136">
        <f t="shared" si="36"/>
        <v>3.47</v>
      </c>
      <c r="F119" s="136">
        <f t="shared" si="36"/>
        <v>3.47</v>
      </c>
      <c r="G119" s="136">
        <f t="shared" si="36"/>
        <v>3.47</v>
      </c>
      <c r="H119" s="136">
        <f t="shared" si="36"/>
        <v>3.47</v>
      </c>
      <c r="I119" s="136">
        <f t="shared" si="36"/>
        <v>3.47</v>
      </c>
      <c r="J119" s="136">
        <f t="shared" si="36"/>
        <v>3.47</v>
      </c>
      <c r="K119" s="136">
        <f t="shared" si="36"/>
        <v>3.47</v>
      </c>
      <c r="L119" s="136">
        <f t="shared" si="36"/>
        <v>3.47</v>
      </c>
      <c r="M119" s="136">
        <f t="shared" si="36"/>
        <v>3.47</v>
      </c>
      <c r="N119" s="136">
        <f t="shared" si="36"/>
        <v>3.47</v>
      </c>
      <c r="O119" s="136">
        <f t="shared" si="36"/>
        <v>3.47</v>
      </c>
      <c r="P119" s="136">
        <f t="shared" si="36"/>
        <v>3.47</v>
      </c>
      <c r="Q119" s="136">
        <f t="shared" si="36"/>
        <v>3.47</v>
      </c>
      <c r="R119" s="136">
        <f t="shared" si="36"/>
        <v>3.47</v>
      </c>
      <c r="S119" s="136">
        <f t="shared" si="36"/>
        <v>3.47</v>
      </c>
      <c r="T119" s="136">
        <f t="shared" si="35"/>
        <v>3.47</v>
      </c>
      <c r="U119" s="136">
        <f t="shared" si="35"/>
        <v>3.47</v>
      </c>
      <c r="V119" s="136">
        <f t="shared" si="35"/>
        <v>3.47</v>
      </c>
      <c r="W119" s="136">
        <f t="shared" si="35"/>
        <v>3.47</v>
      </c>
      <c r="X119" s="136">
        <f t="shared" si="35"/>
        <v>3.47</v>
      </c>
      <c r="Y119" s="136">
        <f t="shared" si="35"/>
        <v>3.47</v>
      </c>
      <c r="Z119" s="136">
        <f t="shared" si="35"/>
        <v>3.47</v>
      </c>
      <c r="AA119" s="136">
        <f t="shared" si="35"/>
        <v>3.47</v>
      </c>
      <c r="AB119" s="136">
        <f t="shared" si="35"/>
        <v>3.47</v>
      </c>
      <c r="AC119" s="136">
        <f t="shared" si="35"/>
        <v>3.47</v>
      </c>
      <c r="AD119" s="136">
        <f t="shared" si="35"/>
        <v>3.47</v>
      </c>
      <c r="AE119" s="136">
        <f t="shared" si="35"/>
        <v>3.47</v>
      </c>
      <c r="AF119" s="136">
        <f t="shared" si="35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33"/>
        <v>2.1</v>
      </c>
      <c r="C120" s="137">
        <v>2.1</v>
      </c>
      <c r="D120" s="136">
        <f t="shared" si="36"/>
        <v>2.1</v>
      </c>
      <c r="E120" s="136">
        <f t="shared" si="36"/>
        <v>2.1</v>
      </c>
      <c r="F120" s="136">
        <f t="shared" si="36"/>
        <v>2.1</v>
      </c>
      <c r="G120" s="136">
        <f t="shared" si="36"/>
        <v>2.1</v>
      </c>
      <c r="H120" s="136">
        <f t="shared" si="36"/>
        <v>2.1</v>
      </c>
      <c r="I120" s="136">
        <f t="shared" si="36"/>
        <v>2.1</v>
      </c>
      <c r="J120" s="136">
        <f t="shared" si="36"/>
        <v>2.1</v>
      </c>
      <c r="K120" s="136">
        <f t="shared" si="36"/>
        <v>2.1</v>
      </c>
      <c r="L120" s="136">
        <f t="shared" si="36"/>
        <v>2.1</v>
      </c>
      <c r="M120" s="136">
        <f t="shared" si="36"/>
        <v>2.1</v>
      </c>
      <c r="N120" s="136">
        <f t="shared" si="36"/>
        <v>2.1</v>
      </c>
      <c r="O120" s="136">
        <f t="shared" si="36"/>
        <v>2.1</v>
      </c>
      <c r="P120" s="136">
        <f t="shared" si="36"/>
        <v>2.1</v>
      </c>
      <c r="Q120" s="136">
        <f t="shared" si="36"/>
        <v>2.1</v>
      </c>
      <c r="R120" s="136">
        <f t="shared" si="36"/>
        <v>2.1</v>
      </c>
      <c r="S120" s="136">
        <f t="shared" si="36"/>
        <v>2.1</v>
      </c>
      <c r="T120" s="136">
        <f t="shared" si="35"/>
        <v>2.1</v>
      </c>
      <c r="U120" s="136">
        <f t="shared" si="35"/>
        <v>2.1</v>
      </c>
      <c r="V120" s="136">
        <f t="shared" si="35"/>
        <v>2.1</v>
      </c>
      <c r="W120" s="136">
        <f t="shared" si="35"/>
        <v>2.1</v>
      </c>
      <c r="X120" s="136">
        <f t="shared" si="35"/>
        <v>2.1</v>
      </c>
      <c r="Y120" s="136">
        <f t="shared" si="35"/>
        <v>2.1</v>
      </c>
      <c r="Z120" s="136">
        <f t="shared" si="35"/>
        <v>2.1</v>
      </c>
      <c r="AA120" s="136">
        <f t="shared" si="35"/>
        <v>2.1</v>
      </c>
      <c r="AB120" s="136">
        <f t="shared" si="35"/>
        <v>2.1</v>
      </c>
      <c r="AC120" s="136">
        <f t="shared" si="35"/>
        <v>2.1</v>
      </c>
      <c r="AD120" s="136">
        <f t="shared" si="35"/>
        <v>2.1</v>
      </c>
      <c r="AE120" s="136">
        <f t="shared" si="35"/>
        <v>2.1</v>
      </c>
      <c r="AF120" s="136">
        <f t="shared" si="35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33"/>
        <v>9.3000000000000007</v>
      </c>
      <c r="C121" s="137">
        <v>9.3000000000000007</v>
      </c>
      <c r="D121" s="136">
        <f t="shared" si="36"/>
        <v>9.3000000000000007</v>
      </c>
      <c r="E121" s="136">
        <f t="shared" si="36"/>
        <v>9.3000000000000007</v>
      </c>
      <c r="F121" s="136">
        <f t="shared" si="36"/>
        <v>9.3000000000000007</v>
      </c>
      <c r="G121" s="136">
        <f t="shared" si="36"/>
        <v>9.3000000000000007</v>
      </c>
      <c r="H121" s="136">
        <f t="shared" si="36"/>
        <v>9.3000000000000007</v>
      </c>
      <c r="I121" s="136">
        <f t="shared" si="36"/>
        <v>9.3000000000000007</v>
      </c>
      <c r="J121" s="136">
        <f t="shared" si="36"/>
        <v>9.3000000000000007</v>
      </c>
      <c r="K121" s="136">
        <f t="shared" si="36"/>
        <v>9.3000000000000007</v>
      </c>
      <c r="L121" s="136">
        <f t="shared" si="36"/>
        <v>9.3000000000000007</v>
      </c>
      <c r="M121" s="136">
        <f t="shared" si="36"/>
        <v>9.3000000000000007</v>
      </c>
      <c r="N121" s="136">
        <f t="shared" si="36"/>
        <v>9.3000000000000007</v>
      </c>
      <c r="O121" s="136">
        <f t="shared" si="36"/>
        <v>9.3000000000000007</v>
      </c>
      <c r="P121" s="136">
        <f t="shared" si="36"/>
        <v>9.3000000000000007</v>
      </c>
      <c r="Q121" s="136">
        <f t="shared" si="36"/>
        <v>9.3000000000000007</v>
      </c>
      <c r="R121" s="136">
        <f t="shared" si="36"/>
        <v>9.3000000000000007</v>
      </c>
      <c r="S121" s="136">
        <f t="shared" si="36"/>
        <v>9.3000000000000007</v>
      </c>
      <c r="T121" s="136">
        <f t="shared" si="35"/>
        <v>9.3000000000000007</v>
      </c>
      <c r="U121" s="136">
        <f t="shared" si="35"/>
        <v>9.3000000000000007</v>
      </c>
      <c r="V121" s="136">
        <f t="shared" si="35"/>
        <v>9.3000000000000007</v>
      </c>
      <c r="W121" s="136">
        <f t="shared" si="35"/>
        <v>9.3000000000000007</v>
      </c>
      <c r="X121" s="136">
        <f t="shared" si="35"/>
        <v>9.3000000000000007</v>
      </c>
      <c r="Y121" s="136">
        <f t="shared" si="35"/>
        <v>9.3000000000000007</v>
      </c>
      <c r="Z121" s="136">
        <f t="shared" si="35"/>
        <v>9.3000000000000007</v>
      </c>
      <c r="AA121" s="136">
        <f t="shared" si="35"/>
        <v>9.3000000000000007</v>
      </c>
      <c r="AB121" s="136">
        <f t="shared" si="35"/>
        <v>9.3000000000000007</v>
      </c>
      <c r="AC121" s="136">
        <f t="shared" si="35"/>
        <v>9.3000000000000007</v>
      </c>
      <c r="AD121" s="136">
        <f t="shared" si="35"/>
        <v>9.3000000000000007</v>
      </c>
      <c r="AE121" s="136">
        <f t="shared" si="35"/>
        <v>9.3000000000000007</v>
      </c>
      <c r="AF121" s="136">
        <f t="shared" si="35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33"/>
        <v>0</v>
      </c>
      <c r="C122" s="137">
        <v>0</v>
      </c>
      <c r="D122" s="136">
        <f t="shared" si="36"/>
        <v>0</v>
      </c>
      <c r="E122" s="136">
        <f t="shared" si="36"/>
        <v>0</v>
      </c>
      <c r="F122" s="136">
        <f t="shared" si="36"/>
        <v>0</v>
      </c>
      <c r="G122" s="136">
        <f t="shared" si="36"/>
        <v>0</v>
      </c>
      <c r="H122" s="136">
        <f t="shared" si="36"/>
        <v>0</v>
      </c>
      <c r="I122" s="136">
        <f t="shared" si="36"/>
        <v>0</v>
      </c>
      <c r="J122" s="136">
        <f t="shared" si="36"/>
        <v>0</v>
      </c>
      <c r="K122" s="136">
        <f t="shared" si="36"/>
        <v>0</v>
      </c>
      <c r="L122" s="136">
        <f t="shared" si="36"/>
        <v>0</v>
      </c>
      <c r="M122" s="136">
        <f t="shared" si="36"/>
        <v>0</v>
      </c>
      <c r="N122" s="136">
        <f t="shared" si="36"/>
        <v>0</v>
      </c>
      <c r="O122" s="136">
        <f t="shared" si="36"/>
        <v>0</v>
      </c>
      <c r="P122" s="136">
        <f t="shared" si="36"/>
        <v>0</v>
      </c>
      <c r="Q122" s="136">
        <f t="shared" si="36"/>
        <v>0</v>
      </c>
      <c r="R122" s="136">
        <f t="shared" si="36"/>
        <v>0</v>
      </c>
      <c r="S122" s="136">
        <f t="shared" si="36"/>
        <v>0</v>
      </c>
      <c r="T122" s="136">
        <f t="shared" si="35"/>
        <v>0</v>
      </c>
      <c r="U122" s="136">
        <f t="shared" si="35"/>
        <v>0</v>
      </c>
      <c r="V122" s="136">
        <f t="shared" si="35"/>
        <v>0</v>
      </c>
      <c r="W122" s="136">
        <f t="shared" si="35"/>
        <v>0</v>
      </c>
      <c r="X122" s="136">
        <f t="shared" si="35"/>
        <v>0</v>
      </c>
      <c r="Y122" s="136">
        <f t="shared" si="35"/>
        <v>0</v>
      </c>
      <c r="Z122" s="136">
        <f t="shared" si="35"/>
        <v>0</v>
      </c>
      <c r="AA122" s="136">
        <f t="shared" si="35"/>
        <v>0</v>
      </c>
      <c r="AB122" s="136">
        <f t="shared" si="35"/>
        <v>0</v>
      </c>
      <c r="AC122" s="136">
        <f t="shared" si="35"/>
        <v>0</v>
      </c>
      <c r="AD122" s="136">
        <f t="shared" si="35"/>
        <v>0</v>
      </c>
      <c r="AE122" s="136">
        <f t="shared" si="35"/>
        <v>0</v>
      </c>
      <c r="AF122" s="136">
        <f t="shared" si="35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33"/>
        <v>0</v>
      </c>
      <c r="C123" s="137">
        <v>0</v>
      </c>
      <c r="D123" s="136">
        <f t="shared" si="36"/>
        <v>0</v>
      </c>
      <c r="E123" s="136">
        <f t="shared" si="36"/>
        <v>0</v>
      </c>
      <c r="F123" s="136">
        <f t="shared" si="36"/>
        <v>0</v>
      </c>
      <c r="G123" s="136">
        <f t="shared" si="36"/>
        <v>0</v>
      </c>
      <c r="H123" s="136">
        <f t="shared" si="36"/>
        <v>0</v>
      </c>
      <c r="I123" s="136">
        <f t="shared" si="36"/>
        <v>0</v>
      </c>
      <c r="J123" s="136">
        <f t="shared" si="36"/>
        <v>0</v>
      </c>
      <c r="K123" s="136">
        <f t="shared" si="36"/>
        <v>0</v>
      </c>
      <c r="L123" s="136">
        <f t="shared" si="36"/>
        <v>0</v>
      </c>
      <c r="M123" s="136">
        <f t="shared" si="36"/>
        <v>0</v>
      </c>
      <c r="N123" s="136">
        <f t="shared" si="36"/>
        <v>0</v>
      </c>
      <c r="O123" s="136">
        <f t="shared" si="36"/>
        <v>0</v>
      </c>
      <c r="P123" s="136">
        <f t="shared" si="36"/>
        <v>0</v>
      </c>
      <c r="Q123" s="136">
        <f t="shared" si="36"/>
        <v>0</v>
      </c>
      <c r="R123" s="136">
        <f t="shared" si="36"/>
        <v>0</v>
      </c>
      <c r="S123" s="136">
        <f t="shared" si="36"/>
        <v>0</v>
      </c>
      <c r="T123" s="136">
        <f t="shared" si="35"/>
        <v>0</v>
      </c>
      <c r="U123" s="136">
        <f t="shared" si="35"/>
        <v>0</v>
      </c>
      <c r="V123" s="136">
        <f t="shared" si="35"/>
        <v>0</v>
      </c>
      <c r="W123" s="136">
        <f t="shared" si="35"/>
        <v>0</v>
      </c>
      <c r="X123" s="136">
        <f t="shared" si="35"/>
        <v>0</v>
      </c>
      <c r="Y123" s="136">
        <f t="shared" si="35"/>
        <v>0</v>
      </c>
      <c r="Z123" s="136">
        <f t="shared" si="35"/>
        <v>0</v>
      </c>
      <c r="AA123" s="136">
        <f t="shared" si="35"/>
        <v>0</v>
      </c>
      <c r="AB123" s="136">
        <f t="shared" si="35"/>
        <v>0</v>
      </c>
      <c r="AC123" s="136">
        <f t="shared" si="35"/>
        <v>0</v>
      </c>
      <c r="AD123" s="136">
        <f t="shared" si="35"/>
        <v>0</v>
      </c>
      <c r="AE123" s="136">
        <f t="shared" si="35"/>
        <v>0</v>
      </c>
      <c r="AF123" s="136">
        <f t="shared" si="35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33"/>
        <v>5</v>
      </c>
      <c r="C124" s="137">
        <v>5</v>
      </c>
      <c r="D124" s="136">
        <f t="shared" si="36"/>
        <v>5</v>
      </c>
      <c r="E124" s="136">
        <f t="shared" si="36"/>
        <v>5</v>
      </c>
      <c r="F124" s="136">
        <f t="shared" si="36"/>
        <v>5</v>
      </c>
      <c r="G124" s="136">
        <f t="shared" si="36"/>
        <v>5</v>
      </c>
      <c r="H124" s="136">
        <f t="shared" si="36"/>
        <v>5</v>
      </c>
      <c r="I124" s="136">
        <f t="shared" si="36"/>
        <v>5</v>
      </c>
      <c r="J124" s="136">
        <f t="shared" si="36"/>
        <v>5</v>
      </c>
      <c r="K124" s="136">
        <f t="shared" si="36"/>
        <v>5</v>
      </c>
      <c r="L124" s="136">
        <f t="shared" si="36"/>
        <v>5</v>
      </c>
      <c r="M124" s="136">
        <f t="shared" si="36"/>
        <v>5</v>
      </c>
      <c r="N124" s="136">
        <f t="shared" si="36"/>
        <v>5</v>
      </c>
      <c r="O124" s="136">
        <f t="shared" si="36"/>
        <v>5</v>
      </c>
      <c r="P124" s="136">
        <f t="shared" si="36"/>
        <v>5</v>
      </c>
      <c r="Q124" s="136">
        <f t="shared" si="36"/>
        <v>5</v>
      </c>
      <c r="R124" s="136">
        <f t="shared" si="36"/>
        <v>5</v>
      </c>
      <c r="S124" s="136">
        <f t="shared" si="36"/>
        <v>5</v>
      </c>
      <c r="T124" s="136">
        <f t="shared" si="35"/>
        <v>5</v>
      </c>
      <c r="U124" s="136">
        <f t="shared" si="35"/>
        <v>5</v>
      </c>
      <c r="V124" s="136">
        <f t="shared" si="35"/>
        <v>5</v>
      </c>
      <c r="W124" s="136">
        <f t="shared" si="35"/>
        <v>5</v>
      </c>
      <c r="X124" s="136">
        <f t="shared" si="35"/>
        <v>5</v>
      </c>
      <c r="Y124" s="136">
        <f t="shared" si="35"/>
        <v>5</v>
      </c>
      <c r="Z124" s="136">
        <f t="shared" si="35"/>
        <v>5</v>
      </c>
      <c r="AA124" s="136">
        <f t="shared" si="35"/>
        <v>5</v>
      </c>
      <c r="AB124" s="136">
        <f t="shared" si="35"/>
        <v>5</v>
      </c>
      <c r="AC124" s="136">
        <f t="shared" si="35"/>
        <v>5</v>
      </c>
      <c r="AD124" s="136">
        <f t="shared" si="35"/>
        <v>5</v>
      </c>
      <c r="AE124" s="136">
        <f t="shared" si="35"/>
        <v>5</v>
      </c>
      <c r="AF124" s="136">
        <f t="shared" si="35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33"/>
        <v>1</v>
      </c>
      <c r="C125" s="137">
        <v>1</v>
      </c>
      <c r="D125" s="136">
        <f t="shared" si="36"/>
        <v>1</v>
      </c>
      <c r="E125" s="136">
        <f t="shared" si="36"/>
        <v>1</v>
      </c>
      <c r="F125" s="136">
        <f t="shared" si="36"/>
        <v>1</v>
      </c>
      <c r="G125" s="136">
        <f t="shared" si="36"/>
        <v>1</v>
      </c>
      <c r="H125" s="136">
        <f t="shared" si="36"/>
        <v>1</v>
      </c>
      <c r="I125" s="136">
        <f t="shared" si="36"/>
        <v>1</v>
      </c>
      <c r="J125" s="136">
        <f t="shared" si="36"/>
        <v>1</v>
      </c>
      <c r="K125" s="136">
        <f t="shared" si="36"/>
        <v>1</v>
      </c>
      <c r="L125" s="136">
        <f t="shared" si="36"/>
        <v>1</v>
      </c>
      <c r="M125" s="136">
        <f t="shared" si="36"/>
        <v>1</v>
      </c>
      <c r="N125" s="136">
        <f t="shared" si="36"/>
        <v>1</v>
      </c>
      <c r="O125" s="136">
        <f t="shared" si="36"/>
        <v>1</v>
      </c>
      <c r="P125" s="136">
        <f t="shared" si="36"/>
        <v>1</v>
      </c>
      <c r="Q125" s="136">
        <f t="shared" si="36"/>
        <v>1</v>
      </c>
      <c r="R125" s="136">
        <f t="shared" si="36"/>
        <v>1</v>
      </c>
      <c r="S125" s="136">
        <f t="shared" si="36"/>
        <v>1</v>
      </c>
      <c r="T125" s="136">
        <f t="shared" si="35"/>
        <v>1</v>
      </c>
      <c r="U125" s="136">
        <f t="shared" si="35"/>
        <v>1</v>
      </c>
      <c r="V125" s="136">
        <f t="shared" si="35"/>
        <v>1</v>
      </c>
      <c r="W125" s="136">
        <f t="shared" si="35"/>
        <v>1</v>
      </c>
      <c r="X125" s="136">
        <f t="shared" si="35"/>
        <v>1</v>
      </c>
      <c r="Y125" s="136">
        <f t="shared" si="35"/>
        <v>1</v>
      </c>
      <c r="Z125" s="136">
        <f t="shared" si="35"/>
        <v>1</v>
      </c>
      <c r="AA125" s="136">
        <f t="shared" si="35"/>
        <v>1</v>
      </c>
      <c r="AB125" s="136">
        <f t="shared" si="35"/>
        <v>1</v>
      </c>
      <c r="AC125" s="136">
        <f t="shared" si="35"/>
        <v>1</v>
      </c>
      <c r="AD125" s="136">
        <f t="shared" si="35"/>
        <v>1</v>
      </c>
      <c r="AE125" s="136">
        <f t="shared" si="35"/>
        <v>1</v>
      </c>
      <c r="AF125" s="136">
        <f t="shared" si="35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33"/>
        <v>1.58</v>
      </c>
      <c r="C126" s="137">
        <v>1.58</v>
      </c>
      <c r="D126" s="136">
        <f t="shared" si="36"/>
        <v>1.58</v>
      </c>
      <c r="E126" s="136">
        <f t="shared" si="36"/>
        <v>1.58</v>
      </c>
      <c r="F126" s="136">
        <f t="shared" si="36"/>
        <v>1.58</v>
      </c>
      <c r="G126" s="136">
        <f t="shared" si="36"/>
        <v>1.58</v>
      </c>
      <c r="H126" s="136">
        <f t="shared" si="36"/>
        <v>1.58</v>
      </c>
      <c r="I126" s="136">
        <f t="shared" si="36"/>
        <v>1.58</v>
      </c>
      <c r="J126" s="136">
        <f t="shared" si="36"/>
        <v>1.58</v>
      </c>
      <c r="K126" s="136">
        <f t="shared" si="36"/>
        <v>1.58</v>
      </c>
      <c r="L126" s="136">
        <f t="shared" si="36"/>
        <v>1.58</v>
      </c>
      <c r="M126" s="136">
        <f t="shared" si="36"/>
        <v>1.58</v>
      </c>
      <c r="N126" s="136">
        <f t="shared" si="36"/>
        <v>1.58</v>
      </c>
      <c r="O126" s="136">
        <f t="shared" si="36"/>
        <v>1.58</v>
      </c>
      <c r="P126" s="136">
        <f t="shared" si="36"/>
        <v>1.58</v>
      </c>
      <c r="Q126" s="136">
        <f t="shared" si="36"/>
        <v>1.58</v>
      </c>
      <c r="R126" s="136">
        <f t="shared" si="36"/>
        <v>1.58</v>
      </c>
      <c r="S126" s="136">
        <f t="shared" si="36"/>
        <v>1.58</v>
      </c>
      <c r="T126" s="136">
        <f t="shared" si="35"/>
        <v>1.58</v>
      </c>
      <c r="U126" s="136">
        <f t="shared" si="35"/>
        <v>1.58</v>
      </c>
      <c r="V126" s="136">
        <f t="shared" si="35"/>
        <v>1.58</v>
      </c>
      <c r="W126" s="136">
        <f t="shared" si="35"/>
        <v>1.58</v>
      </c>
      <c r="X126" s="136">
        <f t="shared" si="35"/>
        <v>1.58</v>
      </c>
      <c r="Y126" s="136">
        <f t="shared" si="35"/>
        <v>1.58</v>
      </c>
      <c r="Z126" s="136">
        <f t="shared" si="35"/>
        <v>1.58</v>
      </c>
      <c r="AA126" s="136">
        <f t="shared" si="35"/>
        <v>1.58</v>
      </c>
      <c r="AB126" s="136">
        <f t="shared" si="35"/>
        <v>1.58</v>
      </c>
      <c r="AC126" s="136">
        <f t="shared" si="35"/>
        <v>1.58</v>
      </c>
      <c r="AD126" s="136">
        <f t="shared" si="35"/>
        <v>1.58</v>
      </c>
      <c r="AE126" s="136">
        <f t="shared" si="35"/>
        <v>1.58</v>
      </c>
      <c r="AF126" s="136">
        <f t="shared" si="35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33"/>
        <v>1.46</v>
      </c>
      <c r="C127" s="137">
        <v>1.46</v>
      </c>
      <c r="D127" s="136">
        <f t="shared" si="36"/>
        <v>1.46</v>
      </c>
      <c r="E127" s="136">
        <f t="shared" si="36"/>
        <v>1.46</v>
      </c>
      <c r="F127" s="136">
        <f t="shared" si="36"/>
        <v>1.46</v>
      </c>
      <c r="G127" s="136">
        <f t="shared" si="36"/>
        <v>1.46</v>
      </c>
      <c r="H127" s="136">
        <f t="shared" si="36"/>
        <v>1.46</v>
      </c>
      <c r="I127" s="136">
        <f t="shared" si="36"/>
        <v>1.46</v>
      </c>
      <c r="J127" s="136">
        <f t="shared" si="36"/>
        <v>1.46</v>
      </c>
      <c r="K127" s="136">
        <f t="shared" si="36"/>
        <v>1.46</v>
      </c>
      <c r="L127" s="136">
        <f t="shared" si="36"/>
        <v>1.46</v>
      </c>
      <c r="M127" s="136">
        <f t="shared" si="36"/>
        <v>1.46</v>
      </c>
      <c r="N127" s="136">
        <f t="shared" si="36"/>
        <v>1.46</v>
      </c>
      <c r="O127" s="136">
        <f t="shared" si="36"/>
        <v>1.46</v>
      </c>
      <c r="P127" s="136">
        <f t="shared" si="36"/>
        <v>1.46</v>
      </c>
      <c r="Q127" s="136">
        <f t="shared" si="36"/>
        <v>1.46</v>
      </c>
      <c r="R127" s="136">
        <f t="shared" si="36"/>
        <v>1.46</v>
      </c>
      <c r="S127" s="136">
        <f t="shared" si="36"/>
        <v>1.46</v>
      </c>
      <c r="T127" s="136">
        <f t="shared" ref="T127:AF128" si="37">S127</f>
        <v>1.46</v>
      </c>
      <c r="U127" s="136">
        <f t="shared" si="37"/>
        <v>1.46</v>
      </c>
      <c r="V127" s="136">
        <f t="shared" si="37"/>
        <v>1.46</v>
      </c>
      <c r="W127" s="136">
        <f t="shared" si="37"/>
        <v>1.46</v>
      </c>
      <c r="X127" s="136">
        <f t="shared" si="37"/>
        <v>1.46</v>
      </c>
      <c r="Y127" s="136">
        <f t="shared" si="37"/>
        <v>1.46</v>
      </c>
      <c r="Z127" s="136">
        <f t="shared" si="37"/>
        <v>1.46</v>
      </c>
      <c r="AA127" s="136">
        <f t="shared" si="37"/>
        <v>1.46</v>
      </c>
      <c r="AB127" s="136">
        <f t="shared" si="37"/>
        <v>1.46</v>
      </c>
      <c r="AC127" s="136">
        <f t="shared" si="37"/>
        <v>1.46</v>
      </c>
      <c r="AD127" s="136">
        <f t="shared" si="37"/>
        <v>1.46</v>
      </c>
      <c r="AE127" s="136">
        <f t="shared" si="37"/>
        <v>1.46</v>
      </c>
      <c r="AF127" s="136">
        <f t="shared" si="37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33"/>
        <v>1.48</v>
      </c>
      <c r="C128" s="137">
        <v>1.48</v>
      </c>
      <c r="D128" s="136">
        <f t="shared" si="36"/>
        <v>1.48</v>
      </c>
      <c r="E128" s="136">
        <f t="shared" si="36"/>
        <v>1.48</v>
      </c>
      <c r="F128" s="136">
        <f t="shared" si="36"/>
        <v>1.48</v>
      </c>
      <c r="G128" s="136">
        <f t="shared" si="36"/>
        <v>1.48</v>
      </c>
      <c r="H128" s="136">
        <f t="shared" si="36"/>
        <v>1.48</v>
      </c>
      <c r="I128" s="136">
        <f t="shared" si="36"/>
        <v>1.48</v>
      </c>
      <c r="J128" s="136">
        <f t="shared" si="36"/>
        <v>1.48</v>
      </c>
      <c r="K128" s="136">
        <f t="shared" si="36"/>
        <v>1.48</v>
      </c>
      <c r="L128" s="136">
        <f t="shared" si="36"/>
        <v>1.48</v>
      </c>
      <c r="M128" s="136">
        <f t="shared" si="36"/>
        <v>1.48</v>
      </c>
      <c r="N128" s="136">
        <f t="shared" si="36"/>
        <v>1.48</v>
      </c>
      <c r="O128" s="136">
        <f t="shared" si="36"/>
        <v>1.48</v>
      </c>
      <c r="P128" s="136">
        <f t="shared" si="36"/>
        <v>1.48</v>
      </c>
      <c r="Q128" s="136">
        <f t="shared" si="36"/>
        <v>1.48</v>
      </c>
      <c r="R128" s="136">
        <f t="shared" si="36"/>
        <v>1.48</v>
      </c>
      <c r="S128" s="136">
        <f t="shared" si="36"/>
        <v>1.48</v>
      </c>
      <c r="T128" s="136">
        <f t="shared" si="37"/>
        <v>1.48</v>
      </c>
      <c r="U128" s="136">
        <f t="shared" si="37"/>
        <v>1.48</v>
      </c>
      <c r="V128" s="136">
        <f t="shared" si="37"/>
        <v>1.48</v>
      </c>
      <c r="W128" s="136">
        <f t="shared" si="37"/>
        <v>1.48</v>
      </c>
      <c r="X128" s="136">
        <f t="shared" si="37"/>
        <v>1.48</v>
      </c>
      <c r="Y128" s="136">
        <f t="shared" si="37"/>
        <v>1.48</v>
      </c>
      <c r="Z128" s="136">
        <f t="shared" si="37"/>
        <v>1.48</v>
      </c>
      <c r="AA128" s="136">
        <f t="shared" si="37"/>
        <v>1.48</v>
      </c>
      <c r="AB128" s="136">
        <f t="shared" si="37"/>
        <v>1.48</v>
      </c>
      <c r="AC128" s="136">
        <f t="shared" si="37"/>
        <v>1.48</v>
      </c>
      <c r="AD128" s="136">
        <f t="shared" si="37"/>
        <v>1.48</v>
      </c>
      <c r="AE128" s="136">
        <f t="shared" si="37"/>
        <v>1.48</v>
      </c>
      <c r="AF128" s="136">
        <f t="shared" si="37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8">AF130</f>
        <v>2.2000000000000002</v>
      </c>
      <c r="C130" s="137">
        <v>2.2000000000000002</v>
      </c>
      <c r="D130" s="136">
        <f t="shared" ref="D130:S137" si="39">C130</f>
        <v>2.2000000000000002</v>
      </c>
      <c r="E130" s="136">
        <f t="shared" si="39"/>
        <v>2.2000000000000002</v>
      </c>
      <c r="F130" s="136">
        <f t="shared" si="39"/>
        <v>2.2000000000000002</v>
      </c>
      <c r="G130" s="136">
        <f t="shared" si="39"/>
        <v>2.2000000000000002</v>
      </c>
      <c r="H130" s="136">
        <f t="shared" si="39"/>
        <v>2.2000000000000002</v>
      </c>
      <c r="I130" s="136">
        <f t="shared" si="39"/>
        <v>2.2000000000000002</v>
      </c>
      <c r="J130" s="136">
        <f t="shared" si="39"/>
        <v>2.2000000000000002</v>
      </c>
      <c r="K130" s="136">
        <f t="shared" si="39"/>
        <v>2.2000000000000002</v>
      </c>
      <c r="L130" s="136">
        <f t="shared" si="39"/>
        <v>2.2000000000000002</v>
      </c>
      <c r="M130" s="136">
        <f t="shared" si="39"/>
        <v>2.2000000000000002</v>
      </c>
      <c r="N130" s="136">
        <f t="shared" si="39"/>
        <v>2.2000000000000002</v>
      </c>
      <c r="O130" s="136">
        <f t="shared" si="39"/>
        <v>2.2000000000000002</v>
      </c>
      <c r="P130" s="136">
        <f t="shared" si="39"/>
        <v>2.2000000000000002</v>
      </c>
      <c r="Q130" s="136">
        <f t="shared" si="39"/>
        <v>2.2000000000000002</v>
      </c>
      <c r="R130" s="136">
        <f t="shared" si="39"/>
        <v>2.2000000000000002</v>
      </c>
      <c r="S130" s="136">
        <f t="shared" si="39"/>
        <v>2.2000000000000002</v>
      </c>
      <c r="T130" s="136">
        <f t="shared" ref="T130:AF137" si="40">S130</f>
        <v>2.2000000000000002</v>
      </c>
      <c r="U130" s="136">
        <f t="shared" si="40"/>
        <v>2.2000000000000002</v>
      </c>
      <c r="V130" s="136">
        <f t="shared" si="40"/>
        <v>2.2000000000000002</v>
      </c>
      <c r="W130" s="136">
        <f t="shared" si="40"/>
        <v>2.2000000000000002</v>
      </c>
      <c r="X130" s="136">
        <f t="shared" si="40"/>
        <v>2.2000000000000002</v>
      </c>
      <c r="Y130" s="136">
        <f t="shared" si="40"/>
        <v>2.2000000000000002</v>
      </c>
      <c r="Z130" s="136">
        <f t="shared" si="40"/>
        <v>2.2000000000000002</v>
      </c>
      <c r="AA130" s="136">
        <f t="shared" si="40"/>
        <v>2.2000000000000002</v>
      </c>
      <c r="AB130" s="136">
        <f t="shared" si="40"/>
        <v>2.2000000000000002</v>
      </c>
      <c r="AC130" s="136">
        <f t="shared" si="40"/>
        <v>2.2000000000000002</v>
      </c>
      <c r="AD130" s="136">
        <f t="shared" si="40"/>
        <v>2.2000000000000002</v>
      </c>
      <c r="AE130" s="136">
        <f t="shared" si="40"/>
        <v>2.2000000000000002</v>
      </c>
      <c r="AF130" s="136">
        <f t="shared" si="40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8"/>
        <v>2</v>
      </c>
      <c r="C131" s="137">
        <v>2</v>
      </c>
      <c r="D131" s="136">
        <f t="shared" si="39"/>
        <v>2</v>
      </c>
      <c r="E131" s="136">
        <f t="shared" si="39"/>
        <v>2</v>
      </c>
      <c r="F131" s="136">
        <f t="shared" si="39"/>
        <v>2</v>
      </c>
      <c r="G131" s="136">
        <f t="shared" si="39"/>
        <v>2</v>
      </c>
      <c r="H131" s="136">
        <f t="shared" si="39"/>
        <v>2</v>
      </c>
      <c r="I131" s="136">
        <f t="shared" si="39"/>
        <v>2</v>
      </c>
      <c r="J131" s="136">
        <f t="shared" si="39"/>
        <v>2</v>
      </c>
      <c r="K131" s="136">
        <f t="shared" si="39"/>
        <v>2</v>
      </c>
      <c r="L131" s="136">
        <f t="shared" si="39"/>
        <v>2</v>
      </c>
      <c r="M131" s="136">
        <f t="shared" si="39"/>
        <v>2</v>
      </c>
      <c r="N131" s="136">
        <f t="shared" si="39"/>
        <v>2</v>
      </c>
      <c r="O131" s="136">
        <f t="shared" si="39"/>
        <v>2</v>
      </c>
      <c r="P131" s="136">
        <f t="shared" si="39"/>
        <v>2</v>
      </c>
      <c r="Q131" s="136">
        <f t="shared" si="39"/>
        <v>2</v>
      </c>
      <c r="R131" s="136">
        <f t="shared" si="39"/>
        <v>2</v>
      </c>
      <c r="S131" s="136">
        <f t="shared" si="39"/>
        <v>2</v>
      </c>
      <c r="T131" s="136">
        <f t="shared" si="40"/>
        <v>2</v>
      </c>
      <c r="U131" s="136">
        <f t="shared" si="40"/>
        <v>2</v>
      </c>
      <c r="V131" s="136">
        <f t="shared" si="40"/>
        <v>2</v>
      </c>
      <c r="W131" s="136">
        <f t="shared" si="40"/>
        <v>2</v>
      </c>
      <c r="X131" s="136">
        <f t="shared" si="40"/>
        <v>2</v>
      </c>
      <c r="Y131" s="136">
        <f t="shared" si="40"/>
        <v>2</v>
      </c>
      <c r="Z131" s="136">
        <f t="shared" si="40"/>
        <v>2</v>
      </c>
      <c r="AA131" s="136">
        <f t="shared" si="40"/>
        <v>2</v>
      </c>
      <c r="AB131" s="136">
        <f t="shared" si="40"/>
        <v>2</v>
      </c>
      <c r="AC131" s="136">
        <f t="shared" si="40"/>
        <v>2</v>
      </c>
      <c r="AD131" s="136">
        <f t="shared" si="40"/>
        <v>2</v>
      </c>
      <c r="AE131" s="136">
        <f t="shared" si="40"/>
        <v>2</v>
      </c>
      <c r="AF131" s="136">
        <f t="shared" si="40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8"/>
        <v>1.25</v>
      </c>
      <c r="C132" s="137">
        <v>1.25</v>
      </c>
      <c r="D132" s="136">
        <f t="shared" si="39"/>
        <v>1.25</v>
      </c>
      <c r="E132" s="136">
        <f t="shared" si="39"/>
        <v>1.25</v>
      </c>
      <c r="F132" s="136">
        <f t="shared" si="39"/>
        <v>1.25</v>
      </c>
      <c r="G132" s="136">
        <f t="shared" si="39"/>
        <v>1.25</v>
      </c>
      <c r="H132" s="136">
        <f t="shared" si="39"/>
        <v>1.25</v>
      </c>
      <c r="I132" s="136">
        <f t="shared" si="39"/>
        <v>1.25</v>
      </c>
      <c r="J132" s="136">
        <f t="shared" si="39"/>
        <v>1.25</v>
      </c>
      <c r="K132" s="136">
        <f t="shared" si="39"/>
        <v>1.25</v>
      </c>
      <c r="L132" s="136">
        <f t="shared" si="39"/>
        <v>1.25</v>
      </c>
      <c r="M132" s="136">
        <f t="shared" si="39"/>
        <v>1.25</v>
      </c>
      <c r="N132" s="136">
        <f t="shared" si="39"/>
        <v>1.25</v>
      </c>
      <c r="O132" s="136">
        <f t="shared" si="39"/>
        <v>1.25</v>
      </c>
      <c r="P132" s="136">
        <f t="shared" si="39"/>
        <v>1.25</v>
      </c>
      <c r="Q132" s="136">
        <f t="shared" si="39"/>
        <v>1.25</v>
      </c>
      <c r="R132" s="136">
        <f t="shared" si="39"/>
        <v>1.25</v>
      </c>
      <c r="S132" s="136">
        <f t="shared" si="39"/>
        <v>1.25</v>
      </c>
      <c r="T132" s="136">
        <f t="shared" si="40"/>
        <v>1.25</v>
      </c>
      <c r="U132" s="136">
        <f t="shared" si="40"/>
        <v>1.25</v>
      </c>
      <c r="V132" s="136">
        <f t="shared" si="40"/>
        <v>1.25</v>
      </c>
      <c r="W132" s="136">
        <f t="shared" si="40"/>
        <v>1.25</v>
      </c>
      <c r="X132" s="136">
        <f t="shared" si="40"/>
        <v>1.25</v>
      </c>
      <c r="Y132" s="136">
        <f t="shared" si="40"/>
        <v>1.25</v>
      </c>
      <c r="Z132" s="136">
        <f t="shared" si="40"/>
        <v>1.25</v>
      </c>
      <c r="AA132" s="136">
        <f t="shared" si="40"/>
        <v>1.25</v>
      </c>
      <c r="AB132" s="136">
        <f t="shared" si="40"/>
        <v>1.25</v>
      </c>
      <c r="AC132" s="136">
        <f t="shared" si="40"/>
        <v>1.25</v>
      </c>
      <c r="AD132" s="136">
        <f t="shared" si="40"/>
        <v>1.25</v>
      </c>
      <c r="AE132" s="136">
        <f t="shared" si="40"/>
        <v>1.25</v>
      </c>
      <c r="AF132" s="136">
        <f t="shared" si="40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8"/>
        <v>1.1499999999999999</v>
      </c>
      <c r="C133" s="137">
        <v>1.1499999999999999</v>
      </c>
      <c r="D133" s="136">
        <f t="shared" si="39"/>
        <v>1.1499999999999999</v>
      </c>
      <c r="E133" s="136">
        <f t="shared" si="39"/>
        <v>1.1499999999999999</v>
      </c>
      <c r="F133" s="136">
        <f t="shared" si="39"/>
        <v>1.1499999999999999</v>
      </c>
      <c r="G133" s="136">
        <f t="shared" si="39"/>
        <v>1.1499999999999999</v>
      </c>
      <c r="H133" s="136">
        <f t="shared" si="39"/>
        <v>1.1499999999999999</v>
      </c>
      <c r="I133" s="136">
        <f t="shared" si="39"/>
        <v>1.1499999999999999</v>
      </c>
      <c r="J133" s="136">
        <f t="shared" si="39"/>
        <v>1.1499999999999999</v>
      </c>
      <c r="K133" s="136">
        <f t="shared" si="39"/>
        <v>1.1499999999999999</v>
      </c>
      <c r="L133" s="136">
        <f t="shared" si="39"/>
        <v>1.1499999999999999</v>
      </c>
      <c r="M133" s="136">
        <f t="shared" si="39"/>
        <v>1.1499999999999999</v>
      </c>
      <c r="N133" s="136">
        <f t="shared" si="39"/>
        <v>1.1499999999999999</v>
      </c>
      <c r="O133" s="136">
        <f t="shared" si="39"/>
        <v>1.1499999999999999</v>
      </c>
      <c r="P133" s="136">
        <f t="shared" si="39"/>
        <v>1.1499999999999999</v>
      </c>
      <c r="Q133" s="136">
        <f t="shared" si="39"/>
        <v>1.1499999999999999</v>
      </c>
      <c r="R133" s="136">
        <f t="shared" si="39"/>
        <v>1.1499999999999999</v>
      </c>
      <c r="S133" s="136">
        <f t="shared" si="39"/>
        <v>1.1499999999999999</v>
      </c>
      <c r="T133" s="136">
        <f t="shared" si="40"/>
        <v>1.1499999999999999</v>
      </c>
      <c r="U133" s="136">
        <f t="shared" si="40"/>
        <v>1.1499999999999999</v>
      </c>
      <c r="V133" s="136">
        <f t="shared" si="40"/>
        <v>1.1499999999999999</v>
      </c>
      <c r="W133" s="136">
        <f t="shared" si="40"/>
        <v>1.1499999999999999</v>
      </c>
      <c r="X133" s="136">
        <f t="shared" si="40"/>
        <v>1.1499999999999999</v>
      </c>
      <c r="Y133" s="136">
        <f t="shared" si="40"/>
        <v>1.1499999999999999</v>
      </c>
      <c r="Z133" s="136">
        <f t="shared" si="40"/>
        <v>1.1499999999999999</v>
      </c>
      <c r="AA133" s="136">
        <f t="shared" si="40"/>
        <v>1.1499999999999999</v>
      </c>
      <c r="AB133" s="136">
        <f t="shared" si="40"/>
        <v>1.1499999999999999</v>
      </c>
      <c r="AC133" s="136">
        <f t="shared" si="40"/>
        <v>1.1499999999999999</v>
      </c>
      <c r="AD133" s="136">
        <f t="shared" si="40"/>
        <v>1.1499999999999999</v>
      </c>
      <c r="AE133" s="136">
        <f t="shared" si="40"/>
        <v>1.1499999999999999</v>
      </c>
      <c r="AF133" s="136">
        <f t="shared" si="40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8"/>
        <v>2.133</v>
      </c>
      <c r="C134" s="137">
        <v>2.133</v>
      </c>
      <c r="D134" s="136">
        <f t="shared" si="39"/>
        <v>2.133</v>
      </c>
      <c r="E134" s="136">
        <f t="shared" si="39"/>
        <v>2.133</v>
      </c>
      <c r="F134" s="136">
        <f t="shared" si="39"/>
        <v>2.133</v>
      </c>
      <c r="G134" s="136">
        <f t="shared" si="39"/>
        <v>2.133</v>
      </c>
      <c r="H134" s="136">
        <f t="shared" si="39"/>
        <v>2.133</v>
      </c>
      <c r="I134" s="136">
        <f t="shared" si="39"/>
        <v>2.133</v>
      </c>
      <c r="J134" s="136">
        <f t="shared" si="39"/>
        <v>2.133</v>
      </c>
      <c r="K134" s="136">
        <f t="shared" si="39"/>
        <v>2.133</v>
      </c>
      <c r="L134" s="136">
        <f t="shared" si="39"/>
        <v>2.133</v>
      </c>
      <c r="M134" s="136">
        <f t="shared" si="39"/>
        <v>2.133</v>
      </c>
      <c r="N134" s="136">
        <f t="shared" si="39"/>
        <v>2.133</v>
      </c>
      <c r="O134" s="136">
        <f t="shared" si="39"/>
        <v>2.133</v>
      </c>
      <c r="P134" s="136">
        <f t="shared" si="39"/>
        <v>2.133</v>
      </c>
      <c r="Q134" s="136">
        <f t="shared" si="39"/>
        <v>2.133</v>
      </c>
      <c r="R134" s="136">
        <f t="shared" si="39"/>
        <v>2.133</v>
      </c>
      <c r="S134" s="136">
        <f t="shared" si="39"/>
        <v>2.133</v>
      </c>
      <c r="T134" s="136">
        <f t="shared" si="40"/>
        <v>2.133</v>
      </c>
      <c r="U134" s="136">
        <f t="shared" si="40"/>
        <v>2.133</v>
      </c>
      <c r="V134" s="136">
        <f t="shared" si="40"/>
        <v>2.133</v>
      </c>
      <c r="W134" s="136">
        <f t="shared" si="40"/>
        <v>2.133</v>
      </c>
      <c r="X134" s="136">
        <f t="shared" si="40"/>
        <v>2.133</v>
      </c>
      <c r="Y134" s="136">
        <f t="shared" si="40"/>
        <v>2.133</v>
      </c>
      <c r="Z134" s="136">
        <f t="shared" si="40"/>
        <v>2.133</v>
      </c>
      <c r="AA134" s="136">
        <f t="shared" si="40"/>
        <v>2.133</v>
      </c>
      <c r="AB134" s="136">
        <f t="shared" si="40"/>
        <v>2.133</v>
      </c>
      <c r="AC134" s="136">
        <f t="shared" si="40"/>
        <v>2.133</v>
      </c>
      <c r="AD134" s="136">
        <f t="shared" si="40"/>
        <v>2.133</v>
      </c>
      <c r="AE134" s="136">
        <f t="shared" si="40"/>
        <v>2.133</v>
      </c>
      <c r="AF134" s="136">
        <f t="shared" si="40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8"/>
        <v>2.09</v>
      </c>
      <c r="C135" s="137">
        <v>2.09</v>
      </c>
      <c r="D135" s="136">
        <f t="shared" si="39"/>
        <v>2.09</v>
      </c>
      <c r="E135" s="136">
        <f t="shared" si="39"/>
        <v>2.09</v>
      </c>
      <c r="F135" s="136">
        <f t="shared" si="39"/>
        <v>2.09</v>
      </c>
      <c r="G135" s="136">
        <f t="shared" si="39"/>
        <v>2.09</v>
      </c>
      <c r="H135" s="136">
        <f t="shared" si="39"/>
        <v>2.09</v>
      </c>
      <c r="I135" s="136">
        <f t="shared" si="39"/>
        <v>2.09</v>
      </c>
      <c r="J135" s="136">
        <f t="shared" si="39"/>
        <v>2.09</v>
      </c>
      <c r="K135" s="136">
        <f t="shared" si="39"/>
        <v>2.09</v>
      </c>
      <c r="L135" s="136">
        <f t="shared" si="39"/>
        <v>2.09</v>
      </c>
      <c r="M135" s="136">
        <f t="shared" si="39"/>
        <v>2.09</v>
      </c>
      <c r="N135" s="136">
        <f t="shared" si="39"/>
        <v>2.09</v>
      </c>
      <c r="O135" s="136">
        <f t="shared" si="39"/>
        <v>2.09</v>
      </c>
      <c r="P135" s="136">
        <f t="shared" si="39"/>
        <v>2.09</v>
      </c>
      <c r="Q135" s="136">
        <f t="shared" si="39"/>
        <v>2.09</v>
      </c>
      <c r="R135" s="136">
        <f t="shared" si="39"/>
        <v>2.09</v>
      </c>
      <c r="S135" s="136">
        <f t="shared" si="39"/>
        <v>2.09</v>
      </c>
      <c r="T135" s="136">
        <f t="shared" si="40"/>
        <v>2.09</v>
      </c>
      <c r="U135" s="136">
        <f t="shared" si="40"/>
        <v>2.09</v>
      </c>
      <c r="V135" s="136">
        <f t="shared" si="40"/>
        <v>2.09</v>
      </c>
      <c r="W135" s="136">
        <f t="shared" si="40"/>
        <v>2.09</v>
      </c>
      <c r="X135" s="136">
        <f t="shared" si="40"/>
        <v>2.09</v>
      </c>
      <c r="Y135" s="136">
        <f t="shared" si="40"/>
        <v>2.09</v>
      </c>
      <c r="Z135" s="136">
        <f t="shared" si="40"/>
        <v>2.09</v>
      </c>
      <c r="AA135" s="136">
        <f t="shared" si="40"/>
        <v>2.09</v>
      </c>
      <c r="AB135" s="136">
        <f t="shared" si="40"/>
        <v>2.09</v>
      </c>
      <c r="AC135" s="136">
        <f t="shared" si="40"/>
        <v>2.09</v>
      </c>
      <c r="AD135" s="136">
        <f t="shared" si="40"/>
        <v>2.09</v>
      </c>
      <c r="AE135" s="136">
        <f t="shared" si="40"/>
        <v>2.09</v>
      </c>
      <c r="AF135" s="136">
        <f t="shared" si="40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8"/>
        <v>1.1399999999999999</v>
      </c>
      <c r="C136" s="137">
        <v>1.1399999999999999</v>
      </c>
      <c r="D136" s="136">
        <f t="shared" si="39"/>
        <v>1.1399999999999999</v>
      </c>
      <c r="E136" s="136">
        <f t="shared" si="39"/>
        <v>1.1399999999999999</v>
      </c>
      <c r="F136" s="136">
        <f t="shared" si="39"/>
        <v>1.1399999999999999</v>
      </c>
      <c r="G136" s="136">
        <f t="shared" si="39"/>
        <v>1.1399999999999999</v>
      </c>
      <c r="H136" s="136">
        <f t="shared" si="39"/>
        <v>1.1399999999999999</v>
      </c>
      <c r="I136" s="136">
        <f t="shared" si="39"/>
        <v>1.1399999999999999</v>
      </c>
      <c r="J136" s="136">
        <f t="shared" si="39"/>
        <v>1.1399999999999999</v>
      </c>
      <c r="K136" s="136">
        <f t="shared" si="39"/>
        <v>1.1399999999999999</v>
      </c>
      <c r="L136" s="136">
        <f t="shared" si="39"/>
        <v>1.1399999999999999</v>
      </c>
      <c r="M136" s="136">
        <f t="shared" si="39"/>
        <v>1.1399999999999999</v>
      </c>
      <c r="N136" s="136">
        <f t="shared" si="39"/>
        <v>1.1399999999999999</v>
      </c>
      <c r="O136" s="136">
        <f t="shared" si="39"/>
        <v>1.1399999999999999</v>
      </c>
      <c r="P136" s="136">
        <f t="shared" si="39"/>
        <v>1.1399999999999999</v>
      </c>
      <c r="Q136" s="136">
        <f t="shared" si="39"/>
        <v>1.1399999999999999</v>
      </c>
      <c r="R136" s="136">
        <f t="shared" si="39"/>
        <v>1.1399999999999999</v>
      </c>
      <c r="S136" s="136">
        <f t="shared" si="39"/>
        <v>1.1399999999999999</v>
      </c>
      <c r="T136" s="136">
        <f t="shared" si="40"/>
        <v>1.1399999999999999</v>
      </c>
      <c r="U136" s="136">
        <f t="shared" si="40"/>
        <v>1.1399999999999999</v>
      </c>
      <c r="V136" s="136">
        <f t="shared" si="40"/>
        <v>1.1399999999999999</v>
      </c>
      <c r="W136" s="136">
        <f t="shared" si="40"/>
        <v>1.1399999999999999</v>
      </c>
      <c r="X136" s="136">
        <f t="shared" si="40"/>
        <v>1.1399999999999999</v>
      </c>
      <c r="Y136" s="136">
        <f t="shared" si="40"/>
        <v>1.1399999999999999</v>
      </c>
      <c r="Z136" s="136">
        <f t="shared" si="40"/>
        <v>1.1399999999999999</v>
      </c>
      <c r="AA136" s="136">
        <f t="shared" si="40"/>
        <v>1.1399999999999999</v>
      </c>
      <c r="AB136" s="136">
        <f t="shared" si="40"/>
        <v>1.1399999999999999</v>
      </c>
      <c r="AC136" s="136">
        <f t="shared" si="40"/>
        <v>1.1399999999999999</v>
      </c>
      <c r="AD136" s="136">
        <f t="shared" si="40"/>
        <v>1.1399999999999999</v>
      </c>
      <c r="AE136" s="136">
        <f t="shared" si="40"/>
        <v>1.1399999999999999</v>
      </c>
      <c r="AF136" s="136">
        <f t="shared" si="40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8"/>
        <v>0.82</v>
      </c>
      <c r="C137" s="137">
        <v>0.82</v>
      </c>
      <c r="D137" s="136">
        <f t="shared" si="39"/>
        <v>0.82</v>
      </c>
      <c r="E137" s="136">
        <f t="shared" si="39"/>
        <v>0.82</v>
      </c>
      <c r="F137" s="136">
        <f t="shared" si="39"/>
        <v>0.82</v>
      </c>
      <c r="G137" s="136">
        <f t="shared" si="39"/>
        <v>0.82</v>
      </c>
      <c r="H137" s="136">
        <f t="shared" si="39"/>
        <v>0.82</v>
      </c>
      <c r="I137" s="136">
        <f t="shared" si="39"/>
        <v>0.82</v>
      </c>
      <c r="J137" s="136">
        <f t="shared" si="39"/>
        <v>0.82</v>
      </c>
      <c r="K137" s="136">
        <f t="shared" si="39"/>
        <v>0.82</v>
      </c>
      <c r="L137" s="136">
        <f t="shared" si="39"/>
        <v>0.82</v>
      </c>
      <c r="M137" s="136">
        <f t="shared" si="39"/>
        <v>0.82</v>
      </c>
      <c r="N137" s="136">
        <f t="shared" si="39"/>
        <v>0.82</v>
      </c>
      <c r="O137" s="136">
        <f t="shared" si="39"/>
        <v>0.82</v>
      </c>
      <c r="P137" s="136">
        <f t="shared" si="39"/>
        <v>0.82</v>
      </c>
      <c r="Q137" s="136">
        <f t="shared" si="39"/>
        <v>0.82</v>
      </c>
      <c r="R137" s="136">
        <f t="shared" si="39"/>
        <v>0.82</v>
      </c>
      <c r="S137" s="136">
        <f t="shared" si="39"/>
        <v>0.82</v>
      </c>
      <c r="T137" s="136">
        <f t="shared" si="40"/>
        <v>0.82</v>
      </c>
      <c r="U137" s="136">
        <f t="shared" si="40"/>
        <v>0.82</v>
      </c>
      <c r="V137" s="136">
        <f t="shared" si="40"/>
        <v>0.82</v>
      </c>
      <c r="W137" s="136">
        <f t="shared" si="40"/>
        <v>0.82</v>
      </c>
      <c r="X137" s="136">
        <f t="shared" si="40"/>
        <v>0.82</v>
      </c>
      <c r="Y137" s="136">
        <f t="shared" si="40"/>
        <v>0.82</v>
      </c>
      <c r="Z137" s="136">
        <f t="shared" si="40"/>
        <v>0.82</v>
      </c>
      <c r="AA137" s="136">
        <f t="shared" si="40"/>
        <v>0.82</v>
      </c>
      <c r="AB137" s="136">
        <f t="shared" si="40"/>
        <v>0.82</v>
      </c>
      <c r="AC137" s="136">
        <f t="shared" si="40"/>
        <v>0.82</v>
      </c>
      <c r="AD137" s="136">
        <f t="shared" si="40"/>
        <v>0.82</v>
      </c>
      <c r="AE137" s="136">
        <f t="shared" si="40"/>
        <v>0.82</v>
      </c>
      <c r="AF137" s="136">
        <f t="shared" si="40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41">AF139</f>
        <v>2</v>
      </c>
      <c r="C139" s="137">
        <v>2</v>
      </c>
      <c r="D139" s="136">
        <f t="shared" ref="D139:S145" si="42">C139</f>
        <v>2</v>
      </c>
      <c r="E139" s="136">
        <f t="shared" si="42"/>
        <v>2</v>
      </c>
      <c r="F139" s="136">
        <f t="shared" si="42"/>
        <v>2</v>
      </c>
      <c r="G139" s="136">
        <f t="shared" si="42"/>
        <v>2</v>
      </c>
      <c r="H139" s="136">
        <f t="shared" si="42"/>
        <v>2</v>
      </c>
      <c r="I139" s="136">
        <f t="shared" si="42"/>
        <v>2</v>
      </c>
      <c r="J139" s="136">
        <f t="shared" si="42"/>
        <v>2</v>
      </c>
      <c r="K139" s="136">
        <f t="shared" si="42"/>
        <v>2</v>
      </c>
      <c r="L139" s="136">
        <f t="shared" si="42"/>
        <v>2</v>
      </c>
      <c r="M139" s="136">
        <f t="shared" si="42"/>
        <v>2</v>
      </c>
      <c r="N139" s="136">
        <f t="shared" si="42"/>
        <v>2</v>
      </c>
      <c r="O139" s="136">
        <f t="shared" si="42"/>
        <v>2</v>
      </c>
      <c r="P139" s="136">
        <f t="shared" si="42"/>
        <v>2</v>
      </c>
      <c r="Q139" s="136">
        <f t="shared" si="42"/>
        <v>2</v>
      </c>
      <c r="R139" s="136">
        <f t="shared" si="42"/>
        <v>2</v>
      </c>
      <c r="S139" s="136">
        <f t="shared" si="42"/>
        <v>2</v>
      </c>
      <c r="T139" s="136">
        <f t="shared" ref="T139:AF145" si="43">S139</f>
        <v>2</v>
      </c>
      <c r="U139" s="136">
        <f t="shared" si="43"/>
        <v>2</v>
      </c>
      <c r="V139" s="136">
        <f t="shared" si="43"/>
        <v>2</v>
      </c>
      <c r="W139" s="136">
        <f t="shared" si="43"/>
        <v>2</v>
      </c>
      <c r="X139" s="136">
        <f t="shared" si="43"/>
        <v>2</v>
      </c>
      <c r="Y139" s="136">
        <f t="shared" si="43"/>
        <v>2</v>
      </c>
      <c r="Z139" s="136">
        <f t="shared" si="43"/>
        <v>2</v>
      </c>
      <c r="AA139" s="136">
        <f t="shared" si="43"/>
        <v>2</v>
      </c>
      <c r="AB139" s="136">
        <f t="shared" si="43"/>
        <v>2</v>
      </c>
      <c r="AC139" s="136">
        <f t="shared" si="43"/>
        <v>2</v>
      </c>
      <c r="AD139" s="136">
        <f t="shared" si="43"/>
        <v>2</v>
      </c>
      <c r="AE139" s="136">
        <f t="shared" si="43"/>
        <v>2</v>
      </c>
      <c r="AF139" s="136">
        <f t="shared" si="43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41"/>
        <v>5.61</v>
      </c>
      <c r="C140" s="137">
        <v>5.61</v>
      </c>
      <c r="D140" s="136">
        <f t="shared" si="42"/>
        <v>5.61</v>
      </c>
      <c r="E140" s="136">
        <f t="shared" si="42"/>
        <v>5.61</v>
      </c>
      <c r="F140" s="136">
        <f t="shared" si="42"/>
        <v>5.61</v>
      </c>
      <c r="G140" s="136">
        <f t="shared" si="42"/>
        <v>5.61</v>
      </c>
      <c r="H140" s="136">
        <f t="shared" si="42"/>
        <v>5.61</v>
      </c>
      <c r="I140" s="136">
        <f t="shared" si="42"/>
        <v>5.61</v>
      </c>
      <c r="J140" s="136">
        <f t="shared" si="42"/>
        <v>5.61</v>
      </c>
      <c r="K140" s="136">
        <f t="shared" si="42"/>
        <v>5.61</v>
      </c>
      <c r="L140" s="136">
        <f t="shared" si="42"/>
        <v>5.61</v>
      </c>
      <c r="M140" s="136">
        <f t="shared" si="42"/>
        <v>5.61</v>
      </c>
      <c r="N140" s="136">
        <f t="shared" si="42"/>
        <v>5.61</v>
      </c>
      <c r="O140" s="136">
        <f t="shared" si="42"/>
        <v>5.61</v>
      </c>
      <c r="P140" s="136">
        <f t="shared" si="42"/>
        <v>5.61</v>
      </c>
      <c r="Q140" s="136">
        <f t="shared" si="42"/>
        <v>5.61</v>
      </c>
      <c r="R140" s="136">
        <f t="shared" si="42"/>
        <v>5.61</v>
      </c>
      <c r="S140" s="136">
        <f t="shared" si="42"/>
        <v>5.61</v>
      </c>
      <c r="T140" s="136">
        <f t="shared" si="43"/>
        <v>5.61</v>
      </c>
      <c r="U140" s="136">
        <f t="shared" si="43"/>
        <v>5.61</v>
      </c>
      <c r="V140" s="136">
        <f t="shared" si="43"/>
        <v>5.61</v>
      </c>
      <c r="W140" s="136">
        <f t="shared" si="43"/>
        <v>5.61</v>
      </c>
      <c r="X140" s="136">
        <f t="shared" si="43"/>
        <v>5.61</v>
      </c>
      <c r="Y140" s="136">
        <f t="shared" si="43"/>
        <v>5.61</v>
      </c>
      <c r="Z140" s="136">
        <f t="shared" si="43"/>
        <v>5.61</v>
      </c>
      <c r="AA140" s="136">
        <f t="shared" si="43"/>
        <v>5.61</v>
      </c>
      <c r="AB140" s="136">
        <f t="shared" si="43"/>
        <v>5.61</v>
      </c>
      <c r="AC140" s="136">
        <f t="shared" si="43"/>
        <v>5.61</v>
      </c>
      <c r="AD140" s="136">
        <f t="shared" si="43"/>
        <v>5.61</v>
      </c>
      <c r="AE140" s="136">
        <f t="shared" si="43"/>
        <v>5.61</v>
      </c>
      <c r="AF140" s="136">
        <f t="shared" si="43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41"/>
        <v>1.25</v>
      </c>
      <c r="C141" s="137">
        <v>1.25</v>
      </c>
      <c r="D141" s="136">
        <f t="shared" si="42"/>
        <v>1.25</v>
      </c>
      <c r="E141" s="136">
        <f t="shared" si="42"/>
        <v>1.25</v>
      </c>
      <c r="F141" s="136">
        <f t="shared" si="42"/>
        <v>1.25</v>
      </c>
      <c r="G141" s="136">
        <f t="shared" si="42"/>
        <v>1.25</v>
      </c>
      <c r="H141" s="136">
        <f t="shared" si="42"/>
        <v>1.25</v>
      </c>
      <c r="I141" s="136">
        <f t="shared" si="42"/>
        <v>1.25</v>
      </c>
      <c r="J141" s="136">
        <f t="shared" si="42"/>
        <v>1.25</v>
      </c>
      <c r="K141" s="136">
        <f t="shared" si="42"/>
        <v>1.25</v>
      </c>
      <c r="L141" s="136">
        <f t="shared" si="42"/>
        <v>1.25</v>
      </c>
      <c r="M141" s="136">
        <f t="shared" si="42"/>
        <v>1.25</v>
      </c>
      <c r="N141" s="136">
        <f t="shared" si="42"/>
        <v>1.25</v>
      </c>
      <c r="O141" s="136">
        <f t="shared" si="42"/>
        <v>1.25</v>
      </c>
      <c r="P141" s="136">
        <f t="shared" si="42"/>
        <v>1.25</v>
      </c>
      <c r="Q141" s="136">
        <f t="shared" si="42"/>
        <v>1.25</v>
      </c>
      <c r="R141" s="136">
        <f t="shared" si="42"/>
        <v>1.25</v>
      </c>
      <c r="S141" s="136">
        <f t="shared" si="42"/>
        <v>1.25</v>
      </c>
      <c r="T141" s="136">
        <f t="shared" si="43"/>
        <v>1.25</v>
      </c>
      <c r="U141" s="136">
        <f t="shared" si="43"/>
        <v>1.25</v>
      </c>
      <c r="V141" s="136">
        <f t="shared" si="43"/>
        <v>1.25</v>
      </c>
      <c r="W141" s="136">
        <f t="shared" si="43"/>
        <v>1.25</v>
      </c>
      <c r="X141" s="136">
        <f t="shared" si="43"/>
        <v>1.25</v>
      </c>
      <c r="Y141" s="136">
        <f t="shared" si="43"/>
        <v>1.25</v>
      </c>
      <c r="Z141" s="136">
        <f t="shared" si="43"/>
        <v>1.25</v>
      </c>
      <c r="AA141" s="136">
        <f t="shared" si="43"/>
        <v>1.25</v>
      </c>
      <c r="AB141" s="136">
        <f t="shared" si="43"/>
        <v>1.25</v>
      </c>
      <c r="AC141" s="136">
        <f t="shared" si="43"/>
        <v>1.25</v>
      </c>
      <c r="AD141" s="136">
        <f t="shared" si="43"/>
        <v>1.25</v>
      </c>
      <c r="AE141" s="136">
        <f t="shared" si="43"/>
        <v>1.25</v>
      </c>
      <c r="AF141" s="136">
        <f t="shared" si="43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41"/>
        <v>1.25</v>
      </c>
      <c r="C142" s="137">
        <v>1.25</v>
      </c>
      <c r="D142" s="136">
        <f t="shared" si="42"/>
        <v>1.25</v>
      </c>
      <c r="E142" s="136">
        <f t="shared" si="42"/>
        <v>1.25</v>
      </c>
      <c r="F142" s="136">
        <f t="shared" si="42"/>
        <v>1.25</v>
      </c>
      <c r="G142" s="136">
        <f t="shared" si="42"/>
        <v>1.25</v>
      </c>
      <c r="H142" s="136">
        <f t="shared" si="42"/>
        <v>1.25</v>
      </c>
      <c r="I142" s="136">
        <f t="shared" si="42"/>
        <v>1.25</v>
      </c>
      <c r="J142" s="136">
        <f t="shared" si="42"/>
        <v>1.25</v>
      </c>
      <c r="K142" s="136">
        <f t="shared" si="42"/>
        <v>1.25</v>
      </c>
      <c r="L142" s="136">
        <f t="shared" si="42"/>
        <v>1.25</v>
      </c>
      <c r="M142" s="136">
        <f t="shared" si="42"/>
        <v>1.25</v>
      </c>
      <c r="N142" s="136">
        <f t="shared" si="42"/>
        <v>1.25</v>
      </c>
      <c r="O142" s="136">
        <f t="shared" si="42"/>
        <v>1.25</v>
      </c>
      <c r="P142" s="136">
        <f t="shared" si="42"/>
        <v>1.25</v>
      </c>
      <c r="Q142" s="136">
        <f t="shared" si="42"/>
        <v>1.25</v>
      </c>
      <c r="R142" s="136">
        <f t="shared" si="42"/>
        <v>1.25</v>
      </c>
      <c r="S142" s="136">
        <f t="shared" si="42"/>
        <v>1.25</v>
      </c>
      <c r="T142" s="136">
        <f t="shared" si="43"/>
        <v>1.25</v>
      </c>
      <c r="U142" s="136">
        <f t="shared" si="43"/>
        <v>1.25</v>
      </c>
      <c r="V142" s="136">
        <f t="shared" si="43"/>
        <v>1.25</v>
      </c>
      <c r="W142" s="136">
        <f t="shared" si="43"/>
        <v>1.25</v>
      </c>
      <c r="X142" s="136">
        <f t="shared" si="43"/>
        <v>1.25</v>
      </c>
      <c r="Y142" s="136">
        <f t="shared" si="43"/>
        <v>1.25</v>
      </c>
      <c r="Z142" s="136">
        <f t="shared" si="43"/>
        <v>1.25</v>
      </c>
      <c r="AA142" s="136">
        <f t="shared" si="43"/>
        <v>1.25</v>
      </c>
      <c r="AB142" s="136">
        <f t="shared" si="43"/>
        <v>1.25</v>
      </c>
      <c r="AC142" s="136">
        <f t="shared" si="43"/>
        <v>1.25</v>
      </c>
      <c r="AD142" s="136">
        <f t="shared" si="43"/>
        <v>1.25</v>
      </c>
      <c r="AE142" s="136">
        <f t="shared" si="43"/>
        <v>1.25</v>
      </c>
      <c r="AF142" s="136">
        <f t="shared" si="43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41"/>
        <v>1.46</v>
      </c>
      <c r="C143" s="137">
        <v>1.46</v>
      </c>
      <c r="D143" s="136">
        <f t="shared" si="42"/>
        <v>1.46</v>
      </c>
      <c r="E143" s="136">
        <f t="shared" si="42"/>
        <v>1.46</v>
      </c>
      <c r="F143" s="136">
        <f t="shared" si="42"/>
        <v>1.46</v>
      </c>
      <c r="G143" s="136">
        <f t="shared" si="42"/>
        <v>1.46</v>
      </c>
      <c r="H143" s="136">
        <f t="shared" si="42"/>
        <v>1.46</v>
      </c>
      <c r="I143" s="136">
        <f t="shared" si="42"/>
        <v>1.46</v>
      </c>
      <c r="J143" s="136">
        <f t="shared" si="42"/>
        <v>1.46</v>
      </c>
      <c r="K143" s="136">
        <f t="shared" si="42"/>
        <v>1.46</v>
      </c>
      <c r="L143" s="136">
        <f t="shared" si="42"/>
        <v>1.46</v>
      </c>
      <c r="M143" s="136">
        <f t="shared" si="42"/>
        <v>1.46</v>
      </c>
      <c r="N143" s="136">
        <f t="shared" si="42"/>
        <v>1.46</v>
      </c>
      <c r="O143" s="136">
        <f t="shared" si="42"/>
        <v>1.46</v>
      </c>
      <c r="P143" s="136">
        <f t="shared" si="42"/>
        <v>1.46</v>
      </c>
      <c r="Q143" s="136">
        <f t="shared" si="42"/>
        <v>1.46</v>
      </c>
      <c r="R143" s="136">
        <f t="shared" si="42"/>
        <v>1.46</v>
      </c>
      <c r="S143" s="136">
        <f t="shared" si="42"/>
        <v>1.46</v>
      </c>
      <c r="T143" s="136">
        <f t="shared" si="43"/>
        <v>1.46</v>
      </c>
      <c r="U143" s="136">
        <f t="shared" si="43"/>
        <v>1.46</v>
      </c>
      <c r="V143" s="136">
        <f t="shared" si="43"/>
        <v>1.46</v>
      </c>
      <c r="W143" s="136">
        <f t="shared" si="43"/>
        <v>1.46</v>
      </c>
      <c r="X143" s="136">
        <f t="shared" si="43"/>
        <v>1.46</v>
      </c>
      <c r="Y143" s="136">
        <f t="shared" si="43"/>
        <v>1.46</v>
      </c>
      <c r="Z143" s="136">
        <f t="shared" si="43"/>
        <v>1.46</v>
      </c>
      <c r="AA143" s="136">
        <f t="shared" si="43"/>
        <v>1.46</v>
      </c>
      <c r="AB143" s="136">
        <f t="shared" si="43"/>
        <v>1.46</v>
      </c>
      <c r="AC143" s="136">
        <f t="shared" si="43"/>
        <v>1.46</v>
      </c>
      <c r="AD143" s="136">
        <f t="shared" si="43"/>
        <v>1.46</v>
      </c>
      <c r="AE143" s="136">
        <f t="shared" si="43"/>
        <v>1.46</v>
      </c>
      <c r="AF143" s="136">
        <f t="shared" si="43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41"/>
        <v>3</v>
      </c>
      <c r="C144" s="137">
        <v>3</v>
      </c>
      <c r="D144" s="136">
        <f t="shared" si="42"/>
        <v>3</v>
      </c>
      <c r="E144" s="136">
        <f t="shared" si="42"/>
        <v>3</v>
      </c>
      <c r="F144" s="136">
        <f t="shared" si="42"/>
        <v>3</v>
      </c>
      <c r="G144" s="136">
        <f t="shared" si="42"/>
        <v>3</v>
      </c>
      <c r="H144" s="136">
        <f t="shared" si="42"/>
        <v>3</v>
      </c>
      <c r="I144" s="136">
        <f t="shared" si="42"/>
        <v>3</v>
      </c>
      <c r="J144" s="136">
        <f t="shared" si="42"/>
        <v>3</v>
      </c>
      <c r="K144" s="136">
        <f t="shared" si="42"/>
        <v>3</v>
      </c>
      <c r="L144" s="136">
        <f t="shared" si="42"/>
        <v>3</v>
      </c>
      <c r="M144" s="136">
        <f t="shared" si="42"/>
        <v>3</v>
      </c>
      <c r="N144" s="136">
        <f t="shared" si="42"/>
        <v>3</v>
      </c>
      <c r="O144" s="136">
        <f t="shared" si="42"/>
        <v>3</v>
      </c>
      <c r="P144" s="136">
        <f t="shared" si="42"/>
        <v>3</v>
      </c>
      <c r="Q144" s="136">
        <f t="shared" si="42"/>
        <v>3</v>
      </c>
      <c r="R144" s="136">
        <f t="shared" si="42"/>
        <v>3</v>
      </c>
      <c r="S144" s="136">
        <f t="shared" si="42"/>
        <v>3</v>
      </c>
      <c r="T144" s="136">
        <f t="shared" si="43"/>
        <v>3</v>
      </c>
      <c r="U144" s="136">
        <f t="shared" si="43"/>
        <v>3</v>
      </c>
      <c r="V144" s="136">
        <f t="shared" si="43"/>
        <v>3</v>
      </c>
      <c r="W144" s="136">
        <f t="shared" si="43"/>
        <v>3</v>
      </c>
      <c r="X144" s="136">
        <f t="shared" si="43"/>
        <v>3</v>
      </c>
      <c r="Y144" s="136">
        <f t="shared" si="43"/>
        <v>3</v>
      </c>
      <c r="Z144" s="136">
        <f t="shared" si="43"/>
        <v>3</v>
      </c>
      <c r="AA144" s="136">
        <f t="shared" si="43"/>
        <v>3</v>
      </c>
      <c r="AB144" s="136">
        <f t="shared" si="43"/>
        <v>3</v>
      </c>
      <c r="AC144" s="136">
        <f t="shared" si="43"/>
        <v>3</v>
      </c>
      <c r="AD144" s="136">
        <f t="shared" si="43"/>
        <v>3</v>
      </c>
      <c r="AE144" s="136">
        <f t="shared" si="43"/>
        <v>3</v>
      </c>
      <c r="AF144" s="136">
        <f t="shared" si="43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41"/>
        <v>3.3</v>
      </c>
      <c r="C145" s="137">
        <v>3.3</v>
      </c>
      <c r="D145" s="136">
        <f t="shared" si="42"/>
        <v>3.3</v>
      </c>
      <c r="E145" s="136">
        <f t="shared" si="42"/>
        <v>3.3</v>
      </c>
      <c r="F145" s="136">
        <f t="shared" si="42"/>
        <v>3.3</v>
      </c>
      <c r="G145" s="136">
        <f t="shared" si="42"/>
        <v>3.3</v>
      </c>
      <c r="H145" s="136">
        <f t="shared" si="42"/>
        <v>3.3</v>
      </c>
      <c r="I145" s="136">
        <f t="shared" si="42"/>
        <v>3.3</v>
      </c>
      <c r="J145" s="136">
        <f t="shared" si="42"/>
        <v>3.3</v>
      </c>
      <c r="K145" s="136">
        <f t="shared" si="42"/>
        <v>3.3</v>
      </c>
      <c r="L145" s="136">
        <f t="shared" si="42"/>
        <v>3.3</v>
      </c>
      <c r="M145" s="136">
        <f t="shared" si="42"/>
        <v>3.3</v>
      </c>
      <c r="N145" s="136">
        <f t="shared" si="42"/>
        <v>3.3</v>
      </c>
      <c r="O145" s="136">
        <f t="shared" si="42"/>
        <v>3.3</v>
      </c>
      <c r="P145" s="136">
        <f t="shared" si="42"/>
        <v>3.3</v>
      </c>
      <c r="Q145" s="136">
        <f t="shared" si="42"/>
        <v>3.3</v>
      </c>
      <c r="R145" s="136">
        <f t="shared" si="42"/>
        <v>3.3</v>
      </c>
      <c r="S145" s="136">
        <f t="shared" si="42"/>
        <v>3.3</v>
      </c>
      <c r="T145" s="136">
        <f t="shared" si="43"/>
        <v>3.3</v>
      </c>
      <c r="U145" s="136">
        <f t="shared" si="43"/>
        <v>3.3</v>
      </c>
      <c r="V145" s="136">
        <f t="shared" si="43"/>
        <v>3.3</v>
      </c>
      <c r="W145" s="136">
        <f t="shared" si="43"/>
        <v>3.3</v>
      </c>
      <c r="X145" s="136">
        <f t="shared" si="43"/>
        <v>3.3</v>
      </c>
      <c r="Y145" s="136">
        <f t="shared" si="43"/>
        <v>3.3</v>
      </c>
      <c r="Z145" s="136">
        <f t="shared" si="43"/>
        <v>3.3</v>
      </c>
      <c r="AA145" s="136">
        <f t="shared" si="43"/>
        <v>3.3</v>
      </c>
      <c r="AB145" s="136">
        <f t="shared" si="43"/>
        <v>3.3</v>
      </c>
      <c r="AC145" s="136">
        <f t="shared" si="43"/>
        <v>3.3</v>
      </c>
      <c r="AD145" s="136">
        <f t="shared" si="43"/>
        <v>3.3</v>
      </c>
      <c r="AE145" s="136">
        <f t="shared" si="43"/>
        <v>3.3</v>
      </c>
      <c r="AF145" s="136">
        <f t="shared" si="43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4">C147</f>
        <v>1.76</v>
      </c>
      <c r="E147" s="136">
        <f t="shared" si="44"/>
        <v>1.76</v>
      </c>
      <c r="F147" s="136">
        <f t="shared" si="44"/>
        <v>1.76</v>
      </c>
      <c r="G147" s="136">
        <f t="shared" si="44"/>
        <v>1.76</v>
      </c>
      <c r="H147" s="136">
        <f t="shared" si="44"/>
        <v>1.76</v>
      </c>
      <c r="I147" s="136">
        <f t="shared" si="44"/>
        <v>1.76</v>
      </c>
      <c r="J147" s="136">
        <f t="shared" si="44"/>
        <v>1.76</v>
      </c>
      <c r="K147" s="136">
        <f t="shared" si="44"/>
        <v>1.76</v>
      </c>
      <c r="L147" s="136">
        <f t="shared" si="44"/>
        <v>1.76</v>
      </c>
      <c r="M147" s="136">
        <f t="shared" si="44"/>
        <v>1.76</v>
      </c>
      <c r="N147" s="136">
        <f t="shared" si="44"/>
        <v>1.76</v>
      </c>
      <c r="O147" s="136">
        <f t="shared" si="44"/>
        <v>1.76</v>
      </c>
      <c r="P147" s="136">
        <f t="shared" si="44"/>
        <v>1.76</v>
      </c>
      <c r="Q147" s="136">
        <f t="shared" si="44"/>
        <v>1.76</v>
      </c>
      <c r="R147" s="136">
        <f t="shared" si="44"/>
        <v>1.76</v>
      </c>
      <c r="S147" s="136">
        <f t="shared" si="44"/>
        <v>1.76</v>
      </c>
      <c r="T147" s="136">
        <f t="shared" ref="T147:AF148" si="45">S147</f>
        <v>1.76</v>
      </c>
      <c r="U147" s="136">
        <f t="shared" si="45"/>
        <v>1.76</v>
      </c>
      <c r="V147" s="136">
        <f t="shared" si="45"/>
        <v>1.76</v>
      </c>
      <c r="W147" s="136">
        <f t="shared" si="45"/>
        <v>1.76</v>
      </c>
      <c r="X147" s="136">
        <f t="shared" si="45"/>
        <v>1.76</v>
      </c>
      <c r="Y147" s="136">
        <f t="shared" si="45"/>
        <v>1.76</v>
      </c>
      <c r="Z147" s="136">
        <f t="shared" si="45"/>
        <v>1.76</v>
      </c>
      <c r="AA147" s="136">
        <f t="shared" si="45"/>
        <v>1.76</v>
      </c>
      <c r="AB147" s="136">
        <f t="shared" si="45"/>
        <v>1.76</v>
      </c>
      <c r="AC147" s="136">
        <f t="shared" si="45"/>
        <v>1.76</v>
      </c>
      <c r="AD147" s="136">
        <f t="shared" si="45"/>
        <v>1.76</v>
      </c>
      <c r="AE147" s="136">
        <f t="shared" si="45"/>
        <v>1.76</v>
      </c>
      <c r="AF147" s="136">
        <f t="shared" si="45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4"/>
        <v>0</v>
      </c>
      <c r="E148" s="136">
        <f t="shared" si="44"/>
        <v>0</v>
      </c>
      <c r="F148" s="136">
        <f t="shared" si="44"/>
        <v>0</v>
      </c>
      <c r="G148" s="136">
        <f t="shared" si="44"/>
        <v>0</v>
      </c>
      <c r="H148" s="136">
        <f t="shared" si="44"/>
        <v>0</v>
      </c>
      <c r="I148" s="136">
        <f t="shared" si="44"/>
        <v>0</v>
      </c>
      <c r="J148" s="136">
        <f t="shared" si="44"/>
        <v>0</v>
      </c>
      <c r="K148" s="136">
        <f t="shared" si="44"/>
        <v>0</v>
      </c>
      <c r="L148" s="136">
        <f t="shared" si="44"/>
        <v>0</v>
      </c>
      <c r="M148" s="136">
        <f t="shared" si="44"/>
        <v>0</v>
      </c>
      <c r="N148" s="136">
        <f t="shared" si="44"/>
        <v>0</v>
      </c>
      <c r="O148" s="136">
        <f t="shared" si="44"/>
        <v>0</v>
      </c>
      <c r="P148" s="136">
        <f t="shared" si="44"/>
        <v>0</v>
      </c>
      <c r="Q148" s="136">
        <f t="shared" si="44"/>
        <v>0</v>
      </c>
      <c r="R148" s="136">
        <f t="shared" si="44"/>
        <v>0</v>
      </c>
      <c r="S148" s="136">
        <f t="shared" si="44"/>
        <v>0</v>
      </c>
      <c r="T148" s="136">
        <f t="shared" si="45"/>
        <v>0</v>
      </c>
      <c r="U148" s="136">
        <f t="shared" si="45"/>
        <v>0</v>
      </c>
      <c r="V148" s="136">
        <f t="shared" si="45"/>
        <v>0</v>
      </c>
      <c r="W148" s="136">
        <f t="shared" si="45"/>
        <v>0</v>
      </c>
      <c r="X148" s="136">
        <f t="shared" si="45"/>
        <v>0</v>
      </c>
      <c r="Y148" s="136">
        <f t="shared" si="45"/>
        <v>0</v>
      </c>
      <c r="Z148" s="136">
        <f t="shared" si="45"/>
        <v>0</v>
      </c>
      <c r="AA148" s="136">
        <f t="shared" si="45"/>
        <v>0</v>
      </c>
      <c r="AB148" s="136">
        <f t="shared" si="45"/>
        <v>0</v>
      </c>
      <c r="AC148" s="136">
        <f t="shared" si="45"/>
        <v>0</v>
      </c>
      <c r="AD148" s="136">
        <f t="shared" si="45"/>
        <v>0</v>
      </c>
      <c r="AE148" s="136">
        <f t="shared" si="45"/>
        <v>0</v>
      </c>
      <c r="AF148" s="136">
        <f t="shared" si="45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6">C150</f>
        <v>0.1</v>
      </c>
      <c r="E150" s="136">
        <f t="shared" si="46"/>
        <v>0.1</v>
      </c>
      <c r="F150" s="136">
        <f t="shared" si="46"/>
        <v>0.1</v>
      </c>
      <c r="G150" s="136">
        <f t="shared" si="46"/>
        <v>0.1</v>
      </c>
      <c r="H150" s="136">
        <f t="shared" si="46"/>
        <v>0.1</v>
      </c>
      <c r="I150" s="136">
        <f t="shared" si="46"/>
        <v>0.1</v>
      </c>
      <c r="J150" s="136">
        <f t="shared" si="46"/>
        <v>0.1</v>
      </c>
      <c r="K150" s="136">
        <f t="shared" si="46"/>
        <v>0.1</v>
      </c>
      <c r="L150" s="136">
        <f t="shared" si="46"/>
        <v>0.1</v>
      </c>
      <c r="M150" s="136">
        <f t="shared" si="46"/>
        <v>0.1</v>
      </c>
      <c r="N150" s="136">
        <f t="shared" si="46"/>
        <v>0.1</v>
      </c>
      <c r="O150" s="136">
        <f t="shared" si="46"/>
        <v>0.1</v>
      </c>
      <c r="P150" s="136">
        <f t="shared" si="46"/>
        <v>0.1</v>
      </c>
      <c r="Q150" s="136">
        <f t="shared" si="46"/>
        <v>0.1</v>
      </c>
      <c r="R150" s="136">
        <f t="shared" si="46"/>
        <v>0.1</v>
      </c>
      <c r="S150" s="136">
        <f t="shared" si="46"/>
        <v>0.1</v>
      </c>
      <c r="T150" s="136">
        <f t="shared" ref="T150:AF153" si="47">S150</f>
        <v>0.1</v>
      </c>
      <c r="U150" s="136">
        <f t="shared" si="47"/>
        <v>0.1</v>
      </c>
      <c r="V150" s="136">
        <f t="shared" si="47"/>
        <v>0.1</v>
      </c>
      <c r="W150" s="136">
        <f t="shared" si="47"/>
        <v>0.1</v>
      </c>
      <c r="X150" s="136">
        <f t="shared" si="47"/>
        <v>0.1</v>
      </c>
      <c r="Y150" s="136">
        <f t="shared" si="47"/>
        <v>0.1</v>
      </c>
      <c r="Z150" s="136">
        <f t="shared" si="47"/>
        <v>0.1</v>
      </c>
      <c r="AA150" s="136">
        <f t="shared" si="47"/>
        <v>0.1</v>
      </c>
      <c r="AB150" s="136">
        <f t="shared" si="47"/>
        <v>0.1</v>
      </c>
      <c r="AC150" s="136">
        <f t="shared" si="47"/>
        <v>0.1</v>
      </c>
      <c r="AD150" s="136">
        <f t="shared" si="47"/>
        <v>0.1</v>
      </c>
      <c r="AE150" s="136">
        <f t="shared" si="47"/>
        <v>0.1</v>
      </c>
      <c r="AF150" s="136">
        <f t="shared" si="47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6"/>
        <v>2.0499999999999998</v>
      </c>
      <c r="E151" s="136">
        <f t="shared" si="46"/>
        <v>2.0499999999999998</v>
      </c>
      <c r="F151" s="136">
        <f t="shared" si="46"/>
        <v>2.0499999999999998</v>
      </c>
      <c r="G151" s="136">
        <f t="shared" si="46"/>
        <v>2.0499999999999998</v>
      </c>
      <c r="H151" s="136">
        <f t="shared" si="46"/>
        <v>2.0499999999999998</v>
      </c>
      <c r="I151" s="136">
        <f t="shared" si="46"/>
        <v>2.0499999999999998</v>
      </c>
      <c r="J151" s="136">
        <f t="shared" si="46"/>
        <v>2.0499999999999998</v>
      </c>
      <c r="K151" s="136">
        <f t="shared" si="46"/>
        <v>2.0499999999999998</v>
      </c>
      <c r="L151" s="136">
        <f t="shared" si="46"/>
        <v>2.0499999999999998</v>
      </c>
      <c r="M151" s="136">
        <f t="shared" si="46"/>
        <v>2.0499999999999998</v>
      </c>
      <c r="N151" s="136">
        <f t="shared" si="46"/>
        <v>2.0499999999999998</v>
      </c>
      <c r="O151" s="136">
        <f t="shared" si="46"/>
        <v>2.0499999999999998</v>
      </c>
      <c r="P151" s="136">
        <f t="shared" si="46"/>
        <v>2.0499999999999998</v>
      </c>
      <c r="Q151" s="136">
        <f t="shared" si="46"/>
        <v>2.0499999999999998</v>
      </c>
      <c r="R151" s="136">
        <f t="shared" si="46"/>
        <v>2.0499999999999998</v>
      </c>
      <c r="S151" s="136">
        <f t="shared" si="46"/>
        <v>2.0499999999999998</v>
      </c>
      <c r="T151" s="136">
        <f t="shared" si="47"/>
        <v>2.0499999999999998</v>
      </c>
      <c r="U151" s="136">
        <f t="shared" si="47"/>
        <v>2.0499999999999998</v>
      </c>
      <c r="V151" s="136">
        <f t="shared" si="47"/>
        <v>2.0499999999999998</v>
      </c>
      <c r="W151" s="136">
        <f t="shared" si="47"/>
        <v>2.0499999999999998</v>
      </c>
      <c r="X151" s="136">
        <f t="shared" si="47"/>
        <v>2.0499999999999998</v>
      </c>
      <c r="Y151" s="136">
        <f t="shared" si="47"/>
        <v>2.0499999999999998</v>
      </c>
      <c r="Z151" s="136">
        <f t="shared" si="47"/>
        <v>2.0499999999999998</v>
      </c>
      <c r="AA151" s="136">
        <f t="shared" si="47"/>
        <v>2.0499999999999998</v>
      </c>
      <c r="AB151" s="136">
        <f t="shared" si="47"/>
        <v>2.0499999999999998</v>
      </c>
      <c r="AC151" s="136">
        <f t="shared" si="47"/>
        <v>2.0499999999999998</v>
      </c>
      <c r="AD151" s="136">
        <f t="shared" si="47"/>
        <v>2.0499999999999998</v>
      </c>
      <c r="AE151" s="136">
        <f t="shared" si="47"/>
        <v>2.0499999999999998</v>
      </c>
      <c r="AF151" s="136">
        <f t="shared" si="47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6"/>
        <v>2.7</v>
      </c>
      <c r="E152" s="136">
        <f t="shared" si="46"/>
        <v>2.7</v>
      </c>
      <c r="F152" s="136">
        <f t="shared" si="46"/>
        <v>2.7</v>
      </c>
      <c r="G152" s="136">
        <f t="shared" si="46"/>
        <v>2.7</v>
      </c>
      <c r="H152" s="136">
        <f t="shared" si="46"/>
        <v>2.7</v>
      </c>
      <c r="I152" s="136">
        <f t="shared" si="46"/>
        <v>2.7</v>
      </c>
      <c r="J152" s="136">
        <f t="shared" si="46"/>
        <v>2.7</v>
      </c>
      <c r="K152" s="136">
        <f t="shared" si="46"/>
        <v>2.7</v>
      </c>
      <c r="L152" s="136">
        <f t="shared" si="46"/>
        <v>2.7</v>
      </c>
      <c r="M152" s="136">
        <f t="shared" si="46"/>
        <v>2.7</v>
      </c>
      <c r="N152" s="136">
        <f t="shared" si="46"/>
        <v>2.7</v>
      </c>
      <c r="O152" s="136">
        <f t="shared" si="46"/>
        <v>2.7</v>
      </c>
      <c r="P152" s="136">
        <f t="shared" si="46"/>
        <v>2.7</v>
      </c>
      <c r="Q152" s="136">
        <f t="shared" si="46"/>
        <v>2.7</v>
      </c>
      <c r="R152" s="136">
        <f t="shared" si="46"/>
        <v>2.7</v>
      </c>
      <c r="S152" s="136">
        <f t="shared" si="46"/>
        <v>2.7</v>
      </c>
      <c r="T152" s="136">
        <f t="shared" si="47"/>
        <v>2.7</v>
      </c>
      <c r="U152" s="136">
        <f t="shared" si="47"/>
        <v>2.7</v>
      </c>
      <c r="V152" s="136">
        <f t="shared" si="47"/>
        <v>2.7</v>
      </c>
      <c r="W152" s="136">
        <f t="shared" si="47"/>
        <v>2.7</v>
      </c>
      <c r="X152" s="136">
        <f t="shared" si="47"/>
        <v>2.7</v>
      </c>
      <c r="Y152" s="136">
        <f t="shared" si="47"/>
        <v>2.7</v>
      </c>
      <c r="Z152" s="136">
        <f t="shared" si="47"/>
        <v>2.7</v>
      </c>
      <c r="AA152" s="136">
        <f t="shared" si="47"/>
        <v>2.7</v>
      </c>
      <c r="AB152" s="136">
        <f t="shared" si="47"/>
        <v>2.7</v>
      </c>
      <c r="AC152" s="136">
        <f t="shared" si="47"/>
        <v>2.7</v>
      </c>
      <c r="AD152" s="136">
        <f t="shared" si="47"/>
        <v>2.7</v>
      </c>
      <c r="AE152" s="136">
        <f t="shared" si="47"/>
        <v>2.7</v>
      </c>
      <c r="AF152" s="136">
        <f t="shared" si="47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6"/>
        <v>2.15</v>
      </c>
      <c r="E153" s="136">
        <f t="shared" si="46"/>
        <v>2.15</v>
      </c>
      <c r="F153" s="136">
        <f t="shared" si="46"/>
        <v>2.15</v>
      </c>
      <c r="G153" s="136">
        <f t="shared" si="46"/>
        <v>2.15</v>
      </c>
      <c r="H153" s="136">
        <f t="shared" si="46"/>
        <v>2.15</v>
      </c>
      <c r="I153" s="136">
        <f t="shared" si="46"/>
        <v>2.15</v>
      </c>
      <c r="J153" s="136">
        <f t="shared" si="46"/>
        <v>2.15</v>
      </c>
      <c r="K153" s="136">
        <f t="shared" si="46"/>
        <v>2.15</v>
      </c>
      <c r="L153" s="136">
        <f t="shared" si="46"/>
        <v>2.15</v>
      </c>
      <c r="M153" s="136">
        <f t="shared" si="46"/>
        <v>2.15</v>
      </c>
      <c r="N153" s="136">
        <f t="shared" si="46"/>
        <v>2.15</v>
      </c>
      <c r="O153" s="136">
        <f t="shared" si="46"/>
        <v>2.15</v>
      </c>
      <c r="P153" s="136">
        <f t="shared" si="46"/>
        <v>2.15</v>
      </c>
      <c r="Q153" s="136">
        <f t="shared" si="46"/>
        <v>2.15</v>
      </c>
      <c r="R153" s="136">
        <f t="shared" si="46"/>
        <v>2.15</v>
      </c>
      <c r="S153" s="136">
        <f t="shared" si="46"/>
        <v>2.15</v>
      </c>
      <c r="T153" s="136">
        <f t="shared" si="47"/>
        <v>2.15</v>
      </c>
      <c r="U153" s="136">
        <f t="shared" si="47"/>
        <v>2.15</v>
      </c>
      <c r="V153" s="136">
        <f t="shared" si="47"/>
        <v>2.15</v>
      </c>
      <c r="W153" s="136">
        <f t="shared" si="47"/>
        <v>2.15</v>
      </c>
      <c r="X153" s="136">
        <f t="shared" si="47"/>
        <v>2.15</v>
      </c>
      <c r="Y153" s="136">
        <f t="shared" si="47"/>
        <v>2.15</v>
      </c>
      <c r="Z153" s="136">
        <f t="shared" si="47"/>
        <v>2.15</v>
      </c>
      <c r="AA153" s="136">
        <f t="shared" si="47"/>
        <v>2.15</v>
      </c>
      <c r="AB153" s="136">
        <f t="shared" si="47"/>
        <v>2.15</v>
      </c>
      <c r="AC153" s="136">
        <f t="shared" si="47"/>
        <v>2.15</v>
      </c>
      <c r="AD153" s="136">
        <f t="shared" si="47"/>
        <v>2.15</v>
      </c>
      <c r="AE153" s="136">
        <f t="shared" si="47"/>
        <v>2.15</v>
      </c>
      <c r="AF153" s="136">
        <f t="shared" si="47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8">AF155</f>
        <v>0.9</v>
      </c>
      <c r="C155" s="137">
        <v>0.9</v>
      </c>
      <c r="D155" s="136">
        <f t="shared" ref="D155:S167" si="49">C155</f>
        <v>0.9</v>
      </c>
      <c r="E155" s="136">
        <f t="shared" si="49"/>
        <v>0.9</v>
      </c>
      <c r="F155" s="136">
        <f t="shared" si="49"/>
        <v>0.9</v>
      </c>
      <c r="G155" s="136">
        <f t="shared" si="49"/>
        <v>0.9</v>
      </c>
      <c r="H155" s="136">
        <f t="shared" si="49"/>
        <v>0.9</v>
      </c>
      <c r="I155" s="136">
        <f t="shared" si="49"/>
        <v>0.9</v>
      </c>
      <c r="J155" s="136">
        <f t="shared" si="49"/>
        <v>0.9</v>
      </c>
      <c r="K155" s="136">
        <f t="shared" si="49"/>
        <v>0.9</v>
      </c>
      <c r="L155" s="136">
        <f t="shared" si="49"/>
        <v>0.9</v>
      </c>
      <c r="M155" s="136">
        <f t="shared" si="49"/>
        <v>0.9</v>
      </c>
      <c r="N155" s="136">
        <f t="shared" si="49"/>
        <v>0.9</v>
      </c>
      <c r="O155" s="136">
        <f t="shared" si="49"/>
        <v>0.9</v>
      </c>
      <c r="P155" s="136">
        <f t="shared" si="49"/>
        <v>0.9</v>
      </c>
      <c r="Q155" s="136">
        <f t="shared" si="49"/>
        <v>0.9</v>
      </c>
      <c r="R155" s="136">
        <f t="shared" si="49"/>
        <v>0.9</v>
      </c>
      <c r="S155" s="136">
        <f t="shared" si="49"/>
        <v>0.9</v>
      </c>
      <c r="T155" s="136">
        <f t="shared" ref="S155:AF167" si="50">S155</f>
        <v>0.9</v>
      </c>
      <c r="U155" s="136">
        <f t="shared" si="50"/>
        <v>0.9</v>
      </c>
      <c r="V155" s="136">
        <f t="shared" si="50"/>
        <v>0.9</v>
      </c>
      <c r="W155" s="136">
        <f t="shared" si="50"/>
        <v>0.9</v>
      </c>
      <c r="X155" s="136">
        <f t="shared" si="50"/>
        <v>0.9</v>
      </c>
      <c r="Y155" s="136">
        <f t="shared" si="50"/>
        <v>0.9</v>
      </c>
      <c r="Z155" s="136">
        <f t="shared" si="50"/>
        <v>0.9</v>
      </c>
      <c r="AA155" s="136">
        <f t="shared" si="50"/>
        <v>0.9</v>
      </c>
      <c r="AB155" s="136">
        <f t="shared" si="50"/>
        <v>0.9</v>
      </c>
      <c r="AC155" s="136">
        <f t="shared" si="50"/>
        <v>0.9</v>
      </c>
      <c r="AD155" s="136">
        <f t="shared" si="50"/>
        <v>0.9</v>
      </c>
      <c r="AE155" s="136">
        <f t="shared" si="50"/>
        <v>0.9</v>
      </c>
      <c r="AF155" s="136">
        <f t="shared" si="50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8"/>
        <v>1.08</v>
      </c>
      <c r="C156" s="137">
        <v>1.08</v>
      </c>
      <c r="D156" s="136">
        <f t="shared" si="49"/>
        <v>1.08</v>
      </c>
      <c r="E156" s="136">
        <f t="shared" si="49"/>
        <v>1.08</v>
      </c>
      <c r="F156" s="136">
        <f t="shared" si="49"/>
        <v>1.08</v>
      </c>
      <c r="G156" s="136">
        <f t="shared" si="49"/>
        <v>1.08</v>
      </c>
      <c r="H156" s="136">
        <f t="shared" si="49"/>
        <v>1.08</v>
      </c>
      <c r="I156" s="136">
        <f t="shared" si="49"/>
        <v>1.08</v>
      </c>
      <c r="J156" s="136">
        <f t="shared" si="49"/>
        <v>1.08</v>
      </c>
      <c r="K156" s="136">
        <f t="shared" si="49"/>
        <v>1.08</v>
      </c>
      <c r="L156" s="136">
        <f t="shared" si="49"/>
        <v>1.08</v>
      </c>
      <c r="M156" s="136">
        <f t="shared" si="49"/>
        <v>1.08</v>
      </c>
      <c r="N156" s="136">
        <f t="shared" si="49"/>
        <v>1.08</v>
      </c>
      <c r="O156" s="136">
        <f t="shared" si="49"/>
        <v>1.08</v>
      </c>
      <c r="P156" s="136">
        <f t="shared" si="49"/>
        <v>1.08</v>
      </c>
      <c r="Q156" s="136">
        <f t="shared" si="49"/>
        <v>1.08</v>
      </c>
      <c r="R156" s="136">
        <f t="shared" si="49"/>
        <v>1.08</v>
      </c>
      <c r="S156" s="136">
        <f t="shared" si="49"/>
        <v>1.08</v>
      </c>
      <c r="T156" s="136">
        <f t="shared" si="50"/>
        <v>1.08</v>
      </c>
      <c r="U156" s="136">
        <f t="shared" si="50"/>
        <v>1.08</v>
      </c>
      <c r="V156" s="136">
        <f t="shared" si="50"/>
        <v>1.08</v>
      </c>
      <c r="W156" s="136">
        <f t="shared" si="50"/>
        <v>1.08</v>
      </c>
      <c r="X156" s="136">
        <f t="shared" si="50"/>
        <v>1.08</v>
      </c>
      <c r="Y156" s="136">
        <f t="shared" si="50"/>
        <v>1.08</v>
      </c>
      <c r="Z156" s="136">
        <f t="shared" si="50"/>
        <v>1.08</v>
      </c>
      <c r="AA156" s="136">
        <f t="shared" si="50"/>
        <v>1.08</v>
      </c>
      <c r="AB156" s="136">
        <f t="shared" si="50"/>
        <v>1.08</v>
      </c>
      <c r="AC156" s="136">
        <f t="shared" si="50"/>
        <v>1.08</v>
      </c>
      <c r="AD156" s="136">
        <f t="shared" si="50"/>
        <v>1.08</v>
      </c>
      <c r="AE156" s="136">
        <f t="shared" si="50"/>
        <v>1.08</v>
      </c>
      <c r="AF156" s="136">
        <f t="shared" si="50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8"/>
        <v>2.37</v>
      </c>
      <c r="C157" s="137">
        <v>2.37</v>
      </c>
      <c r="D157" s="136">
        <f t="shared" si="49"/>
        <v>2.37</v>
      </c>
      <c r="E157" s="136">
        <f t="shared" si="49"/>
        <v>2.37</v>
      </c>
      <c r="F157" s="136">
        <f t="shared" si="49"/>
        <v>2.37</v>
      </c>
      <c r="G157" s="136">
        <f t="shared" si="49"/>
        <v>2.37</v>
      </c>
      <c r="H157" s="136">
        <f t="shared" si="49"/>
        <v>2.37</v>
      </c>
      <c r="I157" s="136">
        <f t="shared" si="49"/>
        <v>2.37</v>
      </c>
      <c r="J157" s="136">
        <f t="shared" si="49"/>
        <v>2.37</v>
      </c>
      <c r="K157" s="136">
        <f t="shared" si="49"/>
        <v>2.37</v>
      </c>
      <c r="L157" s="136">
        <f t="shared" si="49"/>
        <v>2.37</v>
      </c>
      <c r="M157" s="136">
        <f t="shared" si="49"/>
        <v>2.37</v>
      </c>
      <c r="N157" s="136">
        <f t="shared" si="49"/>
        <v>2.37</v>
      </c>
      <c r="O157" s="136">
        <f t="shared" si="49"/>
        <v>2.37</v>
      </c>
      <c r="P157" s="136">
        <f t="shared" si="49"/>
        <v>2.37</v>
      </c>
      <c r="Q157" s="136">
        <f t="shared" si="49"/>
        <v>2.37</v>
      </c>
      <c r="R157" s="136">
        <f t="shared" si="49"/>
        <v>2.37</v>
      </c>
      <c r="S157" s="136">
        <f t="shared" si="49"/>
        <v>2.37</v>
      </c>
      <c r="T157" s="136">
        <f t="shared" si="50"/>
        <v>2.37</v>
      </c>
      <c r="U157" s="136">
        <f t="shared" si="50"/>
        <v>2.37</v>
      </c>
      <c r="V157" s="136">
        <f t="shared" si="50"/>
        <v>2.37</v>
      </c>
      <c r="W157" s="136">
        <f t="shared" si="50"/>
        <v>2.37</v>
      </c>
      <c r="X157" s="136">
        <f t="shared" si="50"/>
        <v>2.37</v>
      </c>
      <c r="Y157" s="136">
        <f t="shared" si="50"/>
        <v>2.37</v>
      </c>
      <c r="Z157" s="136">
        <f t="shared" si="50"/>
        <v>2.37</v>
      </c>
      <c r="AA157" s="136">
        <f t="shared" si="50"/>
        <v>2.37</v>
      </c>
      <c r="AB157" s="136">
        <f t="shared" si="50"/>
        <v>2.37</v>
      </c>
      <c r="AC157" s="136">
        <f t="shared" si="50"/>
        <v>2.37</v>
      </c>
      <c r="AD157" s="136">
        <f t="shared" si="50"/>
        <v>2.37</v>
      </c>
      <c r="AE157" s="136">
        <f t="shared" si="50"/>
        <v>2.37</v>
      </c>
      <c r="AF157" s="136">
        <f t="shared" si="50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8"/>
        <v>1.81</v>
      </c>
      <c r="C158" s="137">
        <v>1.81</v>
      </c>
      <c r="D158" s="136">
        <f t="shared" si="49"/>
        <v>1.81</v>
      </c>
      <c r="E158" s="136">
        <f t="shared" si="49"/>
        <v>1.81</v>
      </c>
      <c r="F158" s="136">
        <f t="shared" si="49"/>
        <v>1.81</v>
      </c>
      <c r="G158" s="136">
        <f t="shared" si="49"/>
        <v>1.81</v>
      </c>
      <c r="H158" s="136">
        <f t="shared" si="49"/>
        <v>1.81</v>
      </c>
      <c r="I158" s="136">
        <f t="shared" si="49"/>
        <v>1.81</v>
      </c>
      <c r="J158" s="136">
        <f t="shared" si="49"/>
        <v>1.81</v>
      </c>
      <c r="K158" s="136">
        <f t="shared" si="49"/>
        <v>1.81</v>
      </c>
      <c r="L158" s="136">
        <f t="shared" si="49"/>
        <v>1.81</v>
      </c>
      <c r="M158" s="136">
        <f t="shared" si="49"/>
        <v>1.81</v>
      </c>
      <c r="N158" s="136">
        <f t="shared" si="49"/>
        <v>1.81</v>
      </c>
      <c r="O158" s="136">
        <f t="shared" si="49"/>
        <v>1.81</v>
      </c>
      <c r="P158" s="136">
        <f t="shared" si="49"/>
        <v>1.81</v>
      </c>
      <c r="Q158" s="136">
        <f t="shared" si="49"/>
        <v>1.81</v>
      </c>
      <c r="R158" s="136">
        <f t="shared" si="49"/>
        <v>1.81</v>
      </c>
      <c r="S158" s="136">
        <f t="shared" si="49"/>
        <v>1.81</v>
      </c>
      <c r="T158" s="136">
        <f t="shared" si="50"/>
        <v>1.81</v>
      </c>
      <c r="U158" s="136">
        <f t="shared" si="50"/>
        <v>1.81</v>
      </c>
      <c r="V158" s="136">
        <f t="shared" si="50"/>
        <v>1.81</v>
      </c>
      <c r="W158" s="136">
        <f t="shared" si="50"/>
        <v>1.81</v>
      </c>
      <c r="X158" s="136">
        <f t="shared" si="50"/>
        <v>1.81</v>
      </c>
      <c r="Y158" s="136">
        <f t="shared" si="50"/>
        <v>1.81</v>
      </c>
      <c r="Z158" s="136">
        <f t="shared" si="50"/>
        <v>1.81</v>
      </c>
      <c r="AA158" s="136">
        <f t="shared" si="50"/>
        <v>1.81</v>
      </c>
      <c r="AB158" s="136">
        <f t="shared" si="50"/>
        <v>1.81</v>
      </c>
      <c r="AC158" s="136">
        <f t="shared" si="50"/>
        <v>1.81</v>
      </c>
      <c r="AD158" s="136">
        <f t="shared" si="50"/>
        <v>1.81</v>
      </c>
      <c r="AE158" s="136">
        <f t="shared" si="50"/>
        <v>1.81</v>
      </c>
      <c r="AF158" s="136">
        <f t="shared" si="50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8"/>
        <v>1.0900000000000001</v>
      </c>
      <c r="C159" s="137">
        <v>1.0900000000000001</v>
      </c>
      <c r="D159" s="136">
        <f t="shared" si="49"/>
        <v>1.0900000000000001</v>
      </c>
      <c r="E159" s="136">
        <f t="shared" si="49"/>
        <v>1.0900000000000001</v>
      </c>
      <c r="F159" s="136">
        <f t="shared" si="49"/>
        <v>1.0900000000000001</v>
      </c>
      <c r="G159" s="136">
        <f t="shared" si="49"/>
        <v>1.0900000000000001</v>
      </c>
      <c r="H159" s="136">
        <f t="shared" si="49"/>
        <v>1.0900000000000001</v>
      </c>
      <c r="I159" s="136">
        <f t="shared" si="49"/>
        <v>1.0900000000000001</v>
      </c>
      <c r="J159" s="136">
        <f t="shared" si="49"/>
        <v>1.0900000000000001</v>
      </c>
      <c r="K159" s="136">
        <f t="shared" si="49"/>
        <v>1.0900000000000001</v>
      </c>
      <c r="L159" s="136">
        <f t="shared" si="49"/>
        <v>1.0900000000000001</v>
      </c>
      <c r="M159" s="136">
        <f t="shared" si="49"/>
        <v>1.0900000000000001</v>
      </c>
      <c r="N159" s="136">
        <f t="shared" si="49"/>
        <v>1.0900000000000001</v>
      </c>
      <c r="O159" s="136">
        <f t="shared" si="49"/>
        <v>1.0900000000000001</v>
      </c>
      <c r="P159" s="136">
        <f t="shared" si="49"/>
        <v>1.0900000000000001</v>
      </c>
      <c r="Q159" s="136">
        <f t="shared" si="49"/>
        <v>1.0900000000000001</v>
      </c>
      <c r="R159" s="136">
        <f t="shared" si="49"/>
        <v>1.0900000000000001</v>
      </c>
      <c r="S159" s="136">
        <f t="shared" si="49"/>
        <v>1.0900000000000001</v>
      </c>
      <c r="T159" s="136">
        <f t="shared" si="50"/>
        <v>1.0900000000000001</v>
      </c>
      <c r="U159" s="136">
        <f t="shared" si="50"/>
        <v>1.0900000000000001</v>
      </c>
      <c r="V159" s="136">
        <f t="shared" si="50"/>
        <v>1.0900000000000001</v>
      </c>
      <c r="W159" s="136">
        <f t="shared" si="50"/>
        <v>1.0900000000000001</v>
      </c>
      <c r="X159" s="136">
        <f t="shared" si="50"/>
        <v>1.0900000000000001</v>
      </c>
      <c r="Y159" s="136">
        <f t="shared" si="50"/>
        <v>1.0900000000000001</v>
      </c>
      <c r="Z159" s="136">
        <f t="shared" si="50"/>
        <v>1.0900000000000001</v>
      </c>
      <c r="AA159" s="136">
        <f t="shared" si="50"/>
        <v>1.0900000000000001</v>
      </c>
      <c r="AB159" s="136">
        <f t="shared" si="50"/>
        <v>1.0900000000000001</v>
      </c>
      <c r="AC159" s="136">
        <f t="shared" si="50"/>
        <v>1.0900000000000001</v>
      </c>
      <c r="AD159" s="136">
        <f t="shared" si="50"/>
        <v>1.0900000000000001</v>
      </c>
      <c r="AE159" s="136">
        <f t="shared" si="50"/>
        <v>1.0900000000000001</v>
      </c>
      <c r="AF159" s="136">
        <f t="shared" si="50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8"/>
        <v>1.58</v>
      </c>
      <c r="C160" s="137">
        <v>1.58</v>
      </c>
      <c r="D160" s="136">
        <f t="shared" si="49"/>
        <v>1.58</v>
      </c>
      <c r="E160" s="136">
        <f t="shared" si="49"/>
        <v>1.58</v>
      </c>
      <c r="F160" s="136">
        <f t="shared" si="49"/>
        <v>1.58</v>
      </c>
      <c r="G160" s="136">
        <f t="shared" si="49"/>
        <v>1.58</v>
      </c>
      <c r="H160" s="136">
        <f t="shared" si="49"/>
        <v>1.58</v>
      </c>
      <c r="I160" s="136">
        <f t="shared" si="49"/>
        <v>1.58</v>
      </c>
      <c r="J160" s="136">
        <f t="shared" si="49"/>
        <v>1.58</v>
      </c>
      <c r="K160" s="136">
        <f t="shared" si="49"/>
        <v>1.58</v>
      </c>
      <c r="L160" s="136">
        <f t="shared" si="49"/>
        <v>1.58</v>
      </c>
      <c r="M160" s="136">
        <f t="shared" si="49"/>
        <v>1.58</v>
      </c>
      <c r="N160" s="136">
        <f t="shared" si="49"/>
        <v>1.58</v>
      </c>
      <c r="O160" s="136">
        <f t="shared" si="49"/>
        <v>1.58</v>
      </c>
      <c r="P160" s="136">
        <f t="shared" si="49"/>
        <v>1.58</v>
      </c>
      <c r="Q160" s="136">
        <f t="shared" si="49"/>
        <v>1.58</v>
      </c>
      <c r="R160" s="136">
        <f t="shared" si="49"/>
        <v>1.58</v>
      </c>
      <c r="S160" s="136">
        <f t="shared" si="49"/>
        <v>1.58</v>
      </c>
      <c r="T160" s="136">
        <f t="shared" si="50"/>
        <v>1.58</v>
      </c>
      <c r="U160" s="136">
        <f t="shared" si="50"/>
        <v>1.58</v>
      </c>
      <c r="V160" s="136">
        <f t="shared" si="50"/>
        <v>1.58</v>
      </c>
      <c r="W160" s="136">
        <f t="shared" si="50"/>
        <v>1.58</v>
      </c>
      <c r="X160" s="136">
        <f t="shared" si="50"/>
        <v>1.58</v>
      </c>
      <c r="Y160" s="136">
        <f t="shared" si="50"/>
        <v>1.58</v>
      </c>
      <c r="Z160" s="136">
        <f t="shared" si="50"/>
        <v>1.58</v>
      </c>
      <c r="AA160" s="136">
        <f t="shared" si="50"/>
        <v>1.58</v>
      </c>
      <c r="AB160" s="136">
        <f t="shared" si="50"/>
        <v>1.58</v>
      </c>
      <c r="AC160" s="136">
        <f t="shared" si="50"/>
        <v>1.58</v>
      </c>
      <c r="AD160" s="136">
        <f t="shared" si="50"/>
        <v>1.58</v>
      </c>
      <c r="AE160" s="136">
        <f t="shared" si="50"/>
        <v>1.58</v>
      </c>
      <c r="AF160" s="136">
        <f t="shared" si="50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8"/>
        <v>2</v>
      </c>
      <c r="C161" s="137">
        <v>2</v>
      </c>
      <c r="D161" s="136">
        <f t="shared" si="49"/>
        <v>2</v>
      </c>
      <c r="E161" s="136">
        <f t="shared" si="49"/>
        <v>2</v>
      </c>
      <c r="F161" s="136">
        <f t="shared" si="49"/>
        <v>2</v>
      </c>
      <c r="G161" s="136">
        <f t="shared" si="49"/>
        <v>2</v>
      </c>
      <c r="H161" s="136">
        <f t="shared" si="49"/>
        <v>2</v>
      </c>
      <c r="I161" s="136">
        <f t="shared" si="49"/>
        <v>2</v>
      </c>
      <c r="J161" s="136">
        <f t="shared" si="49"/>
        <v>2</v>
      </c>
      <c r="K161" s="136">
        <f t="shared" si="49"/>
        <v>2</v>
      </c>
      <c r="L161" s="136">
        <f t="shared" si="49"/>
        <v>2</v>
      </c>
      <c r="M161" s="136">
        <f t="shared" si="49"/>
        <v>2</v>
      </c>
      <c r="N161" s="136">
        <f t="shared" si="49"/>
        <v>2</v>
      </c>
      <c r="O161" s="136">
        <f t="shared" si="49"/>
        <v>2</v>
      </c>
      <c r="P161" s="136">
        <f t="shared" si="49"/>
        <v>2</v>
      </c>
      <c r="Q161" s="136">
        <f t="shared" si="49"/>
        <v>2</v>
      </c>
      <c r="R161" s="136">
        <f t="shared" si="49"/>
        <v>2</v>
      </c>
      <c r="S161" s="136">
        <f t="shared" si="49"/>
        <v>2</v>
      </c>
      <c r="T161" s="136">
        <f t="shared" si="50"/>
        <v>2</v>
      </c>
      <c r="U161" s="136">
        <f t="shared" si="50"/>
        <v>2</v>
      </c>
      <c r="V161" s="136">
        <f t="shared" si="50"/>
        <v>2</v>
      </c>
      <c r="W161" s="136">
        <f t="shared" si="50"/>
        <v>2</v>
      </c>
      <c r="X161" s="136">
        <f t="shared" si="50"/>
        <v>2</v>
      </c>
      <c r="Y161" s="136">
        <f t="shared" si="50"/>
        <v>2</v>
      </c>
      <c r="Z161" s="136">
        <f t="shared" si="50"/>
        <v>2</v>
      </c>
      <c r="AA161" s="136">
        <f t="shared" si="50"/>
        <v>2</v>
      </c>
      <c r="AB161" s="136">
        <f t="shared" si="50"/>
        <v>2</v>
      </c>
      <c r="AC161" s="136">
        <f t="shared" si="50"/>
        <v>2</v>
      </c>
      <c r="AD161" s="136">
        <f t="shared" si="50"/>
        <v>2</v>
      </c>
      <c r="AE161" s="136">
        <f t="shared" si="50"/>
        <v>2</v>
      </c>
      <c r="AF161" s="136">
        <f t="shared" si="50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8"/>
        <v>0.47</v>
      </c>
      <c r="C162" s="137">
        <v>0.47</v>
      </c>
      <c r="D162" s="136">
        <f t="shared" si="49"/>
        <v>0.47</v>
      </c>
      <c r="E162" s="136">
        <f t="shared" si="49"/>
        <v>0.47</v>
      </c>
      <c r="F162" s="136">
        <f t="shared" si="49"/>
        <v>0.47</v>
      </c>
      <c r="G162" s="136">
        <f t="shared" si="49"/>
        <v>0.47</v>
      </c>
      <c r="H162" s="136">
        <f t="shared" si="49"/>
        <v>0.47</v>
      </c>
      <c r="I162" s="136">
        <f t="shared" si="49"/>
        <v>0.47</v>
      </c>
      <c r="J162" s="136">
        <f t="shared" si="49"/>
        <v>0.47</v>
      </c>
      <c r="K162" s="136">
        <f t="shared" si="49"/>
        <v>0.47</v>
      </c>
      <c r="L162" s="136">
        <f t="shared" si="49"/>
        <v>0.47</v>
      </c>
      <c r="M162" s="136">
        <f t="shared" si="49"/>
        <v>0.47</v>
      </c>
      <c r="N162" s="136">
        <f t="shared" si="49"/>
        <v>0.47</v>
      </c>
      <c r="O162" s="136">
        <f t="shared" si="49"/>
        <v>0.47</v>
      </c>
      <c r="P162" s="136">
        <f t="shared" si="49"/>
        <v>0.47</v>
      </c>
      <c r="Q162" s="136">
        <f t="shared" si="49"/>
        <v>0.47</v>
      </c>
      <c r="R162" s="136">
        <f t="shared" si="49"/>
        <v>0.47</v>
      </c>
      <c r="S162" s="136">
        <f t="shared" si="49"/>
        <v>0.47</v>
      </c>
      <c r="T162" s="136">
        <f t="shared" si="50"/>
        <v>0.47</v>
      </c>
      <c r="U162" s="136">
        <f t="shared" si="50"/>
        <v>0.47</v>
      </c>
      <c r="V162" s="136">
        <f t="shared" si="50"/>
        <v>0.47</v>
      </c>
      <c r="W162" s="136">
        <f t="shared" si="50"/>
        <v>0.47</v>
      </c>
      <c r="X162" s="136">
        <f t="shared" si="50"/>
        <v>0.47</v>
      </c>
      <c r="Y162" s="136">
        <f t="shared" si="50"/>
        <v>0.47</v>
      </c>
      <c r="Z162" s="136">
        <f t="shared" si="50"/>
        <v>0.47</v>
      </c>
      <c r="AA162" s="136">
        <f t="shared" si="50"/>
        <v>0.47</v>
      </c>
      <c r="AB162" s="136">
        <f t="shared" si="50"/>
        <v>0.47</v>
      </c>
      <c r="AC162" s="136">
        <f t="shared" si="50"/>
        <v>0.47</v>
      </c>
      <c r="AD162" s="136">
        <f t="shared" si="50"/>
        <v>0.47</v>
      </c>
      <c r="AE162" s="136">
        <f t="shared" si="50"/>
        <v>0.47</v>
      </c>
      <c r="AF162" s="136">
        <f t="shared" si="50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8"/>
        <v>0</v>
      </c>
      <c r="C163" s="137">
        <v>0</v>
      </c>
      <c r="D163" s="136">
        <f t="shared" si="49"/>
        <v>0</v>
      </c>
      <c r="E163" s="136">
        <f t="shared" si="49"/>
        <v>0</v>
      </c>
      <c r="F163" s="136">
        <f t="shared" si="49"/>
        <v>0</v>
      </c>
      <c r="G163" s="136">
        <f t="shared" si="49"/>
        <v>0</v>
      </c>
      <c r="H163" s="136">
        <f t="shared" si="49"/>
        <v>0</v>
      </c>
      <c r="I163" s="136">
        <f t="shared" si="49"/>
        <v>0</v>
      </c>
      <c r="J163" s="136">
        <f t="shared" si="49"/>
        <v>0</v>
      </c>
      <c r="K163" s="136">
        <f t="shared" si="49"/>
        <v>0</v>
      </c>
      <c r="L163" s="136">
        <f t="shared" si="49"/>
        <v>0</v>
      </c>
      <c r="M163" s="136">
        <f t="shared" si="49"/>
        <v>0</v>
      </c>
      <c r="N163" s="136">
        <f t="shared" si="49"/>
        <v>0</v>
      </c>
      <c r="O163" s="136">
        <f t="shared" si="49"/>
        <v>0</v>
      </c>
      <c r="P163" s="136">
        <f t="shared" si="49"/>
        <v>0</v>
      </c>
      <c r="Q163" s="136">
        <f t="shared" si="49"/>
        <v>0</v>
      </c>
      <c r="R163" s="136">
        <f t="shared" si="49"/>
        <v>0</v>
      </c>
      <c r="S163" s="136">
        <f t="shared" si="49"/>
        <v>0</v>
      </c>
      <c r="T163" s="136">
        <f t="shared" si="50"/>
        <v>0</v>
      </c>
      <c r="U163" s="136">
        <f t="shared" si="50"/>
        <v>0</v>
      </c>
      <c r="V163" s="136">
        <f t="shared" si="50"/>
        <v>0</v>
      </c>
      <c r="W163" s="136">
        <f t="shared" si="50"/>
        <v>0</v>
      </c>
      <c r="X163" s="136">
        <f t="shared" si="50"/>
        <v>0</v>
      </c>
      <c r="Y163" s="136">
        <f t="shared" si="50"/>
        <v>0</v>
      </c>
      <c r="Z163" s="136">
        <f t="shared" si="50"/>
        <v>0</v>
      </c>
      <c r="AA163" s="136">
        <f t="shared" si="50"/>
        <v>0</v>
      </c>
      <c r="AB163" s="136">
        <f t="shared" si="50"/>
        <v>0</v>
      </c>
      <c r="AC163" s="136">
        <f t="shared" si="50"/>
        <v>0</v>
      </c>
      <c r="AD163" s="136">
        <f t="shared" si="50"/>
        <v>0</v>
      </c>
      <c r="AE163" s="136">
        <f t="shared" si="50"/>
        <v>0</v>
      </c>
      <c r="AF163" s="136">
        <f t="shared" si="50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8"/>
        <v>0</v>
      </c>
      <c r="C164" s="137">
        <v>0</v>
      </c>
      <c r="D164" s="136">
        <f t="shared" si="49"/>
        <v>0</v>
      </c>
      <c r="E164" s="136">
        <f t="shared" si="49"/>
        <v>0</v>
      </c>
      <c r="F164" s="136">
        <f t="shared" si="49"/>
        <v>0</v>
      </c>
      <c r="G164" s="136">
        <f t="shared" si="49"/>
        <v>0</v>
      </c>
      <c r="H164" s="136">
        <f t="shared" si="49"/>
        <v>0</v>
      </c>
      <c r="I164" s="136">
        <f t="shared" si="49"/>
        <v>0</v>
      </c>
      <c r="J164" s="136">
        <f t="shared" si="49"/>
        <v>0</v>
      </c>
      <c r="K164" s="136">
        <f t="shared" si="49"/>
        <v>0</v>
      </c>
      <c r="L164" s="136">
        <f t="shared" si="49"/>
        <v>0</v>
      </c>
      <c r="M164" s="136">
        <f t="shared" si="49"/>
        <v>0</v>
      </c>
      <c r="N164" s="136">
        <f t="shared" si="49"/>
        <v>0</v>
      </c>
      <c r="O164" s="136">
        <f t="shared" si="49"/>
        <v>0</v>
      </c>
      <c r="P164" s="136">
        <f t="shared" si="49"/>
        <v>0</v>
      </c>
      <c r="Q164" s="136">
        <f t="shared" si="49"/>
        <v>0</v>
      </c>
      <c r="R164" s="136">
        <f t="shared" si="49"/>
        <v>0</v>
      </c>
      <c r="S164" s="136">
        <f t="shared" si="50"/>
        <v>0</v>
      </c>
      <c r="T164" s="136">
        <f t="shared" si="50"/>
        <v>0</v>
      </c>
      <c r="U164" s="136">
        <f t="shared" si="50"/>
        <v>0</v>
      </c>
      <c r="V164" s="136">
        <f t="shared" si="50"/>
        <v>0</v>
      </c>
      <c r="W164" s="136">
        <f t="shared" si="50"/>
        <v>0</v>
      </c>
      <c r="X164" s="136">
        <f t="shared" si="50"/>
        <v>0</v>
      </c>
      <c r="Y164" s="136">
        <f t="shared" si="50"/>
        <v>0</v>
      </c>
      <c r="Z164" s="136">
        <f t="shared" si="50"/>
        <v>0</v>
      </c>
      <c r="AA164" s="136">
        <f t="shared" si="50"/>
        <v>0</v>
      </c>
      <c r="AB164" s="136">
        <f t="shared" si="50"/>
        <v>0</v>
      </c>
      <c r="AC164" s="136">
        <f t="shared" si="50"/>
        <v>0</v>
      </c>
      <c r="AD164" s="136">
        <f t="shared" si="50"/>
        <v>0</v>
      </c>
      <c r="AE164" s="136">
        <f t="shared" si="50"/>
        <v>0</v>
      </c>
      <c r="AF164" s="136">
        <f t="shared" si="50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8"/>
        <v>0.8</v>
      </c>
      <c r="C165" s="137">
        <v>0.8</v>
      </c>
      <c r="D165" s="136">
        <f t="shared" si="49"/>
        <v>0.8</v>
      </c>
      <c r="E165" s="136">
        <f t="shared" si="49"/>
        <v>0.8</v>
      </c>
      <c r="F165" s="136">
        <f t="shared" si="49"/>
        <v>0.8</v>
      </c>
      <c r="G165" s="136">
        <f t="shared" si="49"/>
        <v>0.8</v>
      </c>
      <c r="H165" s="136">
        <f t="shared" si="49"/>
        <v>0.8</v>
      </c>
      <c r="I165" s="136">
        <f t="shared" si="49"/>
        <v>0.8</v>
      </c>
      <c r="J165" s="136">
        <f t="shared" si="49"/>
        <v>0.8</v>
      </c>
      <c r="K165" s="136">
        <f t="shared" si="49"/>
        <v>0.8</v>
      </c>
      <c r="L165" s="136">
        <f t="shared" si="49"/>
        <v>0.8</v>
      </c>
      <c r="M165" s="136">
        <f t="shared" si="49"/>
        <v>0.8</v>
      </c>
      <c r="N165" s="136">
        <f t="shared" si="49"/>
        <v>0.8</v>
      </c>
      <c r="O165" s="136">
        <f t="shared" si="49"/>
        <v>0.8</v>
      </c>
      <c r="P165" s="136">
        <f t="shared" si="49"/>
        <v>0.8</v>
      </c>
      <c r="Q165" s="136">
        <f t="shared" si="49"/>
        <v>0.8</v>
      </c>
      <c r="R165" s="136">
        <f t="shared" si="49"/>
        <v>0.8</v>
      </c>
      <c r="S165" s="136">
        <f t="shared" si="50"/>
        <v>0.8</v>
      </c>
      <c r="T165" s="136">
        <f t="shared" si="50"/>
        <v>0.8</v>
      </c>
      <c r="U165" s="136">
        <f t="shared" si="50"/>
        <v>0.8</v>
      </c>
      <c r="V165" s="136">
        <f t="shared" si="50"/>
        <v>0.8</v>
      </c>
      <c r="W165" s="136">
        <f t="shared" si="50"/>
        <v>0.8</v>
      </c>
      <c r="X165" s="136">
        <f t="shared" si="50"/>
        <v>0.8</v>
      </c>
      <c r="Y165" s="136">
        <f t="shared" si="50"/>
        <v>0.8</v>
      </c>
      <c r="Z165" s="136">
        <f t="shared" si="50"/>
        <v>0.8</v>
      </c>
      <c r="AA165" s="136">
        <f t="shared" si="50"/>
        <v>0.8</v>
      </c>
      <c r="AB165" s="136">
        <f t="shared" si="50"/>
        <v>0.8</v>
      </c>
      <c r="AC165" s="136">
        <f t="shared" si="50"/>
        <v>0.8</v>
      </c>
      <c r="AD165" s="136">
        <f t="shared" si="50"/>
        <v>0.8</v>
      </c>
      <c r="AE165" s="136">
        <f t="shared" si="50"/>
        <v>0.8</v>
      </c>
      <c r="AF165" s="136">
        <f t="shared" si="50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8"/>
        <v>1.5</v>
      </c>
      <c r="C166" s="137">
        <v>1.5</v>
      </c>
      <c r="D166" s="136">
        <f t="shared" si="49"/>
        <v>1.5</v>
      </c>
      <c r="E166" s="136">
        <f t="shared" si="49"/>
        <v>1.5</v>
      </c>
      <c r="F166" s="136">
        <f t="shared" si="49"/>
        <v>1.5</v>
      </c>
      <c r="G166" s="136">
        <f t="shared" si="49"/>
        <v>1.5</v>
      </c>
      <c r="H166" s="136">
        <f t="shared" si="49"/>
        <v>1.5</v>
      </c>
      <c r="I166" s="136">
        <f t="shared" si="49"/>
        <v>1.5</v>
      </c>
      <c r="J166" s="136">
        <f t="shared" si="49"/>
        <v>1.5</v>
      </c>
      <c r="K166" s="136">
        <f t="shared" si="49"/>
        <v>1.5</v>
      </c>
      <c r="L166" s="136">
        <f t="shared" si="49"/>
        <v>1.5</v>
      </c>
      <c r="M166" s="136">
        <f t="shared" si="49"/>
        <v>1.5</v>
      </c>
      <c r="N166" s="136">
        <f t="shared" si="49"/>
        <v>1.5</v>
      </c>
      <c r="O166" s="136">
        <f t="shared" si="49"/>
        <v>1.5</v>
      </c>
      <c r="P166" s="136">
        <f t="shared" si="49"/>
        <v>1.5</v>
      </c>
      <c r="Q166" s="136">
        <f t="shared" si="49"/>
        <v>1.5</v>
      </c>
      <c r="R166" s="136">
        <f t="shared" si="49"/>
        <v>1.5</v>
      </c>
      <c r="S166" s="136">
        <f t="shared" si="50"/>
        <v>1.5</v>
      </c>
      <c r="T166" s="136">
        <f t="shared" si="50"/>
        <v>1.5</v>
      </c>
      <c r="U166" s="136">
        <f t="shared" si="50"/>
        <v>1.5</v>
      </c>
      <c r="V166" s="136">
        <f t="shared" si="50"/>
        <v>1.5</v>
      </c>
      <c r="W166" s="136">
        <f t="shared" si="50"/>
        <v>1.5</v>
      </c>
      <c r="X166" s="136">
        <f t="shared" si="50"/>
        <v>1.5</v>
      </c>
      <c r="Y166" s="136">
        <f t="shared" si="50"/>
        <v>1.5</v>
      </c>
      <c r="Z166" s="136">
        <f t="shared" si="50"/>
        <v>1.5</v>
      </c>
      <c r="AA166" s="136">
        <f t="shared" si="50"/>
        <v>1.5</v>
      </c>
      <c r="AB166" s="136">
        <f t="shared" si="50"/>
        <v>1.5</v>
      </c>
      <c r="AC166" s="136">
        <f t="shared" si="50"/>
        <v>1.5</v>
      </c>
      <c r="AD166" s="136">
        <f t="shared" si="50"/>
        <v>1.5</v>
      </c>
      <c r="AE166" s="136">
        <f t="shared" si="50"/>
        <v>1.5</v>
      </c>
      <c r="AF166" s="136">
        <f t="shared" si="50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8"/>
        <v>1</v>
      </c>
      <c r="C167" s="137">
        <v>1</v>
      </c>
      <c r="D167" s="136">
        <f t="shared" si="49"/>
        <v>1</v>
      </c>
      <c r="E167" s="136">
        <f t="shared" si="49"/>
        <v>1</v>
      </c>
      <c r="F167" s="136">
        <f t="shared" si="49"/>
        <v>1</v>
      </c>
      <c r="G167" s="136">
        <f t="shared" si="49"/>
        <v>1</v>
      </c>
      <c r="H167" s="136">
        <f t="shared" si="49"/>
        <v>1</v>
      </c>
      <c r="I167" s="136">
        <f t="shared" si="49"/>
        <v>1</v>
      </c>
      <c r="J167" s="136">
        <f t="shared" si="49"/>
        <v>1</v>
      </c>
      <c r="K167" s="136">
        <f t="shared" si="49"/>
        <v>1</v>
      </c>
      <c r="L167" s="136">
        <f t="shared" si="49"/>
        <v>1</v>
      </c>
      <c r="M167" s="136">
        <f t="shared" si="49"/>
        <v>1</v>
      </c>
      <c r="N167" s="136">
        <f t="shared" si="49"/>
        <v>1</v>
      </c>
      <c r="O167" s="136">
        <f t="shared" si="49"/>
        <v>1</v>
      </c>
      <c r="P167" s="136">
        <f t="shared" si="49"/>
        <v>1</v>
      </c>
      <c r="Q167" s="136">
        <f t="shared" si="49"/>
        <v>1</v>
      </c>
      <c r="R167" s="136">
        <f t="shared" si="49"/>
        <v>1</v>
      </c>
      <c r="S167" s="136">
        <f t="shared" si="50"/>
        <v>1</v>
      </c>
      <c r="T167" s="136">
        <f t="shared" si="50"/>
        <v>1</v>
      </c>
      <c r="U167" s="136">
        <f t="shared" si="50"/>
        <v>1</v>
      </c>
      <c r="V167" s="136">
        <f t="shared" si="50"/>
        <v>1</v>
      </c>
      <c r="W167" s="136">
        <f t="shared" si="50"/>
        <v>1</v>
      </c>
      <c r="X167" s="136">
        <f t="shared" si="50"/>
        <v>1</v>
      </c>
      <c r="Y167" s="136">
        <f t="shared" si="50"/>
        <v>1</v>
      </c>
      <c r="Z167" s="136">
        <f t="shared" si="50"/>
        <v>1</v>
      </c>
      <c r="AA167" s="136">
        <f t="shared" si="50"/>
        <v>1</v>
      </c>
      <c r="AB167" s="136">
        <f t="shared" si="50"/>
        <v>1</v>
      </c>
      <c r="AC167" s="136">
        <f t="shared" si="50"/>
        <v>1</v>
      </c>
      <c r="AD167" s="136">
        <f t="shared" si="50"/>
        <v>1</v>
      </c>
      <c r="AE167" s="136">
        <f t="shared" si="50"/>
        <v>1</v>
      </c>
      <c r="AF167" s="136">
        <f t="shared" si="50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51">AF169</f>
        <v>1</v>
      </c>
      <c r="C169" s="137">
        <v>1</v>
      </c>
      <c r="D169" s="136">
        <f t="shared" ref="D169:S176" si="52">C169</f>
        <v>1</v>
      </c>
      <c r="E169" s="136">
        <f t="shared" si="52"/>
        <v>1</v>
      </c>
      <c r="F169" s="136">
        <f t="shared" si="52"/>
        <v>1</v>
      </c>
      <c r="G169" s="136">
        <f t="shared" si="52"/>
        <v>1</v>
      </c>
      <c r="H169" s="136">
        <f t="shared" si="52"/>
        <v>1</v>
      </c>
      <c r="I169" s="136">
        <f t="shared" si="52"/>
        <v>1</v>
      </c>
      <c r="J169" s="136">
        <f t="shared" si="52"/>
        <v>1</v>
      </c>
      <c r="K169" s="136">
        <f t="shared" si="52"/>
        <v>1</v>
      </c>
      <c r="L169" s="136">
        <f t="shared" si="52"/>
        <v>1</v>
      </c>
      <c r="M169" s="136">
        <f t="shared" si="52"/>
        <v>1</v>
      </c>
      <c r="N169" s="136">
        <f t="shared" si="52"/>
        <v>1</v>
      </c>
      <c r="O169" s="136">
        <f t="shared" si="52"/>
        <v>1</v>
      </c>
      <c r="P169" s="136">
        <f t="shared" si="52"/>
        <v>1</v>
      </c>
      <c r="Q169" s="136">
        <f t="shared" si="52"/>
        <v>1</v>
      </c>
      <c r="R169" s="136">
        <f t="shared" si="52"/>
        <v>1</v>
      </c>
      <c r="S169" s="136">
        <f t="shared" si="52"/>
        <v>1</v>
      </c>
      <c r="T169" s="136">
        <f t="shared" ref="S169:AF176" si="53">S169</f>
        <v>1</v>
      </c>
      <c r="U169" s="136">
        <f t="shared" si="53"/>
        <v>1</v>
      </c>
      <c r="V169" s="136">
        <f t="shared" si="53"/>
        <v>1</v>
      </c>
      <c r="W169" s="136">
        <f t="shared" si="53"/>
        <v>1</v>
      </c>
      <c r="X169" s="136">
        <f t="shared" si="53"/>
        <v>1</v>
      </c>
      <c r="Y169" s="136">
        <f t="shared" si="53"/>
        <v>1</v>
      </c>
      <c r="Z169" s="136">
        <f t="shared" si="53"/>
        <v>1</v>
      </c>
      <c r="AA169" s="136">
        <f t="shared" si="53"/>
        <v>1</v>
      </c>
      <c r="AB169" s="136">
        <f t="shared" si="53"/>
        <v>1</v>
      </c>
      <c r="AC169" s="136">
        <f t="shared" si="53"/>
        <v>1</v>
      </c>
      <c r="AD169" s="136">
        <f t="shared" si="53"/>
        <v>1</v>
      </c>
      <c r="AE169" s="136">
        <f t="shared" si="53"/>
        <v>1</v>
      </c>
      <c r="AF169" s="136">
        <f t="shared" si="53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51"/>
        <v>0.42</v>
      </c>
      <c r="C170" s="137">
        <v>0.42</v>
      </c>
      <c r="D170" s="136">
        <f t="shared" si="52"/>
        <v>0.42</v>
      </c>
      <c r="E170" s="136">
        <f t="shared" si="52"/>
        <v>0.42</v>
      </c>
      <c r="F170" s="136">
        <f t="shared" si="52"/>
        <v>0.42</v>
      </c>
      <c r="G170" s="136">
        <f t="shared" si="52"/>
        <v>0.42</v>
      </c>
      <c r="H170" s="136">
        <f t="shared" si="52"/>
        <v>0.42</v>
      </c>
      <c r="I170" s="136">
        <f t="shared" si="52"/>
        <v>0.42</v>
      </c>
      <c r="J170" s="136">
        <f t="shared" si="52"/>
        <v>0.42</v>
      </c>
      <c r="K170" s="136">
        <f t="shared" si="52"/>
        <v>0.42</v>
      </c>
      <c r="L170" s="136">
        <f t="shared" si="52"/>
        <v>0.42</v>
      </c>
      <c r="M170" s="136">
        <f t="shared" si="52"/>
        <v>0.42</v>
      </c>
      <c r="N170" s="136">
        <f t="shared" si="52"/>
        <v>0.42</v>
      </c>
      <c r="O170" s="136">
        <f t="shared" si="52"/>
        <v>0.42</v>
      </c>
      <c r="P170" s="136">
        <f t="shared" si="52"/>
        <v>0.42</v>
      </c>
      <c r="Q170" s="136">
        <f t="shared" si="52"/>
        <v>0.42</v>
      </c>
      <c r="R170" s="136">
        <f t="shared" si="52"/>
        <v>0.42</v>
      </c>
      <c r="S170" s="136">
        <f t="shared" si="53"/>
        <v>0.42</v>
      </c>
      <c r="T170" s="136">
        <f t="shared" si="53"/>
        <v>0.42</v>
      </c>
      <c r="U170" s="136">
        <f t="shared" si="53"/>
        <v>0.42</v>
      </c>
      <c r="V170" s="136">
        <f t="shared" si="53"/>
        <v>0.42</v>
      </c>
      <c r="W170" s="136">
        <f t="shared" si="53"/>
        <v>0.42</v>
      </c>
      <c r="X170" s="136">
        <f t="shared" si="53"/>
        <v>0.42</v>
      </c>
      <c r="Y170" s="136">
        <f t="shared" si="53"/>
        <v>0.42</v>
      </c>
      <c r="Z170" s="136">
        <f t="shared" si="53"/>
        <v>0.42</v>
      </c>
      <c r="AA170" s="136">
        <f t="shared" si="53"/>
        <v>0.42</v>
      </c>
      <c r="AB170" s="136">
        <f t="shared" si="53"/>
        <v>0.42</v>
      </c>
      <c r="AC170" s="136">
        <f t="shared" si="53"/>
        <v>0.42</v>
      </c>
      <c r="AD170" s="136">
        <f t="shared" si="53"/>
        <v>0.42</v>
      </c>
      <c r="AE170" s="136">
        <f t="shared" si="53"/>
        <v>0.42</v>
      </c>
      <c r="AF170" s="136">
        <f t="shared" si="53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51"/>
        <v>0.46</v>
      </c>
      <c r="C171" s="137">
        <v>0.46</v>
      </c>
      <c r="D171" s="136">
        <f t="shared" si="52"/>
        <v>0.46</v>
      </c>
      <c r="E171" s="136">
        <f t="shared" si="52"/>
        <v>0.46</v>
      </c>
      <c r="F171" s="136">
        <f t="shared" si="52"/>
        <v>0.46</v>
      </c>
      <c r="G171" s="136">
        <f t="shared" si="52"/>
        <v>0.46</v>
      </c>
      <c r="H171" s="136">
        <f t="shared" si="52"/>
        <v>0.46</v>
      </c>
      <c r="I171" s="136">
        <f t="shared" si="52"/>
        <v>0.46</v>
      </c>
      <c r="J171" s="136">
        <f t="shared" si="52"/>
        <v>0.46</v>
      </c>
      <c r="K171" s="136">
        <f t="shared" si="52"/>
        <v>0.46</v>
      </c>
      <c r="L171" s="136">
        <f t="shared" si="52"/>
        <v>0.46</v>
      </c>
      <c r="M171" s="136">
        <f t="shared" si="52"/>
        <v>0.46</v>
      </c>
      <c r="N171" s="136">
        <f t="shared" si="52"/>
        <v>0.46</v>
      </c>
      <c r="O171" s="136">
        <f t="shared" si="52"/>
        <v>0.46</v>
      </c>
      <c r="P171" s="136">
        <f t="shared" si="52"/>
        <v>0.46</v>
      </c>
      <c r="Q171" s="136">
        <f t="shared" si="52"/>
        <v>0.46</v>
      </c>
      <c r="R171" s="136">
        <f t="shared" si="52"/>
        <v>0.46</v>
      </c>
      <c r="S171" s="136">
        <f t="shared" si="53"/>
        <v>0.46</v>
      </c>
      <c r="T171" s="136">
        <f t="shared" si="53"/>
        <v>0.46</v>
      </c>
      <c r="U171" s="136">
        <f t="shared" si="53"/>
        <v>0.46</v>
      </c>
      <c r="V171" s="136">
        <f t="shared" si="53"/>
        <v>0.46</v>
      </c>
      <c r="W171" s="136">
        <f t="shared" si="53"/>
        <v>0.46</v>
      </c>
      <c r="X171" s="136">
        <f t="shared" si="53"/>
        <v>0.46</v>
      </c>
      <c r="Y171" s="136">
        <f t="shared" si="53"/>
        <v>0.46</v>
      </c>
      <c r="Z171" s="136">
        <f t="shared" si="53"/>
        <v>0.46</v>
      </c>
      <c r="AA171" s="136">
        <f t="shared" si="53"/>
        <v>0.46</v>
      </c>
      <c r="AB171" s="136">
        <f t="shared" si="53"/>
        <v>0.46</v>
      </c>
      <c r="AC171" s="136">
        <f t="shared" si="53"/>
        <v>0.46</v>
      </c>
      <c r="AD171" s="136">
        <f t="shared" si="53"/>
        <v>0.46</v>
      </c>
      <c r="AE171" s="136">
        <f t="shared" si="53"/>
        <v>0.46</v>
      </c>
      <c r="AF171" s="136">
        <f t="shared" si="53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51"/>
        <v>0.85</v>
      </c>
      <c r="C172" s="137">
        <v>0.85</v>
      </c>
      <c r="D172" s="136">
        <f t="shared" si="52"/>
        <v>0.85</v>
      </c>
      <c r="E172" s="136">
        <f t="shared" si="52"/>
        <v>0.85</v>
      </c>
      <c r="F172" s="136">
        <f t="shared" si="52"/>
        <v>0.85</v>
      </c>
      <c r="G172" s="136">
        <f t="shared" si="52"/>
        <v>0.85</v>
      </c>
      <c r="H172" s="136">
        <f t="shared" si="52"/>
        <v>0.85</v>
      </c>
      <c r="I172" s="136">
        <f t="shared" si="52"/>
        <v>0.85</v>
      </c>
      <c r="J172" s="136">
        <f t="shared" si="52"/>
        <v>0.85</v>
      </c>
      <c r="K172" s="136">
        <f t="shared" si="52"/>
        <v>0.85</v>
      </c>
      <c r="L172" s="136">
        <f t="shared" si="52"/>
        <v>0.85</v>
      </c>
      <c r="M172" s="136">
        <f t="shared" si="52"/>
        <v>0.85</v>
      </c>
      <c r="N172" s="136">
        <f t="shared" si="52"/>
        <v>0.85</v>
      </c>
      <c r="O172" s="136">
        <f t="shared" si="52"/>
        <v>0.85</v>
      </c>
      <c r="P172" s="136">
        <f t="shared" si="52"/>
        <v>0.85</v>
      </c>
      <c r="Q172" s="136">
        <f t="shared" si="52"/>
        <v>0.85</v>
      </c>
      <c r="R172" s="136">
        <f t="shared" si="52"/>
        <v>0.85</v>
      </c>
      <c r="S172" s="136">
        <f t="shared" si="53"/>
        <v>0.85</v>
      </c>
      <c r="T172" s="136">
        <f t="shared" si="53"/>
        <v>0.85</v>
      </c>
      <c r="U172" s="136">
        <f t="shared" si="53"/>
        <v>0.85</v>
      </c>
      <c r="V172" s="136">
        <f t="shared" si="53"/>
        <v>0.85</v>
      </c>
      <c r="W172" s="136">
        <f t="shared" si="53"/>
        <v>0.85</v>
      </c>
      <c r="X172" s="136">
        <f t="shared" si="53"/>
        <v>0.85</v>
      </c>
      <c r="Y172" s="136">
        <f t="shared" si="53"/>
        <v>0.85</v>
      </c>
      <c r="Z172" s="136">
        <f t="shared" si="53"/>
        <v>0.85</v>
      </c>
      <c r="AA172" s="136">
        <f t="shared" si="53"/>
        <v>0.85</v>
      </c>
      <c r="AB172" s="136">
        <f t="shared" si="53"/>
        <v>0.85</v>
      </c>
      <c r="AC172" s="136">
        <f t="shared" si="53"/>
        <v>0.85</v>
      </c>
      <c r="AD172" s="136">
        <f t="shared" si="53"/>
        <v>0.85</v>
      </c>
      <c r="AE172" s="136">
        <f t="shared" si="53"/>
        <v>0.85</v>
      </c>
      <c r="AF172" s="136">
        <f t="shared" si="53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51"/>
        <v>0.9</v>
      </c>
      <c r="C173" s="137">
        <v>0.9</v>
      </c>
      <c r="D173" s="136">
        <f t="shared" si="52"/>
        <v>0.9</v>
      </c>
      <c r="E173" s="136">
        <f t="shared" si="52"/>
        <v>0.9</v>
      </c>
      <c r="F173" s="136">
        <f t="shared" si="52"/>
        <v>0.9</v>
      </c>
      <c r="G173" s="136">
        <f t="shared" si="52"/>
        <v>0.9</v>
      </c>
      <c r="H173" s="136">
        <f t="shared" si="52"/>
        <v>0.9</v>
      </c>
      <c r="I173" s="136">
        <f t="shared" si="52"/>
        <v>0.9</v>
      </c>
      <c r="J173" s="136">
        <f t="shared" si="52"/>
        <v>0.9</v>
      </c>
      <c r="K173" s="136">
        <f t="shared" si="52"/>
        <v>0.9</v>
      </c>
      <c r="L173" s="136">
        <f t="shared" si="52"/>
        <v>0.9</v>
      </c>
      <c r="M173" s="136">
        <f t="shared" si="52"/>
        <v>0.9</v>
      </c>
      <c r="N173" s="136">
        <f t="shared" si="52"/>
        <v>0.9</v>
      </c>
      <c r="O173" s="136">
        <f t="shared" si="52"/>
        <v>0.9</v>
      </c>
      <c r="P173" s="136">
        <f t="shared" si="52"/>
        <v>0.9</v>
      </c>
      <c r="Q173" s="136">
        <f t="shared" si="52"/>
        <v>0.9</v>
      </c>
      <c r="R173" s="136">
        <f t="shared" si="52"/>
        <v>0.9</v>
      </c>
      <c r="S173" s="136">
        <f t="shared" si="53"/>
        <v>0.9</v>
      </c>
      <c r="T173" s="136">
        <f t="shared" si="53"/>
        <v>0.9</v>
      </c>
      <c r="U173" s="136">
        <f t="shared" si="53"/>
        <v>0.9</v>
      </c>
      <c r="V173" s="136">
        <f t="shared" si="53"/>
        <v>0.9</v>
      </c>
      <c r="W173" s="136">
        <f t="shared" si="53"/>
        <v>0.9</v>
      </c>
      <c r="X173" s="136">
        <f t="shared" si="53"/>
        <v>0.9</v>
      </c>
      <c r="Y173" s="136">
        <f t="shared" si="53"/>
        <v>0.9</v>
      </c>
      <c r="Z173" s="136">
        <f t="shared" si="53"/>
        <v>0.9</v>
      </c>
      <c r="AA173" s="136">
        <f t="shared" si="53"/>
        <v>0.9</v>
      </c>
      <c r="AB173" s="136">
        <f t="shared" si="53"/>
        <v>0.9</v>
      </c>
      <c r="AC173" s="136">
        <f t="shared" si="53"/>
        <v>0.9</v>
      </c>
      <c r="AD173" s="136">
        <f t="shared" si="53"/>
        <v>0.9</v>
      </c>
      <c r="AE173" s="136">
        <f t="shared" si="53"/>
        <v>0.9</v>
      </c>
      <c r="AF173" s="136">
        <f t="shared" si="53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51"/>
        <v>0.44</v>
      </c>
      <c r="C174" s="137">
        <v>0.44</v>
      </c>
      <c r="D174" s="136">
        <f t="shared" si="52"/>
        <v>0.44</v>
      </c>
      <c r="E174" s="136">
        <f t="shared" si="52"/>
        <v>0.44</v>
      </c>
      <c r="F174" s="136">
        <f t="shared" si="52"/>
        <v>0.44</v>
      </c>
      <c r="G174" s="136">
        <f t="shared" si="52"/>
        <v>0.44</v>
      </c>
      <c r="H174" s="136">
        <f t="shared" si="52"/>
        <v>0.44</v>
      </c>
      <c r="I174" s="136">
        <f t="shared" si="52"/>
        <v>0.44</v>
      </c>
      <c r="J174" s="136">
        <f t="shared" si="52"/>
        <v>0.44</v>
      </c>
      <c r="K174" s="136">
        <f t="shared" si="52"/>
        <v>0.44</v>
      </c>
      <c r="L174" s="136">
        <f t="shared" si="52"/>
        <v>0.44</v>
      </c>
      <c r="M174" s="136">
        <f t="shared" si="52"/>
        <v>0.44</v>
      </c>
      <c r="N174" s="136">
        <f t="shared" si="52"/>
        <v>0.44</v>
      </c>
      <c r="O174" s="136">
        <f t="shared" si="52"/>
        <v>0.44</v>
      </c>
      <c r="P174" s="136">
        <f t="shared" si="52"/>
        <v>0.44</v>
      </c>
      <c r="Q174" s="136">
        <f t="shared" si="52"/>
        <v>0.44</v>
      </c>
      <c r="R174" s="136">
        <f t="shared" si="52"/>
        <v>0.44</v>
      </c>
      <c r="S174" s="136">
        <f t="shared" si="53"/>
        <v>0.44</v>
      </c>
      <c r="T174" s="136">
        <f t="shared" si="53"/>
        <v>0.44</v>
      </c>
      <c r="U174" s="136">
        <f t="shared" si="53"/>
        <v>0.44</v>
      </c>
      <c r="V174" s="136">
        <f t="shared" si="53"/>
        <v>0.44</v>
      </c>
      <c r="W174" s="136">
        <f t="shared" si="53"/>
        <v>0.44</v>
      </c>
      <c r="X174" s="136">
        <f t="shared" si="53"/>
        <v>0.44</v>
      </c>
      <c r="Y174" s="136">
        <f t="shared" si="53"/>
        <v>0.44</v>
      </c>
      <c r="Z174" s="136">
        <f t="shared" si="53"/>
        <v>0.44</v>
      </c>
      <c r="AA174" s="136">
        <f t="shared" si="53"/>
        <v>0.44</v>
      </c>
      <c r="AB174" s="136">
        <f t="shared" si="53"/>
        <v>0.44</v>
      </c>
      <c r="AC174" s="136">
        <f t="shared" si="53"/>
        <v>0.44</v>
      </c>
      <c r="AD174" s="136">
        <f t="shared" si="53"/>
        <v>0.44</v>
      </c>
      <c r="AE174" s="136">
        <f t="shared" si="53"/>
        <v>0.44</v>
      </c>
      <c r="AF174" s="136">
        <f t="shared" si="53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51"/>
        <v>2.1</v>
      </c>
      <c r="C175" s="137">
        <v>2.1</v>
      </c>
      <c r="D175" s="136">
        <f t="shared" si="52"/>
        <v>2.1</v>
      </c>
      <c r="E175" s="136">
        <f t="shared" si="52"/>
        <v>2.1</v>
      </c>
      <c r="F175" s="136">
        <f t="shared" si="52"/>
        <v>2.1</v>
      </c>
      <c r="G175" s="136">
        <f t="shared" si="52"/>
        <v>2.1</v>
      </c>
      <c r="H175" s="136">
        <f t="shared" si="52"/>
        <v>2.1</v>
      </c>
      <c r="I175" s="136">
        <f t="shared" si="52"/>
        <v>2.1</v>
      </c>
      <c r="J175" s="136">
        <f t="shared" si="52"/>
        <v>2.1</v>
      </c>
      <c r="K175" s="136">
        <f t="shared" si="52"/>
        <v>2.1</v>
      </c>
      <c r="L175" s="136">
        <f t="shared" si="52"/>
        <v>2.1</v>
      </c>
      <c r="M175" s="136">
        <f t="shared" si="52"/>
        <v>2.1</v>
      </c>
      <c r="N175" s="136">
        <f t="shared" si="52"/>
        <v>2.1</v>
      </c>
      <c r="O175" s="136">
        <f t="shared" si="52"/>
        <v>2.1</v>
      </c>
      <c r="P175" s="136">
        <f t="shared" si="52"/>
        <v>2.1</v>
      </c>
      <c r="Q175" s="136">
        <f t="shared" si="52"/>
        <v>2.1</v>
      </c>
      <c r="R175" s="136">
        <f t="shared" si="52"/>
        <v>2.1</v>
      </c>
      <c r="S175" s="136">
        <f t="shared" si="53"/>
        <v>2.1</v>
      </c>
      <c r="T175" s="136">
        <f t="shared" si="53"/>
        <v>2.1</v>
      </c>
      <c r="U175" s="136">
        <f t="shared" si="53"/>
        <v>2.1</v>
      </c>
      <c r="V175" s="136">
        <f t="shared" si="53"/>
        <v>2.1</v>
      </c>
      <c r="W175" s="136">
        <f t="shared" si="53"/>
        <v>2.1</v>
      </c>
      <c r="X175" s="136">
        <f t="shared" si="53"/>
        <v>2.1</v>
      </c>
      <c r="Y175" s="136">
        <f t="shared" si="53"/>
        <v>2.1</v>
      </c>
      <c r="Z175" s="136">
        <f t="shared" si="53"/>
        <v>2.1</v>
      </c>
      <c r="AA175" s="136">
        <f t="shared" si="53"/>
        <v>2.1</v>
      </c>
      <c r="AB175" s="136">
        <f t="shared" si="53"/>
        <v>2.1</v>
      </c>
      <c r="AC175" s="136">
        <f t="shared" si="53"/>
        <v>2.1</v>
      </c>
      <c r="AD175" s="136">
        <f t="shared" si="53"/>
        <v>2.1</v>
      </c>
      <c r="AE175" s="136">
        <f t="shared" si="53"/>
        <v>2.1</v>
      </c>
      <c r="AF175" s="136">
        <f t="shared" si="53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51"/>
        <v>0.9</v>
      </c>
      <c r="C176" s="137">
        <v>0.9</v>
      </c>
      <c r="D176" s="136">
        <f t="shared" si="52"/>
        <v>0.9</v>
      </c>
      <c r="E176" s="136">
        <f t="shared" si="52"/>
        <v>0.9</v>
      </c>
      <c r="F176" s="136">
        <f t="shared" si="52"/>
        <v>0.9</v>
      </c>
      <c r="G176" s="136">
        <f t="shared" si="52"/>
        <v>0.9</v>
      </c>
      <c r="H176" s="136">
        <f t="shared" si="52"/>
        <v>0.9</v>
      </c>
      <c r="I176" s="136">
        <f t="shared" si="52"/>
        <v>0.9</v>
      </c>
      <c r="J176" s="136">
        <f t="shared" si="52"/>
        <v>0.9</v>
      </c>
      <c r="K176" s="136">
        <f t="shared" si="52"/>
        <v>0.9</v>
      </c>
      <c r="L176" s="136">
        <f t="shared" si="52"/>
        <v>0.9</v>
      </c>
      <c r="M176" s="136">
        <f t="shared" si="52"/>
        <v>0.9</v>
      </c>
      <c r="N176" s="136">
        <f t="shared" si="52"/>
        <v>0.9</v>
      </c>
      <c r="O176" s="136">
        <f t="shared" si="52"/>
        <v>0.9</v>
      </c>
      <c r="P176" s="136">
        <f t="shared" si="52"/>
        <v>0.9</v>
      </c>
      <c r="Q176" s="136">
        <f t="shared" si="52"/>
        <v>0.9</v>
      </c>
      <c r="R176" s="136">
        <f t="shared" si="52"/>
        <v>0.9</v>
      </c>
      <c r="S176" s="136">
        <f t="shared" si="53"/>
        <v>0.9</v>
      </c>
      <c r="T176" s="136">
        <f t="shared" si="53"/>
        <v>0.9</v>
      </c>
      <c r="U176" s="136">
        <f t="shared" si="53"/>
        <v>0.9</v>
      </c>
      <c r="V176" s="136">
        <f t="shared" si="53"/>
        <v>0.9</v>
      </c>
      <c r="W176" s="136">
        <f t="shared" si="53"/>
        <v>0.9</v>
      </c>
      <c r="X176" s="136">
        <f t="shared" si="53"/>
        <v>0.9</v>
      </c>
      <c r="Y176" s="136">
        <f t="shared" si="53"/>
        <v>0.9</v>
      </c>
      <c r="Z176" s="136">
        <f t="shared" si="53"/>
        <v>0.9</v>
      </c>
      <c r="AA176" s="136">
        <f t="shared" si="53"/>
        <v>0.9</v>
      </c>
      <c r="AB176" s="136">
        <f t="shared" si="53"/>
        <v>0.9</v>
      </c>
      <c r="AC176" s="136">
        <f t="shared" si="53"/>
        <v>0.9</v>
      </c>
      <c r="AD176" s="136">
        <f t="shared" si="53"/>
        <v>0.9</v>
      </c>
      <c r="AE176" s="136">
        <f t="shared" si="53"/>
        <v>0.9</v>
      </c>
      <c r="AF176" s="136">
        <f t="shared" si="53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4">AF178</f>
        <v>0.57999999999999996</v>
      </c>
      <c r="C178" s="137">
        <v>0.57999999999999996</v>
      </c>
      <c r="D178" s="136">
        <f t="shared" ref="D178:S190" si="55">C178</f>
        <v>0.57999999999999996</v>
      </c>
      <c r="E178" s="136">
        <f t="shared" si="55"/>
        <v>0.57999999999999996</v>
      </c>
      <c r="F178" s="136">
        <f t="shared" si="55"/>
        <v>0.57999999999999996</v>
      </c>
      <c r="G178" s="136">
        <f t="shared" si="55"/>
        <v>0.57999999999999996</v>
      </c>
      <c r="H178" s="136">
        <f t="shared" si="55"/>
        <v>0.57999999999999996</v>
      </c>
      <c r="I178" s="136">
        <f t="shared" si="55"/>
        <v>0.57999999999999996</v>
      </c>
      <c r="J178" s="136">
        <f t="shared" si="55"/>
        <v>0.57999999999999996</v>
      </c>
      <c r="K178" s="136">
        <f t="shared" si="55"/>
        <v>0.57999999999999996</v>
      </c>
      <c r="L178" s="136">
        <f t="shared" si="55"/>
        <v>0.57999999999999996</v>
      </c>
      <c r="M178" s="136">
        <f t="shared" si="55"/>
        <v>0.57999999999999996</v>
      </c>
      <c r="N178" s="136">
        <f t="shared" si="55"/>
        <v>0.57999999999999996</v>
      </c>
      <c r="O178" s="136">
        <f t="shared" si="55"/>
        <v>0.57999999999999996</v>
      </c>
      <c r="P178" s="136">
        <f t="shared" si="55"/>
        <v>0.57999999999999996</v>
      </c>
      <c r="Q178" s="136">
        <f t="shared" si="55"/>
        <v>0.57999999999999996</v>
      </c>
      <c r="R178" s="136">
        <f t="shared" si="55"/>
        <v>0.57999999999999996</v>
      </c>
      <c r="S178" s="136">
        <f t="shared" si="55"/>
        <v>0.57999999999999996</v>
      </c>
      <c r="T178" s="136">
        <f t="shared" ref="S178:AF190" si="56">S178</f>
        <v>0.57999999999999996</v>
      </c>
      <c r="U178" s="136">
        <f t="shared" si="56"/>
        <v>0.57999999999999996</v>
      </c>
      <c r="V178" s="136">
        <f t="shared" si="56"/>
        <v>0.57999999999999996</v>
      </c>
      <c r="W178" s="136">
        <f t="shared" si="56"/>
        <v>0.57999999999999996</v>
      </c>
      <c r="X178" s="136">
        <f t="shared" si="56"/>
        <v>0.57999999999999996</v>
      </c>
      <c r="Y178" s="136">
        <f t="shared" si="56"/>
        <v>0.57999999999999996</v>
      </c>
      <c r="Z178" s="136">
        <f t="shared" si="56"/>
        <v>0.57999999999999996</v>
      </c>
      <c r="AA178" s="136">
        <f t="shared" si="56"/>
        <v>0.57999999999999996</v>
      </c>
      <c r="AB178" s="136">
        <f t="shared" si="56"/>
        <v>0.57999999999999996</v>
      </c>
      <c r="AC178" s="136">
        <f t="shared" si="56"/>
        <v>0.57999999999999996</v>
      </c>
      <c r="AD178" s="136">
        <f t="shared" si="56"/>
        <v>0.57999999999999996</v>
      </c>
      <c r="AE178" s="136">
        <f t="shared" si="56"/>
        <v>0.57999999999999996</v>
      </c>
      <c r="AF178" s="136">
        <f t="shared" si="56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4"/>
        <v>0.8</v>
      </c>
      <c r="C179" s="137">
        <v>0.8</v>
      </c>
      <c r="D179" s="136">
        <f t="shared" si="55"/>
        <v>0.8</v>
      </c>
      <c r="E179" s="136">
        <f t="shared" si="55"/>
        <v>0.8</v>
      </c>
      <c r="F179" s="136">
        <f t="shared" si="55"/>
        <v>0.8</v>
      </c>
      <c r="G179" s="136">
        <f t="shared" si="55"/>
        <v>0.8</v>
      </c>
      <c r="H179" s="136">
        <f t="shared" si="55"/>
        <v>0.8</v>
      </c>
      <c r="I179" s="136">
        <f t="shared" si="55"/>
        <v>0.8</v>
      </c>
      <c r="J179" s="136">
        <f t="shared" si="55"/>
        <v>0.8</v>
      </c>
      <c r="K179" s="136">
        <f t="shared" si="55"/>
        <v>0.8</v>
      </c>
      <c r="L179" s="136">
        <f t="shared" si="55"/>
        <v>0.8</v>
      </c>
      <c r="M179" s="136">
        <f t="shared" si="55"/>
        <v>0.8</v>
      </c>
      <c r="N179" s="136">
        <f t="shared" si="55"/>
        <v>0.8</v>
      </c>
      <c r="O179" s="136">
        <f t="shared" si="55"/>
        <v>0.8</v>
      </c>
      <c r="P179" s="136">
        <f t="shared" si="55"/>
        <v>0.8</v>
      </c>
      <c r="Q179" s="136">
        <f t="shared" si="55"/>
        <v>0.8</v>
      </c>
      <c r="R179" s="136">
        <f t="shared" si="55"/>
        <v>0.8</v>
      </c>
      <c r="S179" s="136">
        <f t="shared" si="55"/>
        <v>0.8</v>
      </c>
      <c r="T179" s="136">
        <f t="shared" si="56"/>
        <v>0.8</v>
      </c>
      <c r="U179" s="136">
        <f t="shared" si="56"/>
        <v>0.8</v>
      </c>
      <c r="V179" s="136">
        <f t="shared" si="56"/>
        <v>0.8</v>
      </c>
      <c r="W179" s="136">
        <f t="shared" si="56"/>
        <v>0.8</v>
      </c>
      <c r="X179" s="136">
        <f t="shared" si="56"/>
        <v>0.8</v>
      </c>
      <c r="Y179" s="136">
        <f t="shared" si="56"/>
        <v>0.8</v>
      </c>
      <c r="Z179" s="136">
        <f t="shared" si="56"/>
        <v>0.8</v>
      </c>
      <c r="AA179" s="136">
        <f t="shared" si="56"/>
        <v>0.8</v>
      </c>
      <c r="AB179" s="136">
        <f t="shared" si="56"/>
        <v>0.8</v>
      </c>
      <c r="AC179" s="136">
        <f t="shared" si="56"/>
        <v>0.8</v>
      </c>
      <c r="AD179" s="136">
        <f t="shared" si="56"/>
        <v>0.8</v>
      </c>
      <c r="AE179" s="136">
        <f t="shared" si="56"/>
        <v>0.8</v>
      </c>
      <c r="AF179" s="136">
        <f t="shared" si="56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4"/>
        <v>0</v>
      </c>
      <c r="C180" s="137">
        <v>0</v>
      </c>
      <c r="D180" s="136">
        <f t="shared" si="55"/>
        <v>0</v>
      </c>
      <c r="E180" s="136">
        <f t="shared" si="55"/>
        <v>0</v>
      </c>
      <c r="F180" s="136">
        <f t="shared" si="55"/>
        <v>0</v>
      </c>
      <c r="G180" s="136">
        <f t="shared" si="55"/>
        <v>0</v>
      </c>
      <c r="H180" s="136">
        <f t="shared" si="55"/>
        <v>0</v>
      </c>
      <c r="I180" s="136">
        <f t="shared" si="55"/>
        <v>0</v>
      </c>
      <c r="J180" s="136">
        <f t="shared" si="55"/>
        <v>0</v>
      </c>
      <c r="K180" s="136">
        <f t="shared" si="55"/>
        <v>0</v>
      </c>
      <c r="L180" s="136">
        <f t="shared" si="55"/>
        <v>0</v>
      </c>
      <c r="M180" s="136">
        <f t="shared" si="55"/>
        <v>0</v>
      </c>
      <c r="N180" s="136">
        <f t="shared" si="55"/>
        <v>0</v>
      </c>
      <c r="O180" s="136">
        <f t="shared" si="55"/>
        <v>0</v>
      </c>
      <c r="P180" s="136">
        <f t="shared" si="55"/>
        <v>0</v>
      </c>
      <c r="Q180" s="136">
        <f t="shared" si="55"/>
        <v>0</v>
      </c>
      <c r="R180" s="136">
        <f t="shared" si="55"/>
        <v>0</v>
      </c>
      <c r="S180" s="136">
        <f t="shared" si="55"/>
        <v>0</v>
      </c>
      <c r="T180" s="136">
        <f t="shared" si="56"/>
        <v>0</v>
      </c>
      <c r="U180" s="136">
        <f t="shared" si="56"/>
        <v>0</v>
      </c>
      <c r="V180" s="136">
        <f t="shared" si="56"/>
        <v>0</v>
      </c>
      <c r="W180" s="136">
        <f t="shared" si="56"/>
        <v>0</v>
      </c>
      <c r="X180" s="136">
        <f t="shared" si="56"/>
        <v>0</v>
      </c>
      <c r="Y180" s="136">
        <f t="shared" si="56"/>
        <v>0</v>
      </c>
      <c r="Z180" s="136">
        <f t="shared" si="56"/>
        <v>0</v>
      </c>
      <c r="AA180" s="136">
        <f t="shared" si="56"/>
        <v>0</v>
      </c>
      <c r="AB180" s="136">
        <f t="shared" si="56"/>
        <v>0</v>
      </c>
      <c r="AC180" s="136">
        <f t="shared" si="56"/>
        <v>0</v>
      </c>
      <c r="AD180" s="136">
        <f t="shared" si="56"/>
        <v>0</v>
      </c>
      <c r="AE180" s="136">
        <f t="shared" si="56"/>
        <v>0</v>
      </c>
      <c r="AF180" s="136">
        <f t="shared" si="56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4"/>
        <v>0.6</v>
      </c>
      <c r="C181" s="137">
        <v>0.6</v>
      </c>
      <c r="D181" s="136">
        <f t="shared" si="55"/>
        <v>0.6</v>
      </c>
      <c r="E181" s="136">
        <f t="shared" si="55"/>
        <v>0.6</v>
      </c>
      <c r="F181" s="136">
        <f t="shared" si="55"/>
        <v>0.6</v>
      </c>
      <c r="G181" s="136">
        <f t="shared" si="55"/>
        <v>0.6</v>
      </c>
      <c r="H181" s="136">
        <f t="shared" si="55"/>
        <v>0.6</v>
      </c>
      <c r="I181" s="136">
        <f t="shared" si="55"/>
        <v>0.6</v>
      </c>
      <c r="J181" s="136">
        <f t="shared" si="55"/>
        <v>0.6</v>
      </c>
      <c r="K181" s="136">
        <f t="shared" si="55"/>
        <v>0.6</v>
      </c>
      <c r="L181" s="136">
        <f t="shared" si="55"/>
        <v>0.6</v>
      </c>
      <c r="M181" s="136">
        <f t="shared" si="55"/>
        <v>0.6</v>
      </c>
      <c r="N181" s="136">
        <f t="shared" si="55"/>
        <v>0.6</v>
      </c>
      <c r="O181" s="136">
        <f t="shared" si="55"/>
        <v>0.6</v>
      </c>
      <c r="P181" s="136">
        <f t="shared" si="55"/>
        <v>0.6</v>
      </c>
      <c r="Q181" s="136">
        <f t="shared" si="55"/>
        <v>0.6</v>
      </c>
      <c r="R181" s="136">
        <f t="shared" si="55"/>
        <v>0.6</v>
      </c>
      <c r="S181" s="136">
        <f t="shared" si="55"/>
        <v>0.6</v>
      </c>
      <c r="T181" s="136">
        <f t="shared" si="56"/>
        <v>0.6</v>
      </c>
      <c r="U181" s="136">
        <f t="shared" si="56"/>
        <v>0.6</v>
      </c>
      <c r="V181" s="136">
        <f t="shared" si="56"/>
        <v>0.6</v>
      </c>
      <c r="W181" s="136">
        <f t="shared" si="56"/>
        <v>0.6</v>
      </c>
      <c r="X181" s="136">
        <f t="shared" si="56"/>
        <v>0.6</v>
      </c>
      <c r="Y181" s="136">
        <f t="shared" si="56"/>
        <v>0.6</v>
      </c>
      <c r="Z181" s="136">
        <f t="shared" si="56"/>
        <v>0.6</v>
      </c>
      <c r="AA181" s="136">
        <f t="shared" si="56"/>
        <v>0.6</v>
      </c>
      <c r="AB181" s="136">
        <f t="shared" si="56"/>
        <v>0.6</v>
      </c>
      <c r="AC181" s="136">
        <f t="shared" si="56"/>
        <v>0.6</v>
      </c>
      <c r="AD181" s="136">
        <f t="shared" si="56"/>
        <v>0.6</v>
      </c>
      <c r="AE181" s="136">
        <f t="shared" si="56"/>
        <v>0.6</v>
      </c>
      <c r="AF181" s="136">
        <f t="shared" si="56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4"/>
        <v>0.6</v>
      </c>
      <c r="C182" s="137">
        <v>0.6</v>
      </c>
      <c r="D182" s="136">
        <f t="shared" si="55"/>
        <v>0.6</v>
      </c>
      <c r="E182" s="136">
        <f t="shared" si="55"/>
        <v>0.6</v>
      </c>
      <c r="F182" s="136">
        <f t="shared" si="55"/>
        <v>0.6</v>
      </c>
      <c r="G182" s="136">
        <f t="shared" si="55"/>
        <v>0.6</v>
      </c>
      <c r="H182" s="136">
        <f t="shared" si="55"/>
        <v>0.6</v>
      </c>
      <c r="I182" s="136">
        <f t="shared" si="55"/>
        <v>0.6</v>
      </c>
      <c r="J182" s="136">
        <f t="shared" si="55"/>
        <v>0.6</v>
      </c>
      <c r="K182" s="136">
        <f t="shared" si="55"/>
        <v>0.6</v>
      </c>
      <c r="L182" s="136">
        <f t="shared" si="55"/>
        <v>0.6</v>
      </c>
      <c r="M182" s="136">
        <f t="shared" si="55"/>
        <v>0.6</v>
      </c>
      <c r="N182" s="136">
        <f t="shared" si="55"/>
        <v>0.6</v>
      </c>
      <c r="O182" s="136">
        <f t="shared" si="55"/>
        <v>0.6</v>
      </c>
      <c r="P182" s="136">
        <f t="shared" si="55"/>
        <v>0.6</v>
      </c>
      <c r="Q182" s="136">
        <f t="shared" si="55"/>
        <v>0.6</v>
      </c>
      <c r="R182" s="136">
        <f t="shared" si="55"/>
        <v>0.6</v>
      </c>
      <c r="S182" s="136">
        <f t="shared" si="55"/>
        <v>0.6</v>
      </c>
      <c r="T182" s="136">
        <f t="shared" si="56"/>
        <v>0.6</v>
      </c>
      <c r="U182" s="136">
        <f t="shared" si="56"/>
        <v>0.6</v>
      </c>
      <c r="V182" s="136">
        <f t="shared" si="56"/>
        <v>0.6</v>
      </c>
      <c r="W182" s="136">
        <f t="shared" si="56"/>
        <v>0.6</v>
      </c>
      <c r="X182" s="136">
        <f t="shared" si="56"/>
        <v>0.6</v>
      </c>
      <c r="Y182" s="136">
        <f t="shared" si="56"/>
        <v>0.6</v>
      </c>
      <c r="Z182" s="136">
        <f t="shared" si="56"/>
        <v>0.6</v>
      </c>
      <c r="AA182" s="136">
        <f t="shared" si="56"/>
        <v>0.6</v>
      </c>
      <c r="AB182" s="136">
        <f t="shared" si="56"/>
        <v>0.6</v>
      </c>
      <c r="AC182" s="136">
        <f t="shared" si="56"/>
        <v>0.6</v>
      </c>
      <c r="AD182" s="136">
        <f t="shared" si="56"/>
        <v>0.6</v>
      </c>
      <c r="AE182" s="136">
        <f t="shared" si="56"/>
        <v>0.6</v>
      </c>
      <c r="AF182" s="136">
        <f t="shared" si="56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4"/>
        <v>0.35</v>
      </c>
      <c r="C183" s="137">
        <v>0.35</v>
      </c>
      <c r="D183" s="136">
        <f t="shared" si="55"/>
        <v>0.35</v>
      </c>
      <c r="E183" s="136">
        <f t="shared" si="55"/>
        <v>0.35</v>
      </c>
      <c r="F183" s="136">
        <f t="shared" si="55"/>
        <v>0.35</v>
      </c>
      <c r="G183" s="136">
        <f t="shared" si="55"/>
        <v>0.35</v>
      </c>
      <c r="H183" s="136">
        <f t="shared" si="55"/>
        <v>0.35</v>
      </c>
      <c r="I183" s="136">
        <f t="shared" si="55"/>
        <v>0.35</v>
      </c>
      <c r="J183" s="136">
        <f t="shared" si="55"/>
        <v>0.35</v>
      </c>
      <c r="K183" s="136">
        <f t="shared" si="55"/>
        <v>0.35</v>
      </c>
      <c r="L183" s="136">
        <f t="shared" si="55"/>
        <v>0.35</v>
      </c>
      <c r="M183" s="136">
        <f t="shared" si="55"/>
        <v>0.35</v>
      </c>
      <c r="N183" s="136">
        <f t="shared" si="55"/>
        <v>0.35</v>
      </c>
      <c r="O183" s="136">
        <f t="shared" si="55"/>
        <v>0.35</v>
      </c>
      <c r="P183" s="136">
        <f t="shared" si="55"/>
        <v>0.35</v>
      </c>
      <c r="Q183" s="136">
        <f t="shared" si="55"/>
        <v>0.35</v>
      </c>
      <c r="R183" s="136">
        <f t="shared" si="55"/>
        <v>0.35</v>
      </c>
      <c r="S183" s="136">
        <f t="shared" si="55"/>
        <v>0.35</v>
      </c>
      <c r="T183" s="136">
        <f t="shared" si="56"/>
        <v>0.35</v>
      </c>
      <c r="U183" s="136">
        <f t="shared" si="56"/>
        <v>0.35</v>
      </c>
      <c r="V183" s="136">
        <f t="shared" si="56"/>
        <v>0.35</v>
      </c>
      <c r="W183" s="136">
        <f t="shared" si="56"/>
        <v>0.35</v>
      </c>
      <c r="X183" s="136">
        <f t="shared" si="56"/>
        <v>0.35</v>
      </c>
      <c r="Y183" s="136">
        <f t="shared" si="56"/>
        <v>0.35</v>
      </c>
      <c r="Z183" s="136">
        <f t="shared" si="56"/>
        <v>0.35</v>
      </c>
      <c r="AA183" s="136">
        <f t="shared" si="56"/>
        <v>0.35</v>
      </c>
      <c r="AB183" s="136">
        <f t="shared" si="56"/>
        <v>0.35</v>
      </c>
      <c r="AC183" s="136">
        <f t="shared" si="56"/>
        <v>0.35</v>
      </c>
      <c r="AD183" s="136">
        <f t="shared" si="56"/>
        <v>0.35</v>
      </c>
      <c r="AE183" s="136">
        <f t="shared" si="56"/>
        <v>0.35</v>
      </c>
      <c r="AF183" s="136">
        <f t="shared" si="56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4"/>
        <v>0.28999999999999998</v>
      </c>
      <c r="C184" s="137">
        <v>0.28999999999999998</v>
      </c>
      <c r="D184" s="136">
        <f t="shared" si="55"/>
        <v>0.28999999999999998</v>
      </c>
      <c r="E184" s="136">
        <f t="shared" si="55"/>
        <v>0.28999999999999998</v>
      </c>
      <c r="F184" s="136">
        <f t="shared" si="55"/>
        <v>0.28999999999999998</v>
      </c>
      <c r="G184" s="136">
        <f t="shared" si="55"/>
        <v>0.28999999999999998</v>
      </c>
      <c r="H184" s="136">
        <f t="shared" si="55"/>
        <v>0.28999999999999998</v>
      </c>
      <c r="I184" s="136">
        <f t="shared" si="55"/>
        <v>0.28999999999999998</v>
      </c>
      <c r="J184" s="136">
        <f t="shared" si="55"/>
        <v>0.28999999999999998</v>
      </c>
      <c r="K184" s="136">
        <f t="shared" si="55"/>
        <v>0.28999999999999998</v>
      </c>
      <c r="L184" s="136">
        <f t="shared" si="55"/>
        <v>0.28999999999999998</v>
      </c>
      <c r="M184" s="136">
        <f t="shared" si="55"/>
        <v>0.28999999999999998</v>
      </c>
      <c r="N184" s="136">
        <f t="shared" si="55"/>
        <v>0.28999999999999998</v>
      </c>
      <c r="O184" s="136">
        <f t="shared" si="55"/>
        <v>0.28999999999999998</v>
      </c>
      <c r="P184" s="136">
        <f t="shared" si="55"/>
        <v>0.28999999999999998</v>
      </c>
      <c r="Q184" s="136">
        <f t="shared" si="55"/>
        <v>0.28999999999999998</v>
      </c>
      <c r="R184" s="136">
        <f t="shared" si="55"/>
        <v>0.28999999999999998</v>
      </c>
      <c r="S184" s="136">
        <f t="shared" si="55"/>
        <v>0.28999999999999998</v>
      </c>
      <c r="T184" s="136">
        <f t="shared" si="56"/>
        <v>0.28999999999999998</v>
      </c>
      <c r="U184" s="136">
        <f t="shared" si="56"/>
        <v>0.28999999999999998</v>
      </c>
      <c r="V184" s="136">
        <f t="shared" si="56"/>
        <v>0.28999999999999998</v>
      </c>
      <c r="W184" s="136">
        <f t="shared" si="56"/>
        <v>0.28999999999999998</v>
      </c>
      <c r="X184" s="136">
        <f t="shared" si="56"/>
        <v>0.28999999999999998</v>
      </c>
      <c r="Y184" s="136">
        <f t="shared" si="56"/>
        <v>0.28999999999999998</v>
      </c>
      <c r="Z184" s="136">
        <f t="shared" si="56"/>
        <v>0.28999999999999998</v>
      </c>
      <c r="AA184" s="136">
        <f t="shared" si="56"/>
        <v>0.28999999999999998</v>
      </c>
      <c r="AB184" s="136">
        <f t="shared" si="56"/>
        <v>0.28999999999999998</v>
      </c>
      <c r="AC184" s="136">
        <f t="shared" si="56"/>
        <v>0.28999999999999998</v>
      </c>
      <c r="AD184" s="136">
        <f t="shared" si="56"/>
        <v>0.28999999999999998</v>
      </c>
      <c r="AE184" s="136">
        <f t="shared" si="56"/>
        <v>0.28999999999999998</v>
      </c>
      <c r="AF184" s="136">
        <f t="shared" si="56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4"/>
        <v>0.06</v>
      </c>
      <c r="C185" s="137">
        <v>0.06</v>
      </c>
      <c r="D185" s="136">
        <f t="shared" si="55"/>
        <v>0.06</v>
      </c>
      <c r="E185" s="136">
        <f t="shared" si="55"/>
        <v>0.06</v>
      </c>
      <c r="F185" s="136">
        <f t="shared" si="55"/>
        <v>0.06</v>
      </c>
      <c r="G185" s="136">
        <f t="shared" si="55"/>
        <v>0.06</v>
      </c>
      <c r="H185" s="136">
        <f t="shared" si="55"/>
        <v>0.06</v>
      </c>
      <c r="I185" s="136">
        <f t="shared" si="55"/>
        <v>0.06</v>
      </c>
      <c r="J185" s="136">
        <f t="shared" si="55"/>
        <v>0.06</v>
      </c>
      <c r="K185" s="136">
        <f t="shared" si="55"/>
        <v>0.06</v>
      </c>
      <c r="L185" s="136">
        <f t="shared" si="55"/>
        <v>0.06</v>
      </c>
      <c r="M185" s="136">
        <f t="shared" si="55"/>
        <v>0.06</v>
      </c>
      <c r="N185" s="136">
        <f t="shared" si="55"/>
        <v>0.06</v>
      </c>
      <c r="O185" s="136">
        <f t="shared" si="55"/>
        <v>0.06</v>
      </c>
      <c r="P185" s="136">
        <f t="shared" si="55"/>
        <v>0.06</v>
      </c>
      <c r="Q185" s="136">
        <f t="shared" si="55"/>
        <v>0.06</v>
      </c>
      <c r="R185" s="136">
        <f t="shared" si="55"/>
        <v>0.06</v>
      </c>
      <c r="S185" s="136">
        <f t="shared" si="55"/>
        <v>0.06</v>
      </c>
      <c r="T185" s="136">
        <f t="shared" si="56"/>
        <v>0.06</v>
      </c>
      <c r="U185" s="136">
        <f t="shared" si="56"/>
        <v>0.06</v>
      </c>
      <c r="V185" s="136">
        <f t="shared" si="56"/>
        <v>0.06</v>
      </c>
      <c r="W185" s="136">
        <f t="shared" si="56"/>
        <v>0.06</v>
      </c>
      <c r="X185" s="136">
        <f t="shared" si="56"/>
        <v>0.06</v>
      </c>
      <c r="Y185" s="136">
        <f t="shared" si="56"/>
        <v>0.06</v>
      </c>
      <c r="Z185" s="136">
        <f t="shared" si="56"/>
        <v>0.06</v>
      </c>
      <c r="AA185" s="136">
        <f t="shared" si="56"/>
        <v>0.06</v>
      </c>
      <c r="AB185" s="136">
        <f t="shared" si="56"/>
        <v>0.06</v>
      </c>
      <c r="AC185" s="136">
        <f t="shared" si="56"/>
        <v>0.06</v>
      </c>
      <c r="AD185" s="136">
        <f t="shared" si="56"/>
        <v>0.06</v>
      </c>
      <c r="AE185" s="136">
        <f t="shared" si="56"/>
        <v>0.06</v>
      </c>
      <c r="AF185" s="136">
        <f t="shared" si="56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4"/>
        <v>0.11</v>
      </c>
      <c r="C186" s="137">
        <v>0.11</v>
      </c>
      <c r="D186" s="136">
        <f t="shared" si="55"/>
        <v>0.11</v>
      </c>
      <c r="E186" s="136">
        <f t="shared" si="55"/>
        <v>0.11</v>
      </c>
      <c r="F186" s="136">
        <f t="shared" si="55"/>
        <v>0.11</v>
      </c>
      <c r="G186" s="136">
        <f t="shared" si="55"/>
        <v>0.11</v>
      </c>
      <c r="H186" s="136">
        <f t="shared" si="55"/>
        <v>0.11</v>
      </c>
      <c r="I186" s="136">
        <f t="shared" si="55"/>
        <v>0.11</v>
      </c>
      <c r="J186" s="136">
        <f t="shared" si="55"/>
        <v>0.11</v>
      </c>
      <c r="K186" s="136">
        <f t="shared" si="55"/>
        <v>0.11</v>
      </c>
      <c r="L186" s="136">
        <f t="shared" si="55"/>
        <v>0.11</v>
      </c>
      <c r="M186" s="136">
        <f t="shared" si="55"/>
        <v>0.11</v>
      </c>
      <c r="N186" s="136">
        <f t="shared" si="55"/>
        <v>0.11</v>
      </c>
      <c r="O186" s="136">
        <f t="shared" si="55"/>
        <v>0.11</v>
      </c>
      <c r="P186" s="136">
        <f t="shared" si="55"/>
        <v>0.11</v>
      </c>
      <c r="Q186" s="136">
        <f t="shared" si="55"/>
        <v>0.11</v>
      </c>
      <c r="R186" s="136">
        <f t="shared" si="55"/>
        <v>0.11</v>
      </c>
      <c r="S186" s="136">
        <f t="shared" si="55"/>
        <v>0.11</v>
      </c>
      <c r="T186" s="136">
        <f t="shared" si="56"/>
        <v>0.11</v>
      </c>
      <c r="U186" s="136">
        <f t="shared" si="56"/>
        <v>0.11</v>
      </c>
      <c r="V186" s="136">
        <f t="shared" si="56"/>
        <v>0.11</v>
      </c>
      <c r="W186" s="136">
        <f t="shared" si="56"/>
        <v>0.11</v>
      </c>
      <c r="X186" s="136">
        <f t="shared" si="56"/>
        <v>0.11</v>
      </c>
      <c r="Y186" s="136">
        <f t="shared" si="56"/>
        <v>0.11</v>
      </c>
      <c r="Z186" s="136">
        <f t="shared" si="56"/>
        <v>0.11</v>
      </c>
      <c r="AA186" s="136">
        <f t="shared" si="56"/>
        <v>0.11</v>
      </c>
      <c r="AB186" s="136">
        <f t="shared" si="56"/>
        <v>0.11</v>
      </c>
      <c r="AC186" s="136">
        <f t="shared" si="56"/>
        <v>0.11</v>
      </c>
      <c r="AD186" s="136">
        <f t="shared" si="56"/>
        <v>0.11</v>
      </c>
      <c r="AE186" s="136">
        <f t="shared" si="56"/>
        <v>0.11</v>
      </c>
      <c r="AF186" s="136">
        <f t="shared" si="56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4"/>
        <v>0.1</v>
      </c>
      <c r="C187" s="137">
        <v>0.1</v>
      </c>
      <c r="D187" s="136">
        <f t="shared" si="55"/>
        <v>0.1</v>
      </c>
      <c r="E187" s="136">
        <f t="shared" si="55"/>
        <v>0.1</v>
      </c>
      <c r="F187" s="136">
        <f t="shared" si="55"/>
        <v>0.1</v>
      </c>
      <c r="G187" s="136">
        <f t="shared" si="55"/>
        <v>0.1</v>
      </c>
      <c r="H187" s="136">
        <f t="shared" si="55"/>
        <v>0.1</v>
      </c>
      <c r="I187" s="136">
        <f t="shared" si="55"/>
        <v>0.1</v>
      </c>
      <c r="J187" s="136">
        <f t="shared" si="55"/>
        <v>0.1</v>
      </c>
      <c r="K187" s="136">
        <f t="shared" si="55"/>
        <v>0.1</v>
      </c>
      <c r="L187" s="136">
        <f t="shared" si="55"/>
        <v>0.1</v>
      </c>
      <c r="M187" s="136">
        <f t="shared" si="55"/>
        <v>0.1</v>
      </c>
      <c r="N187" s="136">
        <f t="shared" si="55"/>
        <v>0.1</v>
      </c>
      <c r="O187" s="136">
        <f t="shared" si="55"/>
        <v>0.1</v>
      </c>
      <c r="P187" s="136">
        <f t="shared" si="55"/>
        <v>0.1</v>
      </c>
      <c r="Q187" s="136">
        <f t="shared" si="55"/>
        <v>0.1</v>
      </c>
      <c r="R187" s="136">
        <f t="shared" si="55"/>
        <v>0.1</v>
      </c>
      <c r="S187" s="136">
        <f t="shared" si="56"/>
        <v>0.1</v>
      </c>
      <c r="T187" s="136">
        <f t="shared" si="56"/>
        <v>0.1</v>
      </c>
      <c r="U187" s="136">
        <f t="shared" si="56"/>
        <v>0.1</v>
      </c>
      <c r="V187" s="136">
        <f t="shared" si="56"/>
        <v>0.1</v>
      </c>
      <c r="W187" s="136">
        <f t="shared" si="56"/>
        <v>0.1</v>
      </c>
      <c r="X187" s="136">
        <f t="shared" si="56"/>
        <v>0.1</v>
      </c>
      <c r="Y187" s="136">
        <f t="shared" si="56"/>
        <v>0.1</v>
      </c>
      <c r="Z187" s="136">
        <f t="shared" si="56"/>
        <v>0.1</v>
      </c>
      <c r="AA187" s="136">
        <f t="shared" si="56"/>
        <v>0.1</v>
      </c>
      <c r="AB187" s="136">
        <f t="shared" si="56"/>
        <v>0.1</v>
      </c>
      <c r="AC187" s="136">
        <f t="shared" si="56"/>
        <v>0.1</v>
      </c>
      <c r="AD187" s="136">
        <f t="shared" si="56"/>
        <v>0.1</v>
      </c>
      <c r="AE187" s="136">
        <f t="shared" si="56"/>
        <v>0.1</v>
      </c>
      <c r="AF187" s="136">
        <f t="shared" si="56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4"/>
        <v>0.09</v>
      </c>
      <c r="C188" s="137">
        <v>0.09</v>
      </c>
      <c r="D188" s="136">
        <f t="shared" si="55"/>
        <v>0.09</v>
      </c>
      <c r="E188" s="136">
        <f t="shared" si="55"/>
        <v>0.09</v>
      </c>
      <c r="F188" s="136">
        <f t="shared" si="55"/>
        <v>0.09</v>
      </c>
      <c r="G188" s="136">
        <f t="shared" si="55"/>
        <v>0.09</v>
      </c>
      <c r="H188" s="136">
        <f t="shared" si="55"/>
        <v>0.09</v>
      </c>
      <c r="I188" s="136">
        <f t="shared" si="55"/>
        <v>0.09</v>
      </c>
      <c r="J188" s="136">
        <f t="shared" si="55"/>
        <v>0.09</v>
      </c>
      <c r="K188" s="136">
        <f t="shared" si="55"/>
        <v>0.09</v>
      </c>
      <c r="L188" s="136">
        <f t="shared" si="55"/>
        <v>0.09</v>
      </c>
      <c r="M188" s="136">
        <f t="shared" si="55"/>
        <v>0.09</v>
      </c>
      <c r="N188" s="136">
        <f t="shared" si="55"/>
        <v>0.09</v>
      </c>
      <c r="O188" s="136">
        <f t="shared" si="55"/>
        <v>0.09</v>
      </c>
      <c r="P188" s="136">
        <f t="shared" si="55"/>
        <v>0.09</v>
      </c>
      <c r="Q188" s="136">
        <f t="shared" si="55"/>
        <v>0.09</v>
      </c>
      <c r="R188" s="136">
        <f t="shared" si="55"/>
        <v>0.09</v>
      </c>
      <c r="S188" s="136">
        <f t="shared" si="56"/>
        <v>0.09</v>
      </c>
      <c r="T188" s="136">
        <f t="shared" si="56"/>
        <v>0.09</v>
      </c>
      <c r="U188" s="136">
        <f t="shared" si="56"/>
        <v>0.09</v>
      </c>
      <c r="V188" s="136">
        <f t="shared" si="56"/>
        <v>0.09</v>
      </c>
      <c r="W188" s="136">
        <f t="shared" si="56"/>
        <v>0.09</v>
      </c>
      <c r="X188" s="136">
        <f t="shared" si="56"/>
        <v>0.09</v>
      </c>
      <c r="Y188" s="136">
        <f t="shared" si="56"/>
        <v>0.09</v>
      </c>
      <c r="Z188" s="136">
        <f t="shared" si="56"/>
        <v>0.09</v>
      </c>
      <c r="AA188" s="136">
        <f t="shared" si="56"/>
        <v>0.09</v>
      </c>
      <c r="AB188" s="136">
        <f t="shared" si="56"/>
        <v>0.09</v>
      </c>
      <c r="AC188" s="136">
        <f t="shared" si="56"/>
        <v>0.09</v>
      </c>
      <c r="AD188" s="136">
        <f t="shared" si="56"/>
        <v>0.09</v>
      </c>
      <c r="AE188" s="136">
        <f t="shared" si="56"/>
        <v>0.09</v>
      </c>
      <c r="AF188" s="136">
        <f t="shared" si="56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4"/>
        <v>0.04</v>
      </c>
      <c r="C189" s="53">
        <v>0.04</v>
      </c>
      <c r="D189" s="136">
        <f t="shared" si="55"/>
        <v>0.04</v>
      </c>
      <c r="E189" s="136">
        <f t="shared" si="55"/>
        <v>0.04</v>
      </c>
      <c r="F189" s="136">
        <f t="shared" si="55"/>
        <v>0.04</v>
      </c>
      <c r="G189" s="136">
        <f t="shared" si="55"/>
        <v>0.04</v>
      </c>
      <c r="H189" s="136">
        <f t="shared" si="55"/>
        <v>0.04</v>
      </c>
      <c r="I189" s="136">
        <f t="shared" si="55"/>
        <v>0.04</v>
      </c>
      <c r="J189" s="136">
        <f t="shared" si="55"/>
        <v>0.04</v>
      </c>
      <c r="K189" s="136">
        <f t="shared" si="55"/>
        <v>0.04</v>
      </c>
      <c r="L189" s="136">
        <f t="shared" si="55"/>
        <v>0.04</v>
      </c>
      <c r="M189" s="136">
        <f t="shared" si="55"/>
        <v>0.04</v>
      </c>
      <c r="N189" s="136">
        <f t="shared" si="55"/>
        <v>0.04</v>
      </c>
      <c r="O189" s="136">
        <f t="shared" si="55"/>
        <v>0.04</v>
      </c>
      <c r="P189" s="136">
        <f t="shared" si="55"/>
        <v>0.04</v>
      </c>
      <c r="Q189" s="136">
        <f t="shared" si="55"/>
        <v>0.04</v>
      </c>
      <c r="R189" s="136">
        <f t="shared" si="55"/>
        <v>0.04</v>
      </c>
      <c r="S189" s="136">
        <f t="shared" si="56"/>
        <v>0.04</v>
      </c>
      <c r="T189" s="136">
        <f t="shared" si="56"/>
        <v>0.04</v>
      </c>
      <c r="U189" s="136">
        <f t="shared" si="56"/>
        <v>0.04</v>
      </c>
      <c r="V189" s="136">
        <f t="shared" si="56"/>
        <v>0.04</v>
      </c>
      <c r="W189" s="136">
        <f t="shared" si="56"/>
        <v>0.04</v>
      </c>
      <c r="X189" s="136">
        <f t="shared" si="56"/>
        <v>0.04</v>
      </c>
      <c r="Y189" s="136">
        <f t="shared" si="56"/>
        <v>0.04</v>
      </c>
      <c r="Z189" s="136">
        <f t="shared" si="56"/>
        <v>0.04</v>
      </c>
      <c r="AA189" s="136">
        <f t="shared" si="56"/>
        <v>0.04</v>
      </c>
      <c r="AB189" s="136">
        <f t="shared" si="56"/>
        <v>0.04</v>
      </c>
      <c r="AC189" s="136">
        <f t="shared" si="56"/>
        <v>0.04</v>
      </c>
      <c r="AD189" s="136">
        <f t="shared" si="56"/>
        <v>0.04</v>
      </c>
      <c r="AE189" s="136">
        <f t="shared" si="56"/>
        <v>0.04</v>
      </c>
      <c r="AF189" s="136">
        <f t="shared" si="56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4"/>
        <v>2.3E-2</v>
      </c>
      <c r="C190" s="53">
        <v>2.3E-2</v>
      </c>
      <c r="D190" s="136">
        <f>C190</f>
        <v>2.3E-2</v>
      </c>
      <c r="E190" s="136">
        <f t="shared" si="55"/>
        <v>2.3E-2</v>
      </c>
      <c r="F190" s="136">
        <f t="shared" si="55"/>
        <v>2.3E-2</v>
      </c>
      <c r="G190" s="136">
        <f t="shared" si="55"/>
        <v>2.3E-2</v>
      </c>
      <c r="H190" s="136">
        <f t="shared" si="55"/>
        <v>2.3E-2</v>
      </c>
      <c r="I190" s="136">
        <f t="shared" si="55"/>
        <v>2.3E-2</v>
      </c>
      <c r="J190" s="136">
        <f t="shared" si="55"/>
        <v>2.3E-2</v>
      </c>
      <c r="K190" s="136">
        <f t="shared" si="55"/>
        <v>2.3E-2</v>
      </c>
      <c r="L190" s="136">
        <f t="shared" si="55"/>
        <v>2.3E-2</v>
      </c>
      <c r="M190" s="136">
        <f t="shared" si="55"/>
        <v>2.3E-2</v>
      </c>
      <c r="N190" s="136">
        <f t="shared" si="55"/>
        <v>2.3E-2</v>
      </c>
      <c r="O190" s="136">
        <f t="shared" si="55"/>
        <v>2.3E-2</v>
      </c>
      <c r="P190" s="136">
        <f t="shared" si="55"/>
        <v>2.3E-2</v>
      </c>
      <c r="Q190" s="136">
        <f t="shared" si="55"/>
        <v>2.3E-2</v>
      </c>
      <c r="R190" s="136">
        <f t="shared" si="55"/>
        <v>2.3E-2</v>
      </c>
      <c r="S190" s="136">
        <f t="shared" si="56"/>
        <v>2.3E-2</v>
      </c>
      <c r="T190" s="136">
        <f t="shared" si="56"/>
        <v>2.3E-2</v>
      </c>
      <c r="U190" s="136">
        <f t="shared" si="56"/>
        <v>2.3E-2</v>
      </c>
      <c r="V190" s="136">
        <f t="shared" si="56"/>
        <v>2.3E-2</v>
      </c>
      <c r="W190" s="136">
        <f t="shared" si="56"/>
        <v>2.3E-2</v>
      </c>
      <c r="X190" s="136">
        <f t="shared" si="56"/>
        <v>2.3E-2</v>
      </c>
      <c r="Y190" s="136">
        <f t="shared" si="56"/>
        <v>2.3E-2</v>
      </c>
      <c r="Z190" s="136">
        <f t="shared" si="56"/>
        <v>2.3E-2</v>
      </c>
      <c r="AA190" s="136">
        <f t="shared" si="56"/>
        <v>2.3E-2</v>
      </c>
      <c r="AB190" s="136">
        <f t="shared" si="56"/>
        <v>2.3E-2</v>
      </c>
      <c r="AC190" s="136">
        <f t="shared" si="56"/>
        <v>2.3E-2</v>
      </c>
      <c r="AD190" s="136">
        <f t="shared" si="56"/>
        <v>2.3E-2</v>
      </c>
      <c r="AE190" s="136">
        <f t="shared" si="56"/>
        <v>2.3E-2</v>
      </c>
      <c r="AF190" s="136">
        <f t="shared" si="56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7">SUM(C101:C190)</f>
        <v>194.70600000000002</v>
      </c>
      <c r="D191" s="141">
        <f t="shared" si="57"/>
        <v>194.70600000000002</v>
      </c>
      <c r="E191" s="141">
        <f t="shared" si="57"/>
        <v>194.70600000000002</v>
      </c>
      <c r="F191" s="141">
        <f t="shared" si="57"/>
        <v>194.70600000000002</v>
      </c>
      <c r="G191" s="141">
        <f t="shared" si="57"/>
        <v>194.70600000000002</v>
      </c>
      <c r="H191" s="141">
        <f t="shared" si="57"/>
        <v>194.70600000000002</v>
      </c>
      <c r="I191" s="141">
        <f t="shared" si="57"/>
        <v>194.70600000000002</v>
      </c>
      <c r="J191" s="141">
        <f t="shared" si="57"/>
        <v>192.10600000000005</v>
      </c>
      <c r="K191" s="141">
        <f t="shared" si="57"/>
        <v>192.10600000000005</v>
      </c>
      <c r="L191" s="141">
        <f t="shared" si="57"/>
        <v>192.10600000000005</v>
      </c>
      <c r="M191" s="141">
        <f t="shared" si="57"/>
        <v>192.10600000000005</v>
      </c>
      <c r="N191" s="141">
        <f t="shared" si="57"/>
        <v>192.10600000000005</v>
      </c>
      <c r="O191" s="141">
        <f t="shared" si="57"/>
        <v>192.10600000000005</v>
      </c>
      <c r="P191" s="141">
        <f t="shared" si="57"/>
        <v>192.10600000000005</v>
      </c>
      <c r="Q191" s="141">
        <f t="shared" si="57"/>
        <v>192.10600000000005</v>
      </c>
      <c r="R191" s="141">
        <f t="shared" si="57"/>
        <v>192.10600000000005</v>
      </c>
      <c r="S191" s="141">
        <f t="shared" si="57"/>
        <v>192.10600000000005</v>
      </c>
      <c r="T191" s="141">
        <f t="shared" si="57"/>
        <v>192.10600000000005</v>
      </c>
      <c r="U191" s="141">
        <f t="shared" si="57"/>
        <v>192.10600000000005</v>
      </c>
      <c r="V191" s="141">
        <f t="shared" si="57"/>
        <v>192.10600000000005</v>
      </c>
      <c r="W191" s="141">
        <f t="shared" si="57"/>
        <v>192.10600000000005</v>
      </c>
      <c r="X191" s="141">
        <f t="shared" si="57"/>
        <v>192.10600000000005</v>
      </c>
      <c r="Y191" s="141">
        <f t="shared" si="57"/>
        <v>192.10600000000005</v>
      </c>
      <c r="Z191" s="141">
        <f t="shared" si="57"/>
        <v>192.10600000000005</v>
      </c>
      <c r="AA191" s="141">
        <f t="shared" si="57"/>
        <v>192.10600000000005</v>
      </c>
      <c r="AB191" s="141">
        <f t="shared" si="57"/>
        <v>192.10600000000005</v>
      </c>
      <c r="AC191" s="141">
        <f t="shared" si="57"/>
        <v>192.10600000000005</v>
      </c>
      <c r="AD191" s="141">
        <f t="shared" si="57"/>
        <v>192.10600000000005</v>
      </c>
      <c r="AE191" s="141">
        <f t="shared" si="57"/>
        <v>192.10600000000005</v>
      </c>
      <c r="AF191" s="141">
        <f t="shared" si="57"/>
        <v>192.10600000000005</v>
      </c>
      <c r="AG191" s="142">
        <f t="shared" si="57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8">AF193</f>
        <v>0.3</v>
      </c>
      <c r="C193" s="143">
        <v>0.3</v>
      </c>
      <c r="D193" s="143">
        <f t="shared" ref="D193:S198" si="59">C193</f>
        <v>0.3</v>
      </c>
      <c r="E193" s="143">
        <f t="shared" si="59"/>
        <v>0.3</v>
      </c>
      <c r="F193" s="143">
        <f t="shared" si="59"/>
        <v>0.3</v>
      </c>
      <c r="G193" s="143">
        <f t="shared" si="59"/>
        <v>0.3</v>
      </c>
      <c r="H193" s="143">
        <f t="shared" si="59"/>
        <v>0.3</v>
      </c>
      <c r="I193" s="143">
        <f t="shared" si="59"/>
        <v>0.3</v>
      </c>
      <c r="J193" s="143">
        <f t="shared" si="59"/>
        <v>0.3</v>
      </c>
      <c r="K193" s="143">
        <f t="shared" si="59"/>
        <v>0.3</v>
      </c>
      <c r="L193" s="143">
        <f t="shared" si="59"/>
        <v>0.3</v>
      </c>
      <c r="M193" s="143">
        <f t="shared" si="59"/>
        <v>0.3</v>
      </c>
      <c r="N193" s="143">
        <f t="shared" si="59"/>
        <v>0.3</v>
      </c>
      <c r="O193" s="143">
        <f t="shared" si="59"/>
        <v>0.3</v>
      </c>
      <c r="P193" s="143">
        <f t="shared" si="59"/>
        <v>0.3</v>
      </c>
      <c r="Q193" s="143">
        <f t="shared" si="59"/>
        <v>0.3</v>
      </c>
      <c r="R193" s="143">
        <f t="shared" si="59"/>
        <v>0.3</v>
      </c>
      <c r="S193" s="143">
        <f t="shared" si="59"/>
        <v>0.3</v>
      </c>
      <c r="T193" s="143">
        <f t="shared" ref="T193:AF198" si="60">S193</f>
        <v>0.3</v>
      </c>
      <c r="U193" s="143">
        <f t="shared" si="60"/>
        <v>0.3</v>
      </c>
      <c r="V193" s="143">
        <f t="shared" si="60"/>
        <v>0.3</v>
      </c>
      <c r="W193" s="143">
        <f t="shared" si="60"/>
        <v>0.3</v>
      </c>
      <c r="X193" s="143">
        <f t="shared" si="60"/>
        <v>0.3</v>
      </c>
      <c r="Y193" s="143">
        <f t="shared" si="60"/>
        <v>0.3</v>
      </c>
      <c r="Z193" s="143">
        <f t="shared" si="60"/>
        <v>0.3</v>
      </c>
      <c r="AA193" s="143">
        <f t="shared" si="60"/>
        <v>0.3</v>
      </c>
      <c r="AB193" s="143">
        <f t="shared" si="60"/>
        <v>0.3</v>
      </c>
      <c r="AC193" s="143">
        <f t="shared" si="60"/>
        <v>0.3</v>
      </c>
      <c r="AD193" s="143">
        <f t="shared" si="60"/>
        <v>0.3</v>
      </c>
      <c r="AE193" s="143">
        <f t="shared" si="60"/>
        <v>0.3</v>
      </c>
      <c r="AF193" s="143">
        <f t="shared" si="60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8"/>
        <v>0.4</v>
      </c>
      <c r="C194" s="136">
        <v>0.4</v>
      </c>
      <c r="D194" s="136">
        <f t="shared" si="59"/>
        <v>0.4</v>
      </c>
      <c r="E194" s="136">
        <f t="shared" si="59"/>
        <v>0.4</v>
      </c>
      <c r="F194" s="136">
        <f t="shared" si="59"/>
        <v>0.4</v>
      </c>
      <c r="G194" s="136">
        <f t="shared" si="59"/>
        <v>0.4</v>
      </c>
      <c r="H194" s="136">
        <f t="shared" si="59"/>
        <v>0.4</v>
      </c>
      <c r="I194" s="136">
        <f t="shared" si="59"/>
        <v>0.4</v>
      </c>
      <c r="J194" s="136">
        <f t="shared" si="59"/>
        <v>0.4</v>
      </c>
      <c r="K194" s="136">
        <f t="shared" si="59"/>
        <v>0.4</v>
      </c>
      <c r="L194" s="136">
        <f t="shared" si="59"/>
        <v>0.4</v>
      </c>
      <c r="M194" s="136">
        <f t="shared" si="59"/>
        <v>0.4</v>
      </c>
      <c r="N194" s="136">
        <f t="shared" si="59"/>
        <v>0.4</v>
      </c>
      <c r="O194" s="136">
        <f t="shared" si="59"/>
        <v>0.4</v>
      </c>
      <c r="P194" s="136">
        <f t="shared" si="59"/>
        <v>0.4</v>
      </c>
      <c r="Q194" s="136">
        <f t="shared" si="59"/>
        <v>0.4</v>
      </c>
      <c r="R194" s="136">
        <f t="shared" si="59"/>
        <v>0.4</v>
      </c>
      <c r="S194" s="136">
        <f t="shared" si="59"/>
        <v>0.4</v>
      </c>
      <c r="T194" s="136">
        <f t="shared" si="60"/>
        <v>0.4</v>
      </c>
      <c r="U194" s="136">
        <f t="shared" si="60"/>
        <v>0.4</v>
      </c>
      <c r="V194" s="136">
        <f t="shared" si="60"/>
        <v>0.4</v>
      </c>
      <c r="W194" s="136">
        <f>V194</f>
        <v>0.4</v>
      </c>
      <c r="X194" s="136">
        <f>W194</f>
        <v>0.4</v>
      </c>
      <c r="Y194" s="136">
        <f t="shared" si="60"/>
        <v>0.4</v>
      </c>
      <c r="Z194" s="136">
        <f t="shared" si="60"/>
        <v>0.4</v>
      </c>
      <c r="AA194" s="136">
        <f t="shared" si="60"/>
        <v>0.4</v>
      </c>
      <c r="AB194" s="136">
        <f t="shared" si="60"/>
        <v>0.4</v>
      </c>
      <c r="AC194" s="136">
        <f t="shared" si="60"/>
        <v>0.4</v>
      </c>
      <c r="AD194" s="136">
        <f t="shared" si="60"/>
        <v>0.4</v>
      </c>
      <c r="AE194" s="136">
        <f t="shared" si="60"/>
        <v>0.4</v>
      </c>
      <c r="AF194" s="136">
        <f t="shared" si="60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8"/>
        <v>1.5</v>
      </c>
      <c r="C195" s="136">
        <v>1.5</v>
      </c>
      <c r="D195" s="136">
        <f t="shared" si="59"/>
        <v>1.5</v>
      </c>
      <c r="E195" s="136">
        <f t="shared" si="59"/>
        <v>1.5</v>
      </c>
      <c r="F195" s="136">
        <f t="shared" si="59"/>
        <v>1.5</v>
      </c>
      <c r="G195" s="136">
        <f t="shared" si="59"/>
        <v>1.5</v>
      </c>
      <c r="H195" s="136">
        <f t="shared" si="59"/>
        <v>1.5</v>
      </c>
      <c r="I195" s="136">
        <f t="shared" si="59"/>
        <v>1.5</v>
      </c>
      <c r="J195" s="136">
        <f t="shared" si="59"/>
        <v>1.5</v>
      </c>
      <c r="K195" s="136">
        <f t="shared" si="59"/>
        <v>1.5</v>
      </c>
      <c r="L195" s="136">
        <f t="shared" si="59"/>
        <v>1.5</v>
      </c>
      <c r="M195" s="136">
        <f t="shared" si="59"/>
        <v>1.5</v>
      </c>
      <c r="N195" s="136">
        <f t="shared" si="59"/>
        <v>1.5</v>
      </c>
      <c r="O195" s="136">
        <f t="shared" si="59"/>
        <v>1.5</v>
      </c>
      <c r="P195" s="136">
        <f t="shared" si="59"/>
        <v>1.5</v>
      </c>
      <c r="Q195" s="136">
        <f t="shared" si="59"/>
        <v>1.5</v>
      </c>
      <c r="R195" s="136">
        <f t="shared" si="59"/>
        <v>1.5</v>
      </c>
      <c r="S195" s="136">
        <f t="shared" si="59"/>
        <v>1.5</v>
      </c>
      <c r="T195" s="136">
        <f t="shared" si="60"/>
        <v>1.5</v>
      </c>
      <c r="U195" s="136">
        <f t="shared" si="60"/>
        <v>1.5</v>
      </c>
      <c r="V195" s="136">
        <f t="shared" si="60"/>
        <v>1.5</v>
      </c>
      <c r="W195" s="136">
        <f t="shared" si="60"/>
        <v>1.5</v>
      </c>
      <c r="X195" s="136">
        <f t="shared" si="60"/>
        <v>1.5</v>
      </c>
      <c r="Y195" s="136">
        <f t="shared" si="60"/>
        <v>1.5</v>
      </c>
      <c r="Z195" s="136">
        <f t="shared" si="60"/>
        <v>1.5</v>
      </c>
      <c r="AA195" s="136">
        <f t="shared" si="60"/>
        <v>1.5</v>
      </c>
      <c r="AB195" s="136">
        <f t="shared" si="60"/>
        <v>1.5</v>
      </c>
      <c r="AC195" s="136">
        <f t="shared" si="60"/>
        <v>1.5</v>
      </c>
      <c r="AD195" s="136">
        <f t="shared" si="60"/>
        <v>1.5</v>
      </c>
      <c r="AE195" s="136">
        <f t="shared" si="60"/>
        <v>1.5</v>
      </c>
      <c r="AF195" s="136">
        <f t="shared" si="60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8"/>
        <v>0.3</v>
      </c>
      <c r="C196" s="136">
        <v>0.3</v>
      </c>
      <c r="D196" s="136">
        <f t="shared" si="59"/>
        <v>0.3</v>
      </c>
      <c r="E196" s="136">
        <f t="shared" si="59"/>
        <v>0.3</v>
      </c>
      <c r="F196" s="136">
        <f t="shared" si="59"/>
        <v>0.3</v>
      </c>
      <c r="G196" s="136">
        <f t="shared" si="59"/>
        <v>0.3</v>
      </c>
      <c r="H196" s="136">
        <f t="shared" si="59"/>
        <v>0.3</v>
      </c>
      <c r="I196" s="136">
        <f t="shared" si="59"/>
        <v>0.3</v>
      </c>
      <c r="J196" s="136">
        <f t="shared" si="59"/>
        <v>0.3</v>
      </c>
      <c r="K196" s="136">
        <f t="shared" si="59"/>
        <v>0.3</v>
      </c>
      <c r="L196" s="136">
        <f t="shared" si="59"/>
        <v>0.3</v>
      </c>
      <c r="M196" s="136">
        <f t="shared" si="59"/>
        <v>0.3</v>
      </c>
      <c r="N196" s="136">
        <f t="shared" si="59"/>
        <v>0.3</v>
      </c>
      <c r="O196" s="136">
        <f t="shared" si="59"/>
        <v>0.3</v>
      </c>
      <c r="P196" s="136">
        <f t="shared" si="59"/>
        <v>0.3</v>
      </c>
      <c r="Q196" s="136">
        <f t="shared" si="59"/>
        <v>0.3</v>
      </c>
      <c r="R196" s="136">
        <f t="shared" si="59"/>
        <v>0.3</v>
      </c>
      <c r="S196" s="136">
        <f t="shared" si="59"/>
        <v>0.3</v>
      </c>
      <c r="T196" s="136">
        <f t="shared" si="60"/>
        <v>0.3</v>
      </c>
      <c r="U196" s="136">
        <f t="shared" si="60"/>
        <v>0.3</v>
      </c>
      <c r="V196" s="136">
        <f t="shared" si="60"/>
        <v>0.3</v>
      </c>
      <c r="W196" s="136">
        <f t="shared" si="60"/>
        <v>0.3</v>
      </c>
      <c r="X196" s="136">
        <f t="shared" si="60"/>
        <v>0.3</v>
      </c>
      <c r="Y196" s="136">
        <f t="shared" si="60"/>
        <v>0.3</v>
      </c>
      <c r="Z196" s="136">
        <f t="shared" si="60"/>
        <v>0.3</v>
      </c>
      <c r="AA196" s="136">
        <f t="shared" si="60"/>
        <v>0.3</v>
      </c>
      <c r="AB196" s="136">
        <f t="shared" si="60"/>
        <v>0.3</v>
      </c>
      <c r="AC196" s="136">
        <f t="shared" si="60"/>
        <v>0.3</v>
      </c>
      <c r="AD196" s="136">
        <f t="shared" si="60"/>
        <v>0.3</v>
      </c>
      <c r="AE196" s="136">
        <f t="shared" si="60"/>
        <v>0.3</v>
      </c>
      <c r="AF196" s="136">
        <f t="shared" si="60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8"/>
        <v>0.4</v>
      </c>
      <c r="C197" s="136">
        <v>0.4</v>
      </c>
      <c r="D197" s="136">
        <f t="shared" si="59"/>
        <v>0.4</v>
      </c>
      <c r="E197" s="136">
        <f t="shared" si="59"/>
        <v>0.4</v>
      </c>
      <c r="F197" s="136">
        <f t="shared" si="59"/>
        <v>0.4</v>
      </c>
      <c r="G197" s="136">
        <f t="shared" si="59"/>
        <v>0.4</v>
      </c>
      <c r="H197" s="136">
        <f t="shared" si="59"/>
        <v>0.4</v>
      </c>
      <c r="I197" s="136">
        <f t="shared" si="59"/>
        <v>0.4</v>
      </c>
      <c r="J197" s="136">
        <f t="shared" si="59"/>
        <v>0.4</v>
      </c>
      <c r="K197" s="136">
        <f t="shared" si="59"/>
        <v>0.4</v>
      </c>
      <c r="L197" s="136">
        <f t="shared" si="59"/>
        <v>0.4</v>
      </c>
      <c r="M197" s="136">
        <f t="shared" si="59"/>
        <v>0.4</v>
      </c>
      <c r="N197" s="136">
        <f t="shared" si="59"/>
        <v>0.4</v>
      </c>
      <c r="O197" s="136">
        <f t="shared" si="59"/>
        <v>0.4</v>
      </c>
      <c r="P197" s="136">
        <f t="shared" si="59"/>
        <v>0.4</v>
      </c>
      <c r="Q197" s="136">
        <f t="shared" si="59"/>
        <v>0.4</v>
      </c>
      <c r="R197" s="136">
        <f t="shared" si="59"/>
        <v>0.4</v>
      </c>
      <c r="S197" s="136">
        <f t="shared" si="59"/>
        <v>0.4</v>
      </c>
      <c r="T197" s="136">
        <f t="shared" si="60"/>
        <v>0.4</v>
      </c>
      <c r="U197" s="136">
        <f t="shared" si="60"/>
        <v>0.4</v>
      </c>
      <c r="V197" s="136">
        <f t="shared" si="60"/>
        <v>0.4</v>
      </c>
      <c r="W197" s="136">
        <f t="shared" si="60"/>
        <v>0.4</v>
      </c>
      <c r="X197" s="136">
        <f t="shared" si="60"/>
        <v>0.4</v>
      </c>
      <c r="Y197" s="136">
        <f t="shared" si="60"/>
        <v>0.4</v>
      </c>
      <c r="Z197" s="136">
        <f t="shared" si="60"/>
        <v>0.4</v>
      </c>
      <c r="AA197" s="136">
        <f t="shared" si="60"/>
        <v>0.4</v>
      </c>
      <c r="AB197" s="136">
        <f t="shared" si="60"/>
        <v>0.4</v>
      </c>
      <c r="AC197" s="136">
        <f t="shared" si="60"/>
        <v>0.4</v>
      </c>
      <c r="AD197" s="136">
        <f t="shared" si="60"/>
        <v>0.4</v>
      </c>
      <c r="AE197" s="136">
        <f t="shared" si="60"/>
        <v>0.4</v>
      </c>
      <c r="AF197" s="136">
        <f t="shared" si="60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8"/>
        <v>0.64</v>
      </c>
      <c r="C198" s="146">
        <v>0.64</v>
      </c>
      <c r="D198" s="146">
        <f t="shared" si="59"/>
        <v>0.64</v>
      </c>
      <c r="E198" s="146">
        <f t="shared" si="59"/>
        <v>0.64</v>
      </c>
      <c r="F198" s="146">
        <f t="shared" si="59"/>
        <v>0.64</v>
      </c>
      <c r="G198" s="146">
        <f t="shared" si="59"/>
        <v>0.64</v>
      </c>
      <c r="H198" s="146">
        <f t="shared" si="59"/>
        <v>0.64</v>
      </c>
      <c r="I198" s="146">
        <f t="shared" si="59"/>
        <v>0.64</v>
      </c>
      <c r="J198" s="146">
        <f t="shared" si="59"/>
        <v>0.64</v>
      </c>
      <c r="K198" s="146">
        <f t="shared" si="59"/>
        <v>0.64</v>
      </c>
      <c r="L198" s="146">
        <f t="shared" si="59"/>
        <v>0.64</v>
      </c>
      <c r="M198" s="146">
        <f t="shared" si="59"/>
        <v>0.64</v>
      </c>
      <c r="N198" s="146">
        <f t="shared" si="59"/>
        <v>0.64</v>
      </c>
      <c r="O198" s="146">
        <f t="shared" si="59"/>
        <v>0.64</v>
      </c>
      <c r="P198" s="146">
        <f t="shared" si="59"/>
        <v>0.64</v>
      </c>
      <c r="Q198" s="146">
        <f t="shared" si="59"/>
        <v>0.64</v>
      </c>
      <c r="R198" s="146">
        <f t="shared" si="59"/>
        <v>0.64</v>
      </c>
      <c r="S198" s="146">
        <f t="shared" si="59"/>
        <v>0.64</v>
      </c>
      <c r="T198" s="146">
        <f t="shared" si="60"/>
        <v>0.64</v>
      </c>
      <c r="U198" s="146">
        <f t="shared" si="60"/>
        <v>0.64</v>
      </c>
      <c r="V198" s="146">
        <f t="shared" si="60"/>
        <v>0.64</v>
      </c>
      <c r="W198" s="146">
        <f t="shared" si="60"/>
        <v>0.64</v>
      </c>
      <c r="X198" s="146">
        <f t="shared" si="60"/>
        <v>0.64</v>
      </c>
      <c r="Y198" s="146">
        <f t="shared" si="60"/>
        <v>0.64</v>
      </c>
      <c r="Z198" s="146">
        <f t="shared" si="60"/>
        <v>0.64</v>
      </c>
      <c r="AA198" s="146">
        <f t="shared" si="60"/>
        <v>0.64</v>
      </c>
      <c r="AB198" s="146">
        <f t="shared" si="60"/>
        <v>0.64</v>
      </c>
      <c r="AC198" s="146">
        <f t="shared" si="60"/>
        <v>0.64</v>
      </c>
      <c r="AD198" s="146">
        <f t="shared" si="60"/>
        <v>0.64</v>
      </c>
      <c r="AE198" s="146">
        <f t="shared" si="60"/>
        <v>0.64</v>
      </c>
      <c r="AF198" s="146">
        <f t="shared" si="60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61">SUM(D193:D198)</f>
        <v>3.54</v>
      </c>
      <c r="E199" s="149">
        <f t="shared" si="61"/>
        <v>3.54</v>
      </c>
      <c r="F199" s="149">
        <f t="shared" si="61"/>
        <v>3.54</v>
      </c>
      <c r="G199" s="149">
        <f t="shared" si="61"/>
        <v>3.54</v>
      </c>
      <c r="H199" s="149">
        <f t="shared" si="61"/>
        <v>3.54</v>
      </c>
      <c r="I199" s="149">
        <f t="shared" si="61"/>
        <v>3.54</v>
      </c>
      <c r="J199" s="149">
        <f t="shared" si="61"/>
        <v>3.54</v>
      </c>
      <c r="K199" s="149">
        <f t="shared" si="61"/>
        <v>3.54</v>
      </c>
      <c r="L199" s="149">
        <f t="shared" si="61"/>
        <v>3.54</v>
      </c>
      <c r="M199" s="149">
        <f>SUM(M193:M198)</f>
        <v>3.54</v>
      </c>
      <c r="N199" s="149">
        <f t="shared" ref="N199:S199" si="62">SUM(N193:N198)</f>
        <v>3.54</v>
      </c>
      <c r="O199" s="149">
        <f t="shared" si="62"/>
        <v>3.54</v>
      </c>
      <c r="P199" s="149">
        <f t="shared" si="62"/>
        <v>3.54</v>
      </c>
      <c r="Q199" s="149">
        <f t="shared" si="62"/>
        <v>3.54</v>
      </c>
      <c r="R199" s="149">
        <f t="shared" si="62"/>
        <v>3.54</v>
      </c>
      <c r="S199" s="149">
        <f t="shared" si="62"/>
        <v>3.54</v>
      </c>
      <c r="T199" s="149">
        <f>SUM(T193:T198)</f>
        <v>3.54</v>
      </c>
      <c r="U199" s="149">
        <f t="shared" ref="U199:AG199" si="63">SUM(U193:U198)</f>
        <v>3.54</v>
      </c>
      <c r="V199" s="149">
        <f t="shared" si="63"/>
        <v>3.54</v>
      </c>
      <c r="W199" s="149">
        <f t="shared" si="63"/>
        <v>3.54</v>
      </c>
      <c r="X199" s="149">
        <f t="shared" si="63"/>
        <v>3.54</v>
      </c>
      <c r="Y199" s="149">
        <f t="shared" si="63"/>
        <v>3.54</v>
      </c>
      <c r="Z199" s="149">
        <f t="shared" si="63"/>
        <v>3.54</v>
      </c>
      <c r="AA199" s="149">
        <f t="shared" si="63"/>
        <v>3.54</v>
      </c>
      <c r="AB199" s="149">
        <f t="shared" si="63"/>
        <v>3.54</v>
      </c>
      <c r="AC199" s="149">
        <f t="shared" si="63"/>
        <v>3.54</v>
      </c>
      <c r="AD199" s="149">
        <f t="shared" si="63"/>
        <v>3.54</v>
      </c>
      <c r="AE199" s="149">
        <f t="shared" si="63"/>
        <v>3.54</v>
      </c>
      <c r="AF199" s="149">
        <f t="shared" si="63"/>
        <v>3.54</v>
      </c>
      <c r="AG199" s="150">
        <f t="shared" si="63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1417.44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18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2078/11/18)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2078/11/18)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4">B75</f>
        <v>924.43999999999994</v>
      </c>
      <c r="U213" s="174">
        <f t="shared" si="64"/>
        <v>901.24</v>
      </c>
      <c r="V213" s="174">
        <f t="shared" si="64"/>
        <v>888.24</v>
      </c>
      <c r="W213" s="174">
        <f t="shared" si="64"/>
        <v>872.2399999999999</v>
      </c>
      <c r="X213" s="174">
        <f t="shared" si="64"/>
        <v>884.64</v>
      </c>
      <c r="Y213" s="174">
        <f t="shared" si="64"/>
        <v>948.74</v>
      </c>
      <c r="Z213" s="174">
        <f t="shared" si="64"/>
        <v>1001.24</v>
      </c>
      <c r="AA213" s="174">
        <f t="shared" si="64"/>
        <v>1076.8400000000001</v>
      </c>
      <c r="AB213" s="174">
        <f t="shared" si="64"/>
        <v>1152.04</v>
      </c>
      <c r="AC213" s="174">
        <f t="shared" si="64"/>
        <v>1301.8400000000001</v>
      </c>
      <c r="AD213" s="174">
        <f t="shared" si="64"/>
        <v>1394.24</v>
      </c>
      <c r="AE213" s="174">
        <f t="shared" si="64"/>
        <v>1417.44</v>
      </c>
      <c r="AF213" s="174">
        <f t="shared" si="64"/>
        <v>1373.2399999999998</v>
      </c>
      <c r="AG213" s="174">
        <f t="shared" si="64"/>
        <v>1284.94</v>
      </c>
      <c r="AH213" s="174">
        <f t="shared" si="64"/>
        <v>1264.1400000000001</v>
      </c>
      <c r="AI213" s="174">
        <f t="shared" si="64"/>
        <v>1176.24</v>
      </c>
      <c r="AJ213" s="174">
        <f t="shared" si="64"/>
        <v>1172.1399999999999</v>
      </c>
      <c r="AK213" s="174">
        <f t="shared" si="64"/>
        <v>1117.94</v>
      </c>
      <c r="AL213" s="174">
        <f t="shared" si="64"/>
        <v>1166.24</v>
      </c>
      <c r="AM213" s="174">
        <f t="shared" si="64"/>
        <v>1187.04</v>
      </c>
      <c r="AN213" s="174">
        <f t="shared" si="64"/>
        <v>1194.6400000000001</v>
      </c>
      <c r="AO213" s="174">
        <f t="shared" si="64"/>
        <v>1238.3400000000001</v>
      </c>
      <c r="AP213" s="174">
        <f t="shared" si="64"/>
        <v>1283.04</v>
      </c>
      <c r="AQ213" s="174">
        <f t="shared" si="64"/>
        <v>1442.44</v>
      </c>
      <c r="AR213" s="174">
        <f t="shared" si="64"/>
        <v>1448.54</v>
      </c>
      <c r="AS213" s="174">
        <f t="shared" si="64"/>
        <v>1313.24</v>
      </c>
      <c r="AT213" s="174">
        <f t="shared" si="64"/>
        <v>1270.44</v>
      </c>
      <c r="AU213" s="174">
        <f t="shared" si="64"/>
        <v>1244.3399999999999</v>
      </c>
      <c r="AV213" s="174">
        <f t="shared" si="64"/>
        <v>1173.94</v>
      </c>
      <c r="AW213" s="174">
        <f t="shared" si="64"/>
        <v>1022.5400000000001</v>
      </c>
      <c r="AX213" s="174">
        <f t="shared" si="64"/>
        <v>950.13999999999987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5">C198</f>
        <v>0.64</v>
      </c>
      <c r="C234" s="177">
        <f t="shared" si="65"/>
        <v>0.64</v>
      </c>
      <c r="D234" s="177">
        <f t="shared" si="65"/>
        <v>0.64</v>
      </c>
      <c r="E234" s="177">
        <f t="shared" si="65"/>
        <v>0.64</v>
      </c>
      <c r="F234" s="177">
        <f t="shared" si="65"/>
        <v>0.64</v>
      </c>
      <c r="G234" s="177">
        <f t="shared" si="65"/>
        <v>0.64</v>
      </c>
      <c r="H234" s="177">
        <f t="shared" si="65"/>
        <v>0.64</v>
      </c>
      <c r="I234" s="177">
        <f t="shared" si="65"/>
        <v>0.64</v>
      </c>
      <c r="J234" s="177">
        <f t="shared" si="65"/>
        <v>0.64</v>
      </c>
      <c r="K234" s="177">
        <f t="shared" si="65"/>
        <v>0.64</v>
      </c>
      <c r="L234" s="177">
        <f t="shared" si="65"/>
        <v>0.64</v>
      </c>
      <c r="M234" s="177">
        <f t="shared" si="65"/>
        <v>0.64</v>
      </c>
      <c r="N234" s="177">
        <f t="shared" si="65"/>
        <v>0.64</v>
      </c>
      <c r="O234" s="177">
        <f t="shared" si="65"/>
        <v>0.64</v>
      </c>
      <c r="P234" s="177">
        <f t="shared" si="65"/>
        <v>0.64</v>
      </c>
      <c r="Q234" s="177">
        <f t="shared" si="65"/>
        <v>0.64</v>
      </c>
      <c r="R234" s="177">
        <f t="shared" si="65"/>
        <v>0.64</v>
      </c>
      <c r="S234" s="177">
        <f t="shared" si="65"/>
        <v>0.64</v>
      </c>
      <c r="T234" s="177">
        <f t="shared" si="65"/>
        <v>0.64</v>
      </c>
      <c r="U234" s="177">
        <f t="shared" si="65"/>
        <v>0.64</v>
      </c>
      <c r="V234" s="177">
        <f t="shared" si="65"/>
        <v>0.64</v>
      </c>
      <c r="W234" s="177">
        <f t="shared" si="65"/>
        <v>0.64</v>
      </c>
      <c r="X234" s="177">
        <f t="shared" si="65"/>
        <v>0.64</v>
      </c>
      <c r="Y234" s="177">
        <f t="shared" si="65"/>
        <v>0.64</v>
      </c>
      <c r="Z234" s="177">
        <f t="shared" si="65"/>
        <v>0.64</v>
      </c>
      <c r="AA234" s="177">
        <f t="shared" si="65"/>
        <v>0.64</v>
      </c>
      <c r="AB234" s="177">
        <f t="shared" si="65"/>
        <v>0.64</v>
      </c>
      <c r="AC234" s="177">
        <f t="shared" si="65"/>
        <v>0.64</v>
      </c>
      <c r="AD234" s="177">
        <f t="shared" si="65"/>
        <v>0.64</v>
      </c>
      <c r="AE234" s="177">
        <f t="shared" si="65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6">IF(C202&lt;100,"",C202-520)</f>
        <v/>
      </c>
      <c r="D235" s="120" t="str">
        <f t="shared" si="66"/>
        <v/>
      </c>
      <c r="E235" s="120" t="str">
        <f t="shared" si="66"/>
        <v/>
      </c>
      <c r="F235" s="120" t="str">
        <f t="shared" si="66"/>
        <v/>
      </c>
      <c r="G235" s="120" t="str">
        <f t="shared" si="66"/>
        <v/>
      </c>
      <c r="H235" s="120" t="str">
        <f t="shared" si="66"/>
        <v/>
      </c>
      <c r="I235" s="120" t="str">
        <f t="shared" si="66"/>
        <v/>
      </c>
      <c r="J235" s="120" t="str">
        <f t="shared" si="66"/>
        <v/>
      </c>
      <c r="K235" s="120" t="str">
        <f t="shared" si="66"/>
        <v/>
      </c>
      <c r="L235" s="120" t="str">
        <f t="shared" si="66"/>
        <v/>
      </c>
      <c r="M235" s="120" t="str">
        <f t="shared" si="66"/>
        <v/>
      </c>
      <c r="N235" s="120" t="str">
        <f t="shared" si="66"/>
        <v/>
      </c>
      <c r="O235" s="120" t="str">
        <f t="shared" si="66"/>
        <v/>
      </c>
      <c r="P235" s="120" t="str">
        <f t="shared" si="66"/>
        <v/>
      </c>
      <c r="Q235" s="120" t="str">
        <f t="shared" si="66"/>
        <v/>
      </c>
      <c r="R235" s="120" t="str">
        <f t="shared" si="66"/>
        <v/>
      </c>
      <c r="S235" s="120" t="str">
        <f t="shared" si="66"/>
        <v/>
      </c>
      <c r="T235" s="120" t="str">
        <f t="shared" si="66"/>
        <v/>
      </c>
      <c r="U235" s="120" t="str">
        <f t="shared" si="66"/>
        <v/>
      </c>
      <c r="V235" s="120" t="str">
        <f t="shared" si="66"/>
        <v/>
      </c>
      <c r="W235" s="120" t="str">
        <f t="shared" si="66"/>
        <v/>
      </c>
      <c r="X235" s="120" t="str">
        <f t="shared" si="66"/>
        <v/>
      </c>
      <c r="Y235" s="120" t="str">
        <f t="shared" si="66"/>
        <v/>
      </c>
      <c r="Z235" s="120" t="str">
        <f t="shared" si="66"/>
        <v/>
      </c>
      <c r="AA235" s="120" t="str">
        <f t="shared" si="66"/>
        <v/>
      </c>
      <c r="AB235" s="120" t="str">
        <f t="shared" si="66"/>
        <v/>
      </c>
      <c r="AC235" s="120" t="str">
        <f t="shared" si="66"/>
        <v/>
      </c>
      <c r="AD235" s="120" t="str">
        <f t="shared" si="66"/>
        <v/>
      </c>
      <c r="AE235" s="120" t="str">
        <f t="shared" si="66"/>
        <v/>
      </c>
      <c r="AF235" s="120" t="str">
        <f t="shared" si="66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7">IF(B203&lt;100,"",B203-620)</f>
        <v/>
      </c>
      <c r="C236" s="120" t="str">
        <f t="shared" si="67"/>
        <v/>
      </c>
      <c r="D236" s="120" t="str">
        <f t="shared" si="67"/>
        <v/>
      </c>
      <c r="E236" s="120" t="str">
        <f t="shared" si="67"/>
        <v/>
      </c>
      <c r="F236" s="120" t="str">
        <f t="shared" si="67"/>
        <v/>
      </c>
      <c r="G236" s="120" t="str">
        <f t="shared" si="67"/>
        <v/>
      </c>
      <c r="H236" s="120" t="str">
        <f t="shared" si="67"/>
        <v/>
      </c>
      <c r="I236" s="120" t="str">
        <f t="shared" si="67"/>
        <v/>
      </c>
      <c r="J236" s="120" t="str">
        <f t="shared" si="67"/>
        <v/>
      </c>
      <c r="K236" s="120" t="str">
        <f t="shared" si="67"/>
        <v/>
      </c>
      <c r="L236" s="120" t="str">
        <f t="shared" si="67"/>
        <v/>
      </c>
      <c r="M236" s="120" t="str">
        <f t="shared" si="67"/>
        <v/>
      </c>
      <c r="N236" s="120" t="str">
        <f t="shared" si="67"/>
        <v/>
      </c>
      <c r="O236" s="120" t="str">
        <f t="shared" si="67"/>
        <v/>
      </c>
      <c r="P236" s="120" t="str">
        <f t="shared" si="67"/>
        <v/>
      </c>
      <c r="Q236" s="120" t="str">
        <f t="shared" si="67"/>
        <v/>
      </c>
      <c r="R236" s="120" t="str">
        <f t="shared" si="67"/>
        <v/>
      </c>
      <c r="S236" s="120" t="str">
        <f t="shared" si="67"/>
        <v/>
      </c>
      <c r="T236" s="120" t="str">
        <f t="shared" si="67"/>
        <v/>
      </c>
      <c r="U236" s="120" t="str">
        <f t="shared" si="67"/>
        <v/>
      </c>
      <c r="V236" s="120" t="str">
        <f t="shared" si="67"/>
        <v/>
      </c>
      <c r="W236" s="120" t="str">
        <f t="shared" si="67"/>
        <v/>
      </c>
      <c r="X236" s="120" t="str">
        <f t="shared" si="67"/>
        <v/>
      </c>
      <c r="Y236" s="120" t="str">
        <f t="shared" si="67"/>
        <v/>
      </c>
      <c r="Z236" s="120" t="str">
        <f t="shared" si="67"/>
        <v/>
      </c>
      <c r="AA236" s="120" t="str">
        <f t="shared" si="67"/>
        <v/>
      </c>
      <c r="AB236" s="120" t="str">
        <f t="shared" si="67"/>
        <v/>
      </c>
      <c r="AC236" s="120" t="str">
        <f t="shared" si="67"/>
        <v/>
      </c>
      <c r="AD236" s="120" t="str">
        <f t="shared" si="67"/>
        <v/>
      </c>
      <c r="AE236" s="120" t="str">
        <f t="shared" si="67"/>
        <v/>
      </c>
      <c r="AF236" s="120" t="str">
        <f t="shared" si="67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8">IF(B204&lt;100,"",B204-330)</f>
        <v/>
      </c>
      <c r="C237" s="120" t="str">
        <f t="shared" si="68"/>
        <v/>
      </c>
      <c r="D237" s="120" t="str">
        <f t="shared" si="68"/>
        <v/>
      </c>
      <c r="E237" s="120" t="str">
        <f t="shared" si="68"/>
        <v/>
      </c>
      <c r="F237" s="120" t="str">
        <f t="shared" si="68"/>
        <v/>
      </c>
      <c r="G237" s="120" t="str">
        <f t="shared" si="68"/>
        <v/>
      </c>
      <c r="H237" s="120" t="str">
        <f t="shared" si="68"/>
        <v/>
      </c>
      <c r="I237" s="120" t="str">
        <f t="shared" si="68"/>
        <v/>
      </c>
      <c r="J237" s="120" t="str">
        <f t="shared" si="68"/>
        <v/>
      </c>
      <c r="K237" s="120" t="str">
        <f t="shared" si="68"/>
        <v/>
      </c>
      <c r="L237" s="120" t="str">
        <f t="shared" si="68"/>
        <v/>
      </c>
      <c r="M237" s="120" t="str">
        <f t="shared" si="68"/>
        <v/>
      </c>
      <c r="N237" s="120" t="str">
        <f t="shared" si="68"/>
        <v/>
      </c>
      <c r="O237" s="120" t="str">
        <f t="shared" si="68"/>
        <v/>
      </c>
      <c r="P237" s="120" t="str">
        <f t="shared" si="68"/>
        <v/>
      </c>
      <c r="Q237" s="120" t="str">
        <f t="shared" si="68"/>
        <v/>
      </c>
      <c r="R237" s="120" t="str">
        <f t="shared" si="68"/>
        <v/>
      </c>
      <c r="S237" s="120" t="str">
        <f t="shared" si="68"/>
        <v/>
      </c>
      <c r="T237" s="120" t="str">
        <f t="shared" si="68"/>
        <v/>
      </c>
      <c r="U237" s="120" t="str">
        <f t="shared" si="68"/>
        <v/>
      </c>
      <c r="V237" s="120" t="str">
        <f t="shared" si="68"/>
        <v/>
      </c>
      <c r="W237" s="120" t="str">
        <f t="shared" si="68"/>
        <v/>
      </c>
      <c r="X237" s="120" t="str">
        <f t="shared" si="68"/>
        <v/>
      </c>
      <c r="Y237" s="120" t="str">
        <f t="shared" si="68"/>
        <v/>
      </c>
      <c r="Z237" s="120" t="str">
        <f t="shared" si="68"/>
        <v/>
      </c>
      <c r="AA237" s="120" t="str">
        <f t="shared" si="68"/>
        <v/>
      </c>
      <c r="AB237" s="120" t="str">
        <f t="shared" si="68"/>
        <v/>
      </c>
      <c r="AC237" s="120" t="str">
        <f t="shared" si="68"/>
        <v/>
      </c>
      <c r="AD237" s="120" t="str">
        <f t="shared" si="68"/>
        <v/>
      </c>
      <c r="AE237" s="120" t="str">
        <f t="shared" si="68"/>
        <v/>
      </c>
      <c r="AF237" s="120" t="str">
        <f t="shared" si="68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9">IF(C205&lt;100,"",C205-1500)</f>
        <v/>
      </c>
      <c r="D238" s="120" t="str">
        <f t="shared" si="69"/>
        <v/>
      </c>
      <c r="E238" s="120" t="str">
        <f t="shared" si="69"/>
        <v/>
      </c>
      <c r="F238" s="120" t="str">
        <f t="shared" si="69"/>
        <v/>
      </c>
      <c r="G238" s="120" t="str">
        <f t="shared" si="69"/>
        <v/>
      </c>
      <c r="H238" s="120" t="str">
        <f t="shared" si="69"/>
        <v/>
      </c>
      <c r="I238" s="120" t="str">
        <f t="shared" si="69"/>
        <v/>
      </c>
      <c r="J238" s="120" t="str">
        <f t="shared" si="69"/>
        <v/>
      </c>
      <c r="K238" s="120" t="str">
        <f t="shared" si="69"/>
        <v/>
      </c>
      <c r="L238" s="120" t="str">
        <f t="shared" si="69"/>
        <v/>
      </c>
      <c r="M238" s="120" t="str">
        <f t="shared" si="69"/>
        <v/>
      </c>
      <c r="N238" s="120" t="str">
        <f t="shared" si="69"/>
        <v/>
      </c>
      <c r="O238" s="120" t="str">
        <f t="shared" si="69"/>
        <v/>
      </c>
      <c r="P238" s="120" t="str">
        <f t="shared" si="69"/>
        <v/>
      </c>
      <c r="Q238" s="120" t="str">
        <f t="shared" si="69"/>
        <v/>
      </c>
      <c r="R238" s="120" t="str">
        <f t="shared" si="69"/>
        <v/>
      </c>
      <c r="S238" s="120" t="str">
        <f t="shared" si="69"/>
        <v/>
      </c>
      <c r="T238" s="120" t="str">
        <f t="shared" si="69"/>
        <v/>
      </c>
      <c r="U238" s="120" t="str">
        <f t="shared" si="69"/>
        <v/>
      </c>
      <c r="V238" s="120" t="str">
        <f t="shared" si="69"/>
        <v/>
      </c>
      <c r="W238" s="120" t="str">
        <f t="shared" si="69"/>
        <v/>
      </c>
      <c r="X238" s="120" t="str">
        <f t="shared" si="69"/>
        <v/>
      </c>
      <c r="Y238" s="120" t="str">
        <f t="shared" si="69"/>
        <v/>
      </c>
      <c r="Z238" s="120" t="str">
        <f t="shared" si="69"/>
        <v/>
      </c>
      <c r="AA238" s="120" t="str">
        <f t="shared" si="69"/>
        <v/>
      </c>
      <c r="AB238" s="120" t="str">
        <f t="shared" si="69"/>
        <v/>
      </c>
      <c r="AC238" s="120" t="str">
        <f t="shared" si="69"/>
        <v/>
      </c>
      <c r="AD238" s="120" t="str">
        <f t="shared" si="69"/>
        <v/>
      </c>
      <c r="AE238" s="120" t="str">
        <f t="shared" si="69"/>
        <v/>
      </c>
      <c r="AF238" s="120" t="str">
        <f t="shared" si="69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M58:R59 AB81:AF81 B81:R81 C56:AF56 B82:AF83 D193:AF199 B193:B199 C68:AF72 AB84:AF91 B84:B91 B9:AF10 B191:AF191 AF58:AF67 AG73 AB94:AF99 B94:B99 U212:AF212 B56:B72 E57:L59 C57:D67 E61:N61 E60:O60 L36 O61:O67 B73:AF80 P60:R67 M37:AA37 M53:AF55 S58:AA67 M39:AB42 M11:AE11 AC40:AE43 AF40">
    <cfRule type="expression" dxfId="3873" priority="316">
      <formula>B$9&gt;=20/24</formula>
    </cfRule>
    <cfRule type="expression" dxfId="3872" priority="317">
      <formula>AND(B$9&gt;=14/24,B$9&lt;20/24)</formula>
    </cfRule>
    <cfRule type="expression" dxfId="3871" priority="318">
      <formula>AND(B$9&gt;=8/24,B$9&lt;14/24)</formula>
    </cfRule>
    <cfRule type="expression" dxfId="3870" priority="319">
      <formula>B$9&lt;8/24</formula>
    </cfRule>
  </conditionalFormatting>
  <conditionalFormatting sqref="AL4:AL6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M57:AA57">
    <cfRule type="expression" dxfId="3869" priority="311">
      <formula>M$9&gt;=20/24</formula>
    </cfRule>
    <cfRule type="expression" dxfId="3868" priority="312">
      <formula>AND(M$9&gt;=14/24,M$9&lt;20/24)</formula>
    </cfRule>
    <cfRule type="expression" dxfId="3867" priority="313">
      <formula>AND(M$9&gt;=8/24,M$9&lt;14/24)</formula>
    </cfRule>
    <cfRule type="expression" dxfId="3866" priority="314">
      <formula>M$9&lt;8/24</formula>
    </cfRule>
  </conditionalFormatting>
  <conditionalFormatting sqref="M43:AB43">
    <cfRule type="expression" dxfId="3865" priority="307">
      <formula>M$9&gt;=20/24</formula>
    </cfRule>
    <cfRule type="expression" dxfId="3864" priority="308">
      <formula>AND(M$9&gt;=14/24,M$9&lt;20/24)</formula>
    </cfRule>
    <cfRule type="expression" dxfId="3863" priority="309">
      <formula>AND(M$9&gt;=8/24,M$9&lt;14/24)</formula>
    </cfRule>
    <cfRule type="expression" dxfId="3862" priority="310">
      <formula>M$9&lt;8/24</formula>
    </cfRule>
  </conditionalFormatting>
  <conditionalFormatting sqref="AC39:AE39">
    <cfRule type="expression" dxfId="3861" priority="299">
      <formula>AC$9&gt;=20/24</formula>
    </cfRule>
    <cfRule type="expression" dxfId="3860" priority="300">
      <formula>AND(AC$9&gt;=14/24,AC$9&lt;20/24)</formula>
    </cfRule>
    <cfRule type="expression" dxfId="3859" priority="301">
      <formula>AND(AC$9&gt;=8/24,AC$9&lt;14/24)</formula>
    </cfRule>
    <cfRule type="expression" dxfId="3858" priority="302">
      <formula>AC$9&lt;8/24</formula>
    </cfRule>
  </conditionalFormatting>
  <conditionalFormatting sqref="AB57:AF57">
    <cfRule type="expression" dxfId="3857" priority="295">
      <formula>AB$9&gt;=20/24</formula>
    </cfRule>
    <cfRule type="expression" dxfId="3856" priority="296">
      <formula>AND(AB$9&gt;=14/24,AB$9&lt;20/24)</formula>
    </cfRule>
    <cfRule type="expression" dxfId="3855" priority="297">
      <formula>AND(AB$9&gt;=8/24,AB$9&lt;14/24)</formula>
    </cfRule>
    <cfRule type="expression" dxfId="3854" priority="298">
      <formula>AB$9&lt;8/24</formula>
    </cfRule>
  </conditionalFormatting>
  <conditionalFormatting sqref="S81:AA81">
    <cfRule type="expression" dxfId="3853" priority="291">
      <formula>S$9&gt;=20/24</formula>
    </cfRule>
    <cfRule type="expression" dxfId="3852" priority="292">
      <formula>AND(S$9&gt;=14/24,S$9&lt;20/24)</formula>
    </cfRule>
    <cfRule type="expression" dxfId="3851" priority="293">
      <formula>AND(S$9&gt;=8/24,S$9&lt;14/24)</formula>
    </cfRule>
    <cfRule type="expression" dxfId="3850" priority="294">
      <formula>S$9&lt;8/24</formula>
    </cfRule>
  </conditionalFormatting>
  <conditionalFormatting sqref="AB37:AE37">
    <cfRule type="expression" dxfId="3849" priority="267">
      <formula>AB$9&gt;=20/24</formula>
    </cfRule>
    <cfRule type="expression" dxfId="3848" priority="268">
      <formula>AND(AB$9&gt;=14/24,AB$9&lt;20/24)</formula>
    </cfRule>
    <cfRule type="expression" dxfId="3847" priority="269">
      <formula>AND(AB$9&gt;=8/24,AB$9&lt;14/24)</formula>
    </cfRule>
    <cfRule type="expression" dxfId="3846" priority="270">
      <formula>AB$9&lt;8/24</formula>
    </cfRule>
  </conditionalFormatting>
  <conditionalFormatting sqref="AB60:AE67">
    <cfRule type="expression" dxfId="3845" priority="247">
      <formula>AB$9&gt;=20/24</formula>
    </cfRule>
    <cfRule type="expression" dxfId="3844" priority="248">
      <formula>AND(AB$9&gt;=14/24,AB$9&lt;20/24)</formula>
    </cfRule>
    <cfRule type="expression" dxfId="3843" priority="249">
      <formula>AND(AB$9&gt;=8/24,AB$9&lt;14/24)</formula>
    </cfRule>
    <cfRule type="expression" dxfId="3842" priority="250">
      <formula>AB$9&lt;8/24</formula>
    </cfRule>
  </conditionalFormatting>
  <conditionalFormatting sqref="E62:I62 J62:L67">
    <cfRule type="expression" dxfId="3841" priority="243">
      <formula>E$9&gt;=20/24</formula>
    </cfRule>
    <cfRule type="expression" dxfId="3840" priority="244">
      <formula>AND(E$9&gt;=14/24,E$9&lt;20/24)</formula>
    </cfRule>
    <cfRule type="expression" dxfId="3839" priority="245">
      <formula>AND(E$9&gt;=8/24,E$9&lt;14/24)</formula>
    </cfRule>
    <cfRule type="expression" dxfId="3838" priority="246">
      <formula>E$9&lt;8/24</formula>
    </cfRule>
  </conditionalFormatting>
  <conditionalFormatting sqref="AA94:AA97">
    <cfRule type="expression" dxfId="3837" priority="239">
      <formula>AA$9&gt;=20/24</formula>
    </cfRule>
    <cfRule type="expression" dxfId="3836" priority="240">
      <formula>AND(AA$9&gt;=14/24,AA$9&lt;20/24)</formula>
    </cfRule>
    <cfRule type="expression" dxfId="3835" priority="241">
      <formula>AND(AA$9&gt;=8/24,AA$9&lt;14/24)</formula>
    </cfRule>
    <cfRule type="expression" dxfId="3834" priority="242">
      <formula>AA$9&lt;8/24</formula>
    </cfRule>
  </conditionalFormatting>
  <conditionalFormatting sqref="AG51 B56:AF56 C51:AF52 L12:L14 L16:L32 L34:L36 E53:AF55 E37:AF37 E11:AF11 C38:AF44">
    <cfRule type="expression" dxfId="3833" priority="238">
      <formula>B11&gt;$AG11</formula>
    </cfRule>
  </conditionalFormatting>
  <conditionalFormatting sqref="A100:A156 A84:A97 A11:A14 A16:A32 A45:A72 A80:A82 A74:A78 A35:A43 A169:A199">
    <cfRule type="expression" dxfId="3832" priority="237">
      <formula>$AH11=0</formula>
    </cfRule>
  </conditionalFormatting>
  <conditionalFormatting sqref="AA98">
    <cfRule type="expression" dxfId="3831" priority="233">
      <formula>AA$9&gt;=20/24</formula>
    </cfRule>
    <cfRule type="expression" dxfId="3830" priority="234">
      <formula>AND(AA$9&gt;=14/24,AA$9&lt;20/24)</formula>
    </cfRule>
    <cfRule type="expression" dxfId="3829" priority="235">
      <formula>AND(AA$9&gt;=8/24,AA$9&lt;14/24)</formula>
    </cfRule>
    <cfRule type="expression" dxfId="3828" priority="236">
      <formula>AA$9&lt;8/24</formula>
    </cfRule>
  </conditionalFormatting>
  <conditionalFormatting sqref="A98">
    <cfRule type="expression" dxfId="3827" priority="232">
      <formula>$AH98=0</formula>
    </cfRule>
  </conditionalFormatting>
  <conditionalFormatting sqref="E63:I67">
    <cfRule type="expression" dxfId="3826" priority="224">
      <formula>E$9&gt;=20/24</formula>
    </cfRule>
    <cfRule type="expression" dxfId="3825" priority="225">
      <formula>AND(E$9&gt;=14/24,E$9&lt;20/24)</formula>
    </cfRule>
    <cfRule type="expression" dxfId="3824" priority="226">
      <formula>AND(E$9&gt;=8/24,E$9&lt;14/24)</formula>
    </cfRule>
    <cfRule type="expression" dxfId="3823" priority="227">
      <formula>E$9&lt;8/24</formula>
    </cfRule>
  </conditionalFormatting>
  <conditionalFormatting sqref="M62:N67">
    <cfRule type="expression" dxfId="3822" priority="220">
      <formula>M$9&gt;=20/24</formula>
    </cfRule>
    <cfRule type="expression" dxfId="3821" priority="221">
      <formula>AND(M$9&gt;=14/24,M$9&lt;20/24)</formula>
    </cfRule>
    <cfRule type="expression" dxfId="3820" priority="222">
      <formula>AND(M$9&gt;=8/24,M$9&lt;14/24)</formula>
    </cfRule>
    <cfRule type="expression" dxfId="3819" priority="223">
      <formula>M$9&lt;8/24</formula>
    </cfRule>
  </conditionalFormatting>
  <conditionalFormatting sqref="AL32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818" priority="206">
      <formula>$AH34=0</formula>
    </cfRule>
  </conditionalFormatting>
  <conditionalFormatting sqref="A83">
    <cfRule type="expression" dxfId="3817" priority="205">
      <formula>$AH83=0</formula>
    </cfRule>
  </conditionalFormatting>
  <conditionalFormatting sqref="L15">
    <cfRule type="expression" dxfId="3816" priority="196">
      <formula>L15&gt;$AG15</formula>
    </cfRule>
  </conditionalFormatting>
  <conditionalFormatting sqref="A15">
    <cfRule type="expression" dxfId="3815" priority="195">
      <formula>$AH15=0</formula>
    </cfRule>
  </conditionalFormatting>
  <conditionalFormatting sqref="A163:A168">
    <cfRule type="expression" dxfId="3814" priority="194">
      <formula>$AH163=0</formula>
    </cfRule>
  </conditionalFormatting>
  <conditionalFormatting sqref="A157:A162">
    <cfRule type="expression" dxfId="3813" priority="193">
      <formula>$AH157=0</formula>
    </cfRule>
  </conditionalFormatting>
  <conditionalFormatting sqref="M44:AF44">
    <cfRule type="expression" dxfId="3812" priority="185">
      <formula>M$9&gt;=20/24</formula>
    </cfRule>
    <cfRule type="expression" dxfId="3811" priority="186">
      <formula>AND(M$9&gt;=14/24,M$9&lt;20/24)</formula>
    </cfRule>
    <cfRule type="expression" dxfId="3810" priority="187">
      <formula>AND(M$9&gt;=8/24,M$9&lt;14/24)</formula>
    </cfRule>
    <cfRule type="expression" dxfId="3809" priority="188">
      <formula>M$9&lt;8/24</formula>
    </cfRule>
  </conditionalFormatting>
  <conditionalFormatting sqref="A44">
    <cfRule type="expression" dxfId="3808" priority="180">
      <formula>$AH44=0</formula>
    </cfRule>
  </conditionalFormatting>
  <conditionalFormatting sqref="A79">
    <cfRule type="expression" dxfId="3807" priority="179">
      <formula>$AH79=0</formula>
    </cfRule>
  </conditionalFormatting>
  <conditionalFormatting sqref="A73">
    <cfRule type="expression" dxfId="3806" priority="178">
      <formula>$AH73=0</formula>
    </cfRule>
  </conditionalFormatting>
  <conditionalFormatting sqref="AL34:AL35 AL7:AL31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C84:AA91">
    <cfRule type="expression" dxfId="3805" priority="166">
      <formula>C$9&gt;=20/24</formula>
    </cfRule>
    <cfRule type="expression" dxfId="3804" priority="167">
      <formula>AND(C$9&gt;=14/24,C$9&lt;20/24)</formula>
    </cfRule>
    <cfRule type="expression" dxfId="3803" priority="168">
      <formula>AND(C$9&gt;=8/24,C$9&lt;14/24)</formula>
    </cfRule>
    <cfRule type="expression" dxfId="3802" priority="169">
      <formula>C$9&lt;8/24</formula>
    </cfRule>
  </conditionalFormatting>
  <conditionalFormatting sqref="C94:F94 C95:M97">
    <cfRule type="expression" dxfId="3801" priority="158">
      <formula>C$9&gt;=20/24</formula>
    </cfRule>
    <cfRule type="expression" dxfId="3800" priority="159">
      <formula>AND(C$9&gt;=14/24,C$9&lt;20/24)</formula>
    </cfRule>
    <cfRule type="expression" dxfId="3799" priority="160">
      <formula>AND(C$9&gt;=8/24,C$9&lt;14/24)</formula>
    </cfRule>
    <cfRule type="expression" dxfId="3798" priority="161">
      <formula>C$9&lt;8/24</formula>
    </cfRule>
  </conditionalFormatting>
  <conditionalFormatting sqref="N95:R97 O94:R94 S94:S97">
    <cfRule type="expression" dxfId="3797" priority="154">
      <formula>N$9&gt;=20/24</formula>
    </cfRule>
    <cfRule type="expression" dxfId="3796" priority="155">
      <formula>AND(N$9&gt;=14/24,N$9&lt;20/24)</formula>
    </cfRule>
    <cfRule type="expression" dxfId="3795" priority="156">
      <formula>AND(N$9&gt;=8/24,N$9&lt;14/24)</formula>
    </cfRule>
    <cfRule type="expression" dxfId="3794" priority="157">
      <formula>N$9&lt;8/24</formula>
    </cfRule>
  </conditionalFormatting>
  <conditionalFormatting sqref="T94:Z97">
    <cfRule type="expression" dxfId="3793" priority="150">
      <formula>T$9&gt;=20/24</formula>
    </cfRule>
    <cfRule type="expression" dxfId="3792" priority="151">
      <formula>AND(T$9&gt;=14/24,T$9&lt;20/24)</formula>
    </cfRule>
    <cfRule type="expression" dxfId="3791" priority="152">
      <formula>AND(T$9&gt;=8/24,T$9&lt;14/24)</formula>
    </cfRule>
    <cfRule type="expression" dxfId="3790" priority="153">
      <formula>T$9&lt;8/24</formula>
    </cfRule>
  </conditionalFormatting>
  <conditionalFormatting sqref="C98:M98">
    <cfRule type="expression" dxfId="3789" priority="146">
      <formula>C$9&gt;=20/24</formula>
    </cfRule>
    <cfRule type="expression" dxfId="3788" priority="147">
      <formula>AND(C$9&gt;=14/24,C$9&lt;20/24)</formula>
    </cfRule>
    <cfRule type="expression" dxfId="3787" priority="148">
      <formula>AND(C$9&gt;=8/24,C$9&lt;14/24)</formula>
    </cfRule>
    <cfRule type="expression" dxfId="3786" priority="149">
      <formula>C$9&lt;8/24</formula>
    </cfRule>
  </conditionalFormatting>
  <conditionalFormatting sqref="N98:S98">
    <cfRule type="expression" dxfId="3785" priority="142">
      <formula>N$9&gt;=20/24</formula>
    </cfRule>
    <cfRule type="expression" dxfId="3784" priority="143">
      <formula>AND(N$9&gt;=14/24,N$9&lt;20/24)</formula>
    </cfRule>
    <cfRule type="expression" dxfId="3783" priority="144">
      <formula>AND(N$9&gt;=8/24,N$9&lt;14/24)</formula>
    </cfRule>
    <cfRule type="expression" dxfId="3782" priority="145">
      <formula>N$9&lt;8/24</formula>
    </cfRule>
  </conditionalFormatting>
  <conditionalFormatting sqref="T98:Z98">
    <cfRule type="expression" dxfId="3781" priority="138">
      <formula>T$9&gt;=20/24</formula>
    </cfRule>
    <cfRule type="expression" dxfId="3780" priority="139">
      <formula>AND(T$9&gt;=14/24,T$9&lt;20/24)</formula>
    </cfRule>
    <cfRule type="expression" dxfId="3779" priority="140">
      <formula>AND(T$9&gt;=8/24,T$9&lt;14/24)</formula>
    </cfRule>
    <cfRule type="expression" dxfId="3778" priority="141">
      <formula>T$9&lt;8/24</formula>
    </cfRule>
  </conditionalFormatting>
  <conditionalFormatting sqref="M94:N94">
    <cfRule type="expression" dxfId="3777" priority="134">
      <formula>M$9&gt;=20/24</formula>
    </cfRule>
    <cfRule type="expression" dxfId="3776" priority="135">
      <formula>AND(M$9&gt;=14/24,M$9&lt;20/24)</formula>
    </cfRule>
    <cfRule type="expression" dxfId="3775" priority="136">
      <formula>AND(M$9&gt;=8/24,M$9&lt;14/24)</formula>
    </cfRule>
    <cfRule type="expression" dxfId="3774" priority="137">
      <formula>M$9&lt;8/24</formula>
    </cfRule>
  </conditionalFormatting>
  <conditionalFormatting sqref="G94:L94">
    <cfRule type="expression" dxfId="3773" priority="130">
      <formula>G$9&gt;=20/24</formula>
    </cfRule>
    <cfRule type="expression" dxfId="3772" priority="131">
      <formula>AND(G$9&gt;=14/24,G$9&lt;20/24)</formula>
    </cfRule>
    <cfRule type="expression" dxfId="3771" priority="132">
      <formula>AND(G$9&gt;=8/24,G$9&lt;14/24)</formula>
    </cfRule>
    <cfRule type="expression" dxfId="3770" priority="133">
      <formula>G$9&lt;8/24</formula>
    </cfRule>
  </conditionalFormatting>
  <conditionalFormatting sqref="N94:Z94">
    <cfRule type="expression" dxfId="3769" priority="122">
      <formula>N$9&gt;=20/24</formula>
    </cfRule>
    <cfRule type="expression" dxfId="3768" priority="123">
      <formula>AND(N$9&gt;=14/24,N$9&lt;20/24)</formula>
    </cfRule>
    <cfRule type="expression" dxfId="3767" priority="124">
      <formula>AND(N$9&gt;=8/24,N$9&lt;14/24)</formula>
    </cfRule>
    <cfRule type="expression" dxfId="3766" priority="125">
      <formula>N$9&lt;8/24</formula>
    </cfRule>
  </conditionalFormatting>
  <conditionalFormatting sqref="AA99">
    <cfRule type="expression" dxfId="3765" priority="118">
      <formula>AA$9&gt;=20/24</formula>
    </cfRule>
    <cfRule type="expression" dxfId="3764" priority="119">
      <formula>AND(AA$9&gt;=14/24,AA$9&lt;20/24)</formula>
    </cfRule>
    <cfRule type="expression" dxfId="3763" priority="120">
      <formula>AND(AA$9&gt;=8/24,AA$9&lt;14/24)</formula>
    </cfRule>
    <cfRule type="expression" dxfId="3762" priority="121">
      <formula>AA$9&lt;8/24</formula>
    </cfRule>
  </conditionalFormatting>
  <conditionalFormatting sqref="C99:M99">
    <cfRule type="expression" dxfId="3761" priority="114">
      <formula>C$9&gt;=20/24</formula>
    </cfRule>
    <cfRule type="expression" dxfId="3760" priority="115">
      <formula>AND(C$9&gt;=14/24,C$9&lt;20/24)</formula>
    </cfRule>
    <cfRule type="expression" dxfId="3759" priority="116">
      <formula>AND(C$9&gt;=8/24,C$9&lt;14/24)</formula>
    </cfRule>
    <cfRule type="expression" dxfId="3758" priority="117">
      <formula>C$9&lt;8/24</formula>
    </cfRule>
  </conditionalFormatting>
  <conditionalFormatting sqref="N99:S99">
    <cfRule type="expression" dxfId="3757" priority="110">
      <formula>N$9&gt;=20/24</formula>
    </cfRule>
    <cfRule type="expression" dxfId="3756" priority="111">
      <formula>AND(N$9&gt;=14/24,N$9&lt;20/24)</formula>
    </cfRule>
    <cfRule type="expression" dxfId="3755" priority="112">
      <formula>AND(N$9&gt;=8/24,N$9&lt;14/24)</formula>
    </cfRule>
    <cfRule type="expression" dxfId="3754" priority="113">
      <formula>N$9&lt;8/24</formula>
    </cfRule>
  </conditionalFormatting>
  <conditionalFormatting sqref="T99:Z99">
    <cfRule type="expression" dxfId="3753" priority="106">
      <formula>T$9&gt;=20/24</formula>
    </cfRule>
    <cfRule type="expression" dxfId="3752" priority="107">
      <formula>AND(T$9&gt;=14/24,T$9&lt;20/24)</formula>
    </cfRule>
    <cfRule type="expression" dxfId="3751" priority="108">
      <formula>AND(T$9&gt;=8/24,T$9&lt;14/24)</formula>
    </cfRule>
    <cfRule type="expression" dxfId="3750" priority="109">
      <formula>T$9&lt;8/24</formula>
    </cfRule>
  </conditionalFormatting>
  <conditionalFormatting sqref="AB58:AE59">
    <cfRule type="expression" dxfId="3749" priority="90">
      <formula>AB$9&gt;=20/24</formula>
    </cfRule>
    <cfRule type="expression" dxfId="3748" priority="91">
      <formula>AND(AB$9&gt;=14/24,AB$9&lt;20/24)</formula>
    </cfRule>
    <cfRule type="expression" dxfId="3747" priority="92">
      <formula>AND(AB$9&gt;=8/24,AB$9&lt;14/24)</formula>
    </cfRule>
    <cfRule type="expression" dxfId="3746" priority="93">
      <formula>AB$9&lt;8/24</formula>
    </cfRule>
  </conditionalFormatting>
  <conditionalFormatting sqref="AL33">
    <cfRule type="iconSet" priority="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45" priority="323">
      <formula>C$9&gt;=20/24</formula>
    </cfRule>
    <cfRule type="expression" dxfId="3744" priority="324">
      <formula>AND(C$9&gt;=14/24,C$9&lt;20/24)</formula>
    </cfRule>
    <cfRule type="expression" dxfId="3743" priority="325">
      <formula>AND(C$9&gt;=8/24,C$9&lt;14/24)</formula>
    </cfRule>
    <cfRule type="expression" dxfId="3742" priority="326">
      <formula>C$9&lt;8/24</formula>
    </cfRule>
  </conditionalFormatting>
  <conditionalFormatting sqref="A200">
    <cfRule type="expression" dxfId="3741" priority="327">
      <formula>$AH200=0</formula>
    </cfRule>
  </conditionalFormatting>
  <conditionalFormatting sqref="AG212">
    <cfRule type="expression" dxfId="3740" priority="328">
      <formula>B$9&gt;=20/24</formula>
    </cfRule>
    <cfRule type="expression" dxfId="3739" priority="329">
      <formula>AND(B$9&gt;=14/24,B$9&lt;20/24)</formula>
    </cfRule>
    <cfRule type="expression" dxfId="3738" priority="330">
      <formula>AND(B$9&gt;=8/24,B$9&lt;14/24)</formula>
    </cfRule>
    <cfRule type="expression" dxfId="3737" priority="331">
      <formula>B$9&lt;8/24</formula>
    </cfRule>
  </conditionalFormatting>
  <conditionalFormatting sqref="S8">
    <cfRule type="expression" dxfId="3736" priority="84">
      <formula>U$9&gt;=20/24</formula>
    </cfRule>
    <cfRule type="expression" dxfId="3735" priority="85">
      <formula>AND(U$9&gt;=14/24,U$9&lt;20/24)</formula>
    </cfRule>
    <cfRule type="expression" dxfId="3734" priority="86">
      <formula>AND(U$9&gt;=8/24,U$9&lt;14/24)</formula>
    </cfRule>
    <cfRule type="expression" dxfId="3733" priority="87">
      <formula>U$9&lt;8/24</formula>
    </cfRule>
  </conditionalFormatting>
  <conditionalFormatting sqref="AB8">
    <cfRule type="expression" dxfId="3732" priority="80">
      <formula>AD$9&gt;=20/24</formula>
    </cfRule>
    <cfRule type="expression" dxfId="3731" priority="81">
      <formula>AND(AD$9&gt;=14/24,AD$9&lt;20/24)</formula>
    </cfRule>
    <cfRule type="expression" dxfId="3730" priority="82">
      <formula>AND(AD$9&gt;=8/24,AD$9&lt;14/24)</formula>
    </cfRule>
    <cfRule type="expression" dxfId="3729" priority="83">
      <formula>AD$9&lt;8/24</formula>
    </cfRule>
  </conditionalFormatting>
  <conditionalFormatting sqref="AH212:AX212">
    <cfRule type="expression" dxfId="3728" priority="332">
      <formula>AG$9&gt;=20/24</formula>
    </cfRule>
    <cfRule type="expression" dxfId="3727" priority="333">
      <formula>AND(AG$9&gt;=14/24,AG$9&lt;20/24)</formula>
    </cfRule>
    <cfRule type="expression" dxfId="3726" priority="334">
      <formula>AND(AG$9&gt;=8/24,AG$9&lt;14/24)</formula>
    </cfRule>
    <cfRule type="expression" dxfId="3725" priority="335">
      <formula>AG$9&lt;8/24</formula>
    </cfRule>
  </conditionalFormatting>
  <conditionalFormatting sqref="T212">
    <cfRule type="expression" dxfId="3724" priority="336">
      <formula>AX$9&gt;=20/24</formula>
    </cfRule>
    <cfRule type="expression" dxfId="3723" priority="337">
      <formula>AND(AX$9&gt;=14/24,AX$9&lt;20/24)</formula>
    </cfRule>
    <cfRule type="expression" dxfId="3722" priority="338">
      <formula>AND(AX$9&gt;=8/24,AX$9&lt;14/24)</formula>
    </cfRule>
    <cfRule type="expression" dxfId="3721" priority="339">
      <formula>AX$9&lt;8/24</formula>
    </cfRule>
  </conditionalFormatting>
  <conditionalFormatting sqref="A99">
    <cfRule type="expression" dxfId="3720" priority="79">
      <formula>$AH99=0</formula>
    </cfRule>
  </conditionalFormatting>
  <conditionalFormatting sqref="L33">
    <cfRule type="expression" dxfId="3719" priority="66">
      <formula>L33&gt;$AG33</formula>
    </cfRule>
  </conditionalFormatting>
  <conditionalFormatting sqref="B11:D14 B53:D55 B16:K31 B36:K36 E12:K14">
    <cfRule type="expression" dxfId="3718" priority="62">
      <formula>B$9&gt;=20/24</formula>
    </cfRule>
    <cfRule type="expression" dxfId="3717" priority="63">
      <formula>AND(B$9&gt;=14/24,B$9&lt;20/24)</formula>
    </cfRule>
    <cfRule type="expression" dxfId="3716" priority="64">
      <formula>AND(B$9&gt;=8/24,B$9&lt;14/24)</formula>
    </cfRule>
    <cfRule type="expression" dxfId="3715" priority="65">
      <formula>B$9&lt;8/24</formula>
    </cfRule>
  </conditionalFormatting>
  <conditionalFormatting sqref="B32:K32">
    <cfRule type="expression" dxfId="3714" priority="58">
      <formula>B$9&gt;=20/24</formula>
    </cfRule>
    <cfRule type="expression" dxfId="3713" priority="59">
      <formula>AND(B$9&gt;=14/24,B$9&lt;20/24)</formula>
    </cfRule>
    <cfRule type="expression" dxfId="3712" priority="60">
      <formula>AND(B$9&gt;=8/24,B$9&lt;14/24)</formula>
    </cfRule>
    <cfRule type="expression" dxfId="3711" priority="61">
      <formula>B$9&lt;8/24</formula>
    </cfRule>
  </conditionalFormatting>
  <conditionalFormatting sqref="B37:D37">
    <cfRule type="expression" dxfId="3710" priority="54">
      <formula>B$9&gt;=20/24</formula>
    </cfRule>
    <cfRule type="expression" dxfId="3709" priority="55">
      <formula>AND(B$9&gt;=14/24,B$9&lt;20/24)</formula>
    </cfRule>
    <cfRule type="expression" dxfId="3708" priority="56">
      <formula>AND(B$9&gt;=8/24,B$9&lt;14/24)</formula>
    </cfRule>
    <cfRule type="expression" dxfId="3707" priority="57">
      <formula>B$9&lt;8/24</formula>
    </cfRule>
  </conditionalFormatting>
  <conditionalFormatting sqref="B35:K35">
    <cfRule type="expression" dxfId="3706" priority="50">
      <formula>B$9&gt;=20/24</formula>
    </cfRule>
    <cfRule type="expression" dxfId="3705" priority="51">
      <formula>AND(B$9&gt;=14/24,B$9&lt;20/24)</formula>
    </cfRule>
    <cfRule type="expression" dxfId="3704" priority="52">
      <formula>AND(B$9&gt;=8/24,B$9&lt;14/24)</formula>
    </cfRule>
    <cfRule type="expression" dxfId="3703" priority="53">
      <formula>B$9&lt;8/24</formula>
    </cfRule>
  </conditionalFormatting>
  <conditionalFormatting sqref="B45:AF48">
    <cfRule type="expression" dxfId="3702" priority="46">
      <formula>B$9&gt;=20/24</formula>
    </cfRule>
    <cfRule type="expression" dxfId="3701" priority="47">
      <formula>AND(B$9&gt;=14/24,B$9&lt;20/24)</formula>
    </cfRule>
    <cfRule type="expression" dxfId="3700" priority="48">
      <formula>AND(B$9&gt;=8/24,B$9&lt;14/24)</formula>
    </cfRule>
    <cfRule type="expression" dxfId="3699" priority="49">
      <formula>B$9&lt;8/24</formula>
    </cfRule>
  </conditionalFormatting>
  <conditionalFormatting sqref="B49:AF49">
    <cfRule type="expression" dxfId="3698" priority="42">
      <formula>B$9&gt;=20/24</formula>
    </cfRule>
    <cfRule type="expression" dxfId="3697" priority="43">
      <formula>AND(B$9&gt;=14/24,B$9&lt;20/24)</formula>
    </cfRule>
    <cfRule type="expression" dxfId="3696" priority="44">
      <formula>AND(B$9&gt;=8/24,B$9&lt;14/24)</formula>
    </cfRule>
    <cfRule type="expression" dxfId="3695" priority="45">
      <formula>B$9&lt;8/24</formula>
    </cfRule>
  </conditionalFormatting>
  <conditionalFormatting sqref="B50:AF50">
    <cfRule type="expression" dxfId="3694" priority="38">
      <formula>B$9&gt;=20/24</formula>
    </cfRule>
    <cfRule type="expression" dxfId="3693" priority="39">
      <formula>AND(B$9&gt;=14/24,B$9&lt;20/24)</formula>
    </cfRule>
    <cfRule type="expression" dxfId="3692" priority="40">
      <formula>AND(B$9&gt;=8/24,B$9&lt;14/24)</formula>
    </cfRule>
    <cfRule type="expression" dxfId="3691" priority="41">
      <formula>B$9&lt;8/24</formula>
    </cfRule>
  </conditionalFormatting>
  <conditionalFormatting sqref="B34:B55 B11:D32 C34:D37 C53:D55 E12:K32 E34:K36 C45:AF50">
    <cfRule type="expression" dxfId="3690" priority="37">
      <formula>B11&gt;$AG11</formula>
    </cfRule>
  </conditionalFormatting>
  <conditionalFormatting sqref="B34:K34">
    <cfRule type="expression" dxfId="3689" priority="33">
      <formula>B$9&gt;=20/24</formula>
    </cfRule>
    <cfRule type="expression" dxfId="3688" priority="34">
      <formula>AND(B$9&gt;=14/24,B$9&lt;20/24)</formula>
    </cfRule>
    <cfRule type="expression" dxfId="3687" priority="35">
      <formula>AND(B$9&gt;=8/24,B$9&lt;14/24)</formula>
    </cfRule>
    <cfRule type="expression" dxfId="3686" priority="36">
      <formula>B$9&lt;8/24</formula>
    </cfRule>
  </conditionalFormatting>
  <conditionalFormatting sqref="B15:K15">
    <cfRule type="expression" dxfId="3685" priority="29">
      <formula>B$9&gt;=20/24</formula>
    </cfRule>
    <cfRule type="expression" dxfId="3684" priority="30">
      <formula>AND(B$9&gt;=14/24,B$9&lt;20/24)</formula>
    </cfRule>
    <cfRule type="expression" dxfId="3683" priority="31">
      <formula>AND(B$9&gt;=8/24,B$9&lt;14/24)</formula>
    </cfRule>
    <cfRule type="expression" dxfId="3682" priority="32">
      <formula>B$9&lt;8/24</formula>
    </cfRule>
  </conditionalFormatting>
  <conditionalFormatting sqref="B33:K33">
    <cfRule type="expression" dxfId="3681" priority="25">
      <formula>B$9&gt;=20/24</formula>
    </cfRule>
    <cfRule type="expression" dxfId="3680" priority="26">
      <formula>AND(B$9&gt;=14/24,B$9&lt;20/24)</formula>
    </cfRule>
    <cfRule type="expression" dxfId="3679" priority="27">
      <formula>AND(B$9&gt;=8/24,B$9&lt;14/24)</formula>
    </cfRule>
    <cfRule type="expression" dxfId="3678" priority="28">
      <formula>B$9&lt;8/24</formula>
    </cfRule>
  </conditionalFormatting>
  <conditionalFormatting sqref="B33:K33">
    <cfRule type="expression" dxfId="3677" priority="24">
      <formula>B33&gt;$AG33</formula>
    </cfRule>
  </conditionalFormatting>
  <conditionalFormatting sqref="M12:AF14 M16:AF32 M36:AF36">
    <cfRule type="expression" dxfId="3676" priority="20">
      <formula>M$9&gt;=20/24</formula>
    </cfRule>
    <cfRule type="expression" dxfId="3675" priority="21">
      <formula>AND(M$9&gt;=14/24,M$9&lt;20/24)</formula>
    </cfRule>
    <cfRule type="expression" dxfId="3674" priority="22">
      <formula>AND(M$9&gt;=8/24,M$9&lt;14/24)</formula>
    </cfRule>
    <cfRule type="expression" dxfId="3673" priority="23">
      <formula>M$9&lt;8/24</formula>
    </cfRule>
  </conditionalFormatting>
  <conditionalFormatting sqref="M35:AF35">
    <cfRule type="expression" dxfId="3672" priority="16">
      <formula>M$9&gt;=20/24</formula>
    </cfRule>
    <cfRule type="expression" dxfId="3671" priority="17">
      <formula>AND(M$9&gt;=14/24,M$9&lt;20/24)</formula>
    </cfRule>
    <cfRule type="expression" dxfId="3670" priority="18">
      <formula>AND(M$9&gt;=8/24,M$9&lt;14/24)</formula>
    </cfRule>
    <cfRule type="expression" dxfId="3669" priority="19">
      <formula>M$9&lt;8/24</formula>
    </cfRule>
  </conditionalFormatting>
  <conditionalFormatting sqref="M16:AF32 M12:AF14 M34:AF36">
    <cfRule type="expression" dxfId="3668" priority="15">
      <formula>M12&gt;$AG12</formula>
    </cfRule>
  </conditionalFormatting>
  <conditionalFormatting sqref="M34:AF34">
    <cfRule type="expression" dxfId="3667" priority="11">
      <formula>M$9&gt;=20/24</formula>
    </cfRule>
    <cfRule type="expression" dxfId="3666" priority="12">
      <formula>AND(M$9&gt;=14/24,M$9&lt;20/24)</formula>
    </cfRule>
    <cfRule type="expression" dxfId="3665" priority="13">
      <formula>AND(M$9&gt;=8/24,M$9&lt;14/24)</formula>
    </cfRule>
    <cfRule type="expression" dxfId="3664" priority="14">
      <formula>M$9&lt;8/24</formula>
    </cfRule>
  </conditionalFormatting>
  <conditionalFormatting sqref="M15:AF15">
    <cfRule type="expression" dxfId="3663" priority="7">
      <formula>M$9&gt;=20/24</formula>
    </cfRule>
    <cfRule type="expression" dxfId="3662" priority="8">
      <formula>AND(M$9&gt;=14/24,M$9&lt;20/24)</formula>
    </cfRule>
    <cfRule type="expression" dxfId="3661" priority="9">
      <formula>AND(M$9&gt;=8/24,M$9&lt;14/24)</formula>
    </cfRule>
    <cfRule type="expression" dxfId="3660" priority="10">
      <formula>M$9&lt;8/24</formula>
    </cfRule>
  </conditionalFormatting>
  <conditionalFormatting sqref="M15:AF15">
    <cfRule type="expression" dxfId="3659" priority="6">
      <formula>M15&gt;$AG15</formula>
    </cfRule>
  </conditionalFormatting>
  <conditionalFormatting sqref="M33:AF33">
    <cfRule type="expression" dxfId="3658" priority="2">
      <formula>M$9&gt;=20/24</formula>
    </cfRule>
    <cfRule type="expression" dxfId="3657" priority="3">
      <formula>AND(M$9&gt;=14/24,M$9&lt;20/24)</formula>
    </cfRule>
    <cfRule type="expression" dxfId="3656" priority="4">
      <formula>AND(M$9&gt;=8/24,M$9&lt;14/24)</formula>
    </cfRule>
    <cfRule type="expression" dxfId="3655" priority="5">
      <formula>M$9&lt;8/24</formula>
    </cfRule>
  </conditionalFormatting>
  <conditionalFormatting sqref="M33:AF33">
    <cfRule type="expression" dxfId="3654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9" id="{2D99653F-AF18-4A89-948B-ED68170873E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47" activePane="bottomRight" state="frozen"/>
      <selection activeCell="AF88" sqref="AF88"/>
      <selection pane="topRight" activeCell="AF88" sqref="AF88"/>
      <selection pane="bottomLeft" activeCell="AF88" sqref="AF88"/>
      <selection pane="bottomRight" activeCell="U14" sqref="U1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2078/11/19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419.1</v>
      </c>
      <c r="C5" s="32">
        <f t="shared" si="0"/>
        <v>402.3</v>
      </c>
      <c r="D5" s="32">
        <f t="shared" si="0"/>
        <v>427.1</v>
      </c>
      <c r="E5" s="32">
        <f t="shared" si="0"/>
        <v>431</v>
      </c>
      <c r="F5" s="32">
        <f t="shared" si="0"/>
        <v>431.2</v>
      </c>
      <c r="G5" s="32">
        <f t="shared" si="0"/>
        <v>463.1</v>
      </c>
      <c r="H5" s="32">
        <f t="shared" si="0"/>
        <v>525.79999999999995</v>
      </c>
      <c r="I5" s="32">
        <f t="shared" si="0"/>
        <v>563.6</v>
      </c>
      <c r="J5" s="32">
        <f t="shared" si="0"/>
        <v>578.9</v>
      </c>
      <c r="K5" s="32">
        <f t="shared" si="0"/>
        <v>222.70000000000002</v>
      </c>
      <c r="L5" s="32">
        <f t="shared" si="0"/>
        <v>195</v>
      </c>
      <c r="M5" s="32">
        <f t="shared" si="0"/>
        <v>567.80000000000007</v>
      </c>
      <c r="N5" s="32">
        <f t="shared" si="0"/>
        <v>536.79999999999995</v>
      </c>
      <c r="O5" s="32">
        <f t="shared" si="0"/>
        <v>509.70000000000005</v>
      </c>
      <c r="P5" s="32">
        <f t="shared" si="0"/>
        <v>532.30000000000007</v>
      </c>
      <c r="Q5" s="32">
        <f t="shared" si="0"/>
        <v>0</v>
      </c>
      <c r="R5" s="32">
        <f t="shared" si="0"/>
        <v>549.20000000000005</v>
      </c>
      <c r="S5" s="32">
        <f t="shared" si="0"/>
        <v>565.40000000000009</v>
      </c>
      <c r="T5" s="32">
        <f t="shared" si="0"/>
        <v>551.5</v>
      </c>
      <c r="U5" s="32">
        <f t="shared" si="0"/>
        <v>538.4</v>
      </c>
      <c r="V5" s="32">
        <f t="shared" si="0"/>
        <v>573.5</v>
      </c>
      <c r="W5" s="32">
        <f t="shared" si="0"/>
        <v>581.90000000000009</v>
      </c>
      <c r="X5" s="32">
        <f t="shared" si="0"/>
        <v>620.5</v>
      </c>
      <c r="Y5" s="32">
        <f t="shared" si="0"/>
        <v>586.79999999999995</v>
      </c>
      <c r="Z5" s="32">
        <f t="shared" si="0"/>
        <v>606.1</v>
      </c>
      <c r="AA5" s="32">
        <f t="shared" si="0"/>
        <v>560.1</v>
      </c>
      <c r="AB5" s="32">
        <f t="shared" si="0"/>
        <v>561.80000000000007</v>
      </c>
      <c r="AC5" s="32">
        <f t="shared" si="0"/>
        <v>494.09999999999997</v>
      </c>
      <c r="AD5" s="32">
        <f t="shared" si="0"/>
        <v>423.2</v>
      </c>
      <c r="AE5" s="32">
        <f t="shared" si="0"/>
        <v>415</v>
      </c>
      <c r="AF5" s="32">
        <f>B68</f>
        <v>410.6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1401MW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931.13999999999987</v>
      </c>
      <c r="C7" s="37">
        <f t="shared" ref="C7:AF7" si="1">C75</f>
        <v>924.04000000000008</v>
      </c>
      <c r="D7" s="37">
        <f t="shared" si="1"/>
        <v>907.04000000000008</v>
      </c>
      <c r="E7" s="37">
        <f t="shared" si="1"/>
        <v>890.74</v>
      </c>
      <c r="F7" s="37">
        <f t="shared" si="1"/>
        <v>910.14</v>
      </c>
      <c r="G7" s="37">
        <f t="shared" si="1"/>
        <v>940.04000000000008</v>
      </c>
      <c r="H7" s="37">
        <f t="shared" si="1"/>
        <v>1008.64</v>
      </c>
      <c r="I7" s="37">
        <f t="shared" si="1"/>
        <v>1095.8399999999999</v>
      </c>
      <c r="J7" s="37">
        <f t="shared" si="1"/>
        <v>1218.3400000000001</v>
      </c>
      <c r="K7" s="37">
        <f t="shared" si="1"/>
        <v>1306.44</v>
      </c>
      <c r="L7" s="37">
        <f t="shared" si="1"/>
        <v>1400.54</v>
      </c>
      <c r="M7" s="37">
        <f t="shared" si="1"/>
        <v>1382.94</v>
      </c>
      <c r="N7" s="37">
        <f t="shared" si="1"/>
        <v>1356.3400000000001</v>
      </c>
      <c r="O7" s="37">
        <f t="shared" si="1"/>
        <v>1267.8400000000001</v>
      </c>
      <c r="P7" s="37">
        <f t="shared" si="1"/>
        <v>1209.54</v>
      </c>
      <c r="Q7" s="37">
        <f t="shared" si="1"/>
        <v>1160.6399999999999</v>
      </c>
      <c r="R7" s="37">
        <f t="shared" si="1"/>
        <v>3.54</v>
      </c>
      <c r="S7" s="37">
        <f t="shared" si="1"/>
        <v>1171.2400000000002</v>
      </c>
      <c r="T7" s="37">
        <f t="shared" si="1"/>
        <v>1190.6400000000001</v>
      </c>
      <c r="U7" s="37">
        <f t="shared" si="1"/>
        <v>1187.1400000000001</v>
      </c>
      <c r="V7" s="37">
        <f t="shared" si="1"/>
        <v>1202.3399999999999</v>
      </c>
      <c r="W7" s="37">
        <f t="shared" si="1"/>
        <v>1259.7400000000002</v>
      </c>
      <c r="X7" s="37">
        <f t="shared" si="1"/>
        <v>1324.3400000000001</v>
      </c>
      <c r="Y7" s="37">
        <f t="shared" si="1"/>
        <v>1475.04</v>
      </c>
      <c r="Z7" s="37">
        <f t="shared" si="1"/>
        <v>1452.34</v>
      </c>
      <c r="AA7" s="37">
        <f t="shared" si="1"/>
        <v>1413.94</v>
      </c>
      <c r="AB7" s="37">
        <f t="shared" si="1"/>
        <v>1338.14</v>
      </c>
      <c r="AC7" s="37">
        <f t="shared" si="1"/>
        <v>1278.3400000000001</v>
      </c>
      <c r="AD7" s="37">
        <f t="shared" si="1"/>
        <v>1155.4399999999998</v>
      </c>
      <c r="AE7" s="37">
        <f t="shared" si="1"/>
        <v>1015.54</v>
      </c>
      <c r="AF7" s="37">
        <f t="shared" si="1"/>
        <v>1005.9399999999999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</v>
      </c>
      <c r="C11" s="49">
        <v>12</v>
      </c>
      <c r="D11" s="49">
        <v>12</v>
      </c>
      <c r="E11" s="49">
        <v>12</v>
      </c>
      <c r="F11" s="49">
        <v>20</v>
      </c>
      <c r="G11" s="49">
        <v>12</v>
      </c>
      <c r="H11" s="49">
        <v>12</v>
      </c>
      <c r="I11" s="49">
        <v>25</v>
      </c>
      <c r="J11" s="49">
        <v>60</v>
      </c>
      <c r="K11" s="49">
        <v>60</v>
      </c>
      <c r="L11" s="49">
        <v>450</v>
      </c>
      <c r="M11" s="50">
        <v>450</v>
      </c>
      <c r="N11" s="50">
        <v>105</v>
      </c>
      <c r="O11" s="50">
        <v>65</v>
      </c>
      <c r="P11" s="50">
        <v>65</v>
      </c>
      <c r="Q11" s="50">
        <v>65</v>
      </c>
      <c r="R11" s="51"/>
      <c r="S11" s="50">
        <v>76</v>
      </c>
      <c r="T11" s="50">
        <v>76</v>
      </c>
      <c r="U11" s="50">
        <v>60</v>
      </c>
      <c r="V11" s="50">
        <v>70</v>
      </c>
      <c r="W11" s="50">
        <v>60</v>
      </c>
      <c r="X11" s="50">
        <v>60</v>
      </c>
      <c r="Y11" s="50">
        <v>115</v>
      </c>
      <c r="Z11" s="52">
        <v>110</v>
      </c>
      <c r="AA11" s="50">
        <v>100</v>
      </c>
      <c r="AB11" s="50">
        <v>90</v>
      </c>
      <c r="AC11" s="50">
        <v>100</v>
      </c>
      <c r="AD11" s="50">
        <v>80</v>
      </c>
      <c r="AE11" s="50">
        <v>60</v>
      </c>
      <c r="AF11" s="50">
        <v>60</v>
      </c>
      <c r="AG11" s="53">
        <v>456</v>
      </c>
      <c r="AH11" s="54">
        <f>MAX(B11:AF11)</f>
        <v>450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/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16.7</v>
      </c>
      <c r="C13" s="49">
        <v>16.7</v>
      </c>
      <c r="D13" s="49">
        <v>16.7</v>
      </c>
      <c r="E13" s="49">
        <v>16.7</v>
      </c>
      <c r="F13" s="49">
        <v>16.7</v>
      </c>
      <c r="G13" s="49">
        <v>16.7</v>
      </c>
      <c r="H13" s="49">
        <v>16.7</v>
      </c>
      <c r="I13" s="49">
        <v>16.7</v>
      </c>
      <c r="J13" s="49">
        <v>16.7</v>
      </c>
      <c r="K13" s="49">
        <v>16.7</v>
      </c>
      <c r="L13" s="49">
        <v>16.7</v>
      </c>
      <c r="M13" s="49">
        <v>16.7</v>
      </c>
      <c r="N13" s="49">
        <v>17.399999999999999</v>
      </c>
      <c r="O13" s="49">
        <v>17.399999999999999</v>
      </c>
      <c r="P13" s="49">
        <v>17.399999999999999</v>
      </c>
      <c r="Q13" s="49">
        <v>17.399999999999999</v>
      </c>
      <c r="R13" s="49"/>
      <c r="S13" s="58">
        <v>16.399999999999999</v>
      </c>
      <c r="T13" s="58">
        <v>16.3</v>
      </c>
      <c r="U13" s="58">
        <v>16.3</v>
      </c>
      <c r="V13" s="58">
        <v>16.2</v>
      </c>
      <c r="W13" s="58">
        <v>16.2</v>
      </c>
      <c r="X13" s="58">
        <v>15.6</v>
      </c>
      <c r="Y13" s="58">
        <v>15.6</v>
      </c>
      <c r="Z13" s="50">
        <v>15.7</v>
      </c>
      <c r="AA13" s="50">
        <v>15.7</v>
      </c>
      <c r="AB13" s="50">
        <v>15.7</v>
      </c>
      <c r="AC13" s="50">
        <v>15.6</v>
      </c>
      <c r="AD13" s="50">
        <v>15.6</v>
      </c>
      <c r="AE13" s="50">
        <v>15.6</v>
      </c>
      <c r="AF13" s="50">
        <v>15.6</v>
      </c>
      <c r="AG13" s="59">
        <v>52.4</v>
      </c>
      <c r="AH13" s="54">
        <f t="shared" si="2"/>
        <v>17.399999999999999</v>
      </c>
      <c r="AI13" s="55">
        <f t="shared" si="3"/>
        <v>15.6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0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50"/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59">
        <v>50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19.399999999999999</v>
      </c>
      <c r="C15" s="61">
        <v>19.399999999999999</v>
      </c>
      <c r="D15" s="61">
        <v>19.399999999999999</v>
      </c>
      <c r="E15" s="61">
        <v>19.399999999999999</v>
      </c>
      <c r="F15" s="61">
        <v>19.399999999999999</v>
      </c>
      <c r="G15" s="61">
        <v>19.399999999999999</v>
      </c>
      <c r="H15" s="61">
        <v>19.399999999999999</v>
      </c>
      <c r="I15" s="61">
        <v>19.399999999999999</v>
      </c>
      <c r="J15" s="61">
        <v>19.399999999999999</v>
      </c>
      <c r="K15" s="61">
        <v>19.399999999999999</v>
      </c>
      <c r="L15" s="61">
        <v>19.399999999999999</v>
      </c>
      <c r="M15" s="61">
        <v>19.399999999999999</v>
      </c>
      <c r="N15" s="61">
        <v>19.399999999999999</v>
      </c>
      <c r="O15" s="61">
        <v>19.399999999999999</v>
      </c>
      <c r="P15" s="61">
        <v>19.399999999999999</v>
      </c>
      <c r="Q15" s="61">
        <v>19.399999999999999</v>
      </c>
      <c r="R15" s="50"/>
      <c r="S15" s="60">
        <v>18.600000000000001</v>
      </c>
      <c r="T15" s="60">
        <v>19.600000000000001</v>
      </c>
      <c r="U15" s="60">
        <v>19.600000000000001</v>
      </c>
      <c r="V15" s="60">
        <v>19.600000000000001</v>
      </c>
      <c r="W15" s="60">
        <v>19.600000000000001</v>
      </c>
      <c r="X15" s="60">
        <v>19.8</v>
      </c>
      <c r="Y15" s="60">
        <v>19.8</v>
      </c>
      <c r="Z15" s="60">
        <v>19.8</v>
      </c>
      <c r="AA15" s="60">
        <v>20.8</v>
      </c>
      <c r="AB15" s="60">
        <v>20.8</v>
      </c>
      <c r="AC15" s="60">
        <v>20.8</v>
      </c>
      <c r="AD15" s="60">
        <v>20.8</v>
      </c>
      <c r="AE15" s="60">
        <v>20.8</v>
      </c>
      <c r="AF15" s="60">
        <v>20.8</v>
      </c>
      <c r="AG15" s="62">
        <v>45</v>
      </c>
      <c r="AH15" s="54">
        <f t="shared" si="2"/>
        <v>20.8</v>
      </c>
      <c r="AI15" s="55">
        <f t="shared" si="3"/>
        <v>18.600000000000001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0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49">
        <v>8.5</v>
      </c>
      <c r="N16" s="49">
        <v>8.5</v>
      </c>
      <c r="O16" s="49">
        <v>8.5</v>
      </c>
      <c r="P16" s="49">
        <v>8.5</v>
      </c>
      <c r="Q16" s="49">
        <v>8.5</v>
      </c>
      <c r="R16" s="50"/>
      <c r="S16" s="63">
        <v>8.5</v>
      </c>
      <c r="T16" s="63">
        <v>8.5</v>
      </c>
      <c r="U16" s="63">
        <v>8.5</v>
      </c>
      <c r="V16" s="63">
        <v>8.5</v>
      </c>
      <c r="W16" s="63">
        <v>8.5</v>
      </c>
      <c r="X16" s="63">
        <v>8.5</v>
      </c>
      <c r="Y16" s="63">
        <v>8.5</v>
      </c>
      <c r="Z16" s="63">
        <v>8.5</v>
      </c>
      <c r="AA16" s="63">
        <v>8.5</v>
      </c>
      <c r="AB16" s="63">
        <v>8.5</v>
      </c>
      <c r="AC16" s="63">
        <v>8.5</v>
      </c>
      <c r="AD16" s="63">
        <v>8.5</v>
      </c>
      <c r="AE16" s="63">
        <v>8.5</v>
      </c>
      <c r="AF16" s="63">
        <v>8.5</v>
      </c>
      <c r="AG16" s="59">
        <v>45</v>
      </c>
      <c r="AH16" s="54">
        <f t="shared" si="2"/>
        <v>8.5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49">
        <v>6.5</v>
      </c>
      <c r="N17" s="49">
        <v>6.5</v>
      </c>
      <c r="O17" s="49">
        <v>6.5</v>
      </c>
      <c r="P17" s="49">
        <v>6.5</v>
      </c>
      <c r="Q17" s="49">
        <v>6.5</v>
      </c>
      <c r="R17" s="50"/>
      <c r="S17" s="60">
        <v>6.5</v>
      </c>
      <c r="T17" s="60">
        <v>6.5</v>
      </c>
      <c r="U17" s="60">
        <v>6.5</v>
      </c>
      <c r="V17" s="60">
        <v>6.5</v>
      </c>
      <c r="W17" s="60">
        <v>6.5</v>
      </c>
      <c r="X17" s="60">
        <v>6.5</v>
      </c>
      <c r="Y17" s="60">
        <v>6.5</v>
      </c>
      <c r="Z17" s="60">
        <v>6.5</v>
      </c>
      <c r="AA17" s="60">
        <v>6.5</v>
      </c>
      <c r="AB17" s="60">
        <v>6.5</v>
      </c>
      <c r="AC17" s="60">
        <v>6.5</v>
      </c>
      <c r="AD17" s="60">
        <v>6.5</v>
      </c>
      <c r="AE17" s="60">
        <v>6.5</v>
      </c>
      <c r="AF17" s="6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49">
        <v>8</v>
      </c>
      <c r="N18" s="49">
        <v>8</v>
      </c>
      <c r="O18" s="49">
        <v>8</v>
      </c>
      <c r="P18" s="49">
        <v>8</v>
      </c>
      <c r="Q18" s="49">
        <v>8</v>
      </c>
      <c r="R18" s="50"/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9.3000000000000007</v>
      </c>
      <c r="C19" s="49">
        <v>9.3000000000000007</v>
      </c>
      <c r="D19" s="49">
        <v>9.3000000000000007</v>
      </c>
      <c r="E19" s="49">
        <v>9.3000000000000007</v>
      </c>
      <c r="F19" s="49">
        <v>9.3000000000000007</v>
      </c>
      <c r="G19" s="49">
        <v>9.3000000000000007</v>
      </c>
      <c r="H19" s="49">
        <v>9.3000000000000007</v>
      </c>
      <c r="I19" s="49">
        <v>9.3000000000000007</v>
      </c>
      <c r="J19" s="49">
        <v>9.3000000000000007</v>
      </c>
      <c r="K19" s="49">
        <v>9.3000000000000007</v>
      </c>
      <c r="L19" s="49">
        <v>9.3000000000000007</v>
      </c>
      <c r="M19" s="49">
        <v>9.3000000000000007</v>
      </c>
      <c r="N19" s="49">
        <v>9.3000000000000007</v>
      </c>
      <c r="O19" s="49">
        <v>9.3000000000000007</v>
      </c>
      <c r="P19" s="49">
        <v>9.3000000000000007</v>
      </c>
      <c r="Q19" s="49">
        <v>9.3000000000000007</v>
      </c>
      <c r="R19" s="50"/>
      <c r="S19" s="50">
        <v>9.3000000000000007</v>
      </c>
      <c r="T19" s="50">
        <v>9.6</v>
      </c>
      <c r="U19" s="50">
        <v>9.6</v>
      </c>
      <c r="V19" s="50">
        <v>9.6</v>
      </c>
      <c r="W19" s="50">
        <v>9.6</v>
      </c>
      <c r="X19" s="50">
        <v>9.6</v>
      </c>
      <c r="Y19" s="50">
        <v>9.6</v>
      </c>
      <c r="Z19" s="50">
        <v>9.6</v>
      </c>
      <c r="AA19" s="50">
        <v>11.3</v>
      </c>
      <c r="AB19" s="50">
        <v>11.3</v>
      </c>
      <c r="AC19" s="50">
        <v>11.3</v>
      </c>
      <c r="AD19" s="50">
        <v>11.3</v>
      </c>
      <c r="AE19" s="50">
        <v>11.3</v>
      </c>
      <c r="AF19" s="50">
        <v>11.3</v>
      </c>
      <c r="AG19" s="59">
        <v>30</v>
      </c>
      <c r="AH19" s="54">
        <f t="shared" si="2"/>
        <v>11.3</v>
      </c>
      <c r="AI19" s="55">
        <f t="shared" si="3"/>
        <v>9.3000000000000007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49">
        <v>10</v>
      </c>
      <c r="N20" s="49">
        <v>10</v>
      </c>
      <c r="O20" s="49">
        <v>10</v>
      </c>
      <c r="P20" s="49">
        <v>10</v>
      </c>
      <c r="Q20" s="49">
        <v>10</v>
      </c>
      <c r="R20" s="50"/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49">
        <v>4</v>
      </c>
      <c r="N21" s="49">
        <v>4</v>
      </c>
      <c r="O21" s="49">
        <v>4</v>
      </c>
      <c r="P21" s="49">
        <v>4</v>
      </c>
      <c r="Q21" s="49">
        <v>4</v>
      </c>
      <c r="R21" s="50"/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10.6</v>
      </c>
      <c r="C22" s="49">
        <v>10.6</v>
      </c>
      <c r="D22" s="49">
        <v>10.6</v>
      </c>
      <c r="E22" s="49">
        <v>10.6</v>
      </c>
      <c r="F22" s="49">
        <v>10.6</v>
      </c>
      <c r="G22" s="49">
        <v>10.6</v>
      </c>
      <c r="H22" s="49">
        <v>10.6</v>
      </c>
      <c r="I22" s="49">
        <v>10.6</v>
      </c>
      <c r="J22" s="49">
        <v>10.6</v>
      </c>
      <c r="K22" s="49">
        <v>10.6</v>
      </c>
      <c r="L22" s="49">
        <v>10.6</v>
      </c>
      <c r="M22" s="49">
        <v>10.6</v>
      </c>
      <c r="N22" s="49">
        <v>10.6</v>
      </c>
      <c r="O22" s="49">
        <v>10.6</v>
      </c>
      <c r="P22" s="49">
        <v>10.6</v>
      </c>
      <c r="Q22" s="49">
        <v>10.6</v>
      </c>
      <c r="R22" s="50"/>
      <c r="S22" s="50">
        <v>10.6</v>
      </c>
      <c r="T22" s="50">
        <v>20</v>
      </c>
      <c r="U22" s="50">
        <v>9</v>
      </c>
      <c r="V22" s="50">
        <v>8.9</v>
      </c>
      <c r="W22" s="50">
        <v>8</v>
      </c>
      <c r="X22" s="50">
        <v>7.6</v>
      </c>
      <c r="Y22" s="50">
        <v>7.6</v>
      </c>
      <c r="Z22" s="50">
        <v>17.5</v>
      </c>
      <c r="AA22" s="50">
        <v>17.399999999999999</v>
      </c>
      <c r="AB22" s="50">
        <v>17.399999999999999</v>
      </c>
      <c r="AC22" s="50">
        <v>17.399999999999999</v>
      </c>
      <c r="AD22" s="50">
        <v>17.399999999999999</v>
      </c>
      <c r="AE22" s="50">
        <v>17.399999999999999</v>
      </c>
      <c r="AF22" s="50">
        <v>17.399999999999999</v>
      </c>
      <c r="AG22" s="59">
        <v>25</v>
      </c>
      <c r="AH22" s="54">
        <f t="shared" si="2"/>
        <v>20</v>
      </c>
      <c r="AI22" s="55">
        <f t="shared" si="3"/>
        <v>7.6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49">
        <v>4.8</v>
      </c>
      <c r="N23" s="49">
        <v>4.8</v>
      </c>
      <c r="O23" s="49">
        <v>4.8</v>
      </c>
      <c r="P23" s="49">
        <v>4.8</v>
      </c>
      <c r="Q23" s="49">
        <v>4.8</v>
      </c>
      <c r="R23" s="50"/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8.9</v>
      </c>
      <c r="C24" s="49">
        <v>8.9</v>
      </c>
      <c r="D24" s="49">
        <v>8.9</v>
      </c>
      <c r="E24" s="49">
        <v>8.9</v>
      </c>
      <c r="F24" s="49">
        <v>8.9</v>
      </c>
      <c r="G24" s="49">
        <v>8.9</v>
      </c>
      <c r="H24" s="49">
        <v>8.9</v>
      </c>
      <c r="I24" s="49">
        <v>8.9</v>
      </c>
      <c r="J24" s="49">
        <v>8.9</v>
      </c>
      <c r="K24" s="49">
        <v>8.5</v>
      </c>
      <c r="L24" s="49">
        <v>8.5</v>
      </c>
      <c r="M24" s="49">
        <v>8.5</v>
      </c>
      <c r="N24" s="49">
        <v>8.5</v>
      </c>
      <c r="O24" s="49">
        <v>8.5</v>
      </c>
      <c r="P24" s="49">
        <v>8.5</v>
      </c>
      <c r="Q24" s="49">
        <v>8.5</v>
      </c>
      <c r="R24" s="50"/>
      <c r="S24" s="50">
        <v>8.5</v>
      </c>
      <c r="T24" s="50">
        <v>8.5</v>
      </c>
      <c r="U24" s="50">
        <v>8.5</v>
      </c>
      <c r="V24" s="50">
        <v>8.5</v>
      </c>
      <c r="W24" s="50">
        <v>8.5</v>
      </c>
      <c r="X24" s="50">
        <v>8.5</v>
      </c>
      <c r="Y24" s="50">
        <v>8.5</v>
      </c>
      <c r="Z24" s="50">
        <v>8.5</v>
      </c>
      <c r="AA24" s="50">
        <v>8.5</v>
      </c>
      <c r="AB24" s="50">
        <v>8.5</v>
      </c>
      <c r="AC24" s="50">
        <v>8.5</v>
      </c>
      <c r="AD24" s="50">
        <v>10.5</v>
      </c>
      <c r="AE24" s="50">
        <v>10.5</v>
      </c>
      <c r="AF24" s="50">
        <v>10.5</v>
      </c>
      <c r="AG24" s="59">
        <v>25</v>
      </c>
      <c r="AH24" s="54">
        <f t="shared" si="2"/>
        <v>10.5</v>
      </c>
      <c r="AI24" s="55">
        <f t="shared" si="3"/>
        <v>8.5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49">
        <v>5.5</v>
      </c>
      <c r="N25" s="49">
        <v>5.5</v>
      </c>
      <c r="O25" s="49">
        <v>5.5</v>
      </c>
      <c r="P25" s="49">
        <v>5.5</v>
      </c>
      <c r="Q25" s="49">
        <v>5.5</v>
      </c>
      <c r="R25" s="50"/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49">
        <v>6.2</v>
      </c>
      <c r="N26" s="49">
        <v>6.2</v>
      </c>
      <c r="O26" s="49">
        <v>6.2</v>
      </c>
      <c r="P26" s="49">
        <v>6.2</v>
      </c>
      <c r="Q26" s="49">
        <v>6.2</v>
      </c>
      <c r="R26" s="50"/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49">
        <v>2.5</v>
      </c>
      <c r="N27" s="49">
        <v>2.5</v>
      </c>
      <c r="O27" s="49">
        <v>2.5</v>
      </c>
      <c r="P27" s="49">
        <v>2.5</v>
      </c>
      <c r="Q27" s="49">
        <v>2.5</v>
      </c>
      <c r="R27" s="50"/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50"/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49">
        <v>3</v>
      </c>
      <c r="N29" s="49">
        <v>3</v>
      </c>
      <c r="O29" s="49">
        <v>3</v>
      </c>
      <c r="P29" s="49">
        <v>3</v>
      </c>
      <c r="Q29" s="49">
        <v>3</v>
      </c>
      <c r="R29" s="50"/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49">
        <v>10</v>
      </c>
      <c r="N30" s="49">
        <v>10</v>
      </c>
      <c r="O30" s="49">
        <v>10</v>
      </c>
      <c r="P30" s="49">
        <v>10</v>
      </c>
      <c r="Q30" s="49">
        <v>10</v>
      </c>
      <c r="R30" s="50"/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61">
        <v>6</v>
      </c>
      <c r="O31" s="61">
        <v>6</v>
      </c>
      <c r="P31" s="61">
        <v>6</v>
      </c>
      <c r="Q31" s="61">
        <v>6</v>
      </c>
      <c r="R31" s="50"/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61">
        <v>5</v>
      </c>
      <c r="N32" s="61">
        <v>5</v>
      </c>
      <c r="O32" s="61">
        <v>5</v>
      </c>
      <c r="P32" s="61">
        <v>5</v>
      </c>
      <c r="Q32" s="61">
        <v>5</v>
      </c>
      <c r="R32" s="50"/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50"/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61">
        <v>4.2</v>
      </c>
      <c r="N34" s="61">
        <v>4.2</v>
      </c>
      <c r="O34" s="61">
        <v>4.2</v>
      </c>
      <c r="P34" s="61">
        <v>4.2</v>
      </c>
      <c r="Q34" s="61">
        <v>4.2</v>
      </c>
      <c r="R34" s="50"/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61">
        <v>0</v>
      </c>
      <c r="O35" s="61">
        <v>0</v>
      </c>
      <c r="P35" s="61">
        <v>0</v>
      </c>
      <c r="Q35" s="61">
        <v>0</v>
      </c>
      <c r="R35" s="50"/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/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140</v>
      </c>
      <c r="Z36" s="61">
        <v>140</v>
      </c>
      <c r="AA36" s="61">
        <v>140</v>
      </c>
      <c r="AB36" s="61">
        <v>140</v>
      </c>
      <c r="AC36" s="61">
        <v>140</v>
      </c>
      <c r="AD36" s="61">
        <v>140</v>
      </c>
      <c r="AE36" s="61">
        <v>140</v>
      </c>
      <c r="AF36" s="61">
        <v>140</v>
      </c>
      <c r="AG36" s="67">
        <v>85</v>
      </c>
      <c r="AH36" s="54">
        <f t="shared" si="2"/>
        <v>160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61">
        <v>34.799999999999997</v>
      </c>
      <c r="C37" s="61">
        <v>35.4</v>
      </c>
      <c r="D37" s="61">
        <v>36.4</v>
      </c>
      <c r="E37" s="61">
        <f>12.5+23.5</f>
        <v>36</v>
      </c>
      <c r="F37" s="61">
        <f>12.5+23.5</f>
        <v>36</v>
      </c>
      <c r="G37" s="61">
        <f>12.5+23</f>
        <v>35.5</v>
      </c>
      <c r="H37" s="61">
        <f>12.6+23.2</f>
        <v>35.799999999999997</v>
      </c>
      <c r="I37" s="61">
        <f>12.4+22.9</f>
        <v>35.299999999999997</v>
      </c>
      <c r="J37" s="61">
        <f>12.3+22.8</f>
        <v>35.1</v>
      </c>
      <c r="K37" s="61">
        <f>12.4+22.9</f>
        <v>35.299999999999997</v>
      </c>
      <c r="L37" s="61">
        <f>34.9</f>
        <v>34.9</v>
      </c>
      <c r="M37" s="70">
        <v>34.6</v>
      </c>
      <c r="N37" s="70">
        <v>35.700000000000003</v>
      </c>
      <c r="O37" s="70">
        <v>35.6</v>
      </c>
      <c r="P37" s="70">
        <v>35.799999999999997</v>
      </c>
      <c r="Q37" s="70">
        <v>35.9</v>
      </c>
      <c r="R37" s="70"/>
      <c r="S37" s="70">
        <v>36.9</v>
      </c>
      <c r="T37" s="70">
        <v>36.6</v>
      </c>
      <c r="U37" s="70">
        <f>11.5+23</f>
        <v>34.5</v>
      </c>
      <c r="V37" s="70">
        <f>12.1+23.4</f>
        <v>35.5</v>
      </c>
      <c r="W37" s="70">
        <f>11+21.8</f>
        <v>32.799999999999997</v>
      </c>
      <c r="X37" s="70">
        <f>10.6+21</f>
        <v>31.6</v>
      </c>
      <c r="Y37" s="70">
        <f>9.9+19.6</f>
        <v>29.5</v>
      </c>
      <c r="Z37" s="70">
        <f>10.6+20.3</f>
        <v>30.9</v>
      </c>
      <c r="AA37" s="70">
        <v>31.3</v>
      </c>
      <c r="AB37" s="70">
        <f>10.9+20.4</f>
        <v>31.299999999999997</v>
      </c>
      <c r="AC37" s="70">
        <f>11+21.1</f>
        <v>32.1</v>
      </c>
      <c r="AD37" s="70">
        <f>11.2+21.5</f>
        <v>32.700000000000003</v>
      </c>
      <c r="AE37" s="70">
        <f>11.2+21.5</f>
        <v>32.700000000000003</v>
      </c>
      <c r="AF37" s="70">
        <f>11.2+21.5</f>
        <v>32.700000000000003</v>
      </c>
      <c r="AG37" s="67">
        <v>240</v>
      </c>
      <c r="AH37" s="54">
        <f t="shared" si="2"/>
        <v>36.9</v>
      </c>
      <c r="AI37" s="55">
        <f t="shared" si="3"/>
        <v>29.5</v>
      </c>
      <c r="AK37" s="56"/>
    </row>
    <row r="38" spans="1:88" ht="15.75" thickBot="1" x14ac:dyDescent="0.3">
      <c r="A38" s="71" t="s">
        <v>46</v>
      </c>
      <c r="B38" s="72">
        <f>SUM(B11:B36)</f>
        <v>360.09999999999997</v>
      </c>
      <c r="C38" s="72">
        <f t="shared" ref="C38:AF38" si="4">SUM(C11:C36)</f>
        <v>352.1</v>
      </c>
      <c r="D38" s="72">
        <f t="shared" si="4"/>
        <v>352.1</v>
      </c>
      <c r="E38" s="72">
        <f t="shared" si="4"/>
        <v>352.1</v>
      </c>
      <c r="F38" s="72">
        <f t="shared" si="4"/>
        <v>351.6</v>
      </c>
      <c r="G38" s="72">
        <f t="shared" si="4"/>
        <v>352.1</v>
      </c>
      <c r="H38" s="72">
        <f t="shared" si="4"/>
        <v>352.1</v>
      </c>
      <c r="I38" s="72">
        <f t="shared" si="4"/>
        <v>365.09999999999997</v>
      </c>
      <c r="J38" s="72">
        <f t="shared" si="4"/>
        <v>400.1</v>
      </c>
      <c r="K38" s="72">
        <f t="shared" si="4"/>
        <v>399.7</v>
      </c>
      <c r="L38" s="72">
        <f t="shared" si="4"/>
        <v>789.7</v>
      </c>
      <c r="M38" s="72">
        <f t="shared" si="4"/>
        <v>789.7</v>
      </c>
      <c r="N38" s="72">
        <f t="shared" si="4"/>
        <v>445.40000000000003</v>
      </c>
      <c r="O38" s="72">
        <f t="shared" si="4"/>
        <v>405.4</v>
      </c>
      <c r="P38" s="72">
        <f t="shared" si="4"/>
        <v>405.4</v>
      </c>
      <c r="Q38" s="72">
        <f t="shared" si="4"/>
        <v>405.4</v>
      </c>
      <c r="R38" s="72">
        <f t="shared" si="4"/>
        <v>0</v>
      </c>
      <c r="S38" s="72">
        <f t="shared" si="4"/>
        <v>394.6</v>
      </c>
      <c r="T38" s="72">
        <f t="shared" si="4"/>
        <v>405.2</v>
      </c>
      <c r="U38" s="72">
        <f t="shared" si="4"/>
        <v>378.2</v>
      </c>
      <c r="V38" s="72">
        <f t="shared" si="4"/>
        <v>388</v>
      </c>
      <c r="W38" s="72">
        <f t="shared" si="4"/>
        <v>377.1</v>
      </c>
      <c r="X38" s="72">
        <f t="shared" si="4"/>
        <v>376.29999999999995</v>
      </c>
      <c r="Y38" s="72">
        <f t="shared" si="4"/>
        <v>431.3</v>
      </c>
      <c r="Z38" s="72">
        <f t="shared" si="4"/>
        <v>436.29999999999995</v>
      </c>
      <c r="AA38" s="72">
        <f t="shared" si="4"/>
        <v>428.90000000000003</v>
      </c>
      <c r="AB38" s="72">
        <f t="shared" si="4"/>
        <v>418.90000000000003</v>
      </c>
      <c r="AC38" s="72">
        <f t="shared" si="4"/>
        <v>428.8</v>
      </c>
      <c r="AD38" s="72">
        <f t="shared" si="4"/>
        <v>410.8</v>
      </c>
      <c r="AE38" s="72">
        <f t="shared" si="4"/>
        <v>390.79999999999995</v>
      </c>
      <c r="AF38" s="72">
        <f t="shared" si="4"/>
        <v>390.79999999999995</v>
      </c>
      <c r="AG38" s="67">
        <f>SUM(AG11:AG37)</f>
        <v>1492.8299999999997</v>
      </c>
      <c r="AH38" s="54">
        <f t="shared" si="2"/>
        <v>789.7</v>
      </c>
      <c r="AI38" s="55">
        <f t="shared" si="3"/>
        <v>0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35.799999999999997</v>
      </c>
      <c r="H39" s="61">
        <v>60</v>
      </c>
      <c r="I39" s="61">
        <v>81.7</v>
      </c>
      <c r="J39" s="61">
        <v>96.7</v>
      </c>
      <c r="K39" s="61">
        <v>121.2</v>
      </c>
      <c r="L39" s="61">
        <v>137.69999999999999</v>
      </c>
      <c r="M39" s="50">
        <v>145.69999999999999</v>
      </c>
      <c r="N39" s="50">
        <v>121.6</v>
      </c>
      <c r="O39" s="50">
        <v>121.5</v>
      </c>
      <c r="P39" s="50">
        <v>115</v>
      </c>
      <c r="Q39" s="50">
        <v>65.099999999999994</v>
      </c>
      <c r="R39" s="50"/>
      <c r="S39" s="50">
        <v>81.099999999999994</v>
      </c>
      <c r="T39" s="50">
        <v>81.2</v>
      </c>
      <c r="U39" s="50">
        <v>91.2</v>
      </c>
      <c r="V39" s="50">
        <v>71.599999999999994</v>
      </c>
      <c r="W39" s="50">
        <v>81.900000000000006</v>
      </c>
      <c r="X39" s="50">
        <v>102.1</v>
      </c>
      <c r="Y39" s="50">
        <v>131.80000000000001</v>
      </c>
      <c r="Z39" s="50">
        <v>140.80000000000001</v>
      </c>
      <c r="AA39" s="50">
        <v>121.2</v>
      </c>
      <c r="AB39" s="50">
        <v>110.9</v>
      </c>
      <c r="AC39" s="50">
        <v>81.5</v>
      </c>
      <c r="AD39" s="50">
        <v>41.5</v>
      </c>
      <c r="AE39" s="50">
        <v>49.4</v>
      </c>
      <c r="AF39" s="50">
        <v>48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23.8</v>
      </c>
      <c r="C40" s="61">
        <v>31</v>
      </c>
      <c r="D40" s="61">
        <v>30.8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34.799999999999997</v>
      </c>
      <c r="K40" s="61">
        <v>60</v>
      </c>
      <c r="L40" s="61">
        <v>69.900000000000006</v>
      </c>
      <c r="M40" s="73">
        <v>69.3</v>
      </c>
      <c r="N40" s="73">
        <v>60.2</v>
      </c>
      <c r="O40" s="73">
        <v>49.2</v>
      </c>
      <c r="P40" s="73">
        <v>35</v>
      </c>
      <c r="Q40" s="73">
        <v>24.5</v>
      </c>
      <c r="R40" s="73"/>
      <c r="S40" s="73">
        <v>22.2</v>
      </c>
      <c r="T40" s="73">
        <v>22.2</v>
      </c>
      <c r="U40" s="73">
        <v>35.700000000000003</v>
      </c>
      <c r="V40" s="73">
        <v>35.700000000000003</v>
      </c>
      <c r="W40" s="73">
        <v>35.799999999999997</v>
      </c>
      <c r="X40" s="73">
        <v>49.7</v>
      </c>
      <c r="Y40" s="73">
        <v>60.1</v>
      </c>
      <c r="Z40" s="73">
        <v>71.7</v>
      </c>
      <c r="AA40" s="73">
        <v>71</v>
      </c>
      <c r="AB40" s="73">
        <v>60</v>
      </c>
      <c r="AC40" s="73">
        <v>25.4</v>
      </c>
      <c r="AD40" s="73">
        <v>24.1</v>
      </c>
      <c r="AE40" s="73">
        <v>0</v>
      </c>
      <c r="AF40" s="73">
        <v>0</v>
      </c>
      <c r="AG40" s="67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32.9</v>
      </c>
      <c r="C41" s="61">
        <v>22.8</v>
      </c>
      <c r="D41" s="61">
        <v>22.8</v>
      </c>
      <c r="E41" s="61">
        <v>23.6</v>
      </c>
      <c r="F41" s="61">
        <v>39.6</v>
      </c>
      <c r="G41" s="61">
        <v>33</v>
      </c>
      <c r="H41" s="61">
        <v>45.5</v>
      </c>
      <c r="I41" s="61">
        <v>35.299999999999997</v>
      </c>
      <c r="J41" s="61">
        <v>35.200000000000003</v>
      </c>
      <c r="K41" s="61">
        <v>51.7</v>
      </c>
      <c r="L41" s="61">
        <v>61.1</v>
      </c>
      <c r="M41" s="73">
        <v>62.9</v>
      </c>
      <c r="N41" s="73">
        <v>61.4</v>
      </c>
      <c r="O41" s="73">
        <v>56</v>
      </c>
      <c r="P41" s="73">
        <v>45</v>
      </c>
      <c r="Q41" s="73">
        <v>33.9</v>
      </c>
      <c r="R41" s="73"/>
      <c r="S41" s="73">
        <v>22.9</v>
      </c>
      <c r="T41" s="73">
        <v>22.2</v>
      </c>
      <c r="U41" s="73">
        <v>46.4</v>
      </c>
      <c r="V41" s="73">
        <v>34.299999999999997</v>
      </c>
      <c r="W41" s="73">
        <v>47.5</v>
      </c>
      <c r="X41" s="73">
        <v>55.4</v>
      </c>
      <c r="Y41" s="73">
        <v>67.5</v>
      </c>
      <c r="Z41" s="73">
        <v>67.7</v>
      </c>
      <c r="AA41" s="73">
        <v>62.8</v>
      </c>
      <c r="AB41" s="73">
        <v>53</v>
      </c>
      <c r="AC41" s="73">
        <v>60.7</v>
      </c>
      <c r="AD41" s="73">
        <v>67</v>
      </c>
      <c r="AE41" s="73">
        <v>47.4</v>
      </c>
      <c r="AF41" s="73">
        <v>47.4</v>
      </c>
      <c r="AG41" s="67">
        <v>69</v>
      </c>
      <c r="AH41" s="54">
        <f t="shared" si="2"/>
        <v>67.7</v>
      </c>
      <c r="AI41" s="55">
        <f t="shared" si="3"/>
        <v>22.2</v>
      </c>
      <c r="AK41" s="56"/>
    </row>
    <row r="42" spans="1:88" x14ac:dyDescent="0.25">
      <c r="A42" s="66" t="s">
        <v>50</v>
      </c>
      <c r="B42" s="61">
        <v>46.4</v>
      </c>
      <c r="C42" s="61">
        <v>46.4</v>
      </c>
      <c r="D42" s="61">
        <v>46.4</v>
      </c>
      <c r="E42" s="61">
        <v>45.1</v>
      </c>
      <c r="F42" s="61">
        <v>45.1</v>
      </c>
      <c r="G42" s="61">
        <v>45.1</v>
      </c>
      <c r="H42" s="61">
        <v>45.1</v>
      </c>
      <c r="I42" s="61">
        <v>45.1</v>
      </c>
      <c r="J42" s="61">
        <v>45.1</v>
      </c>
      <c r="K42" s="61">
        <v>46.1</v>
      </c>
      <c r="L42" s="61">
        <v>45.1</v>
      </c>
      <c r="M42" s="73">
        <v>45.3</v>
      </c>
      <c r="N42" s="73">
        <v>47.1</v>
      </c>
      <c r="O42" s="73">
        <v>46.1</v>
      </c>
      <c r="P42" s="73">
        <v>44.1</v>
      </c>
      <c r="Q42" s="73">
        <v>44.1</v>
      </c>
      <c r="R42" s="73"/>
      <c r="S42" s="73">
        <v>48.3</v>
      </c>
      <c r="T42" s="73">
        <v>46.1</v>
      </c>
      <c r="U42" s="73">
        <v>35.799999999999997</v>
      </c>
      <c r="V42" s="73">
        <v>44.6</v>
      </c>
      <c r="W42" s="73">
        <v>51.6</v>
      </c>
      <c r="X42" s="73">
        <v>51.4</v>
      </c>
      <c r="Y42" s="73">
        <v>49.4</v>
      </c>
      <c r="Z42" s="73">
        <v>44.8</v>
      </c>
      <c r="AA42" s="73">
        <v>43.1</v>
      </c>
      <c r="AB42" s="73">
        <v>43.1</v>
      </c>
      <c r="AC42" s="73">
        <v>43.1</v>
      </c>
      <c r="AD42" s="73">
        <v>43.3</v>
      </c>
      <c r="AE42" s="73">
        <v>46.4</v>
      </c>
      <c r="AF42" s="73">
        <v>46.4</v>
      </c>
      <c r="AG42" s="67">
        <v>60</v>
      </c>
      <c r="AH42" s="54">
        <f t="shared" si="2"/>
        <v>51.6</v>
      </c>
      <c r="AI42" s="55">
        <f t="shared" si="3"/>
        <v>35.799999999999997</v>
      </c>
      <c r="AK42" s="56"/>
    </row>
    <row r="43" spans="1:88" x14ac:dyDescent="0.25">
      <c r="A43" s="66" t="s">
        <v>51</v>
      </c>
      <c r="B43" s="61">
        <v>14.5</v>
      </c>
      <c r="C43" s="61">
        <v>9.8000000000000007</v>
      </c>
      <c r="D43" s="61">
        <v>9.8000000000000007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6</v>
      </c>
      <c r="L43" s="61">
        <v>15</v>
      </c>
      <c r="M43" s="61">
        <v>15</v>
      </c>
      <c r="N43" s="50">
        <v>10</v>
      </c>
      <c r="O43" s="50">
        <v>10</v>
      </c>
      <c r="P43" s="50">
        <v>12.5</v>
      </c>
      <c r="Q43" s="50">
        <v>12.5</v>
      </c>
      <c r="R43" s="50"/>
      <c r="S43" s="50">
        <v>10.1</v>
      </c>
      <c r="T43" s="50">
        <v>0</v>
      </c>
      <c r="U43" s="50">
        <v>0</v>
      </c>
      <c r="V43" s="50">
        <v>10</v>
      </c>
      <c r="W43" s="50">
        <v>9.9</v>
      </c>
      <c r="X43" s="50">
        <v>14.9</v>
      </c>
      <c r="Y43" s="50">
        <v>14.9</v>
      </c>
      <c r="Z43" s="73">
        <v>14.9</v>
      </c>
      <c r="AA43" s="73">
        <v>10</v>
      </c>
      <c r="AB43" s="73">
        <v>9.6999999999999993</v>
      </c>
      <c r="AC43" s="73">
        <v>9.6999999999999993</v>
      </c>
      <c r="AD43" s="73">
        <v>10.1</v>
      </c>
      <c r="AE43" s="73">
        <v>10</v>
      </c>
      <c r="AF43" s="73">
        <v>10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50"/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50"/>
      <c r="S45" s="50">
        <v>16</v>
      </c>
      <c r="T45" s="50">
        <v>16</v>
      </c>
      <c r="U45" s="50">
        <v>16</v>
      </c>
      <c r="V45" s="50">
        <v>16</v>
      </c>
      <c r="W45" s="50">
        <v>16</v>
      </c>
      <c r="X45" s="50">
        <v>16</v>
      </c>
      <c r="Y45" s="50">
        <v>16</v>
      </c>
      <c r="Z45" s="50">
        <v>16</v>
      </c>
      <c r="AA45" s="50">
        <v>16</v>
      </c>
      <c r="AB45" s="50">
        <v>16</v>
      </c>
      <c r="AC45" s="50">
        <v>16</v>
      </c>
      <c r="AD45" s="50">
        <v>16</v>
      </c>
      <c r="AE45" s="50">
        <v>16</v>
      </c>
      <c r="AF45" s="50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v>0</v>
      </c>
      <c r="P46" s="61">
        <v>0</v>
      </c>
      <c r="Q46" s="61">
        <v>0</v>
      </c>
      <c r="R46" s="50"/>
      <c r="S46" s="50">
        <v>0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50"/>
      <c r="S47" s="50">
        <v>11</v>
      </c>
      <c r="T47" s="50">
        <v>11</v>
      </c>
      <c r="U47" s="50">
        <v>11</v>
      </c>
      <c r="V47" s="50">
        <v>11</v>
      </c>
      <c r="W47" s="50">
        <v>11</v>
      </c>
      <c r="X47" s="50">
        <v>11</v>
      </c>
      <c r="Y47" s="50">
        <v>11</v>
      </c>
      <c r="Z47" s="50">
        <v>11</v>
      </c>
      <c r="AA47" s="50">
        <v>11</v>
      </c>
      <c r="AB47" s="50">
        <v>11</v>
      </c>
      <c r="AC47" s="50">
        <v>11</v>
      </c>
      <c r="AD47" s="50">
        <v>11</v>
      </c>
      <c r="AE47" s="50">
        <v>11</v>
      </c>
      <c r="AF47" s="50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50"/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50"/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50"/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160.44</v>
      </c>
      <c r="C52" s="72">
        <f t="shared" ref="C52:AF52" si="6">SUM(C39:C51)</f>
        <v>152.84</v>
      </c>
      <c r="D52" s="72">
        <f t="shared" si="6"/>
        <v>152.64000000000001</v>
      </c>
      <c r="E52" s="72">
        <f t="shared" si="6"/>
        <v>111.54</v>
      </c>
      <c r="F52" s="72">
        <f t="shared" si="6"/>
        <v>127.54</v>
      </c>
      <c r="G52" s="72">
        <f t="shared" si="6"/>
        <v>156.74</v>
      </c>
      <c r="H52" s="72">
        <f t="shared" si="6"/>
        <v>193.44</v>
      </c>
      <c r="I52" s="72">
        <f t="shared" si="6"/>
        <v>204.94</v>
      </c>
      <c r="J52" s="72">
        <f t="shared" si="6"/>
        <v>254.64</v>
      </c>
      <c r="K52" s="72">
        <f t="shared" si="6"/>
        <v>327.84000000000003</v>
      </c>
      <c r="L52" s="72">
        <f t="shared" si="6"/>
        <v>371.64000000000004</v>
      </c>
      <c r="M52" s="72">
        <f t="shared" si="6"/>
        <v>381.04</v>
      </c>
      <c r="N52" s="72">
        <f t="shared" si="6"/>
        <v>343.14000000000004</v>
      </c>
      <c r="O52" s="72">
        <f t="shared" si="6"/>
        <v>325.64000000000004</v>
      </c>
      <c r="P52" s="72">
        <f t="shared" si="6"/>
        <v>294.44000000000005</v>
      </c>
      <c r="Q52" s="72">
        <f t="shared" si="6"/>
        <v>222.94</v>
      </c>
      <c r="R52" s="72">
        <f t="shared" si="6"/>
        <v>3.54</v>
      </c>
      <c r="S52" s="72">
        <f t="shared" si="6"/>
        <v>227.44</v>
      </c>
      <c r="T52" s="72">
        <f t="shared" si="6"/>
        <v>220.04000000000002</v>
      </c>
      <c r="U52" s="72">
        <f t="shared" si="6"/>
        <v>257.44000000000005</v>
      </c>
      <c r="V52" s="72">
        <f t="shared" si="6"/>
        <v>244.54</v>
      </c>
      <c r="W52" s="72">
        <f t="shared" si="6"/>
        <v>275.04000000000002</v>
      </c>
      <c r="X52" s="72">
        <f t="shared" si="6"/>
        <v>321.84000000000003</v>
      </c>
      <c r="Y52" s="72">
        <f t="shared" si="6"/>
        <v>372.03999999999996</v>
      </c>
      <c r="Z52" s="72">
        <f t="shared" si="6"/>
        <v>388.24</v>
      </c>
      <c r="AA52" s="72">
        <f t="shared" si="6"/>
        <v>356.44000000000005</v>
      </c>
      <c r="AB52" s="72">
        <f t="shared" si="6"/>
        <v>325.04000000000002</v>
      </c>
      <c r="AC52" s="72">
        <f t="shared" si="6"/>
        <v>268.74</v>
      </c>
      <c r="AD52" s="72">
        <f t="shared" si="6"/>
        <v>234.33999999999997</v>
      </c>
      <c r="AE52" s="72">
        <f t="shared" si="6"/>
        <v>201.54</v>
      </c>
      <c r="AF52" s="72">
        <f t="shared" si="6"/>
        <v>200.14000000000001</v>
      </c>
      <c r="AG52" s="78">
        <f>SUM(AG39:AG51)</f>
        <v>489.91</v>
      </c>
      <c r="AH52" s="54">
        <f t="shared" si="2"/>
        <v>388.24</v>
      </c>
      <c r="AI52" s="55">
        <f t="shared" si="3"/>
        <v>3.54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10</v>
      </c>
      <c r="M53" s="79">
        <v>10.7</v>
      </c>
      <c r="N53" s="79">
        <v>0</v>
      </c>
      <c r="O53" s="79">
        <v>0</v>
      </c>
      <c r="P53" s="79">
        <v>0</v>
      </c>
      <c r="Q53" s="79">
        <v>0</v>
      </c>
      <c r="R53" s="50"/>
      <c r="S53" s="50">
        <v>0</v>
      </c>
      <c r="T53" s="50">
        <v>0</v>
      </c>
      <c r="U53" s="50">
        <v>0</v>
      </c>
      <c r="V53" s="50">
        <v>20.2</v>
      </c>
      <c r="W53" s="50">
        <v>20</v>
      </c>
      <c r="X53" s="50">
        <v>30.5</v>
      </c>
      <c r="Y53" s="50">
        <v>30.4</v>
      </c>
      <c r="Z53" s="50">
        <v>20.2</v>
      </c>
      <c r="AA53" s="50">
        <v>14</v>
      </c>
      <c r="AB53" s="50">
        <v>20.3</v>
      </c>
      <c r="AC53" s="50">
        <v>11.1</v>
      </c>
      <c r="AD53" s="50">
        <v>10.7</v>
      </c>
      <c r="AE53" s="50">
        <v>0</v>
      </c>
      <c r="AF53" s="50">
        <v>0</v>
      </c>
      <c r="AG53" s="62">
        <v>60</v>
      </c>
      <c r="AH53" s="54">
        <f t="shared" si="2"/>
        <v>30.5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4.8</v>
      </c>
      <c r="M54" s="79">
        <v>4.8</v>
      </c>
      <c r="N54" s="79">
        <v>0</v>
      </c>
      <c r="O54" s="79">
        <v>0</v>
      </c>
      <c r="P54" s="79">
        <v>0</v>
      </c>
      <c r="Q54" s="79">
        <v>0</v>
      </c>
      <c r="R54" s="73"/>
      <c r="S54" s="50">
        <v>0</v>
      </c>
      <c r="T54" s="50">
        <v>0</v>
      </c>
      <c r="U54" s="50">
        <v>0</v>
      </c>
      <c r="V54" s="73">
        <v>8.1999999999999993</v>
      </c>
      <c r="W54" s="73">
        <v>10</v>
      </c>
      <c r="X54" s="73">
        <v>10.1</v>
      </c>
      <c r="Y54" s="73">
        <v>15.2</v>
      </c>
      <c r="Z54" s="73">
        <v>15.2</v>
      </c>
      <c r="AA54" s="73">
        <v>6.2</v>
      </c>
      <c r="AB54" s="73">
        <v>10.1</v>
      </c>
      <c r="AC54" s="73">
        <v>5.8</v>
      </c>
      <c r="AD54" s="73">
        <v>4</v>
      </c>
      <c r="AE54" s="73">
        <v>0</v>
      </c>
      <c r="AF54" s="73">
        <v>0</v>
      </c>
      <c r="AG54" s="67">
        <v>32</v>
      </c>
      <c r="AH54" s="54">
        <f t="shared" si="2"/>
        <v>15.2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1.7</v>
      </c>
      <c r="M55" s="81">
        <v>1.7</v>
      </c>
      <c r="N55" s="79">
        <v>0</v>
      </c>
      <c r="O55" s="79">
        <v>0</v>
      </c>
      <c r="P55" s="79">
        <v>0</v>
      </c>
      <c r="Q55" s="79">
        <v>0</v>
      </c>
      <c r="R55" s="80"/>
      <c r="S55" s="50">
        <v>0</v>
      </c>
      <c r="T55" s="50">
        <v>0</v>
      </c>
      <c r="U55" s="50">
        <v>0</v>
      </c>
      <c r="V55" s="80">
        <v>3</v>
      </c>
      <c r="W55" s="80">
        <v>4.0999999999999996</v>
      </c>
      <c r="X55" s="80">
        <v>3.7</v>
      </c>
      <c r="Y55" s="80">
        <v>5.6</v>
      </c>
      <c r="Z55" s="80">
        <v>5.6</v>
      </c>
      <c r="AA55" s="80">
        <v>2.2999999999999998</v>
      </c>
      <c r="AB55" s="80">
        <v>3.7</v>
      </c>
      <c r="AC55" s="80">
        <v>2.1</v>
      </c>
      <c r="AD55" s="80">
        <v>1.5</v>
      </c>
      <c r="AE55" s="80">
        <v>0</v>
      </c>
      <c r="AF55" s="80">
        <v>0</v>
      </c>
      <c r="AG55" s="82">
        <v>14</v>
      </c>
      <c r="AH55" s="54">
        <f t="shared" si="2"/>
        <v>5.6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16.5</v>
      </c>
      <c r="M56" s="72">
        <f t="shared" si="7"/>
        <v>17.2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31.4</v>
      </c>
      <c r="W56" s="72">
        <f t="shared" si="7"/>
        <v>34.1</v>
      </c>
      <c r="X56" s="72">
        <f t="shared" si="7"/>
        <v>44.300000000000004</v>
      </c>
      <c r="Y56" s="72">
        <f t="shared" si="7"/>
        <v>51.199999999999996</v>
      </c>
      <c r="Z56" s="72">
        <f t="shared" si="7"/>
        <v>41</v>
      </c>
      <c r="AA56" s="72">
        <f t="shared" si="7"/>
        <v>22.5</v>
      </c>
      <c r="AB56" s="72">
        <f t="shared" si="7"/>
        <v>34.1</v>
      </c>
      <c r="AC56" s="72">
        <f t="shared" si="7"/>
        <v>19</v>
      </c>
      <c r="AD56" s="72">
        <f t="shared" si="7"/>
        <v>16.2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51.199999999999996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70.599999999999994</v>
      </c>
      <c r="C57" s="50">
        <v>72.099999999999994</v>
      </c>
      <c r="D57" s="50">
        <v>69.3</v>
      </c>
      <c r="E57" s="50">
        <v>70.099999999999994</v>
      </c>
      <c r="F57" s="50">
        <v>71</v>
      </c>
      <c r="G57" s="50">
        <v>74.2</v>
      </c>
      <c r="H57" s="50">
        <v>71.099999999999994</v>
      </c>
      <c r="I57" s="50">
        <v>76</v>
      </c>
      <c r="J57" s="50">
        <v>62</v>
      </c>
      <c r="K57" s="50">
        <v>67</v>
      </c>
      <c r="L57" s="50">
        <v>54.1</v>
      </c>
      <c r="M57" s="50">
        <v>55.1</v>
      </c>
      <c r="N57" s="50">
        <v>71.3</v>
      </c>
      <c r="O57" s="50">
        <v>65.3</v>
      </c>
      <c r="P57" s="50">
        <v>68.2</v>
      </c>
      <c r="Q57" s="50">
        <v>68.8</v>
      </c>
      <c r="R57" s="50"/>
      <c r="S57" s="50">
        <v>72.8</v>
      </c>
      <c r="T57" s="50">
        <v>75.2</v>
      </c>
      <c r="U57" s="50">
        <v>80</v>
      </c>
      <c r="V57" s="50">
        <v>65.400000000000006</v>
      </c>
      <c r="W57" s="50">
        <v>71.599999999999994</v>
      </c>
      <c r="X57" s="50">
        <v>74.099999999999994</v>
      </c>
      <c r="Y57" s="50">
        <v>75.400000000000006</v>
      </c>
      <c r="Z57" s="50">
        <v>73.5</v>
      </c>
      <c r="AA57" s="50">
        <v>71.099999999999994</v>
      </c>
      <c r="AB57" s="50">
        <v>73.8</v>
      </c>
      <c r="AC57" s="50">
        <v>67</v>
      </c>
      <c r="AD57" s="50">
        <v>71.900000000000006</v>
      </c>
      <c r="AE57" s="50">
        <v>71.2</v>
      </c>
      <c r="AF57" s="50">
        <v>64</v>
      </c>
      <c r="AG57" s="62"/>
      <c r="AH57" s="54">
        <f t="shared" si="2"/>
        <v>80</v>
      </c>
      <c r="AI57" s="55">
        <f t="shared" si="3"/>
        <v>54.1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/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340</v>
      </c>
      <c r="C59" s="73">
        <v>347</v>
      </c>
      <c r="D59" s="73">
        <v>333</v>
      </c>
      <c r="E59" s="73">
        <v>357</v>
      </c>
      <c r="F59" s="73">
        <v>360</v>
      </c>
      <c r="G59" s="73">
        <v>357</v>
      </c>
      <c r="H59" s="50">
        <v>392</v>
      </c>
      <c r="I59" s="50">
        <v>400</v>
      </c>
      <c r="J59" s="50">
        <v>368</v>
      </c>
      <c r="K59" s="50">
        <v>378</v>
      </c>
      <c r="L59" s="50">
        <v>32.200000000000003</v>
      </c>
      <c r="M59" s="73">
        <v>23.9</v>
      </c>
      <c r="N59" s="73">
        <v>366.8</v>
      </c>
      <c r="O59" s="73">
        <v>355.2</v>
      </c>
      <c r="P59" s="73">
        <v>328</v>
      </c>
      <c r="Q59" s="73">
        <v>350</v>
      </c>
      <c r="R59" s="73"/>
      <c r="S59" s="73">
        <v>365</v>
      </c>
      <c r="T59" s="73">
        <v>370.1</v>
      </c>
      <c r="U59" s="73">
        <v>352</v>
      </c>
      <c r="V59" s="73">
        <v>348</v>
      </c>
      <c r="W59" s="73">
        <v>378</v>
      </c>
      <c r="X59" s="84">
        <v>388.1</v>
      </c>
      <c r="Y59" s="84">
        <v>405</v>
      </c>
      <c r="Z59" s="84">
        <v>383.7</v>
      </c>
      <c r="AA59" s="84">
        <v>394</v>
      </c>
      <c r="AB59" s="73">
        <v>355.1</v>
      </c>
      <c r="AC59" s="73">
        <v>365</v>
      </c>
      <c r="AD59" s="73">
        <v>345</v>
      </c>
      <c r="AE59" s="73">
        <v>352</v>
      </c>
      <c r="AF59" s="73">
        <v>351</v>
      </c>
      <c r="AG59" s="85"/>
      <c r="AH59" s="54">
        <f t="shared" si="2"/>
        <v>405</v>
      </c>
      <c r="AI59" s="55">
        <f t="shared" si="3"/>
        <v>23.9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0</v>
      </c>
      <c r="H60" s="58">
        <v>0</v>
      </c>
      <c r="I60" s="58">
        <v>49.8</v>
      </c>
      <c r="J60" s="58">
        <v>52.1</v>
      </c>
      <c r="K60" s="58">
        <v>48.7</v>
      </c>
      <c r="L60" s="58">
        <v>57.8</v>
      </c>
      <c r="M60" s="73">
        <v>43.9</v>
      </c>
      <c r="N60" s="73">
        <v>56.5</v>
      </c>
      <c r="O60" s="73">
        <v>48.5</v>
      </c>
      <c r="P60" s="73">
        <v>44.1</v>
      </c>
      <c r="Q60" s="73">
        <v>44.1</v>
      </c>
      <c r="R60" s="73"/>
      <c r="S60" s="73">
        <v>49.9</v>
      </c>
      <c r="T60" s="73">
        <v>48.6</v>
      </c>
      <c r="U60" s="73">
        <v>48</v>
      </c>
      <c r="V60" s="73">
        <v>46</v>
      </c>
      <c r="W60" s="73">
        <v>45</v>
      </c>
      <c r="X60" s="73">
        <v>43</v>
      </c>
      <c r="Y60" s="73">
        <v>53.1</v>
      </c>
      <c r="Z60" s="73">
        <v>54.6</v>
      </c>
      <c r="AA60" s="73">
        <v>51.6</v>
      </c>
      <c r="AB60" s="73">
        <v>48.2</v>
      </c>
      <c r="AC60" s="73">
        <v>49.6</v>
      </c>
      <c r="AD60" s="73">
        <v>0</v>
      </c>
      <c r="AE60" s="73">
        <v>0</v>
      </c>
      <c r="AF60" s="73">
        <v>0</v>
      </c>
      <c r="AG60" s="85"/>
      <c r="AH60" s="54">
        <f t="shared" si="2"/>
        <v>57.8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81.5</v>
      </c>
      <c r="K61" s="58">
        <v>85.2</v>
      </c>
      <c r="L61" s="58">
        <v>78.599999999999994</v>
      </c>
      <c r="M61" s="50">
        <v>72.099999999999994</v>
      </c>
      <c r="N61" s="50">
        <v>73.2</v>
      </c>
      <c r="O61" s="50">
        <v>67.8</v>
      </c>
      <c r="P61" s="50">
        <v>69.400000000000006</v>
      </c>
      <c r="Q61" s="50">
        <v>69.400000000000006</v>
      </c>
      <c r="R61" s="50"/>
      <c r="S61" s="50">
        <v>61.5</v>
      </c>
      <c r="T61" s="50">
        <v>71.5</v>
      </c>
      <c r="U61" s="50">
        <v>71.5</v>
      </c>
      <c r="V61" s="50">
        <v>79</v>
      </c>
      <c r="W61" s="50">
        <v>78.900000000000006</v>
      </c>
      <c r="X61" s="50">
        <v>76.7</v>
      </c>
      <c r="Y61" s="50">
        <v>87</v>
      </c>
      <c r="Z61" s="50">
        <v>75</v>
      </c>
      <c r="AA61" s="50">
        <v>89.4</v>
      </c>
      <c r="AB61" s="50">
        <v>83</v>
      </c>
      <c r="AC61" s="50">
        <v>80.2</v>
      </c>
      <c r="AD61" s="50">
        <v>77.2</v>
      </c>
      <c r="AE61" s="50">
        <v>0</v>
      </c>
      <c r="AF61" s="50">
        <v>0</v>
      </c>
      <c r="AG61" s="85"/>
      <c r="AH61" s="54">
        <f t="shared" si="2"/>
        <v>89.4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/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60">
        <v>0</v>
      </c>
      <c r="O63" s="60">
        <v>0</v>
      </c>
      <c r="P63" s="60">
        <v>0</v>
      </c>
      <c r="Q63" s="60">
        <v>0</v>
      </c>
      <c r="R63" s="60"/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60">
        <v>0</v>
      </c>
      <c r="O64" s="60">
        <v>0</v>
      </c>
      <c r="P64" s="60">
        <v>0</v>
      </c>
      <c r="Q64" s="60">
        <v>0</v>
      </c>
      <c r="R64" s="58"/>
      <c r="S64" s="60">
        <v>0</v>
      </c>
      <c r="T64" s="60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60">
        <v>0</v>
      </c>
      <c r="AB64" s="58">
        <v>0</v>
      </c>
      <c r="AC64" s="58">
        <v>0</v>
      </c>
      <c r="AD64" s="58">
        <v>0</v>
      </c>
      <c r="AE64" s="60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60">
        <v>0</v>
      </c>
      <c r="O65" s="60">
        <v>0</v>
      </c>
      <c r="P65" s="60">
        <v>0</v>
      </c>
      <c r="Q65" s="60">
        <v>0</v>
      </c>
      <c r="R65" s="58"/>
      <c r="S65" s="60">
        <v>0</v>
      </c>
      <c r="T65" s="60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60">
        <v>0</v>
      </c>
      <c r="AB65" s="58">
        <v>0</v>
      </c>
      <c r="AC65" s="58">
        <v>0</v>
      </c>
      <c r="AD65" s="58">
        <v>0</v>
      </c>
      <c r="AE65" s="60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60">
        <v>0</v>
      </c>
      <c r="O66" s="60">
        <v>0</v>
      </c>
      <c r="P66" s="60">
        <v>0</v>
      </c>
      <c r="Q66" s="60">
        <v>0</v>
      </c>
      <c r="R66" s="63"/>
      <c r="S66" s="60">
        <v>0</v>
      </c>
      <c r="T66" s="60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0">
        <v>0</v>
      </c>
      <c r="AB66" s="63">
        <v>0</v>
      </c>
      <c r="AC66" s="63">
        <v>0</v>
      </c>
      <c r="AD66" s="63">
        <v>0</v>
      </c>
      <c r="AE66" s="60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60">
        <v>0</v>
      </c>
      <c r="O67" s="60">
        <v>0</v>
      </c>
      <c r="P67" s="60">
        <v>0</v>
      </c>
      <c r="Q67" s="60">
        <v>0</v>
      </c>
      <c r="R67" s="63"/>
      <c r="S67" s="60">
        <v>0</v>
      </c>
      <c r="T67" s="60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0">
        <v>0</v>
      </c>
      <c r="AB67" s="63">
        <v>0</v>
      </c>
      <c r="AC67" s="63">
        <v>0</v>
      </c>
      <c r="AD67" s="63">
        <v>0</v>
      </c>
      <c r="AE67" s="60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410.6</v>
      </c>
      <c r="C68" s="72">
        <f>SUM(C57:C67)</f>
        <v>419.1</v>
      </c>
      <c r="D68" s="72">
        <f t="shared" ref="D68:AF68" si="8">SUM(D57:D67)</f>
        <v>402.3</v>
      </c>
      <c r="E68" s="72">
        <f t="shared" si="8"/>
        <v>427.1</v>
      </c>
      <c r="F68" s="72">
        <f t="shared" si="8"/>
        <v>431</v>
      </c>
      <c r="G68" s="72">
        <f t="shared" si="8"/>
        <v>431.2</v>
      </c>
      <c r="H68" s="72">
        <f t="shared" si="8"/>
        <v>463.1</v>
      </c>
      <c r="I68" s="72">
        <f t="shared" si="8"/>
        <v>525.79999999999995</v>
      </c>
      <c r="J68" s="72">
        <f t="shared" si="8"/>
        <v>563.6</v>
      </c>
      <c r="K68" s="72">
        <f t="shared" si="8"/>
        <v>578.9</v>
      </c>
      <c r="L68" s="72">
        <f t="shared" si="8"/>
        <v>222.70000000000002</v>
      </c>
      <c r="M68" s="72">
        <f t="shared" si="8"/>
        <v>195</v>
      </c>
      <c r="N68" s="72">
        <f t="shared" si="8"/>
        <v>567.80000000000007</v>
      </c>
      <c r="O68" s="72">
        <f t="shared" si="8"/>
        <v>536.79999999999995</v>
      </c>
      <c r="P68" s="72">
        <f t="shared" si="8"/>
        <v>509.70000000000005</v>
      </c>
      <c r="Q68" s="72">
        <f t="shared" si="8"/>
        <v>532.30000000000007</v>
      </c>
      <c r="R68" s="72">
        <f t="shared" si="8"/>
        <v>0</v>
      </c>
      <c r="S68" s="72">
        <f t="shared" si="8"/>
        <v>549.20000000000005</v>
      </c>
      <c r="T68" s="72">
        <f t="shared" si="8"/>
        <v>565.40000000000009</v>
      </c>
      <c r="U68" s="72">
        <f t="shared" si="8"/>
        <v>551.5</v>
      </c>
      <c r="V68" s="72">
        <f t="shared" si="8"/>
        <v>538.4</v>
      </c>
      <c r="W68" s="72">
        <f t="shared" si="8"/>
        <v>573.5</v>
      </c>
      <c r="X68" s="72">
        <f t="shared" si="8"/>
        <v>581.90000000000009</v>
      </c>
      <c r="Y68" s="72">
        <f t="shared" si="8"/>
        <v>620.5</v>
      </c>
      <c r="Z68" s="72">
        <f t="shared" si="8"/>
        <v>586.79999999999995</v>
      </c>
      <c r="AA68" s="72">
        <f t="shared" si="8"/>
        <v>606.1</v>
      </c>
      <c r="AB68" s="72">
        <f t="shared" si="8"/>
        <v>560.1</v>
      </c>
      <c r="AC68" s="72">
        <f t="shared" si="8"/>
        <v>561.80000000000007</v>
      </c>
      <c r="AD68" s="72">
        <f t="shared" si="8"/>
        <v>494.09999999999997</v>
      </c>
      <c r="AE68" s="72">
        <f t="shared" si="8"/>
        <v>423.2</v>
      </c>
      <c r="AF68" s="72">
        <f t="shared" si="8"/>
        <v>415</v>
      </c>
      <c r="AG68" s="78">
        <f>SUM(AG57:AG67)</f>
        <v>0</v>
      </c>
      <c r="AH68" s="54">
        <f t="shared" si="2"/>
        <v>620.5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931.13999999999987</v>
      </c>
      <c r="C73" s="89">
        <f>C68+C56+C52+C38+C72</f>
        <v>924.04000000000008</v>
      </c>
      <c r="D73" s="89">
        <f t="shared" ref="D73:AG73" si="10">D68+D56+D52+D38+D72</f>
        <v>907.04000000000008</v>
      </c>
      <c r="E73" s="89">
        <f t="shared" si="10"/>
        <v>890.74</v>
      </c>
      <c r="F73" s="89">
        <f t="shared" si="10"/>
        <v>910.14</v>
      </c>
      <c r="G73" s="89">
        <f t="shared" si="10"/>
        <v>940.04000000000008</v>
      </c>
      <c r="H73" s="89">
        <f t="shared" si="10"/>
        <v>1008.64</v>
      </c>
      <c r="I73" s="89">
        <f t="shared" si="10"/>
        <v>1095.8399999999999</v>
      </c>
      <c r="J73" s="89">
        <f t="shared" si="10"/>
        <v>1218.3400000000001</v>
      </c>
      <c r="K73" s="89">
        <f t="shared" si="10"/>
        <v>1306.44</v>
      </c>
      <c r="L73" s="89">
        <f t="shared" si="10"/>
        <v>1400.54</v>
      </c>
      <c r="M73" s="89">
        <f t="shared" si="10"/>
        <v>1382.94</v>
      </c>
      <c r="N73" s="89">
        <f t="shared" si="10"/>
        <v>1356.3400000000001</v>
      </c>
      <c r="O73" s="89">
        <f t="shared" si="10"/>
        <v>1267.8400000000001</v>
      </c>
      <c r="P73" s="89">
        <f t="shared" si="10"/>
        <v>1209.54</v>
      </c>
      <c r="Q73" s="89">
        <f t="shared" si="10"/>
        <v>1160.6399999999999</v>
      </c>
      <c r="R73" s="89">
        <f t="shared" si="10"/>
        <v>3.54</v>
      </c>
      <c r="S73" s="89">
        <f t="shared" si="10"/>
        <v>1171.2400000000002</v>
      </c>
      <c r="T73" s="89">
        <f t="shared" si="10"/>
        <v>1190.6400000000001</v>
      </c>
      <c r="U73" s="89">
        <f t="shared" si="10"/>
        <v>1187.1400000000001</v>
      </c>
      <c r="V73" s="89">
        <f t="shared" si="10"/>
        <v>1202.3399999999999</v>
      </c>
      <c r="W73" s="89">
        <f t="shared" si="10"/>
        <v>1259.7400000000002</v>
      </c>
      <c r="X73" s="89">
        <f t="shared" si="10"/>
        <v>1324.3400000000001</v>
      </c>
      <c r="Y73" s="89">
        <f t="shared" si="10"/>
        <v>1475.04</v>
      </c>
      <c r="Z73" s="89">
        <f t="shared" si="10"/>
        <v>1452.34</v>
      </c>
      <c r="AA73" s="89">
        <f t="shared" si="10"/>
        <v>1413.94</v>
      </c>
      <c r="AB73" s="89">
        <f t="shared" si="10"/>
        <v>1338.14</v>
      </c>
      <c r="AC73" s="89">
        <f t="shared" si="10"/>
        <v>1278.3400000000001</v>
      </c>
      <c r="AD73" s="89">
        <f t="shared" si="10"/>
        <v>1155.4399999999998</v>
      </c>
      <c r="AE73" s="89">
        <f t="shared" si="10"/>
        <v>1015.54</v>
      </c>
      <c r="AF73" s="89">
        <f t="shared" si="10"/>
        <v>1005.9399999999999</v>
      </c>
      <c r="AG73" s="89">
        <f t="shared" si="10"/>
        <v>2144.14</v>
      </c>
      <c r="AH73" s="54">
        <f t="shared" si="2"/>
        <v>1475.04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931.13999999999987</v>
      </c>
      <c r="C75" s="89">
        <f>C73+C74</f>
        <v>924.04000000000008</v>
      </c>
      <c r="D75" s="89">
        <f t="shared" ref="D75:AF75" si="11">D72+D68+D56+D52+D38+D74</f>
        <v>907.04000000000008</v>
      </c>
      <c r="E75" s="89">
        <f t="shared" si="11"/>
        <v>890.74</v>
      </c>
      <c r="F75" s="89">
        <f t="shared" si="11"/>
        <v>910.14</v>
      </c>
      <c r="G75" s="89">
        <f t="shared" si="11"/>
        <v>940.04000000000008</v>
      </c>
      <c r="H75" s="89">
        <f t="shared" si="11"/>
        <v>1008.64</v>
      </c>
      <c r="I75" s="89">
        <f t="shared" si="11"/>
        <v>1095.8399999999999</v>
      </c>
      <c r="J75" s="89">
        <f t="shared" si="11"/>
        <v>1218.3400000000001</v>
      </c>
      <c r="K75" s="89">
        <f t="shared" si="11"/>
        <v>1306.44</v>
      </c>
      <c r="L75" s="89">
        <f t="shared" si="11"/>
        <v>1400.54</v>
      </c>
      <c r="M75" s="89">
        <f t="shared" si="11"/>
        <v>1382.94</v>
      </c>
      <c r="N75" s="89">
        <f t="shared" si="11"/>
        <v>1356.3400000000001</v>
      </c>
      <c r="O75" s="89">
        <f t="shared" si="11"/>
        <v>1267.8400000000001</v>
      </c>
      <c r="P75" s="89">
        <f t="shared" si="11"/>
        <v>1209.54</v>
      </c>
      <c r="Q75" s="89">
        <f t="shared" si="11"/>
        <v>1160.6399999999999</v>
      </c>
      <c r="R75" s="89">
        <f t="shared" si="11"/>
        <v>3.54</v>
      </c>
      <c r="S75" s="89">
        <f t="shared" si="11"/>
        <v>1171.2400000000002</v>
      </c>
      <c r="T75" s="89">
        <f t="shared" si="11"/>
        <v>1190.6400000000001</v>
      </c>
      <c r="U75" s="89">
        <f t="shared" si="11"/>
        <v>1187.1400000000001</v>
      </c>
      <c r="V75" s="89">
        <f t="shared" si="11"/>
        <v>1202.3399999999999</v>
      </c>
      <c r="W75" s="89">
        <f t="shared" si="11"/>
        <v>1259.7400000000002</v>
      </c>
      <c r="X75" s="89">
        <f t="shared" si="11"/>
        <v>1324.3400000000001</v>
      </c>
      <c r="Y75" s="89">
        <f t="shared" si="11"/>
        <v>1475.04</v>
      </c>
      <c r="Z75" s="89">
        <f t="shared" si="11"/>
        <v>1452.34</v>
      </c>
      <c r="AA75" s="89">
        <f t="shared" si="11"/>
        <v>1413.94</v>
      </c>
      <c r="AB75" s="89">
        <f t="shared" si="11"/>
        <v>1338.14</v>
      </c>
      <c r="AC75" s="89">
        <f t="shared" si="11"/>
        <v>1278.3400000000001</v>
      </c>
      <c r="AD75" s="89">
        <f t="shared" si="11"/>
        <v>1155.4399999999998</v>
      </c>
      <c r="AE75" s="89">
        <f t="shared" si="11"/>
        <v>1015.54</v>
      </c>
      <c r="AF75" s="89">
        <f t="shared" si="11"/>
        <v>1005.9399999999999</v>
      </c>
      <c r="AG75" s="78">
        <f>AG72+AG68+AG56+AG52+AG38+AG74</f>
        <v>2144.14</v>
      </c>
      <c r="AH75" s="54">
        <f t="shared" si="2"/>
        <v>1475.04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1862.2799999999997</v>
      </c>
      <c r="C83" s="72">
        <f t="shared" ref="C83:AG83" si="20">SUM(C70:C82)</f>
        <v>1848.0800000000002</v>
      </c>
      <c r="D83" s="72">
        <f t="shared" si="20"/>
        <v>1814.0800000000002</v>
      </c>
      <c r="E83" s="72">
        <f t="shared" si="20"/>
        <v>1781.48</v>
      </c>
      <c r="F83" s="72">
        <f t="shared" si="20"/>
        <v>1820.28</v>
      </c>
      <c r="G83" s="72">
        <f t="shared" si="20"/>
        <v>1880.0800000000002</v>
      </c>
      <c r="H83" s="72">
        <f t="shared" si="20"/>
        <v>2017.28</v>
      </c>
      <c r="I83" s="72">
        <f t="shared" si="20"/>
        <v>2191.6799999999998</v>
      </c>
      <c r="J83" s="72">
        <f t="shared" si="20"/>
        <v>2436.6800000000003</v>
      </c>
      <c r="K83" s="72">
        <f t="shared" si="20"/>
        <v>2612.88</v>
      </c>
      <c r="L83" s="72">
        <f t="shared" si="20"/>
        <v>2801.08</v>
      </c>
      <c r="M83" s="72">
        <f t="shared" si="20"/>
        <v>2765.88</v>
      </c>
      <c r="N83" s="72">
        <f t="shared" si="20"/>
        <v>2712.6800000000003</v>
      </c>
      <c r="O83" s="72">
        <f t="shared" si="20"/>
        <v>2535.6800000000003</v>
      </c>
      <c r="P83" s="72">
        <f t="shared" si="20"/>
        <v>2419.08</v>
      </c>
      <c r="Q83" s="72">
        <f t="shared" si="20"/>
        <v>2321.2799999999997</v>
      </c>
      <c r="R83" s="72">
        <f t="shared" si="20"/>
        <v>7.08</v>
      </c>
      <c r="S83" s="72">
        <f t="shared" si="20"/>
        <v>2342.4800000000005</v>
      </c>
      <c r="T83" s="72">
        <f t="shared" si="20"/>
        <v>2381.2800000000002</v>
      </c>
      <c r="U83" s="72">
        <f t="shared" si="20"/>
        <v>2374.2800000000002</v>
      </c>
      <c r="V83" s="72">
        <f t="shared" si="20"/>
        <v>2404.6799999999998</v>
      </c>
      <c r="W83" s="72">
        <f t="shared" si="20"/>
        <v>2519.4800000000005</v>
      </c>
      <c r="X83" s="72">
        <f t="shared" si="20"/>
        <v>2648.6800000000003</v>
      </c>
      <c r="Y83" s="72">
        <f t="shared" si="20"/>
        <v>2950.08</v>
      </c>
      <c r="Z83" s="72">
        <f t="shared" si="20"/>
        <v>2904.68</v>
      </c>
      <c r="AA83" s="72">
        <f t="shared" si="20"/>
        <v>2827.88</v>
      </c>
      <c r="AB83" s="72">
        <f t="shared" si="20"/>
        <v>2676.28</v>
      </c>
      <c r="AC83" s="72">
        <f t="shared" si="20"/>
        <v>2556.6800000000003</v>
      </c>
      <c r="AD83" s="72">
        <f t="shared" si="20"/>
        <v>2310.8799999999997</v>
      </c>
      <c r="AE83" s="72">
        <f t="shared" si="20"/>
        <v>2031.08</v>
      </c>
      <c r="AF83" s="72">
        <f t="shared" si="20"/>
        <v>2011.8799999999999</v>
      </c>
      <c r="AG83" s="78">
        <f t="shared" si="20"/>
        <v>4360.08</v>
      </c>
      <c r="AH83" s="54">
        <f t="shared" si="13"/>
        <v>2950.08</v>
      </c>
      <c r="AI83" s="55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</v>
      </c>
      <c r="C84" s="96">
        <v>49.93</v>
      </c>
      <c r="D84" s="96">
        <v>50.006999999999998</v>
      </c>
      <c r="E84" s="96">
        <v>50.027000000000001</v>
      </c>
      <c r="F84" s="96">
        <v>50.036000000000001</v>
      </c>
      <c r="G84" s="96">
        <v>50.039000000000001</v>
      </c>
      <c r="H84" s="96">
        <v>50</v>
      </c>
      <c r="I84" s="96">
        <v>50.063000000000002</v>
      </c>
      <c r="J84" s="96">
        <v>50.079000000000001</v>
      </c>
      <c r="K84" s="96">
        <v>50.091000000000001</v>
      </c>
      <c r="L84" s="96">
        <v>50.048000000000002</v>
      </c>
      <c r="M84" s="96">
        <v>50.067</v>
      </c>
      <c r="N84" s="96">
        <v>50.023000000000003</v>
      </c>
      <c r="O84" s="96">
        <v>50.058</v>
      </c>
      <c r="P84" s="96">
        <v>50.051000000000002</v>
      </c>
      <c r="Q84" s="96">
        <v>50.067</v>
      </c>
      <c r="R84" s="96"/>
      <c r="S84" s="96">
        <v>50.06</v>
      </c>
      <c r="T84" s="96">
        <v>50.01</v>
      </c>
      <c r="U84" s="96">
        <v>50.023000000000003</v>
      </c>
      <c r="V84" s="96">
        <v>50.024000000000001</v>
      </c>
      <c r="W84" s="96">
        <v>50.018000000000001</v>
      </c>
      <c r="X84" s="96">
        <v>49.942999999999998</v>
      </c>
      <c r="Y84" s="96">
        <v>50.031999999999996</v>
      </c>
      <c r="Z84" s="96">
        <v>49.779000000000003</v>
      </c>
      <c r="AA84" s="96">
        <v>49.98</v>
      </c>
      <c r="AB84" s="96">
        <v>50.01</v>
      </c>
      <c r="AC84" s="96">
        <v>49.98</v>
      </c>
      <c r="AD84" s="96">
        <v>50.08</v>
      </c>
      <c r="AE84" s="96">
        <v>50.05</v>
      </c>
      <c r="AF84" s="96">
        <v>50.01</v>
      </c>
      <c r="AG84" s="97"/>
      <c r="AH84" s="54">
        <f t="shared" si="13"/>
        <v>50.091000000000001</v>
      </c>
      <c r="AI84" s="55">
        <f t="shared" si="14"/>
        <v>49.779000000000003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125.1</v>
      </c>
      <c r="C85" s="73">
        <v>125.4</v>
      </c>
      <c r="D85" s="73">
        <v>125.7</v>
      </c>
      <c r="E85" s="73">
        <v>125.9</v>
      </c>
      <c r="F85" s="73">
        <v>125.6</v>
      </c>
      <c r="G85" s="73">
        <v>125.4</v>
      </c>
      <c r="H85" s="73">
        <v>123.3</v>
      </c>
      <c r="I85" s="73">
        <v>123</v>
      </c>
      <c r="J85" s="73">
        <v>125.7</v>
      </c>
      <c r="K85" s="73">
        <v>124.7</v>
      </c>
      <c r="L85" s="73">
        <v>123.4</v>
      </c>
      <c r="M85" s="73">
        <v>122.3</v>
      </c>
      <c r="N85" s="73">
        <v>123.2</v>
      </c>
      <c r="O85" s="73">
        <v>124.9</v>
      </c>
      <c r="P85" s="73">
        <v>123.2</v>
      </c>
      <c r="Q85" s="73">
        <v>122.5</v>
      </c>
      <c r="R85" s="73"/>
      <c r="S85" s="73">
        <v>122</v>
      </c>
      <c r="T85" s="73">
        <v>122.8</v>
      </c>
      <c r="U85" s="100">
        <v>124.9</v>
      </c>
      <c r="V85" s="100">
        <v>125.6</v>
      </c>
      <c r="W85" s="100">
        <v>125.3</v>
      </c>
      <c r="X85" s="100">
        <v>126.4</v>
      </c>
      <c r="Y85" s="100">
        <v>124.8</v>
      </c>
      <c r="Z85" s="100">
        <v>125</v>
      </c>
      <c r="AA85" s="100">
        <v>125.9</v>
      </c>
      <c r="AB85" s="73">
        <v>127.5</v>
      </c>
      <c r="AC85" s="73">
        <v>127.1</v>
      </c>
      <c r="AD85" s="73">
        <v>127.1</v>
      </c>
      <c r="AE85" s="73">
        <v>125.4</v>
      </c>
      <c r="AF85" s="73">
        <v>122.6</v>
      </c>
      <c r="AG85" s="101"/>
      <c r="AH85" s="54">
        <f t="shared" si="13"/>
        <v>127.5</v>
      </c>
      <c r="AI85" s="55">
        <f t="shared" si="14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130.30000000000001</v>
      </c>
      <c r="C86" s="73">
        <v>130.4</v>
      </c>
      <c r="D86" s="73">
        <v>130.69999999999999</v>
      </c>
      <c r="E86" s="73">
        <v>130.30000000000001</v>
      </c>
      <c r="F86" s="73">
        <v>130.4</v>
      </c>
      <c r="G86" s="73">
        <v>130.19999999999999</v>
      </c>
      <c r="H86" s="73">
        <v>128.80000000000001</v>
      </c>
      <c r="I86" s="73">
        <v>127.9</v>
      </c>
      <c r="J86" s="73">
        <v>127.9</v>
      </c>
      <c r="K86" s="73">
        <v>127.2</v>
      </c>
      <c r="L86" s="73">
        <v>125.7</v>
      </c>
      <c r="M86" s="73">
        <v>124.9</v>
      </c>
      <c r="N86" s="73">
        <v>125.9</v>
      </c>
      <c r="O86" s="73">
        <v>127.2</v>
      </c>
      <c r="P86" s="73">
        <v>125.5</v>
      </c>
      <c r="Q86" s="73">
        <v>125.3</v>
      </c>
      <c r="R86" s="73"/>
      <c r="S86" s="73">
        <v>124.5</v>
      </c>
      <c r="T86" s="73">
        <v>125</v>
      </c>
      <c r="U86" s="100">
        <v>126.8</v>
      </c>
      <c r="V86" s="100">
        <v>128</v>
      </c>
      <c r="W86" s="100">
        <v>128.30000000000001</v>
      </c>
      <c r="X86" s="100">
        <v>129.30000000000001</v>
      </c>
      <c r="Y86" s="100">
        <v>127.3</v>
      </c>
      <c r="Z86" s="100">
        <v>127.2</v>
      </c>
      <c r="AA86" s="100">
        <v>128.19999999999999</v>
      </c>
      <c r="AB86" s="73">
        <v>130</v>
      </c>
      <c r="AC86" s="73">
        <v>129.69999999999999</v>
      </c>
      <c r="AD86" s="73">
        <v>129.80000000000001</v>
      </c>
      <c r="AE86" s="73">
        <v>129</v>
      </c>
      <c r="AF86" s="73">
        <v>127.1</v>
      </c>
      <c r="AG86" s="101"/>
      <c r="AH86" s="54">
        <f t="shared" si="13"/>
        <v>130.69999999999999</v>
      </c>
      <c r="AI86" s="55">
        <f t="shared" si="14"/>
        <v>124.5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131.19999999999999</v>
      </c>
      <c r="C87" s="73">
        <v>131.9</v>
      </c>
      <c r="D87" s="73">
        <v>132</v>
      </c>
      <c r="E87" s="73">
        <v>132.69999999999999</v>
      </c>
      <c r="F87" s="73">
        <v>131.4</v>
      </c>
      <c r="G87" s="73">
        <v>130.19999999999999</v>
      </c>
      <c r="H87" s="73">
        <v>130.6</v>
      </c>
      <c r="I87" s="73">
        <v>129.5</v>
      </c>
      <c r="J87" s="73">
        <v>127.9</v>
      </c>
      <c r="K87" s="73">
        <v>127.4</v>
      </c>
      <c r="L87" s="73">
        <v>124.4</v>
      </c>
      <c r="M87" s="73">
        <v>125</v>
      </c>
      <c r="N87" s="73">
        <v>125.1</v>
      </c>
      <c r="O87" s="73">
        <v>127.8</v>
      </c>
      <c r="P87" s="73">
        <v>127.3</v>
      </c>
      <c r="Q87" s="73">
        <v>126.3</v>
      </c>
      <c r="R87" s="73"/>
      <c r="S87" s="73">
        <v>130.19999999999999</v>
      </c>
      <c r="T87" s="73">
        <v>128.30000000000001</v>
      </c>
      <c r="U87" s="73">
        <v>128.19999999999999</v>
      </c>
      <c r="V87" s="73">
        <v>125.8</v>
      </c>
      <c r="W87" s="73">
        <v>127.6</v>
      </c>
      <c r="X87" s="100">
        <v>126.9</v>
      </c>
      <c r="Y87" s="100">
        <v>125.9</v>
      </c>
      <c r="Z87" s="100">
        <v>128.30000000000001</v>
      </c>
      <c r="AA87" s="100">
        <v>128.6</v>
      </c>
      <c r="AB87" s="73">
        <v>129.6</v>
      </c>
      <c r="AC87" s="73">
        <v>130.30000000000001</v>
      </c>
      <c r="AD87" s="73">
        <v>131.69999999999999</v>
      </c>
      <c r="AE87" s="73">
        <v>129.69999999999999</v>
      </c>
      <c r="AF87" s="73">
        <v>129.5</v>
      </c>
      <c r="AG87" s="101"/>
      <c r="AH87" s="54">
        <f t="shared" si="13"/>
        <v>132.69999999999999</v>
      </c>
      <c r="AI87" s="55">
        <f t="shared" si="14"/>
        <v>124.4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135.69999999999999</v>
      </c>
      <c r="C88" s="73">
        <v>136.5</v>
      </c>
      <c r="D88" s="73">
        <v>136.5</v>
      </c>
      <c r="E88" s="73">
        <v>137.19999999999999</v>
      </c>
      <c r="F88" s="73">
        <v>134.19999999999999</v>
      </c>
      <c r="G88" s="73">
        <v>133.19999999999999</v>
      </c>
      <c r="H88" s="73">
        <v>133</v>
      </c>
      <c r="I88" s="73">
        <v>133.5</v>
      </c>
      <c r="J88" s="73">
        <v>132.6</v>
      </c>
      <c r="K88" s="73">
        <v>131.19999999999999</v>
      </c>
      <c r="L88" s="73">
        <v>127</v>
      </c>
      <c r="M88" s="73">
        <v>127</v>
      </c>
      <c r="N88" s="73">
        <v>127.1</v>
      </c>
      <c r="O88" s="73">
        <v>130.1</v>
      </c>
      <c r="P88" s="73">
        <v>129.9</v>
      </c>
      <c r="Q88" s="73">
        <v>129.19999999999999</v>
      </c>
      <c r="R88" s="73"/>
      <c r="S88" s="73">
        <v>130.19999999999999</v>
      </c>
      <c r="T88" s="73">
        <v>130.9</v>
      </c>
      <c r="U88" s="73">
        <v>130.69999999999999</v>
      </c>
      <c r="V88" s="73">
        <v>129.4</v>
      </c>
      <c r="W88" s="73">
        <v>130.4</v>
      </c>
      <c r="X88" s="100">
        <v>129.80000000000001</v>
      </c>
      <c r="Y88" s="100">
        <v>128.80000000000001</v>
      </c>
      <c r="Z88" s="100">
        <v>132.1</v>
      </c>
      <c r="AA88" s="100">
        <v>133.30000000000001</v>
      </c>
      <c r="AB88" s="73">
        <v>134.5</v>
      </c>
      <c r="AC88" s="73">
        <v>135.9</v>
      </c>
      <c r="AD88" s="73">
        <v>137.1</v>
      </c>
      <c r="AE88" s="73">
        <v>132.80000000000001</v>
      </c>
      <c r="AF88" s="73">
        <v>132.6</v>
      </c>
      <c r="AG88" s="101"/>
      <c r="AH88" s="54">
        <f t="shared" si="13"/>
        <v>137.19999999999999</v>
      </c>
      <c r="AI88" s="55">
        <f t="shared" si="14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131.1</v>
      </c>
      <c r="C89" s="104">
        <v>129</v>
      </c>
      <c r="D89" s="104">
        <v>127.7</v>
      </c>
      <c r="E89" s="104">
        <v>131.4</v>
      </c>
      <c r="F89" s="104">
        <v>132.19999999999999</v>
      </c>
      <c r="G89" s="104">
        <v>132.6</v>
      </c>
      <c r="H89" s="104">
        <v>132.80000000000001</v>
      </c>
      <c r="I89" s="104">
        <v>135.6</v>
      </c>
      <c r="J89" s="104">
        <v>133.6</v>
      </c>
      <c r="K89" s="104">
        <v>136.5</v>
      </c>
      <c r="L89" s="104">
        <v>132.4</v>
      </c>
      <c r="M89" s="104">
        <v>132.1</v>
      </c>
      <c r="N89" s="104">
        <v>134.80000000000001</v>
      </c>
      <c r="O89" s="104">
        <v>121.5</v>
      </c>
      <c r="P89" s="104">
        <v>132.9</v>
      </c>
      <c r="Q89" s="104">
        <v>132.80000000000001</v>
      </c>
      <c r="R89" s="104"/>
      <c r="S89" s="104">
        <v>132.6</v>
      </c>
      <c r="T89" s="104">
        <v>135.4</v>
      </c>
      <c r="U89" s="104">
        <v>135.19999999999999</v>
      </c>
      <c r="V89" s="104">
        <v>133.9</v>
      </c>
      <c r="W89" s="104">
        <v>134.5</v>
      </c>
      <c r="X89" s="100">
        <v>136.69999999999999</v>
      </c>
      <c r="Y89" s="100">
        <v>134.4</v>
      </c>
      <c r="Z89" s="100">
        <v>132.1</v>
      </c>
      <c r="AA89" s="100">
        <v>137.19999999999999</v>
      </c>
      <c r="AB89" s="104">
        <v>134.30000000000001</v>
      </c>
      <c r="AC89" s="104">
        <v>135</v>
      </c>
      <c r="AD89" s="104">
        <v>132.4</v>
      </c>
      <c r="AE89" s="104">
        <v>132.19999999999999</v>
      </c>
      <c r="AF89" s="104">
        <v>129</v>
      </c>
      <c r="AG89" s="105"/>
      <c r="AH89" s="54">
        <f t="shared" si="13"/>
        <v>137.19999999999999</v>
      </c>
      <c r="AI89" s="55">
        <f t="shared" si="14"/>
        <v>121.5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134.19999999999999</v>
      </c>
      <c r="C90" s="73">
        <v>135.9</v>
      </c>
      <c r="D90" s="73">
        <v>136.19999999999999</v>
      </c>
      <c r="E90" s="73">
        <v>136.80000000000001</v>
      </c>
      <c r="F90" s="73">
        <v>136</v>
      </c>
      <c r="G90" s="73">
        <v>136.1</v>
      </c>
      <c r="H90" s="73">
        <v>136.80000000000001</v>
      </c>
      <c r="I90" s="73">
        <v>134.69999999999999</v>
      </c>
      <c r="J90" s="73">
        <v>131.4</v>
      </c>
      <c r="K90" s="73">
        <v>131.5</v>
      </c>
      <c r="L90" s="73">
        <v>131.19999999999999</v>
      </c>
      <c r="M90" s="73">
        <v>129</v>
      </c>
      <c r="N90" s="73">
        <v>132.19999999999999</v>
      </c>
      <c r="O90" s="73">
        <v>131.69999999999999</v>
      </c>
      <c r="P90" s="73">
        <v>133.1</v>
      </c>
      <c r="Q90" s="73">
        <v>134.1</v>
      </c>
      <c r="R90" s="73"/>
      <c r="S90" s="73">
        <v>126</v>
      </c>
      <c r="T90" s="73">
        <v>126.9</v>
      </c>
      <c r="U90" s="73">
        <v>129.6</v>
      </c>
      <c r="V90" s="73">
        <v>133.5</v>
      </c>
      <c r="W90" s="73">
        <v>130</v>
      </c>
      <c r="X90" s="100">
        <v>133</v>
      </c>
      <c r="Y90" s="100">
        <v>134.80000000000001</v>
      </c>
      <c r="Z90" s="100">
        <v>133.1</v>
      </c>
      <c r="AA90" s="100">
        <v>131.19999999999999</v>
      </c>
      <c r="AB90" s="73">
        <v>135.19999999999999</v>
      </c>
      <c r="AC90" s="73">
        <v>132.4</v>
      </c>
      <c r="AD90" s="73">
        <v>132.80000000000001</v>
      </c>
      <c r="AE90" s="73">
        <v>134.69999999999999</v>
      </c>
      <c r="AF90" s="73">
        <v>133.6</v>
      </c>
      <c r="AG90" s="101"/>
      <c r="AH90" s="54">
        <f t="shared" si="13"/>
        <v>136.80000000000001</v>
      </c>
      <c r="AI90" s="55">
        <f t="shared" si="14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66.3</v>
      </c>
      <c r="C91" s="107">
        <v>65.8</v>
      </c>
      <c r="D91" s="107">
        <v>66.2</v>
      </c>
      <c r="E91" s="107">
        <v>66.3</v>
      </c>
      <c r="F91" s="107">
        <v>66.2</v>
      </c>
      <c r="G91" s="107">
        <v>65.7</v>
      </c>
      <c r="H91" s="107">
        <v>65</v>
      </c>
      <c r="I91" s="107">
        <v>65.400000000000006</v>
      </c>
      <c r="J91" s="107">
        <v>64.900000000000006</v>
      </c>
      <c r="K91" s="107">
        <v>64.400000000000006</v>
      </c>
      <c r="L91" s="107">
        <v>63.1</v>
      </c>
      <c r="M91" s="107">
        <v>63.1</v>
      </c>
      <c r="N91" s="107">
        <v>63.5</v>
      </c>
      <c r="O91" s="107">
        <v>63.7</v>
      </c>
      <c r="P91" s="107">
        <v>63.4</v>
      </c>
      <c r="Q91" s="107">
        <v>63</v>
      </c>
      <c r="R91" s="107"/>
      <c r="S91" s="107">
        <v>62.8</v>
      </c>
      <c r="T91" s="107">
        <v>63.1</v>
      </c>
      <c r="U91" s="107">
        <v>64</v>
      </c>
      <c r="V91" s="107">
        <v>64.8</v>
      </c>
      <c r="W91" s="107">
        <v>64.900000000000006</v>
      </c>
      <c r="X91" s="107">
        <v>65.2</v>
      </c>
      <c r="Y91" s="107">
        <v>64.400000000000006</v>
      </c>
      <c r="Z91" s="107">
        <v>64.599999999999994</v>
      </c>
      <c r="AA91" s="107">
        <v>65</v>
      </c>
      <c r="AB91" s="107">
        <v>65.8</v>
      </c>
      <c r="AC91" s="107">
        <v>65.900000000000006</v>
      </c>
      <c r="AD91" s="107">
        <v>65.7</v>
      </c>
      <c r="AE91" s="107">
        <v>65.3</v>
      </c>
      <c r="AF91" s="107">
        <v>64.5</v>
      </c>
      <c r="AG91" s="108"/>
      <c r="AH91" s="54">
        <f t="shared" si="13"/>
        <v>66.3</v>
      </c>
      <c r="AI91" s="55">
        <f t="shared" si="14"/>
        <v>62.8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184.23999999999995</v>
      </c>
      <c r="C93" s="114">
        <f>SUM(C15,C18,C21:C22,C42,C44:C45,C47,C49,C94:C97,C102,C108,C114,C123,C125,C137,C144,C147:C148,C155,C157,C159,C163:C165,C167:C169,C174,C180:C181,C183:C185,C193,C198)</f>
        <v>171.53999999999996</v>
      </c>
      <c r="D93" s="114">
        <f t="shared" ref="D93:AE93" si="21">SUM(D15,D18,D21:D22,D42,D44:D45,D47,D49,D94:D97,D102,D108,D114,D123,D125,D137,D144,D147:D148,D155,D157,D159,D163:D165,D167:D169,D174,D180:D181,D183:D185,D193,D198)</f>
        <v>178.53999999999996</v>
      </c>
      <c r="E93" s="114">
        <f t="shared" si="21"/>
        <v>169.64</v>
      </c>
      <c r="F93" s="114">
        <f t="shared" si="21"/>
        <v>174.43999999999997</v>
      </c>
      <c r="G93" s="113">
        <f t="shared" si="21"/>
        <v>192.33999999999997</v>
      </c>
      <c r="H93" s="113">
        <f t="shared" si="21"/>
        <v>212.33999999999997</v>
      </c>
      <c r="I93" s="113">
        <f t="shared" si="21"/>
        <v>246.33999999999997</v>
      </c>
      <c r="J93" s="113">
        <f t="shared" si="21"/>
        <v>297.44000000000005</v>
      </c>
      <c r="K93" s="113">
        <f t="shared" si="21"/>
        <v>331.14</v>
      </c>
      <c r="L93" s="113">
        <f t="shared" si="21"/>
        <v>355.44000000000005</v>
      </c>
      <c r="M93" s="113">
        <f t="shared" si="21"/>
        <v>344.34000000000003</v>
      </c>
      <c r="N93" s="113">
        <f t="shared" si="21"/>
        <v>342.24</v>
      </c>
      <c r="O93" s="113">
        <f t="shared" si="21"/>
        <v>330.94</v>
      </c>
      <c r="P93" s="113">
        <f t="shared" si="21"/>
        <v>328.94</v>
      </c>
      <c r="Q93" s="113">
        <f t="shared" si="21"/>
        <v>290.04000000000002</v>
      </c>
      <c r="R93" s="113">
        <f t="shared" si="21"/>
        <v>34.840000000000003</v>
      </c>
      <c r="S93" s="113">
        <f t="shared" si="21"/>
        <v>275.14</v>
      </c>
      <c r="T93" s="113">
        <f t="shared" si="21"/>
        <v>290.24</v>
      </c>
      <c r="U93" s="113">
        <f t="shared" si="21"/>
        <v>295.54000000000002</v>
      </c>
      <c r="V93" s="113">
        <f t="shared" si="21"/>
        <v>299.44</v>
      </c>
      <c r="W93" s="113">
        <f t="shared" si="21"/>
        <v>319.64</v>
      </c>
      <c r="X93" s="113">
        <f t="shared" si="21"/>
        <v>346.74</v>
      </c>
      <c r="Y93" s="113">
        <f t="shared" si="21"/>
        <v>391.04</v>
      </c>
      <c r="Z93" s="113">
        <f t="shared" si="21"/>
        <v>404.04</v>
      </c>
      <c r="AA93" s="113">
        <f t="shared" si="21"/>
        <v>385.84000000000003</v>
      </c>
      <c r="AB93" s="113">
        <f t="shared" si="21"/>
        <v>364.84000000000003</v>
      </c>
      <c r="AC93" s="113">
        <f t="shared" si="21"/>
        <v>332.74</v>
      </c>
      <c r="AD93" s="113">
        <f t="shared" si="21"/>
        <v>307.94000000000005</v>
      </c>
      <c r="AE93" s="113">
        <f t="shared" si="21"/>
        <v>240.33999999999997</v>
      </c>
      <c r="AF93" s="113">
        <v>178.73999999999998</v>
      </c>
      <c r="AG93" s="115"/>
      <c r="AH93" s="54">
        <f>MAX(C93:AF93)</f>
        <v>404.04</v>
      </c>
      <c r="AI93" s="55">
        <f>MIN(C93:AF93)</f>
        <v>34.840000000000003</v>
      </c>
    </row>
    <row r="94" spans="1:88" x14ac:dyDescent="0.25">
      <c r="A94" s="116" t="s">
        <v>98</v>
      </c>
      <c r="B94" s="117">
        <v>-12.4</v>
      </c>
      <c r="C94" s="58">
        <v>-24.6</v>
      </c>
      <c r="D94" s="58">
        <v>-20.5</v>
      </c>
      <c r="E94" s="58">
        <v>-39.299999999999997</v>
      </c>
      <c r="F94" s="58">
        <v>-36</v>
      </c>
      <c r="G94" s="118">
        <v>-17.399999999999999</v>
      </c>
      <c r="H94" s="118">
        <v>-10.8</v>
      </c>
      <c r="I94" s="118">
        <v>8</v>
      </c>
      <c r="J94" s="118">
        <v>12.2</v>
      </c>
      <c r="K94" s="118">
        <v>56.4</v>
      </c>
      <c r="L94" s="118">
        <v>53.3</v>
      </c>
      <c r="M94" s="119">
        <v>48.2</v>
      </c>
      <c r="N94" s="118">
        <v>44.4</v>
      </c>
      <c r="O94" s="118">
        <v>44.8</v>
      </c>
      <c r="P94" s="118">
        <v>44.8</v>
      </c>
      <c r="Q94" s="118">
        <v>0</v>
      </c>
      <c r="R94" s="118"/>
      <c r="S94" s="118">
        <v>0</v>
      </c>
      <c r="T94" s="118">
        <v>0</v>
      </c>
      <c r="U94" s="119">
        <v>23.2</v>
      </c>
      <c r="V94" s="119">
        <v>14.5</v>
      </c>
      <c r="W94" s="119">
        <v>19.7</v>
      </c>
      <c r="X94" s="118">
        <v>29.6</v>
      </c>
      <c r="Y94" s="118">
        <v>38.299999999999997</v>
      </c>
      <c r="Z94" s="118">
        <v>52.5</v>
      </c>
      <c r="AA94" s="118">
        <v>48.7</v>
      </c>
      <c r="AB94" s="119">
        <v>38.9</v>
      </c>
      <c r="AC94" s="119">
        <v>21.4</v>
      </c>
      <c r="AD94" s="119">
        <v>14</v>
      </c>
      <c r="AE94" s="119">
        <v>-7.4</v>
      </c>
      <c r="AF94" s="119">
        <v>-35.6</v>
      </c>
      <c r="AG94" s="120">
        <v>75</v>
      </c>
      <c r="AH94" s="54">
        <f t="shared" ref="AH94:AH99" si="22">IF(ABS(MAX(C94:AF94))&gt;ABS(MIN(C94:AF94)),MAX(C94:AF94),MIN(C94:AF94))</f>
        <v>56.4</v>
      </c>
      <c r="AI94" s="121">
        <f t="shared" ref="AI94:AI99" si="23">INDEX($C$9:$AF$9,1,MATCH(AH94,C94:AF94,0))</f>
        <v>0.29166666666666669</v>
      </c>
    </row>
    <row r="95" spans="1:88" x14ac:dyDescent="0.25">
      <c r="A95" s="122" t="s">
        <v>99</v>
      </c>
      <c r="B95" s="123">
        <v>-36</v>
      </c>
      <c r="C95" s="60">
        <v>-38</v>
      </c>
      <c r="D95" s="60">
        <v>-39.700000000000003</v>
      </c>
      <c r="E95" s="60">
        <v>-35</v>
      </c>
      <c r="F95" s="60">
        <v>-36</v>
      </c>
      <c r="G95" s="60">
        <v>-29.3</v>
      </c>
      <c r="H95" s="60">
        <v>-25</v>
      </c>
      <c r="I95" s="60">
        <v>-18</v>
      </c>
      <c r="J95" s="60">
        <v>21</v>
      </c>
      <c r="K95" s="60">
        <v>20</v>
      </c>
      <c r="L95" s="60">
        <v>50</v>
      </c>
      <c r="M95" s="60">
        <v>52</v>
      </c>
      <c r="N95" s="60">
        <v>38.6</v>
      </c>
      <c r="O95" s="60">
        <v>40.6</v>
      </c>
      <c r="P95" s="60">
        <v>40.6</v>
      </c>
      <c r="Q95" s="60">
        <v>26.5</v>
      </c>
      <c r="R95" s="60"/>
      <c r="S95" s="60">
        <v>8.9</v>
      </c>
      <c r="T95" s="60">
        <v>12.4</v>
      </c>
      <c r="U95" s="60">
        <v>27</v>
      </c>
      <c r="V95" s="60">
        <v>40.200000000000003</v>
      </c>
      <c r="W95" s="60">
        <v>40</v>
      </c>
      <c r="X95" s="60">
        <v>34</v>
      </c>
      <c r="Y95" s="60">
        <v>56.8</v>
      </c>
      <c r="Z95" s="60">
        <v>60</v>
      </c>
      <c r="AA95" s="60">
        <v>46.8</v>
      </c>
      <c r="AB95" s="73">
        <v>36</v>
      </c>
      <c r="AC95" s="73">
        <f>20.5+21.3</f>
        <v>41.8</v>
      </c>
      <c r="AD95" s="73">
        <f>9+8.8</f>
        <v>17.8</v>
      </c>
      <c r="AE95" s="73">
        <f>-8.6-10.6</f>
        <v>-19.2</v>
      </c>
      <c r="AF95" s="73">
        <v>-37.400000000000006</v>
      </c>
      <c r="AG95" s="120">
        <v>240</v>
      </c>
      <c r="AH95" s="54">
        <f t="shared" si="22"/>
        <v>60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-7.2</v>
      </c>
      <c r="C96" s="60">
        <v>-8.5</v>
      </c>
      <c r="D96" s="60">
        <v>-9.3000000000000007</v>
      </c>
      <c r="E96" s="60">
        <v>-6.8</v>
      </c>
      <c r="F96" s="60">
        <v>-6.3</v>
      </c>
      <c r="G96" s="60">
        <v>-8.6999999999999993</v>
      </c>
      <c r="H96" s="60">
        <v>-8.6</v>
      </c>
      <c r="I96" s="60">
        <v>-5.4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  <c r="R96" s="60"/>
      <c r="S96" s="60">
        <v>0</v>
      </c>
      <c r="T96" s="60">
        <v>0</v>
      </c>
      <c r="U96" s="60">
        <v>0</v>
      </c>
      <c r="V96" s="60">
        <v>24.7</v>
      </c>
      <c r="W96" s="60">
        <v>25.2</v>
      </c>
      <c r="X96" s="60">
        <v>35.299999999999997</v>
      </c>
      <c r="Y96" s="60">
        <v>35.4</v>
      </c>
      <c r="Z96" s="60">
        <v>26.8</v>
      </c>
      <c r="AA96" s="60">
        <v>32.4</v>
      </c>
      <c r="AB96" s="73">
        <v>27</v>
      </c>
      <c r="AC96" s="73">
        <v>19.600000000000001</v>
      </c>
      <c r="AD96" s="73">
        <v>12</v>
      </c>
      <c r="AE96" s="73">
        <v>4</v>
      </c>
      <c r="AF96" s="73">
        <v>-9.5</v>
      </c>
      <c r="AG96" s="120">
        <v>60</v>
      </c>
      <c r="AH96" s="54">
        <f t="shared" si="22"/>
        <v>35.4</v>
      </c>
      <c r="AI96" s="121">
        <f t="shared" si="23"/>
        <v>0.77083333333333337</v>
      </c>
    </row>
    <row r="97" spans="1:37" x14ac:dyDescent="0.25">
      <c r="A97" s="124" t="s">
        <v>101</v>
      </c>
      <c r="B97" s="125">
        <v>84.8</v>
      </c>
      <c r="C97" s="63">
        <v>87.6</v>
      </c>
      <c r="D97" s="63">
        <v>93</v>
      </c>
      <c r="E97" s="63">
        <v>97</v>
      </c>
      <c r="F97" s="63">
        <v>99</v>
      </c>
      <c r="G97" s="63">
        <v>94</v>
      </c>
      <c r="H97" s="63">
        <v>103</v>
      </c>
      <c r="I97" s="63">
        <v>108</v>
      </c>
      <c r="J97" s="63">
        <v>110.5</v>
      </c>
      <c r="K97" s="63">
        <v>100</v>
      </c>
      <c r="L97" s="63">
        <v>98.4</v>
      </c>
      <c r="M97" s="63">
        <v>90.2</v>
      </c>
      <c r="N97" s="63">
        <v>103.5</v>
      </c>
      <c r="O97" s="63">
        <v>90.8</v>
      </c>
      <c r="P97" s="63">
        <v>90.8</v>
      </c>
      <c r="Q97" s="63">
        <v>110.8</v>
      </c>
      <c r="R97" s="63"/>
      <c r="S97" s="63">
        <v>110.1</v>
      </c>
      <c r="T97" s="63">
        <v>113.5</v>
      </c>
      <c r="U97" s="63">
        <v>102.3</v>
      </c>
      <c r="V97" s="63">
        <v>68.3</v>
      </c>
      <c r="W97" s="63">
        <v>76.900000000000006</v>
      </c>
      <c r="X97" s="63">
        <v>90.4</v>
      </c>
      <c r="Y97" s="63">
        <v>105.1</v>
      </c>
      <c r="Z97" s="63">
        <v>104</v>
      </c>
      <c r="AA97" s="63">
        <v>98</v>
      </c>
      <c r="AB97" s="126">
        <v>103</v>
      </c>
      <c r="AC97" s="126">
        <v>90</v>
      </c>
      <c r="AD97" s="126">
        <v>104</v>
      </c>
      <c r="AE97" s="126">
        <v>99.7</v>
      </c>
      <c r="AF97" s="126">
        <v>98</v>
      </c>
      <c r="AG97" s="127">
        <v>120</v>
      </c>
      <c r="AH97" s="54">
        <f t="shared" si="22"/>
        <v>113.5</v>
      </c>
      <c r="AI97" s="121">
        <f t="shared" si="23"/>
        <v>0.625</v>
      </c>
    </row>
    <row r="98" spans="1:37" x14ac:dyDescent="0.25">
      <c r="A98" s="124" t="s">
        <v>102</v>
      </c>
      <c r="B98" s="125">
        <v>94</v>
      </c>
      <c r="C98" s="63">
        <v>96</v>
      </c>
      <c r="D98" s="63">
        <v>94</v>
      </c>
      <c r="E98" s="63">
        <v>105</v>
      </c>
      <c r="F98" s="63">
        <v>107.2</v>
      </c>
      <c r="G98" s="63">
        <v>100.4</v>
      </c>
      <c r="H98" s="63">
        <v>107.4</v>
      </c>
      <c r="I98" s="63">
        <v>109.3</v>
      </c>
      <c r="J98" s="63">
        <v>90.8</v>
      </c>
      <c r="K98" s="63">
        <v>73.2</v>
      </c>
      <c r="L98" s="63">
        <v>97</v>
      </c>
      <c r="M98" s="63">
        <v>89.8</v>
      </c>
      <c r="N98" s="63">
        <v>96.2</v>
      </c>
      <c r="O98" s="63">
        <v>92.5</v>
      </c>
      <c r="P98" s="63">
        <v>92.5</v>
      </c>
      <c r="Q98" s="63">
        <v>91.3</v>
      </c>
      <c r="R98" s="63"/>
      <c r="S98" s="63">
        <v>90</v>
      </c>
      <c r="T98" s="63">
        <v>98.6</v>
      </c>
      <c r="U98" s="63">
        <v>85.5</v>
      </c>
      <c r="V98" s="63">
        <v>93</v>
      </c>
      <c r="W98" s="63">
        <v>99</v>
      </c>
      <c r="X98" s="63">
        <v>87.1</v>
      </c>
      <c r="Y98" s="63">
        <v>97</v>
      </c>
      <c r="Z98" s="63">
        <v>84.8</v>
      </c>
      <c r="AA98" s="63">
        <v>89.7</v>
      </c>
      <c r="AB98" s="126">
        <v>86.9</v>
      </c>
      <c r="AC98" s="126">
        <v>91.2</v>
      </c>
      <c r="AD98" s="126">
        <v>84.1</v>
      </c>
      <c r="AE98" s="126">
        <v>102.4</v>
      </c>
      <c r="AF98" s="126">
        <v>106.5</v>
      </c>
      <c r="AG98" s="127"/>
      <c r="AH98" s="54">
        <f t="shared" si="22"/>
        <v>109.3</v>
      </c>
      <c r="AI98" s="121">
        <f t="shared" si="23"/>
        <v>0.25</v>
      </c>
    </row>
    <row r="99" spans="1:37" ht="15.75" thickBot="1" x14ac:dyDescent="0.3">
      <c r="A99" s="124" t="s">
        <v>103</v>
      </c>
      <c r="B99" s="125">
        <v>57.8</v>
      </c>
      <c r="C99" s="63">
        <v>70.099999999999994</v>
      </c>
      <c r="D99" s="63">
        <v>64.599999999999994</v>
      </c>
      <c r="E99" s="63">
        <v>68</v>
      </c>
      <c r="F99" s="63">
        <v>70.099999999999994</v>
      </c>
      <c r="G99" s="63">
        <v>49.3</v>
      </c>
      <c r="H99" s="63">
        <v>46.1</v>
      </c>
      <c r="I99" s="63">
        <v>15.6</v>
      </c>
      <c r="J99" s="63">
        <v>30.3</v>
      </c>
      <c r="K99" s="63">
        <v>9.1999999999999993</v>
      </c>
      <c r="L99" s="63">
        <v>14.1</v>
      </c>
      <c r="M99" s="63">
        <v>10.3</v>
      </c>
      <c r="N99" s="63">
        <v>14.7</v>
      </c>
      <c r="O99" s="63">
        <v>12.2</v>
      </c>
      <c r="P99" s="63">
        <v>18.2</v>
      </c>
      <c r="Q99" s="63">
        <v>18.399999999999999</v>
      </c>
      <c r="R99" s="63"/>
      <c r="S99" s="63">
        <v>22.1</v>
      </c>
      <c r="T99" s="63">
        <v>24.7</v>
      </c>
      <c r="U99" s="63">
        <v>21.9</v>
      </c>
      <c r="V99" s="63">
        <v>28.6</v>
      </c>
      <c r="W99" s="63">
        <v>29.2</v>
      </c>
      <c r="X99" s="63">
        <v>24.3</v>
      </c>
      <c r="Y99" s="63">
        <v>22.1</v>
      </c>
      <c r="Z99" s="63">
        <v>22</v>
      </c>
      <c r="AA99" s="63">
        <v>24.8</v>
      </c>
      <c r="AB99" s="126">
        <v>22.9</v>
      </c>
      <c r="AC99" s="126">
        <v>29.3</v>
      </c>
      <c r="AD99" s="126">
        <v>36.700000000000003</v>
      </c>
      <c r="AE99" s="126">
        <v>45</v>
      </c>
      <c r="AF99" s="126">
        <v>64.2</v>
      </c>
      <c r="AG99" s="128"/>
      <c r="AH99" s="54">
        <f t="shared" si="22"/>
        <v>70.099999999999994</v>
      </c>
      <c r="AI99" s="121">
        <f t="shared" si="23"/>
        <v>4.1666666666666664E-2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1400.54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19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2078/11/19)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2078/11/19)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931.13999999999987</v>
      </c>
      <c r="U213" s="174">
        <f t="shared" si="60"/>
        <v>924.04000000000008</v>
      </c>
      <c r="V213" s="174">
        <f t="shared" si="60"/>
        <v>907.04000000000008</v>
      </c>
      <c r="W213" s="174">
        <f t="shared" si="60"/>
        <v>890.74</v>
      </c>
      <c r="X213" s="174">
        <f t="shared" si="60"/>
        <v>910.14</v>
      </c>
      <c r="Y213" s="174">
        <f t="shared" si="60"/>
        <v>940.04000000000008</v>
      </c>
      <c r="Z213" s="174">
        <f t="shared" si="60"/>
        <v>1008.64</v>
      </c>
      <c r="AA213" s="174">
        <f t="shared" si="60"/>
        <v>1095.8399999999999</v>
      </c>
      <c r="AB213" s="174">
        <f t="shared" si="60"/>
        <v>1218.3400000000001</v>
      </c>
      <c r="AC213" s="174">
        <f t="shared" si="60"/>
        <v>1306.44</v>
      </c>
      <c r="AD213" s="174">
        <f t="shared" si="60"/>
        <v>1400.54</v>
      </c>
      <c r="AE213" s="174">
        <f t="shared" si="60"/>
        <v>1382.94</v>
      </c>
      <c r="AF213" s="174">
        <f t="shared" si="60"/>
        <v>1356.3400000000001</v>
      </c>
      <c r="AG213" s="174">
        <f t="shared" si="60"/>
        <v>1267.8400000000001</v>
      </c>
      <c r="AH213" s="174">
        <f t="shared" si="60"/>
        <v>1209.54</v>
      </c>
      <c r="AI213" s="174">
        <f t="shared" si="60"/>
        <v>1160.6399999999999</v>
      </c>
      <c r="AJ213" s="174">
        <f t="shared" si="60"/>
        <v>3.54</v>
      </c>
      <c r="AK213" s="174">
        <f t="shared" si="60"/>
        <v>1171.2400000000002</v>
      </c>
      <c r="AL213" s="174">
        <f t="shared" si="60"/>
        <v>1190.6400000000001</v>
      </c>
      <c r="AM213" s="174">
        <f t="shared" si="60"/>
        <v>1187.1400000000001</v>
      </c>
      <c r="AN213" s="174">
        <f t="shared" si="60"/>
        <v>1202.3399999999999</v>
      </c>
      <c r="AO213" s="174">
        <f t="shared" si="60"/>
        <v>1259.7400000000002</v>
      </c>
      <c r="AP213" s="174">
        <f t="shared" si="60"/>
        <v>1324.3400000000001</v>
      </c>
      <c r="AQ213" s="174">
        <f t="shared" si="60"/>
        <v>1475.04</v>
      </c>
      <c r="AR213" s="174">
        <f t="shared" si="60"/>
        <v>1452.34</v>
      </c>
      <c r="AS213" s="174">
        <f t="shared" si="60"/>
        <v>1413.94</v>
      </c>
      <c r="AT213" s="174">
        <f t="shared" si="60"/>
        <v>1338.14</v>
      </c>
      <c r="AU213" s="174">
        <f t="shared" si="60"/>
        <v>1278.3400000000001</v>
      </c>
      <c r="AV213" s="174">
        <f t="shared" si="60"/>
        <v>1155.4399999999998</v>
      </c>
      <c r="AW213" s="174">
        <f t="shared" si="60"/>
        <v>1015.54</v>
      </c>
      <c r="AX213" s="174">
        <f t="shared" si="60"/>
        <v>1005.9399999999999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P39:R39 M39:O42 P40:Q42 R42 R12:R14 R16:R17 R40:T41 R19:R32 M58:P59 R18:S18 S19:S30 U40:Y42 X85:AA91 AB81:AF81 B81:R81 C56:AF56 B82:AF83 D193:AF199 B193:B199 C68:AF72 B84:B91 B73:AF80 B9:AF10 B191:AF191 B53:B72 AG73 B94:B99 U212:AF212 I60:O60 C60:H61 I61:N61 C63:N67 O61:O67 P60:P67 Q39:Q42 N45:R48 R60:R67 R58:W59 Q58:Q67 M11:AB11 M53:AF55 Z12:AB13 T18:AF30 B36:AF36 AC11:AF13 Z40:AF43 AB84:AF91 AB94:AF99">
    <cfRule type="expression" dxfId="3652" priority="251">
      <formula>B$9&gt;=20/24</formula>
    </cfRule>
    <cfRule type="expression" dxfId="3651" priority="252">
      <formula>AND(B$9&gt;=14/24,B$9&lt;20/24)</formula>
    </cfRule>
    <cfRule type="expression" dxfId="3650" priority="253">
      <formula>AND(B$9&gt;=8/24,B$9&lt;14/24)</formula>
    </cfRule>
    <cfRule type="expression" dxfId="3649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648" priority="246">
      <formula>M$9&gt;=20/24</formula>
    </cfRule>
    <cfRule type="expression" dxfId="3647" priority="247">
      <formula>AND(M$9&gt;=14/24,M$9&lt;20/24)</formula>
    </cfRule>
    <cfRule type="expression" dxfId="3646" priority="248">
      <formula>AND(M$9&gt;=8/24,M$9&lt;14/24)</formula>
    </cfRule>
    <cfRule type="expression" dxfId="3645" priority="249">
      <formula>M$9&lt;8/24</formula>
    </cfRule>
  </conditionalFormatting>
  <conditionalFormatting sqref="M43:R43">
    <cfRule type="expression" dxfId="3644" priority="242">
      <formula>M$9&gt;=20/24</formula>
    </cfRule>
    <cfRule type="expression" dxfId="3643" priority="243">
      <formula>AND(M$9&gt;=14/24,M$9&lt;20/24)</formula>
    </cfRule>
    <cfRule type="expression" dxfId="3642" priority="244">
      <formula>AND(M$9&gt;=8/24,M$9&lt;14/24)</formula>
    </cfRule>
    <cfRule type="expression" dxfId="3641" priority="245">
      <formula>M$9&lt;8/24</formula>
    </cfRule>
  </conditionalFormatting>
  <conditionalFormatting sqref="S39:AF39">
    <cfRule type="expression" dxfId="3640" priority="234">
      <formula>S$9&gt;=20/24</formula>
    </cfRule>
    <cfRule type="expression" dxfId="3639" priority="235">
      <formula>AND(S$9&gt;=14/24,S$9&lt;20/24)</formula>
    </cfRule>
    <cfRule type="expression" dxfId="3638" priority="236">
      <formula>AND(S$9&gt;=8/24,S$9&lt;14/24)</formula>
    </cfRule>
    <cfRule type="expression" dxfId="3637" priority="237">
      <formula>S$9&lt;8/24</formula>
    </cfRule>
  </conditionalFormatting>
  <conditionalFormatting sqref="S57:AF57">
    <cfRule type="expression" dxfId="3636" priority="230">
      <formula>S$9&gt;=20/24</formula>
    </cfRule>
    <cfRule type="expression" dxfId="3635" priority="231">
      <formula>AND(S$9&gt;=14/24,S$9&lt;20/24)</formula>
    </cfRule>
    <cfRule type="expression" dxfId="3634" priority="232">
      <formula>AND(S$9&gt;=8/24,S$9&lt;14/24)</formula>
    </cfRule>
    <cfRule type="expression" dxfId="3633" priority="233">
      <formula>S$9&lt;8/24</formula>
    </cfRule>
  </conditionalFormatting>
  <conditionalFormatting sqref="S81:AA81">
    <cfRule type="expression" dxfId="3632" priority="226">
      <formula>S$9&gt;=20/24</formula>
    </cfRule>
    <cfRule type="expression" dxfId="3631" priority="227">
      <formula>AND(S$9&gt;=14/24,S$9&lt;20/24)</formula>
    </cfRule>
    <cfRule type="expression" dxfId="3630" priority="228">
      <formula>AND(S$9&gt;=8/24,S$9&lt;14/24)</formula>
    </cfRule>
    <cfRule type="expression" dxfId="3629" priority="229">
      <formula>S$9&lt;8/24</formula>
    </cfRule>
  </conditionalFormatting>
  <conditionalFormatting sqref="U84:AA84">
    <cfRule type="expression" dxfId="3628" priority="222">
      <formula>U$9&gt;=20/24</formula>
    </cfRule>
    <cfRule type="expression" dxfId="3627" priority="223">
      <formula>AND(U$9&gt;=14/24,U$9&lt;20/24)</formula>
    </cfRule>
    <cfRule type="expression" dxfId="3626" priority="224">
      <formula>AND(U$9&gt;=8/24,U$9&lt;14/24)</formula>
    </cfRule>
    <cfRule type="expression" dxfId="3625" priority="225">
      <formula>U$9&lt;8/24</formula>
    </cfRule>
  </conditionalFormatting>
  <conditionalFormatting sqref="R35">
    <cfRule type="expression" dxfId="3624" priority="218">
      <formula>R$9&gt;=20/24</formula>
    </cfRule>
    <cfRule type="expression" dxfId="3623" priority="219">
      <formula>AND(R$9&gt;=14/24,R$9&lt;20/24)</formula>
    </cfRule>
    <cfRule type="expression" dxfId="3622" priority="220">
      <formula>AND(R$9&gt;=8/24,R$9&lt;14/24)</formula>
    </cfRule>
    <cfRule type="expression" dxfId="3621" priority="221">
      <formula>R$9&lt;8/24</formula>
    </cfRule>
  </conditionalFormatting>
  <conditionalFormatting sqref="M49:Z49">
    <cfRule type="expression" dxfId="3620" priority="214">
      <formula>M$9&gt;=20/24</formula>
    </cfRule>
    <cfRule type="expression" dxfId="3619" priority="215">
      <formula>AND(M$9&gt;=14/24,M$9&lt;20/24)</formula>
    </cfRule>
    <cfRule type="expression" dxfId="3618" priority="216">
      <formula>AND(M$9&gt;=8/24,M$9&lt;14/24)</formula>
    </cfRule>
    <cfRule type="expression" dxfId="3617" priority="217">
      <formula>M$9&lt;8/24</formula>
    </cfRule>
  </conditionalFormatting>
  <conditionalFormatting sqref="M50:R50">
    <cfRule type="expression" dxfId="3616" priority="210">
      <formula>M$9&gt;=20/24</formula>
    </cfRule>
    <cfRule type="expression" dxfId="3615" priority="211">
      <formula>AND(M$9&gt;=14/24,M$9&lt;20/24)</formula>
    </cfRule>
    <cfRule type="expression" dxfId="3614" priority="212">
      <formula>AND(M$9&gt;=8/24,M$9&lt;14/24)</formula>
    </cfRule>
    <cfRule type="expression" dxfId="3613" priority="213">
      <formula>M$9&lt;8/24</formula>
    </cfRule>
  </conditionalFormatting>
  <conditionalFormatting sqref="M45:R48">
    <cfRule type="expression" dxfId="3612" priority="206">
      <formula>M$9&gt;=20/24</formula>
    </cfRule>
    <cfRule type="expression" dxfId="3611" priority="207">
      <formula>AND(M$9&gt;=14/24,M$9&lt;20/24)</formula>
    </cfRule>
    <cfRule type="expression" dxfId="3610" priority="208">
      <formula>AND(M$9&gt;=8/24,M$9&lt;14/24)</formula>
    </cfRule>
    <cfRule type="expression" dxfId="3609" priority="209">
      <formula>M$9&lt;8/24</formula>
    </cfRule>
  </conditionalFormatting>
  <conditionalFormatting sqref="S37:AF37">
    <cfRule type="expression" dxfId="3608" priority="202">
      <formula>S$9&gt;=20/24</formula>
    </cfRule>
    <cfRule type="expression" dxfId="3607" priority="203">
      <formula>AND(S$9&gt;=14/24,S$9&lt;20/24)</formula>
    </cfRule>
    <cfRule type="expression" dxfId="3606" priority="204">
      <formula>AND(S$9&gt;=8/24,S$9&lt;14/24)</formula>
    </cfRule>
    <cfRule type="expression" dxfId="3605" priority="205">
      <formula>S$9&lt;8/24</formula>
    </cfRule>
  </conditionalFormatting>
  <conditionalFormatting sqref="AA56:AA57 AA60 S31:AF32 S35:AF35">
    <cfRule type="expression" dxfId="3604" priority="198">
      <formula>S$9&gt;=20/24</formula>
    </cfRule>
    <cfRule type="expression" dxfId="3603" priority="199">
      <formula>AND(S$9&gt;=14/24,S$9&lt;20/24)</formula>
    </cfRule>
    <cfRule type="expression" dxfId="3602" priority="200">
      <formula>AND(S$9&gt;=8/24,S$9&lt;14/24)</formula>
    </cfRule>
    <cfRule type="expression" dxfId="3601" priority="201">
      <formula>S$9&lt;8/24</formula>
    </cfRule>
  </conditionalFormatting>
  <conditionalFormatting sqref="S42:T43 U43:Y43 S45:AF48">
    <cfRule type="expression" dxfId="3600" priority="194">
      <formula>S$9&gt;=20/24</formula>
    </cfRule>
    <cfRule type="expression" dxfId="3599" priority="195">
      <formula>AND(S$9&gt;=14/24,S$9&lt;20/24)</formula>
    </cfRule>
    <cfRule type="expression" dxfId="3598" priority="196">
      <formula>AND(S$9&gt;=8/24,S$9&lt;14/24)</formula>
    </cfRule>
    <cfRule type="expression" dxfId="3597" priority="197">
      <formula>S$9&lt;8/24</formula>
    </cfRule>
  </conditionalFormatting>
  <conditionalFormatting sqref="S49:AF49">
    <cfRule type="expression" dxfId="3596" priority="190">
      <formula>S$9&gt;=20/24</formula>
    </cfRule>
    <cfRule type="expression" dxfId="3595" priority="191">
      <formula>AND(S$9&gt;=14/24,S$9&lt;20/24)</formula>
    </cfRule>
    <cfRule type="expression" dxfId="3594" priority="192">
      <formula>AND(S$9&gt;=8/24,S$9&lt;14/24)</formula>
    </cfRule>
    <cfRule type="expression" dxfId="3593" priority="193">
      <formula>S$9&lt;8/24</formula>
    </cfRule>
  </conditionalFormatting>
  <conditionalFormatting sqref="S50:AF50">
    <cfRule type="expression" dxfId="3592" priority="186">
      <formula>S$9&gt;=20/24</formula>
    </cfRule>
    <cfRule type="expression" dxfId="3591" priority="187">
      <formula>AND(S$9&gt;=14/24,S$9&lt;20/24)</formula>
    </cfRule>
    <cfRule type="expression" dxfId="3590" priority="188">
      <formula>AND(S$9&gt;=8/24,S$9&lt;14/24)</formula>
    </cfRule>
    <cfRule type="expression" dxfId="3589" priority="189">
      <formula>S$9&lt;8/24</formula>
    </cfRule>
  </conditionalFormatting>
  <conditionalFormatting sqref="S60:T67 X60:AF67">
    <cfRule type="expression" dxfId="3588" priority="182">
      <formula>S$9&gt;=20/24</formula>
    </cfRule>
    <cfRule type="expression" dxfId="3587" priority="183">
      <formula>AND(S$9&gt;=14/24,S$9&lt;20/24)</formula>
    </cfRule>
    <cfRule type="expression" dxfId="3586" priority="184">
      <formula>AND(S$9&gt;=8/24,S$9&lt;14/24)</formula>
    </cfRule>
    <cfRule type="expression" dxfId="3585" priority="185">
      <formula>S$9&lt;8/24</formula>
    </cfRule>
  </conditionalFormatting>
  <conditionalFormatting sqref="C62:M62">
    <cfRule type="expression" dxfId="3584" priority="178">
      <formula>C$9&gt;=20/24</formula>
    </cfRule>
    <cfRule type="expression" dxfId="3583" priority="179">
      <formula>AND(C$9&gt;=14/24,C$9&lt;20/24)</formula>
    </cfRule>
    <cfRule type="expression" dxfId="3582" priority="180">
      <formula>AND(C$9&gt;=8/24,C$9&lt;14/24)</formula>
    </cfRule>
    <cfRule type="expression" dxfId="3581" priority="181">
      <formula>C$9&lt;8/24</formula>
    </cfRule>
  </conditionalFormatting>
  <conditionalFormatting sqref="U94:AA97">
    <cfRule type="expression" dxfId="3580" priority="174">
      <formula>U$9&gt;=20/24</formula>
    </cfRule>
    <cfRule type="expression" dxfId="3579" priority="175">
      <formula>AND(U$9&gt;=14/24,U$9&lt;20/24)</formula>
    </cfRule>
    <cfRule type="expression" dxfId="3578" priority="176">
      <formula>AND(U$9&gt;=8/24,U$9&lt;14/24)</formula>
    </cfRule>
    <cfRule type="expression" dxfId="3577" priority="177">
      <formula>U$9&lt;8/24</formula>
    </cfRule>
  </conditionalFormatting>
  <conditionalFormatting sqref="AG51 R12:R14 R16:R17 B11:Q32 R11:AB11 Z12:AB13 AC11:AF13 R18:AF32 B34:AF56">
    <cfRule type="expression" dxfId="3576" priority="173">
      <formula>B11&gt;$AG11</formula>
    </cfRule>
  </conditionalFormatting>
  <conditionalFormatting sqref="A100:A156 A84:A97 A11:A14 A16:A32 A45:A72 A80:A82 A74:A78 A35:A43 A169:A199">
    <cfRule type="expression" dxfId="3575" priority="172">
      <formula>$AH11=0</formula>
    </cfRule>
  </conditionalFormatting>
  <conditionalFormatting sqref="U98:AA98">
    <cfRule type="expression" dxfId="3574" priority="168">
      <formula>U$9&gt;=20/24</formula>
    </cfRule>
    <cfRule type="expression" dxfId="3573" priority="169">
      <formula>AND(U$9&gt;=14/24,U$9&lt;20/24)</formula>
    </cfRule>
    <cfRule type="expression" dxfId="3572" priority="170">
      <formula>AND(U$9&gt;=8/24,U$9&lt;14/24)</formula>
    </cfRule>
    <cfRule type="expression" dxfId="3571" priority="171">
      <formula>U$9&lt;8/24</formula>
    </cfRule>
  </conditionalFormatting>
  <conditionalFormatting sqref="A98">
    <cfRule type="expression" dxfId="3570" priority="167">
      <formula>$AH98=0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R34">
    <cfRule type="expression" dxfId="3569" priority="146">
      <formula>R$9&gt;=20/24</formula>
    </cfRule>
    <cfRule type="expression" dxfId="3568" priority="147">
      <formula>AND(R$9&gt;=14/24,R$9&lt;20/24)</formula>
    </cfRule>
    <cfRule type="expression" dxfId="3567" priority="148">
      <formula>AND(R$9&gt;=8/24,R$9&lt;14/24)</formula>
    </cfRule>
    <cfRule type="expression" dxfId="3566" priority="149">
      <formula>R$9&lt;8/24</formula>
    </cfRule>
  </conditionalFormatting>
  <conditionalFormatting sqref="S34:AF34">
    <cfRule type="expression" dxfId="3565" priority="142">
      <formula>S$9&gt;=20/24</formula>
    </cfRule>
    <cfRule type="expression" dxfId="3564" priority="143">
      <formula>AND(S$9&gt;=14/24,S$9&lt;20/24)</formula>
    </cfRule>
    <cfRule type="expression" dxfId="3563" priority="144">
      <formula>AND(S$9&gt;=8/24,S$9&lt;14/24)</formula>
    </cfRule>
    <cfRule type="expression" dxfId="3562" priority="145">
      <formula>S$9&lt;8/24</formula>
    </cfRule>
  </conditionalFormatting>
  <conditionalFormatting sqref="A34">
    <cfRule type="expression" dxfId="3561" priority="141">
      <formula>$AH34=0</formula>
    </cfRule>
  </conditionalFormatting>
  <conditionalFormatting sqref="A83">
    <cfRule type="expression" dxfId="3560" priority="140">
      <formula>$AH83=0</formula>
    </cfRule>
  </conditionalFormatting>
  <conditionalFormatting sqref="R15">
    <cfRule type="expression" dxfId="3559" priority="132">
      <formula>R$9&gt;=20/24</formula>
    </cfRule>
    <cfRule type="expression" dxfId="3558" priority="133">
      <formula>AND(R$9&gt;=14/24,R$9&lt;20/24)</formula>
    </cfRule>
    <cfRule type="expression" dxfId="3557" priority="134">
      <formula>AND(R$9&gt;=8/24,R$9&lt;14/24)</formula>
    </cfRule>
    <cfRule type="expression" dxfId="3556" priority="135">
      <formula>R$9&lt;8/24</formula>
    </cfRule>
  </conditionalFormatting>
  <conditionalFormatting sqref="R15">
    <cfRule type="expression" dxfId="3555" priority="131">
      <formula>R15&gt;$AG15</formula>
    </cfRule>
  </conditionalFormatting>
  <conditionalFormatting sqref="A15">
    <cfRule type="expression" dxfId="3554" priority="130">
      <formula>$AH15=0</formula>
    </cfRule>
  </conditionalFormatting>
  <conditionalFormatting sqref="A163:A168">
    <cfRule type="expression" dxfId="3553" priority="129">
      <formula>$AH163=0</formula>
    </cfRule>
  </conditionalFormatting>
  <conditionalFormatting sqref="A157:A162">
    <cfRule type="expression" dxfId="3552" priority="128">
      <formula>$AH157=0</formula>
    </cfRule>
  </conditionalFormatting>
  <conditionalFormatting sqref="Z44:AF44">
    <cfRule type="expression" dxfId="3551" priority="124">
      <formula>Z$9&gt;=20/24</formula>
    </cfRule>
    <cfRule type="expression" dxfId="3550" priority="125">
      <formula>AND(Z$9&gt;=14/24,Z$9&lt;20/24)</formula>
    </cfRule>
    <cfRule type="expression" dxfId="3549" priority="126">
      <formula>AND(Z$9&gt;=8/24,Z$9&lt;14/24)</formula>
    </cfRule>
    <cfRule type="expression" dxfId="3548" priority="127">
      <formula>Z$9&lt;8/24</formula>
    </cfRule>
  </conditionalFormatting>
  <conditionalFormatting sqref="M44:R44">
    <cfRule type="expression" dxfId="3547" priority="120">
      <formula>M$9&gt;=20/24</formula>
    </cfRule>
    <cfRule type="expression" dxfId="3546" priority="121">
      <formula>AND(M$9&gt;=14/24,M$9&lt;20/24)</formula>
    </cfRule>
    <cfRule type="expression" dxfId="3545" priority="122">
      <formula>AND(M$9&gt;=8/24,M$9&lt;14/24)</formula>
    </cfRule>
    <cfRule type="expression" dxfId="3544" priority="123">
      <formula>M$9&lt;8/24</formula>
    </cfRule>
  </conditionalFormatting>
  <conditionalFormatting sqref="S44:Y44">
    <cfRule type="expression" dxfId="3543" priority="116">
      <formula>S$9&gt;=20/24</formula>
    </cfRule>
    <cfRule type="expression" dxfId="3542" priority="117">
      <formula>AND(S$9&gt;=14/24,S$9&lt;20/24)</formula>
    </cfRule>
    <cfRule type="expression" dxfId="3541" priority="118">
      <formula>AND(S$9&gt;=8/24,S$9&lt;14/24)</formula>
    </cfRule>
    <cfRule type="expression" dxfId="3540" priority="119">
      <formula>S$9&lt;8/24</formula>
    </cfRule>
  </conditionalFormatting>
  <conditionalFormatting sqref="A44">
    <cfRule type="expression" dxfId="3539" priority="115">
      <formula>$AH44=0</formula>
    </cfRule>
  </conditionalFormatting>
  <conditionalFormatting sqref="A79">
    <cfRule type="expression" dxfId="3538" priority="114">
      <formula>$AH79=0</formula>
    </cfRule>
  </conditionalFormatting>
  <conditionalFormatting sqref="A73">
    <cfRule type="expression" dxfId="3537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3536" priority="109">
      <formula>U$9&gt;=20/24</formula>
    </cfRule>
    <cfRule type="expression" dxfId="3535" priority="110">
      <formula>AND(U$9&gt;=14/24,U$9&lt;20/24)</formula>
    </cfRule>
    <cfRule type="expression" dxfId="3534" priority="111">
      <formula>AND(U$9&gt;=8/24,U$9&lt;14/24)</formula>
    </cfRule>
    <cfRule type="expression" dxfId="3533" priority="112">
      <formula>U$9&lt;8/24</formula>
    </cfRule>
  </conditionalFormatting>
  <conditionalFormatting sqref="U85:W91">
    <cfRule type="expression" dxfId="3532" priority="105">
      <formula>U$9&gt;=20/24</formula>
    </cfRule>
    <cfRule type="expression" dxfId="3531" priority="106">
      <formula>AND(U$9&gt;=14/24,U$9&lt;20/24)</formula>
    </cfRule>
    <cfRule type="expression" dxfId="3530" priority="107">
      <formula>AND(U$9&gt;=8/24,U$9&lt;14/24)</formula>
    </cfRule>
    <cfRule type="expression" dxfId="3529" priority="108">
      <formula>U$9&lt;8/24</formula>
    </cfRule>
  </conditionalFormatting>
  <conditionalFormatting sqref="C84:R91 S85:T91">
    <cfRule type="expression" dxfId="3528" priority="101">
      <formula>C$9&gt;=20/24</formula>
    </cfRule>
    <cfRule type="expression" dxfId="3527" priority="102">
      <formula>AND(C$9&gt;=14/24,C$9&lt;20/24)</formula>
    </cfRule>
    <cfRule type="expression" dxfId="3526" priority="103">
      <formula>AND(C$9&gt;=8/24,C$9&lt;14/24)</formula>
    </cfRule>
    <cfRule type="expression" dxfId="3525" priority="104">
      <formula>C$9&lt;8/24</formula>
    </cfRule>
  </conditionalFormatting>
  <conditionalFormatting sqref="S84:T84">
    <cfRule type="expression" dxfId="3524" priority="97">
      <formula>S$9&gt;=20/24</formula>
    </cfRule>
    <cfRule type="expression" dxfId="3523" priority="98">
      <formula>AND(S$9&gt;=14/24,S$9&lt;20/24)</formula>
    </cfRule>
    <cfRule type="expression" dxfId="3522" priority="99">
      <formula>AND(S$9&gt;=8/24,S$9&lt;14/24)</formula>
    </cfRule>
    <cfRule type="expression" dxfId="3521" priority="100">
      <formula>S$9&lt;8/24</formula>
    </cfRule>
  </conditionalFormatting>
  <conditionalFormatting sqref="C95:M97 C94:F94">
    <cfRule type="expression" dxfId="3520" priority="93">
      <formula>C$9&gt;=20/24</formula>
    </cfRule>
    <cfRule type="expression" dxfId="3519" priority="94">
      <formula>AND(C$9&gt;=14/24,C$9&lt;20/24)</formula>
    </cfRule>
    <cfRule type="expression" dxfId="3518" priority="95">
      <formula>AND(C$9&gt;=8/24,C$9&lt;14/24)</formula>
    </cfRule>
    <cfRule type="expression" dxfId="3517" priority="96">
      <formula>C$9&lt;8/24</formula>
    </cfRule>
  </conditionalFormatting>
  <conditionalFormatting sqref="N95:O97 O94 P94:R97">
    <cfRule type="expression" dxfId="3516" priority="89">
      <formula>N$9&gt;=20/24</formula>
    </cfRule>
    <cfRule type="expression" dxfId="3515" priority="90">
      <formula>AND(N$9&gt;=14/24,N$9&lt;20/24)</formula>
    </cfRule>
    <cfRule type="expression" dxfId="3514" priority="91">
      <formula>AND(N$9&gt;=8/24,N$9&lt;14/24)</formula>
    </cfRule>
    <cfRule type="expression" dxfId="3513" priority="92">
      <formula>N$9&lt;8/24</formula>
    </cfRule>
  </conditionalFormatting>
  <conditionalFormatting sqref="S94:T97">
    <cfRule type="expression" dxfId="3512" priority="85">
      <formula>S$9&gt;=20/24</formula>
    </cfRule>
    <cfRule type="expression" dxfId="3511" priority="86">
      <formula>AND(S$9&gt;=14/24,S$9&lt;20/24)</formula>
    </cfRule>
    <cfRule type="expression" dxfId="3510" priority="87">
      <formula>AND(S$9&gt;=8/24,S$9&lt;14/24)</formula>
    </cfRule>
    <cfRule type="expression" dxfId="3509" priority="88">
      <formula>S$9&lt;8/24</formula>
    </cfRule>
  </conditionalFormatting>
  <conditionalFormatting sqref="C98:M98">
    <cfRule type="expression" dxfId="3508" priority="81">
      <formula>C$9&gt;=20/24</formula>
    </cfRule>
    <cfRule type="expression" dxfId="3507" priority="82">
      <formula>AND(C$9&gt;=14/24,C$9&lt;20/24)</formula>
    </cfRule>
    <cfRule type="expression" dxfId="3506" priority="83">
      <formula>AND(C$9&gt;=8/24,C$9&lt;14/24)</formula>
    </cfRule>
    <cfRule type="expression" dxfId="3505" priority="84">
      <formula>C$9&lt;8/24</formula>
    </cfRule>
  </conditionalFormatting>
  <conditionalFormatting sqref="N98:R98">
    <cfRule type="expression" dxfId="3504" priority="77">
      <formula>N$9&gt;=20/24</formula>
    </cfRule>
    <cfRule type="expression" dxfId="3503" priority="78">
      <formula>AND(N$9&gt;=14/24,N$9&lt;20/24)</formula>
    </cfRule>
    <cfRule type="expression" dxfId="3502" priority="79">
      <formula>AND(N$9&gt;=8/24,N$9&lt;14/24)</formula>
    </cfRule>
    <cfRule type="expression" dxfId="3501" priority="80">
      <formula>N$9&lt;8/24</formula>
    </cfRule>
  </conditionalFormatting>
  <conditionalFormatting sqref="S98:T98">
    <cfRule type="expression" dxfId="3500" priority="73">
      <formula>S$9&gt;=20/24</formula>
    </cfRule>
    <cfRule type="expression" dxfId="3499" priority="74">
      <formula>AND(S$9&gt;=14/24,S$9&lt;20/24)</formula>
    </cfRule>
    <cfRule type="expression" dxfId="3498" priority="75">
      <formula>AND(S$9&gt;=8/24,S$9&lt;14/24)</formula>
    </cfRule>
    <cfRule type="expression" dxfId="3497" priority="76">
      <formula>S$9&lt;8/24</formula>
    </cfRule>
  </conditionalFormatting>
  <conditionalFormatting sqref="M94:N94">
    <cfRule type="expression" dxfId="3496" priority="69">
      <formula>M$9&gt;=20/24</formula>
    </cfRule>
    <cfRule type="expression" dxfId="3495" priority="70">
      <formula>AND(M$9&gt;=14/24,M$9&lt;20/24)</formula>
    </cfRule>
    <cfRule type="expression" dxfId="3494" priority="71">
      <formula>AND(M$9&gt;=8/24,M$9&lt;14/24)</formula>
    </cfRule>
    <cfRule type="expression" dxfId="3493" priority="72">
      <formula>M$9&lt;8/24</formula>
    </cfRule>
  </conditionalFormatting>
  <conditionalFormatting sqref="G94:L94">
    <cfRule type="expression" dxfId="3492" priority="65">
      <formula>G$9&gt;=20/24</formula>
    </cfRule>
    <cfRule type="expression" dxfId="3491" priority="66">
      <formula>AND(G$9&gt;=14/24,G$9&lt;20/24)</formula>
    </cfRule>
    <cfRule type="expression" dxfId="3490" priority="67">
      <formula>AND(G$9&gt;=8/24,G$9&lt;14/24)</formula>
    </cfRule>
    <cfRule type="expression" dxfId="3489" priority="68">
      <formula>G$9&lt;8/24</formula>
    </cfRule>
  </conditionalFormatting>
  <conditionalFormatting sqref="U94:W94">
    <cfRule type="expression" dxfId="3488" priority="61">
      <formula>U$9&gt;=20/24</formula>
    </cfRule>
    <cfRule type="expression" dxfId="3487" priority="62">
      <formula>AND(U$9&gt;=14/24,U$9&lt;20/24)</formula>
    </cfRule>
    <cfRule type="expression" dxfId="3486" priority="63">
      <formula>AND(U$9&gt;=8/24,U$9&lt;14/24)</formula>
    </cfRule>
    <cfRule type="expression" dxfId="3485" priority="64">
      <formula>U$9&lt;8/24</formula>
    </cfRule>
  </conditionalFormatting>
  <conditionalFormatting sqref="N94:T94">
    <cfRule type="expression" dxfId="3484" priority="57">
      <formula>N$9&gt;=20/24</formula>
    </cfRule>
    <cfRule type="expression" dxfId="3483" priority="58">
      <formula>AND(N$9&gt;=14/24,N$9&lt;20/24)</formula>
    </cfRule>
    <cfRule type="expression" dxfId="3482" priority="59">
      <formula>AND(N$9&gt;=8/24,N$9&lt;14/24)</formula>
    </cfRule>
    <cfRule type="expression" dxfId="3481" priority="60">
      <formula>N$9&lt;8/24</formula>
    </cfRule>
  </conditionalFormatting>
  <conditionalFormatting sqref="U99:AA99">
    <cfRule type="expression" dxfId="3480" priority="53">
      <formula>U$9&gt;=20/24</formula>
    </cfRule>
    <cfRule type="expression" dxfId="3479" priority="54">
      <formula>AND(U$9&gt;=14/24,U$9&lt;20/24)</formula>
    </cfRule>
    <cfRule type="expression" dxfId="3478" priority="55">
      <formula>AND(U$9&gt;=8/24,U$9&lt;14/24)</formula>
    </cfRule>
    <cfRule type="expression" dxfId="3477" priority="56">
      <formula>U$9&lt;8/24</formula>
    </cfRule>
  </conditionalFormatting>
  <conditionalFormatting sqref="C99:M99">
    <cfRule type="expression" dxfId="3476" priority="49">
      <formula>C$9&gt;=20/24</formula>
    </cfRule>
    <cfRule type="expression" dxfId="3475" priority="50">
      <formula>AND(C$9&gt;=14/24,C$9&lt;20/24)</formula>
    </cfRule>
    <cfRule type="expression" dxfId="3474" priority="51">
      <formula>AND(C$9&gt;=8/24,C$9&lt;14/24)</formula>
    </cfRule>
    <cfRule type="expression" dxfId="3473" priority="52">
      <formula>C$9&lt;8/24</formula>
    </cfRule>
  </conditionalFormatting>
  <conditionalFormatting sqref="N99:R99">
    <cfRule type="expression" dxfId="3472" priority="45">
      <formula>N$9&gt;=20/24</formula>
    </cfRule>
    <cfRule type="expression" dxfId="3471" priority="46">
      <formula>AND(N$9&gt;=14/24,N$9&lt;20/24)</formula>
    </cfRule>
    <cfRule type="expression" dxfId="3470" priority="47">
      <formula>AND(N$9&gt;=8/24,N$9&lt;14/24)</formula>
    </cfRule>
    <cfRule type="expression" dxfId="3469" priority="48">
      <formula>N$9&lt;8/24</formula>
    </cfRule>
  </conditionalFormatting>
  <conditionalFormatting sqref="S99:T99">
    <cfRule type="expression" dxfId="3468" priority="41">
      <formula>S$9&gt;=20/24</formula>
    </cfRule>
    <cfRule type="expression" dxfId="3467" priority="42">
      <formula>AND(S$9&gt;=14/24,S$9&lt;20/24)</formula>
    </cfRule>
    <cfRule type="expression" dxfId="3466" priority="43">
      <formula>AND(S$9&gt;=8/24,S$9&lt;14/24)</formula>
    </cfRule>
    <cfRule type="expression" dxfId="3465" priority="44">
      <formula>S$9&lt;8/24</formula>
    </cfRule>
  </conditionalFormatting>
  <conditionalFormatting sqref="S12:Y16 AA39:AA41 AA64:AA66 Z14:AF16">
    <cfRule type="expression" dxfId="3464" priority="37">
      <formula>S$9&gt;=20/24</formula>
    </cfRule>
    <cfRule type="expression" dxfId="3463" priority="38">
      <formula>AND(S$9&gt;=14/24,S$9&lt;20/24)</formula>
    </cfRule>
    <cfRule type="expression" dxfId="3462" priority="39">
      <formula>AND(S$9&gt;=8/24,S$9&lt;14/24)</formula>
    </cfRule>
    <cfRule type="expression" dxfId="3461" priority="40">
      <formula>S$9&lt;8/24</formula>
    </cfRule>
  </conditionalFormatting>
  <conditionalFormatting sqref="AA42 AA67 S17:AF17">
    <cfRule type="expression" dxfId="3460" priority="33">
      <formula>S$9&gt;=20/24</formula>
    </cfRule>
    <cfRule type="expression" dxfId="3459" priority="34">
      <formula>AND(S$9&gt;=14/24,S$9&lt;20/24)</formula>
    </cfRule>
    <cfRule type="expression" dxfId="3458" priority="35">
      <formula>AND(S$9&gt;=8/24,S$9&lt;14/24)</formula>
    </cfRule>
    <cfRule type="expression" dxfId="3457" priority="36">
      <formula>S$9&lt;8/24</formula>
    </cfRule>
  </conditionalFormatting>
  <conditionalFormatting sqref="S12:Y13">
    <cfRule type="expression" dxfId="3456" priority="29">
      <formula>S$9&gt;=20/24</formula>
    </cfRule>
    <cfRule type="expression" dxfId="3455" priority="30">
      <formula>AND(S$9&gt;=14/24,S$9&lt;20/24)</formula>
    </cfRule>
    <cfRule type="expression" dxfId="3454" priority="31">
      <formula>AND(S$9&gt;=8/24,S$9&lt;14/24)</formula>
    </cfRule>
    <cfRule type="expression" dxfId="3453" priority="32">
      <formula>S$9&lt;8/24</formula>
    </cfRule>
  </conditionalFormatting>
  <conditionalFormatting sqref="AB58:AF59">
    <cfRule type="expression" dxfId="3452" priority="25">
      <formula>AB$9&gt;=20/24</formula>
    </cfRule>
    <cfRule type="expression" dxfId="3451" priority="26">
      <formula>AND(AB$9&gt;=14/24,AB$9&lt;20/24)</formula>
    </cfRule>
    <cfRule type="expression" dxfId="3450" priority="27">
      <formula>AND(AB$9&gt;=8/24,AB$9&lt;14/24)</formula>
    </cfRule>
    <cfRule type="expression" dxfId="3449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48" priority="258">
      <formula>C$9&gt;=20/24</formula>
    </cfRule>
    <cfRule type="expression" dxfId="3447" priority="259">
      <formula>AND(C$9&gt;=14/24,C$9&lt;20/24)</formula>
    </cfRule>
    <cfRule type="expression" dxfId="3446" priority="260">
      <formula>AND(C$9&gt;=8/24,C$9&lt;14/24)</formula>
    </cfRule>
    <cfRule type="expression" dxfId="3445" priority="261">
      <formula>C$9&lt;8/24</formula>
    </cfRule>
  </conditionalFormatting>
  <conditionalFormatting sqref="A200">
    <cfRule type="expression" dxfId="3444" priority="262">
      <formula>$AH200=0</formula>
    </cfRule>
  </conditionalFormatting>
  <conditionalFormatting sqref="AG212">
    <cfRule type="expression" dxfId="3443" priority="263">
      <formula>B$9&gt;=20/24</formula>
    </cfRule>
    <cfRule type="expression" dxfId="3442" priority="264">
      <formula>AND(B$9&gt;=14/24,B$9&lt;20/24)</formula>
    </cfRule>
    <cfRule type="expression" dxfId="3441" priority="265">
      <formula>AND(B$9&gt;=8/24,B$9&lt;14/24)</formula>
    </cfRule>
    <cfRule type="expression" dxfId="3440" priority="266">
      <formula>B$9&lt;8/24</formula>
    </cfRule>
  </conditionalFormatting>
  <conditionalFormatting sqref="S8">
    <cfRule type="expression" dxfId="3439" priority="19">
      <formula>U$9&gt;=20/24</formula>
    </cfRule>
    <cfRule type="expression" dxfId="3438" priority="20">
      <formula>AND(U$9&gt;=14/24,U$9&lt;20/24)</formula>
    </cfRule>
    <cfRule type="expression" dxfId="3437" priority="21">
      <formula>AND(U$9&gt;=8/24,U$9&lt;14/24)</formula>
    </cfRule>
    <cfRule type="expression" dxfId="3436" priority="22">
      <formula>U$9&lt;8/24</formula>
    </cfRule>
  </conditionalFormatting>
  <conditionalFormatting sqref="AB8">
    <cfRule type="expression" dxfId="3435" priority="15">
      <formula>AD$9&gt;=20/24</formula>
    </cfRule>
    <cfRule type="expression" dxfId="3434" priority="16">
      <formula>AND(AD$9&gt;=14/24,AD$9&lt;20/24)</formula>
    </cfRule>
    <cfRule type="expression" dxfId="3433" priority="17">
      <formula>AND(AD$9&gt;=8/24,AD$9&lt;14/24)</formula>
    </cfRule>
    <cfRule type="expression" dxfId="3432" priority="18">
      <formula>AD$9&lt;8/24</formula>
    </cfRule>
  </conditionalFormatting>
  <conditionalFormatting sqref="AH212:AX212">
    <cfRule type="expression" dxfId="3431" priority="267">
      <formula>AG$9&gt;=20/24</formula>
    </cfRule>
    <cfRule type="expression" dxfId="3430" priority="268">
      <formula>AND(AG$9&gt;=14/24,AG$9&lt;20/24)</formula>
    </cfRule>
    <cfRule type="expression" dxfId="3429" priority="269">
      <formula>AND(AG$9&gt;=8/24,AG$9&lt;14/24)</formula>
    </cfRule>
    <cfRule type="expression" dxfId="3428" priority="270">
      <formula>AG$9&lt;8/24</formula>
    </cfRule>
  </conditionalFormatting>
  <conditionalFormatting sqref="T212">
    <cfRule type="expression" dxfId="3427" priority="271">
      <formula>AX$9&gt;=20/24</formula>
    </cfRule>
    <cfRule type="expression" dxfId="3426" priority="272">
      <formula>AND(AX$9&gt;=14/24,AX$9&lt;20/24)</formula>
    </cfRule>
    <cfRule type="expression" dxfId="3425" priority="273">
      <formula>AND(AX$9&gt;=8/24,AX$9&lt;14/24)</formula>
    </cfRule>
    <cfRule type="expression" dxfId="3424" priority="274">
      <formula>AX$9&lt;8/24</formula>
    </cfRule>
  </conditionalFormatting>
  <conditionalFormatting sqref="A99">
    <cfRule type="expression" dxfId="3423" priority="14">
      <formula>$AH99=0</formula>
    </cfRule>
  </conditionalFormatting>
  <conditionalFormatting sqref="R33">
    <cfRule type="expression" dxfId="3422" priority="10">
      <formula>R$9&gt;=20/24</formula>
    </cfRule>
    <cfRule type="expression" dxfId="3421" priority="11">
      <formula>AND(R$9&gt;=14/24,R$9&lt;20/24)</formula>
    </cfRule>
    <cfRule type="expression" dxfId="3420" priority="12">
      <formula>AND(R$9&gt;=8/24,R$9&lt;14/24)</formula>
    </cfRule>
    <cfRule type="expression" dxfId="3419" priority="13">
      <formula>R$9&lt;8/24</formula>
    </cfRule>
  </conditionalFormatting>
  <conditionalFormatting sqref="AA58 S33:AF33">
    <cfRule type="expression" dxfId="3418" priority="2">
      <formula>S$9&gt;=20/24</formula>
    </cfRule>
    <cfRule type="expression" dxfId="3417" priority="3">
      <formula>AND(S$9&gt;=14/24,S$9&lt;20/24)</formula>
    </cfRule>
    <cfRule type="expression" dxfId="3416" priority="4">
      <formula>AND(S$9&gt;=8/24,S$9&lt;14/24)</formula>
    </cfRule>
    <cfRule type="expression" dxfId="3415" priority="5">
      <formula>S$9&lt;8/24</formula>
    </cfRule>
  </conditionalFormatting>
  <conditionalFormatting sqref="B33:AF33">
    <cfRule type="expression" dxfId="3414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47AB4CDF-F17A-4B21-A23E-4145DEB06EB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J33" sqref="AJ3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2078/11/20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424.1</v>
      </c>
      <c r="C5" s="32">
        <f t="shared" si="0"/>
        <v>405.3</v>
      </c>
      <c r="D5" s="32">
        <f t="shared" si="0"/>
        <v>424.5</v>
      </c>
      <c r="E5" s="32">
        <f t="shared" si="0"/>
        <v>437.09999999999997</v>
      </c>
      <c r="F5" s="32">
        <f t="shared" si="0"/>
        <v>470.90000000000003</v>
      </c>
      <c r="G5" s="32">
        <f t="shared" si="0"/>
        <v>516</v>
      </c>
      <c r="H5" s="32">
        <f t="shared" si="0"/>
        <v>545.9</v>
      </c>
      <c r="I5" s="32">
        <f t="shared" si="0"/>
        <v>329.6</v>
      </c>
      <c r="J5" s="32">
        <f t="shared" si="0"/>
        <v>262.89999999999998</v>
      </c>
      <c r="K5" s="32">
        <f t="shared" si="0"/>
        <v>230.4</v>
      </c>
      <c r="L5" s="32">
        <f t="shared" si="0"/>
        <v>212.2</v>
      </c>
      <c r="M5" s="32">
        <f t="shared" si="0"/>
        <v>537.70000000000005</v>
      </c>
      <c r="N5" s="32">
        <f t="shared" si="0"/>
        <v>534.5</v>
      </c>
      <c r="O5" s="32">
        <f t="shared" si="0"/>
        <v>530</v>
      </c>
      <c r="P5" s="32">
        <f t="shared" si="0"/>
        <v>541</v>
      </c>
      <c r="Q5" s="32">
        <f t="shared" si="0"/>
        <v>534.20000000000005</v>
      </c>
      <c r="R5" s="32">
        <f t="shared" si="0"/>
        <v>541</v>
      </c>
      <c r="S5" s="32">
        <f t="shared" si="0"/>
        <v>540.9</v>
      </c>
      <c r="T5" s="32">
        <f t="shared" si="0"/>
        <v>499</v>
      </c>
      <c r="U5" s="32">
        <f t="shared" si="0"/>
        <v>561.5</v>
      </c>
      <c r="V5" s="32">
        <f t="shared" si="0"/>
        <v>561.5</v>
      </c>
      <c r="W5" s="32">
        <f t="shared" si="0"/>
        <v>437.9</v>
      </c>
      <c r="X5" s="32">
        <f t="shared" si="0"/>
        <v>276</v>
      </c>
      <c r="Y5" s="32">
        <f t="shared" si="0"/>
        <v>331.40000000000003</v>
      </c>
      <c r="Z5" s="32">
        <f t="shared" si="0"/>
        <v>469.3</v>
      </c>
      <c r="AA5" s="32">
        <f t="shared" si="0"/>
        <v>552.29999999999995</v>
      </c>
      <c r="AB5" s="32">
        <f t="shared" si="0"/>
        <v>523.29999999999995</v>
      </c>
      <c r="AC5" s="32">
        <f t="shared" si="0"/>
        <v>534.4</v>
      </c>
      <c r="AD5" s="32">
        <f t="shared" si="0"/>
        <v>535.5</v>
      </c>
      <c r="AE5" s="32">
        <f t="shared" si="0"/>
        <v>453.6</v>
      </c>
      <c r="AF5" s="32">
        <f>B68</f>
        <v>415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1428MW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Load=897</v>
      </c>
      <c r="B7" s="37">
        <f t="shared" ref="B7:AF7" si="1">B75</f>
        <v>936.14</v>
      </c>
      <c r="C7" s="37">
        <f t="shared" si="1"/>
        <v>930.74</v>
      </c>
      <c r="D7" s="37">
        <f t="shared" si="1"/>
        <v>911.93999999999994</v>
      </c>
      <c r="E7" s="37">
        <f t="shared" si="1"/>
        <v>897.74</v>
      </c>
      <c r="F7" s="37">
        <f t="shared" si="1"/>
        <v>897.33999999999992</v>
      </c>
      <c r="G7" s="37">
        <f t="shared" si="1"/>
        <v>955.14</v>
      </c>
      <c r="H7" s="37">
        <f t="shared" si="1"/>
        <v>1002.04</v>
      </c>
      <c r="I7" s="37">
        <f t="shared" si="1"/>
        <v>1101.1399999999999</v>
      </c>
      <c r="J7" s="37">
        <f t="shared" si="1"/>
        <v>1244.1399999999999</v>
      </c>
      <c r="K7" s="37">
        <f t="shared" si="1"/>
        <v>1352.3400000000001</v>
      </c>
      <c r="L7" s="37">
        <f t="shared" si="1"/>
        <v>1428.04</v>
      </c>
      <c r="M7" s="37">
        <f t="shared" si="1"/>
        <v>1411.6399999999999</v>
      </c>
      <c r="N7" s="37">
        <f t="shared" si="1"/>
        <v>1358.24</v>
      </c>
      <c r="O7" s="37">
        <f t="shared" si="1"/>
        <v>1305.74</v>
      </c>
      <c r="P7" s="37">
        <f t="shared" si="1"/>
        <v>1260.8400000000001</v>
      </c>
      <c r="Q7" s="37">
        <f t="shared" si="1"/>
        <v>1236.3399999999999</v>
      </c>
      <c r="R7" s="37">
        <f t="shared" si="1"/>
        <v>1157.44</v>
      </c>
      <c r="S7" s="37">
        <f t="shared" si="1"/>
        <v>1137.74</v>
      </c>
      <c r="T7" s="37">
        <f t="shared" si="1"/>
        <v>1146.6400000000001</v>
      </c>
      <c r="U7" s="37">
        <f t="shared" si="1"/>
        <v>1145.44</v>
      </c>
      <c r="V7" s="37">
        <f t="shared" si="1"/>
        <v>1195.1400000000001</v>
      </c>
      <c r="W7" s="37">
        <f t="shared" si="1"/>
        <v>1195.1400000000001</v>
      </c>
      <c r="X7" s="37">
        <f t="shared" si="1"/>
        <v>1281.44</v>
      </c>
      <c r="Y7" s="37">
        <f t="shared" si="1"/>
        <v>1464.8400000000001</v>
      </c>
      <c r="Z7" s="37">
        <f t="shared" si="1"/>
        <v>1470.74</v>
      </c>
      <c r="AA7" s="37">
        <f t="shared" si="1"/>
        <v>1368.94</v>
      </c>
      <c r="AB7" s="37">
        <f t="shared" si="1"/>
        <v>1317.44</v>
      </c>
      <c r="AC7" s="37">
        <f t="shared" si="1"/>
        <v>1278.94</v>
      </c>
      <c r="AD7" s="37">
        <f t="shared" si="1"/>
        <v>1189.24</v>
      </c>
      <c r="AE7" s="37">
        <f t="shared" si="1"/>
        <v>1046.74</v>
      </c>
      <c r="AF7" s="37">
        <f t="shared" si="1"/>
        <v>959.04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</v>
      </c>
      <c r="C11" s="49">
        <v>35</v>
      </c>
      <c r="D11" s="49">
        <v>35</v>
      </c>
      <c r="E11" s="49">
        <v>35</v>
      </c>
      <c r="F11" s="49">
        <v>45</v>
      </c>
      <c r="G11" s="49">
        <v>55</v>
      </c>
      <c r="H11" s="49">
        <v>55</v>
      </c>
      <c r="I11" s="49">
        <v>90</v>
      </c>
      <c r="J11" s="49">
        <v>300</v>
      </c>
      <c r="K11" s="49">
        <v>420</v>
      </c>
      <c r="L11" s="49">
        <v>450</v>
      </c>
      <c r="M11" s="50">
        <v>450</v>
      </c>
      <c r="N11" s="50">
        <v>100</v>
      </c>
      <c r="O11" s="50">
        <v>80</v>
      </c>
      <c r="P11" s="50">
        <v>100</v>
      </c>
      <c r="Q11" s="50">
        <v>70</v>
      </c>
      <c r="R11" s="51">
        <v>40</v>
      </c>
      <c r="S11" s="50">
        <v>40</v>
      </c>
      <c r="T11" s="50">
        <v>50</v>
      </c>
      <c r="U11" s="50">
        <v>55</v>
      </c>
      <c r="V11" s="50">
        <v>55</v>
      </c>
      <c r="W11" s="50">
        <v>55</v>
      </c>
      <c r="X11" s="50">
        <v>150</v>
      </c>
      <c r="Y11" s="50">
        <v>400</v>
      </c>
      <c r="Z11" s="50">
        <v>310</v>
      </c>
      <c r="AA11" s="50">
        <v>146</v>
      </c>
      <c r="AB11" s="50">
        <v>80</v>
      </c>
      <c r="AC11" s="50">
        <v>70</v>
      </c>
      <c r="AD11" s="50">
        <v>55</v>
      </c>
      <c r="AE11" s="50">
        <v>10</v>
      </c>
      <c r="AF11" s="49">
        <v>20</v>
      </c>
      <c r="AG11" s="53">
        <v>456</v>
      </c>
      <c r="AH11" s="54">
        <f>MAX(B11:AF11)</f>
        <v>450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15.6</v>
      </c>
      <c r="C13" s="49">
        <v>15.6</v>
      </c>
      <c r="D13" s="49">
        <v>15.6</v>
      </c>
      <c r="E13" s="49">
        <v>16.8</v>
      </c>
      <c r="F13" s="49">
        <v>16.899999999999999</v>
      </c>
      <c r="G13" s="49">
        <v>17.3</v>
      </c>
      <c r="H13" s="49">
        <v>17.3</v>
      </c>
      <c r="I13" s="49">
        <v>17.3</v>
      </c>
      <c r="J13" s="49">
        <v>17.399999999999999</v>
      </c>
      <c r="K13" s="49">
        <v>17.399999999999999</v>
      </c>
      <c r="L13" s="49">
        <v>18</v>
      </c>
      <c r="M13" s="49">
        <v>17.899999999999999</v>
      </c>
      <c r="N13" s="49">
        <v>17.899999999999999</v>
      </c>
      <c r="O13" s="49">
        <v>17.899999999999999</v>
      </c>
      <c r="P13" s="49">
        <v>17.899999999999999</v>
      </c>
      <c r="Q13" s="49">
        <v>17.899999999999999</v>
      </c>
      <c r="R13" s="49">
        <v>17.899999999999999</v>
      </c>
      <c r="S13" s="49">
        <v>17.899999999999999</v>
      </c>
      <c r="T13" s="49">
        <v>17.899999999999999</v>
      </c>
      <c r="U13" s="49">
        <v>17.899999999999999</v>
      </c>
      <c r="V13" s="49">
        <v>17.899999999999999</v>
      </c>
      <c r="W13" s="49">
        <v>17.899999999999999</v>
      </c>
      <c r="X13" s="49">
        <v>17.899999999999999</v>
      </c>
      <c r="Y13" s="49">
        <v>17.899999999999999</v>
      </c>
      <c r="Z13" s="49">
        <v>17.899999999999999</v>
      </c>
      <c r="AA13" s="49">
        <v>17.899999999999999</v>
      </c>
      <c r="AB13" s="49">
        <v>17.899999999999999</v>
      </c>
      <c r="AC13" s="49">
        <v>17.899999999999999</v>
      </c>
      <c r="AD13" s="49">
        <v>16</v>
      </c>
      <c r="AE13" s="49">
        <v>16</v>
      </c>
      <c r="AF13" s="49">
        <v>16</v>
      </c>
      <c r="AG13" s="59">
        <v>52.4</v>
      </c>
      <c r="AH13" s="54">
        <f t="shared" si="2"/>
        <v>18</v>
      </c>
      <c r="AI13" s="55">
        <f t="shared" si="3"/>
        <v>15.6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0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50">
        <v>0</v>
      </c>
      <c r="N14" s="50">
        <v>0</v>
      </c>
      <c r="O14" s="50">
        <v>0</v>
      </c>
      <c r="P14" s="50">
        <v>18</v>
      </c>
      <c r="Q14" s="50">
        <v>25</v>
      </c>
      <c r="R14" s="50">
        <v>25.7</v>
      </c>
      <c r="S14" s="50">
        <v>25.7</v>
      </c>
      <c r="T14" s="50">
        <v>25.7</v>
      </c>
      <c r="U14" s="50">
        <v>25.7</v>
      </c>
      <c r="V14" s="50">
        <v>25.7</v>
      </c>
      <c r="W14" s="50">
        <v>25.7</v>
      </c>
      <c r="X14" s="50">
        <v>25.7</v>
      </c>
      <c r="Y14" s="50">
        <v>25.7</v>
      </c>
      <c r="Z14" s="50">
        <v>25.7</v>
      </c>
      <c r="AA14" s="50">
        <v>25.7</v>
      </c>
      <c r="AB14" s="50">
        <v>34</v>
      </c>
      <c r="AC14" s="50">
        <v>34.200000000000003</v>
      </c>
      <c r="AD14" s="50">
        <v>34</v>
      </c>
      <c r="AE14" s="50">
        <v>34.1</v>
      </c>
      <c r="AF14" s="49">
        <v>34.299999999999997</v>
      </c>
      <c r="AG14" s="59">
        <v>50</v>
      </c>
      <c r="AH14" s="54">
        <f t="shared" si="2"/>
        <v>34.299999999999997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20.8</v>
      </c>
      <c r="C15" s="61">
        <v>20.8</v>
      </c>
      <c r="D15" s="61">
        <v>20.8</v>
      </c>
      <c r="E15" s="61">
        <v>20.100000000000001</v>
      </c>
      <c r="F15" s="61">
        <v>20.100000000000001</v>
      </c>
      <c r="G15" s="61">
        <v>19.399999999999999</v>
      </c>
      <c r="H15" s="61">
        <v>19.399999999999999</v>
      </c>
      <c r="I15" s="61">
        <v>19.399999999999999</v>
      </c>
      <c r="J15" s="61">
        <v>19.8</v>
      </c>
      <c r="K15" s="61">
        <v>19.8</v>
      </c>
      <c r="L15" s="61">
        <v>19.8</v>
      </c>
      <c r="M15" s="50">
        <v>19.7</v>
      </c>
      <c r="N15" s="50">
        <v>19.7</v>
      </c>
      <c r="O15" s="50">
        <v>19.7</v>
      </c>
      <c r="P15" s="50">
        <v>19.7</v>
      </c>
      <c r="Q15" s="50">
        <v>19.7</v>
      </c>
      <c r="R15" s="50">
        <v>19.7</v>
      </c>
      <c r="S15" s="50">
        <v>19.7</v>
      </c>
      <c r="T15" s="50">
        <v>19.7</v>
      </c>
      <c r="U15" s="50">
        <v>19.7</v>
      </c>
      <c r="V15" s="50">
        <v>19.7</v>
      </c>
      <c r="W15" s="50">
        <v>19.7</v>
      </c>
      <c r="X15" s="50">
        <v>19.7</v>
      </c>
      <c r="Y15" s="50">
        <v>19.7</v>
      </c>
      <c r="Z15" s="50">
        <v>19.7</v>
      </c>
      <c r="AA15" s="50">
        <v>19.7</v>
      </c>
      <c r="AB15" s="50">
        <v>19.7</v>
      </c>
      <c r="AC15" s="50">
        <v>19.7</v>
      </c>
      <c r="AD15" s="50">
        <v>19.7</v>
      </c>
      <c r="AE15" s="50">
        <v>20</v>
      </c>
      <c r="AF15" s="61">
        <v>21.5</v>
      </c>
      <c r="AG15" s="62">
        <v>45</v>
      </c>
      <c r="AH15" s="54">
        <f t="shared" si="2"/>
        <v>21.5</v>
      </c>
      <c r="AI15" s="55">
        <f t="shared" si="3"/>
        <v>19.399999999999999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11.3</v>
      </c>
      <c r="C19" s="49">
        <v>11.3</v>
      </c>
      <c r="D19" s="49">
        <v>11.3</v>
      </c>
      <c r="E19" s="49">
        <v>10.6</v>
      </c>
      <c r="F19" s="49">
        <v>10.4</v>
      </c>
      <c r="G19" s="49">
        <v>10.1</v>
      </c>
      <c r="H19" s="49">
        <v>10</v>
      </c>
      <c r="I19" s="49">
        <v>10</v>
      </c>
      <c r="J19" s="49">
        <v>10.199999999999999</v>
      </c>
      <c r="K19" s="49">
        <v>10.199999999999999</v>
      </c>
      <c r="L19" s="49">
        <v>10.3</v>
      </c>
      <c r="M19" s="50">
        <v>9.8000000000000007</v>
      </c>
      <c r="N19" s="50">
        <v>9.8000000000000007</v>
      </c>
      <c r="O19" s="50">
        <v>9.8000000000000007</v>
      </c>
      <c r="P19" s="50">
        <v>9.8000000000000007</v>
      </c>
      <c r="Q19" s="50">
        <v>9.8000000000000007</v>
      </c>
      <c r="R19" s="50">
        <v>9.8000000000000007</v>
      </c>
      <c r="S19" s="50">
        <v>9.8000000000000007</v>
      </c>
      <c r="T19" s="50">
        <v>9.8000000000000007</v>
      </c>
      <c r="U19" s="50">
        <v>9.8000000000000007</v>
      </c>
      <c r="V19" s="50">
        <v>9.8000000000000007</v>
      </c>
      <c r="W19" s="50">
        <v>9.8000000000000007</v>
      </c>
      <c r="X19" s="50">
        <v>9.8000000000000007</v>
      </c>
      <c r="Y19" s="50">
        <v>9.8000000000000007</v>
      </c>
      <c r="Z19" s="50">
        <v>9.8000000000000007</v>
      </c>
      <c r="AA19" s="50">
        <v>9.8000000000000007</v>
      </c>
      <c r="AB19" s="50">
        <v>9.8000000000000007</v>
      </c>
      <c r="AC19" s="50">
        <v>9.8000000000000007</v>
      </c>
      <c r="AD19" s="50">
        <v>9.8000000000000007</v>
      </c>
      <c r="AE19" s="50">
        <v>9.8000000000000007</v>
      </c>
      <c r="AF19" s="50">
        <v>9.8000000000000007</v>
      </c>
      <c r="AG19" s="59">
        <v>30</v>
      </c>
      <c r="AH19" s="54">
        <f t="shared" si="2"/>
        <v>11.3</v>
      </c>
      <c r="AI19" s="55">
        <f t="shared" si="3"/>
        <v>9.8000000000000007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10</v>
      </c>
      <c r="C22" s="49">
        <v>10</v>
      </c>
      <c r="D22" s="49">
        <v>10</v>
      </c>
      <c r="E22" s="49">
        <v>10</v>
      </c>
      <c r="F22" s="49">
        <v>10</v>
      </c>
      <c r="G22" s="49">
        <v>10</v>
      </c>
      <c r="H22" s="49">
        <v>10</v>
      </c>
      <c r="I22" s="49">
        <v>10</v>
      </c>
      <c r="J22" s="49">
        <v>10</v>
      </c>
      <c r="K22" s="49">
        <v>10</v>
      </c>
      <c r="L22" s="49">
        <v>10</v>
      </c>
      <c r="M22" s="50">
        <v>9.3000000000000007</v>
      </c>
      <c r="N22" s="50">
        <v>9.3000000000000007</v>
      </c>
      <c r="O22" s="50">
        <v>9.3000000000000007</v>
      </c>
      <c r="P22" s="50">
        <v>9.3000000000000007</v>
      </c>
      <c r="Q22" s="50">
        <v>9.3000000000000007</v>
      </c>
      <c r="R22" s="50">
        <v>9.3000000000000007</v>
      </c>
      <c r="S22" s="50">
        <v>9.3000000000000007</v>
      </c>
      <c r="T22" s="50">
        <v>9.3000000000000007</v>
      </c>
      <c r="U22" s="50">
        <v>9.3000000000000007</v>
      </c>
      <c r="V22" s="50">
        <v>9.3000000000000007</v>
      </c>
      <c r="W22" s="50">
        <v>9.3000000000000007</v>
      </c>
      <c r="X22" s="50">
        <v>9.3000000000000007</v>
      </c>
      <c r="Y22" s="50">
        <v>19</v>
      </c>
      <c r="Z22" s="50">
        <v>19</v>
      </c>
      <c r="AA22" s="50">
        <v>19</v>
      </c>
      <c r="AB22" s="50">
        <v>10</v>
      </c>
      <c r="AC22" s="50">
        <v>10</v>
      </c>
      <c r="AD22" s="50">
        <v>10</v>
      </c>
      <c r="AE22" s="50">
        <v>10</v>
      </c>
      <c r="AF22" s="50">
        <v>10</v>
      </c>
      <c r="AG22" s="59">
        <v>25</v>
      </c>
      <c r="AH22" s="54">
        <f t="shared" si="2"/>
        <v>19</v>
      </c>
      <c r="AI22" s="55">
        <f t="shared" si="3"/>
        <v>9.3000000000000007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10.5</v>
      </c>
      <c r="C24" s="49">
        <v>10.5</v>
      </c>
      <c r="D24" s="49">
        <v>10.5</v>
      </c>
      <c r="E24" s="49">
        <v>9.6</v>
      </c>
      <c r="F24" s="49">
        <v>9.1999999999999993</v>
      </c>
      <c r="G24" s="49">
        <v>9.1999999999999993</v>
      </c>
      <c r="H24" s="49">
        <v>8.8000000000000007</v>
      </c>
      <c r="I24" s="49">
        <v>8.6999999999999993</v>
      </c>
      <c r="J24" s="49">
        <v>8.1999999999999993</v>
      </c>
      <c r="K24" s="49">
        <v>8.6999999999999993</v>
      </c>
      <c r="L24" s="49">
        <v>8.6999999999999993</v>
      </c>
      <c r="M24" s="50">
        <v>8.6999999999999993</v>
      </c>
      <c r="N24" s="50">
        <v>8.6999999999999993</v>
      </c>
      <c r="O24" s="50">
        <v>8.6999999999999993</v>
      </c>
      <c r="P24" s="50">
        <v>8.6999999999999993</v>
      </c>
      <c r="Q24" s="50">
        <v>8.6999999999999993</v>
      </c>
      <c r="R24" s="50">
        <v>8.6999999999999993</v>
      </c>
      <c r="S24" s="50">
        <v>8.6999999999999993</v>
      </c>
      <c r="T24" s="50">
        <v>8.6999999999999993</v>
      </c>
      <c r="U24" s="50">
        <v>8.6999999999999993</v>
      </c>
      <c r="V24" s="50">
        <v>8.6999999999999993</v>
      </c>
      <c r="W24" s="50">
        <v>8.6999999999999993</v>
      </c>
      <c r="X24" s="50">
        <v>8.6999999999999993</v>
      </c>
      <c r="Y24" s="50">
        <v>8.6999999999999993</v>
      </c>
      <c r="Z24" s="50">
        <v>8.6999999999999993</v>
      </c>
      <c r="AA24" s="50">
        <v>8.6999999999999993</v>
      </c>
      <c r="AB24" s="50">
        <v>11</v>
      </c>
      <c r="AC24" s="50">
        <v>10.9</v>
      </c>
      <c r="AD24" s="50">
        <v>10.9</v>
      </c>
      <c r="AE24" s="50">
        <v>10.9</v>
      </c>
      <c r="AF24" s="50">
        <v>10.5</v>
      </c>
      <c r="AG24" s="59">
        <v>25</v>
      </c>
      <c r="AH24" s="54">
        <f t="shared" si="2"/>
        <v>11</v>
      </c>
      <c r="AI24" s="55">
        <f t="shared" si="3"/>
        <v>8.1999999999999993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140</v>
      </c>
      <c r="C36" s="61">
        <v>140</v>
      </c>
      <c r="D36" s="61">
        <v>140</v>
      </c>
      <c r="E36" s="61">
        <v>140</v>
      </c>
      <c r="F36" s="61">
        <v>140</v>
      </c>
      <c r="G36" s="61">
        <v>140</v>
      </c>
      <c r="H36" s="61">
        <v>140</v>
      </c>
      <c r="I36" s="61">
        <v>140</v>
      </c>
      <c r="J36" s="61">
        <v>140</v>
      </c>
      <c r="K36" s="61">
        <v>140</v>
      </c>
      <c r="L36" s="61">
        <v>140</v>
      </c>
      <c r="M36" s="61">
        <v>140</v>
      </c>
      <c r="N36" s="61">
        <v>140</v>
      </c>
      <c r="O36" s="61">
        <v>140</v>
      </c>
      <c r="P36" s="61">
        <v>140</v>
      </c>
      <c r="Q36" s="61">
        <v>140</v>
      </c>
      <c r="R36" s="61">
        <v>140</v>
      </c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140</v>
      </c>
      <c r="Z36" s="61">
        <v>140</v>
      </c>
      <c r="AA36" s="61">
        <v>140</v>
      </c>
      <c r="AB36" s="61">
        <v>140</v>
      </c>
      <c r="AC36" s="61">
        <v>140</v>
      </c>
      <c r="AD36" s="61">
        <v>140</v>
      </c>
      <c r="AE36" s="61">
        <v>140</v>
      </c>
      <c r="AF36" s="61">
        <v>140</v>
      </c>
      <c r="AG36" s="67">
        <v>85</v>
      </c>
      <c r="AH36" s="54">
        <f t="shared" si="2"/>
        <v>140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61">
        <v>32.700000000000003</v>
      </c>
      <c r="C37" s="61">
        <f>11.7+22.6</f>
        <v>34.299999999999997</v>
      </c>
      <c r="D37" s="61">
        <f>11.7+22.6</f>
        <v>34.299999999999997</v>
      </c>
      <c r="E37" s="61">
        <f>22.9+11.9</f>
        <v>34.799999999999997</v>
      </c>
      <c r="F37" s="61">
        <f>23.6+12.3</f>
        <v>35.900000000000006</v>
      </c>
      <c r="G37" s="61">
        <f>23.4+12.1</f>
        <v>35.5</v>
      </c>
      <c r="H37" s="61">
        <f>23+11.9</f>
        <v>34.9</v>
      </c>
      <c r="I37" s="61">
        <f>22.6+11.6</f>
        <v>34.200000000000003</v>
      </c>
      <c r="J37" s="61">
        <f>22+11.6</f>
        <v>33.6</v>
      </c>
      <c r="K37" s="61">
        <f>21.6+11.3</f>
        <v>32.900000000000006</v>
      </c>
      <c r="L37" s="61">
        <f>21.4+11.4</f>
        <v>32.799999999999997</v>
      </c>
      <c r="M37" s="70">
        <v>31.9</v>
      </c>
      <c r="N37" s="70">
        <f>11.5+22</f>
        <v>33.5</v>
      </c>
      <c r="O37" s="70">
        <f>12+23.5</f>
        <v>35.5</v>
      </c>
      <c r="P37" s="70">
        <f>12+23.5</f>
        <v>35.5</v>
      </c>
      <c r="Q37" s="70">
        <v>36</v>
      </c>
      <c r="R37" s="70">
        <f>12.3+23.8</f>
        <v>36.1</v>
      </c>
      <c r="S37" s="70">
        <f>11.9+23.2</f>
        <v>35.1</v>
      </c>
      <c r="T37" s="70">
        <f>12+23.6</f>
        <v>35.6</v>
      </c>
      <c r="U37" s="70">
        <f>12+23.6</f>
        <v>35.6</v>
      </c>
      <c r="V37" s="70">
        <f>12+23.6</f>
        <v>35.6</v>
      </c>
      <c r="W37" s="70">
        <f t="shared" ref="W37:Y37" si="4">12+23.6</f>
        <v>35.6</v>
      </c>
      <c r="X37" s="70">
        <f t="shared" si="4"/>
        <v>35.6</v>
      </c>
      <c r="Y37" s="70">
        <f t="shared" si="4"/>
        <v>35.6</v>
      </c>
      <c r="Z37" s="70">
        <f>10.4+20.3</f>
        <v>30.700000000000003</v>
      </c>
      <c r="AA37" s="70">
        <f>10.2+20</f>
        <v>30.2</v>
      </c>
      <c r="AB37" s="70">
        <v>30.9</v>
      </c>
      <c r="AC37" s="70">
        <v>31</v>
      </c>
      <c r="AD37" s="70">
        <v>31.8</v>
      </c>
      <c r="AE37" s="70">
        <v>32.6</v>
      </c>
      <c r="AF37" s="70">
        <v>33.299999999999997</v>
      </c>
      <c r="AG37" s="67">
        <v>240</v>
      </c>
      <c r="AH37" s="54">
        <f t="shared" si="2"/>
        <v>36.1</v>
      </c>
      <c r="AI37" s="55">
        <f t="shared" si="3"/>
        <v>30.2</v>
      </c>
      <c r="AK37" s="56"/>
    </row>
    <row r="38" spans="1:88" ht="15.75" thickBot="1" x14ac:dyDescent="0.3">
      <c r="A38" s="71" t="s">
        <v>46</v>
      </c>
      <c r="B38" s="72">
        <f t="shared" ref="B38:AF38" si="5">SUM(B11:B36)</f>
        <v>363.4</v>
      </c>
      <c r="C38" s="72">
        <f t="shared" si="5"/>
        <v>358.4</v>
      </c>
      <c r="D38" s="72">
        <f t="shared" si="5"/>
        <v>358.4</v>
      </c>
      <c r="E38" s="72">
        <f t="shared" si="5"/>
        <v>357.29999999999995</v>
      </c>
      <c r="F38" s="72">
        <f t="shared" si="5"/>
        <v>366.79999999999995</v>
      </c>
      <c r="G38" s="72">
        <f t="shared" si="5"/>
        <v>376.19999999999993</v>
      </c>
      <c r="H38" s="72">
        <f t="shared" si="5"/>
        <v>375.7</v>
      </c>
      <c r="I38" s="72">
        <f t="shared" si="5"/>
        <v>410.59999999999997</v>
      </c>
      <c r="J38" s="72">
        <f t="shared" si="5"/>
        <v>620.79999999999995</v>
      </c>
      <c r="K38" s="72">
        <f t="shared" si="5"/>
        <v>741.30000000000007</v>
      </c>
      <c r="L38" s="72">
        <f t="shared" si="5"/>
        <v>772</v>
      </c>
      <c r="M38" s="72">
        <f t="shared" si="5"/>
        <v>770.6</v>
      </c>
      <c r="N38" s="72">
        <f t="shared" si="5"/>
        <v>420.59999999999997</v>
      </c>
      <c r="O38" s="72">
        <f t="shared" si="5"/>
        <v>400.59999999999997</v>
      </c>
      <c r="P38" s="72">
        <f t="shared" si="5"/>
        <v>438.6</v>
      </c>
      <c r="Q38" s="72">
        <f t="shared" si="5"/>
        <v>415.59999999999997</v>
      </c>
      <c r="R38" s="72">
        <f t="shared" si="5"/>
        <v>386.3</v>
      </c>
      <c r="S38" s="72">
        <f t="shared" si="5"/>
        <v>386.3</v>
      </c>
      <c r="T38" s="72">
        <f t="shared" si="5"/>
        <v>396.3</v>
      </c>
      <c r="U38" s="72">
        <f t="shared" si="5"/>
        <v>401.3</v>
      </c>
      <c r="V38" s="72">
        <f t="shared" si="5"/>
        <v>401.3</v>
      </c>
      <c r="W38" s="72">
        <f t="shared" si="5"/>
        <v>401.3</v>
      </c>
      <c r="X38" s="72">
        <f t="shared" si="5"/>
        <v>496.29999999999995</v>
      </c>
      <c r="Y38" s="72">
        <f t="shared" si="5"/>
        <v>756</v>
      </c>
      <c r="Z38" s="72">
        <f t="shared" si="5"/>
        <v>666</v>
      </c>
      <c r="AA38" s="72">
        <f t="shared" si="5"/>
        <v>501.99999999999994</v>
      </c>
      <c r="AB38" s="72">
        <f t="shared" si="5"/>
        <v>437.6</v>
      </c>
      <c r="AC38" s="72">
        <f t="shared" si="5"/>
        <v>427.70000000000005</v>
      </c>
      <c r="AD38" s="72">
        <f t="shared" si="5"/>
        <v>410.59999999999997</v>
      </c>
      <c r="AE38" s="72">
        <f t="shared" si="5"/>
        <v>366</v>
      </c>
      <c r="AF38" s="72">
        <f t="shared" si="5"/>
        <v>377.3</v>
      </c>
      <c r="AG38" s="67">
        <f>SUM(AG11:AG37)</f>
        <v>1492.8299999999997</v>
      </c>
      <c r="AH38" s="54">
        <f t="shared" si="2"/>
        <v>772</v>
      </c>
      <c r="AI38" s="55">
        <f t="shared" si="3"/>
        <v>357.29999999999995</v>
      </c>
      <c r="AK38" s="56"/>
    </row>
    <row r="39" spans="1:88" x14ac:dyDescent="0.25">
      <c r="A39" s="57" t="s">
        <v>47</v>
      </c>
      <c r="B39" s="49">
        <v>30</v>
      </c>
      <c r="C39" s="49">
        <v>30.9</v>
      </c>
      <c r="D39" s="49">
        <v>30.9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61">
        <v>96.1</v>
      </c>
      <c r="K39" s="61">
        <v>97.5</v>
      </c>
      <c r="L39" s="61">
        <v>131.69999999999999</v>
      </c>
      <c r="M39" s="50">
        <v>141.6</v>
      </c>
      <c r="N39" s="50">
        <v>121.5</v>
      </c>
      <c r="O39" s="50">
        <v>110</v>
      </c>
      <c r="P39" s="50">
        <v>70.599999999999994</v>
      </c>
      <c r="Q39" s="50">
        <v>81</v>
      </c>
      <c r="R39" s="50">
        <v>62.1</v>
      </c>
      <c r="S39" s="50">
        <v>76</v>
      </c>
      <c r="T39" s="50">
        <v>76.2</v>
      </c>
      <c r="U39" s="50">
        <v>80</v>
      </c>
      <c r="V39" s="50">
        <v>70</v>
      </c>
      <c r="W39" s="50">
        <v>70</v>
      </c>
      <c r="X39" s="50">
        <v>92.3</v>
      </c>
      <c r="Y39" s="50">
        <v>120</v>
      </c>
      <c r="Z39" s="50">
        <v>136</v>
      </c>
      <c r="AA39" s="50">
        <v>101.4</v>
      </c>
      <c r="AB39" s="50">
        <v>91.3</v>
      </c>
      <c r="AC39" s="50">
        <v>91</v>
      </c>
      <c r="AD39" s="50">
        <v>62.4</v>
      </c>
      <c r="AE39" s="50">
        <v>0</v>
      </c>
      <c r="AF39" s="49">
        <v>0</v>
      </c>
      <c r="AG39" s="62">
        <v>144</v>
      </c>
      <c r="AH39" s="54">
        <f t="shared" si="2"/>
        <v>141.6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30</v>
      </c>
      <c r="J40" s="61">
        <v>35</v>
      </c>
      <c r="K40" s="61">
        <v>49.6</v>
      </c>
      <c r="L40" s="61">
        <v>60.9</v>
      </c>
      <c r="M40" s="73">
        <v>59.1</v>
      </c>
      <c r="N40" s="73">
        <v>50</v>
      </c>
      <c r="O40" s="73">
        <v>50</v>
      </c>
      <c r="P40" s="73">
        <v>49.4</v>
      </c>
      <c r="Q40" s="73">
        <v>26</v>
      </c>
      <c r="R40" s="73">
        <v>23.3</v>
      </c>
      <c r="S40" s="73">
        <v>23.2</v>
      </c>
      <c r="T40" s="73">
        <v>23.1</v>
      </c>
      <c r="U40" s="73">
        <v>35</v>
      </c>
      <c r="V40" s="73">
        <v>25</v>
      </c>
      <c r="W40" s="73">
        <v>25</v>
      </c>
      <c r="X40" s="73">
        <v>45.7</v>
      </c>
      <c r="Y40" s="73">
        <v>71.2</v>
      </c>
      <c r="Z40" s="73">
        <v>70</v>
      </c>
      <c r="AA40" s="73">
        <v>60.3</v>
      </c>
      <c r="AB40" s="73">
        <v>50.3</v>
      </c>
      <c r="AC40" s="73">
        <v>50.3</v>
      </c>
      <c r="AD40" s="73">
        <v>41.5</v>
      </c>
      <c r="AE40" s="73">
        <v>23.2</v>
      </c>
      <c r="AF40" s="61">
        <v>0</v>
      </c>
      <c r="AG40" s="67">
        <v>70</v>
      </c>
      <c r="AH40" s="54">
        <f t="shared" si="2"/>
        <v>71.2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23</v>
      </c>
      <c r="C41" s="61">
        <v>22.6</v>
      </c>
      <c r="D41" s="61">
        <v>22.6</v>
      </c>
      <c r="E41" s="61">
        <v>22.5</v>
      </c>
      <c r="F41" s="61">
        <v>0</v>
      </c>
      <c r="G41" s="61">
        <v>16.600000000000001</v>
      </c>
      <c r="H41" s="61">
        <v>18.2</v>
      </c>
      <c r="I41" s="61">
        <v>23</v>
      </c>
      <c r="J41" s="61">
        <v>46</v>
      </c>
      <c r="K41" s="61">
        <v>62.6</v>
      </c>
      <c r="L41" s="61">
        <v>67.599999999999994</v>
      </c>
      <c r="M41" s="73">
        <v>67.5</v>
      </c>
      <c r="N41" s="73">
        <v>53.6</v>
      </c>
      <c r="O41" s="73">
        <v>22.5</v>
      </c>
      <c r="P41" s="73">
        <v>23</v>
      </c>
      <c r="Q41" s="73">
        <v>23</v>
      </c>
      <c r="R41" s="73">
        <v>17.600000000000001</v>
      </c>
      <c r="S41" s="73">
        <v>17.3</v>
      </c>
      <c r="T41" s="73">
        <v>16.5</v>
      </c>
      <c r="U41" s="73">
        <v>16.5</v>
      </c>
      <c r="V41" s="73">
        <v>16</v>
      </c>
      <c r="W41" s="73">
        <v>16</v>
      </c>
      <c r="X41" s="73">
        <v>57.4</v>
      </c>
      <c r="Y41" s="73">
        <v>68.3</v>
      </c>
      <c r="Z41" s="73">
        <v>67.900000000000006</v>
      </c>
      <c r="AA41" s="73">
        <v>62</v>
      </c>
      <c r="AB41" s="73">
        <v>52.1</v>
      </c>
      <c r="AC41" s="73">
        <v>51.6</v>
      </c>
      <c r="AD41" s="73">
        <v>37.700000000000003</v>
      </c>
      <c r="AE41" s="73">
        <v>17.5</v>
      </c>
      <c r="AF41" s="61">
        <v>23.5</v>
      </c>
      <c r="AG41" s="67">
        <v>69</v>
      </c>
      <c r="AH41" s="54">
        <f t="shared" si="2"/>
        <v>68.3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46.4</v>
      </c>
      <c r="C42" s="61">
        <v>46.4</v>
      </c>
      <c r="D42" s="61">
        <v>46.4</v>
      </c>
      <c r="E42" s="61">
        <v>45.1</v>
      </c>
      <c r="F42" s="61">
        <v>45.1</v>
      </c>
      <c r="G42" s="61">
        <v>43.1</v>
      </c>
      <c r="H42" s="61">
        <v>43.8</v>
      </c>
      <c r="I42" s="61">
        <v>43.3</v>
      </c>
      <c r="J42" s="61">
        <v>43.3</v>
      </c>
      <c r="K42" s="61">
        <v>43.3</v>
      </c>
      <c r="L42" s="61">
        <v>45.3</v>
      </c>
      <c r="M42" s="73">
        <v>45.3</v>
      </c>
      <c r="N42" s="73">
        <v>45.3</v>
      </c>
      <c r="O42" s="73">
        <v>45.3</v>
      </c>
      <c r="P42" s="73">
        <v>43.4</v>
      </c>
      <c r="Q42" s="73">
        <v>43</v>
      </c>
      <c r="R42" s="73">
        <v>45.6</v>
      </c>
      <c r="S42" s="73">
        <v>45.6</v>
      </c>
      <c r="T42" s="73">
        <v>45.3</v>
      </c>
      <c r="U42" s="73">
        <v>45.3</v>
      </c>
      <c r="V42" s="73">
        <v>43</v>
      </c>
      <c r="W42" s="73">
        <v>43</v>
      </c>
      <c r="X42" s="73">
        <v>43</v>
      </c>
      <c r="Y42" s="73">
        <v>43</v>
      </c>
      <c r="Z42" s="73">
        <v>44.3</v>
      </c>
      <c r="AA42" s="73">
        <v>44.1</v>
      </c>
      <c r="AB42" s="73">
        <v>42.6</v>
      </c>
      <c r="AC42" s="73">
        <v>42.5</v>
      </c>
      <c r="AD42" s="73">
        <v>43.6</v>
      </c>
      <c r="AE42" s="73">
        <v>46.4</v>
      </c>
      <c r="AF42" s="61">
        <v>45.9</v>
      </c>
      <c r="AG42" s="67">
        <v>60</v>
      </c>
      <c r="AH42" s="54">
        <f t="shared" si="2"/>
        <v>46.4</v>
      </c>
      <c r="AI42" s="55">
        <f t="shared" si="3"/>
        <v>42.5</v>
      </c>
      <c r="AK42" s="56"/>
    </row>
    <row r="43" spans="1:88" x14ac:dyDescent="0.25">
      <c r="A43" s="66" t="s">
        <v>51</v>
      </c>
      <c r="B43" s="61">
        <v>10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15</v>
      </c>
      <c r="K43" s="61">
        <v>15</v>
      </c>
      <c r="L43" s="61">
        <v>15</v>
      </c>
      <c r="M43" s="50">
        <v>14.9</v>
      </c>
      <c r="N43" s="50">
        <v>14.7</v>
      </c>
      <c r="O43" s="50">
        <v>14.7</v>
      </c>
      <c r="P43" s="50">
        <v>10.7</v>
      </c>
      <c r="Q43" s="50">
        <v>10.7</v>
      </c>
      <c r="R43" s="50">
        <v>10</v>
      </c>
      <c r="S43" s="50">
        <v>0</v>
      </c>
      <c r="T43" s="50">
        <v>0</v>
      </c>
      <c r="U43" s="50">
        <v>6</v>
      </c>
      <c r="V43" s="50">
        <v>6.5</v>
      </c>
      <c r="W43" s="50">
        <v>6.5</v>
      </c>
      <c r="X43" s="50">
        <v>10</v>
      </c>
      <c r="Y43" s="50">
        <v>10.5</v>
      </c>
      <c r="Z43" s="73">
        <v>15</v>
      </c>
      <c r="AA43" s="73">
        <v>15</v>
      </c>
      <c r="AB43" s="73">
        <v>10.4</v>
      </c>
      <c r="AC43" s="73">
        <v>10.199999999999999</v>
      </c>
      <c r="AD43" s="73">
        <v>10.7</v>
      </c>
      <c r="AE43" s="73">
        <v>9.8000000000000007</v>
      </c>
      <c r="AF43" s="61">
        <v>10.4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16</v>
      </c>
      <c r="M45" s="61">
        <v>16</v>
      </c>
      <c r="N45" s="61">
        <v>16</v>
      </c>
      <c r="O45" s="61">
        <v>16</v>
      </c>
      <c r="P45" s="61">
        <v>16</v>
      </c>
      <c r="Q45" s="61">
        <v>16</v>
      </c>
      <c r="R45" s="61">
        <v>16</v>
      </c>
      <c r="S45" s="61">
        <v>16</v>
      </c>
      <c r="T45" s="61">
        <v>16</v>
      </c>
      <c r="U45" s="61">
        <v>16</v>
      </c>
      <c r="V45" s="61">
        <v>16</v>
      </c>
      <c r="W45" s="61">
        <v>16</v>
      </c>
      <c r="X45" s="61">
        <v>16</v>
      </c>
      <c r="Y45" s="61">
        <v>16</v>
      </c>
      <c r="Z45" s="61">
        <v>16</v>
      </c>
      <c r="AA45" s="61">
        <v>16</v>
      </c>
      <c r="AB45" s="61">
        <v>16</v>
      </c>
      <c r="AC45" s="61">
        <v>16</v>
      </c>
      <c r="AD45" s="61">
        <v>16</v>
      </c>
      <c r="AE45" s="61">
        <v>16</v>
      </c>
      <c r="AF45" s="61">
        <v>16</v>
      </c>
      <c r="AG45" s="67">
        <v>24</v>
      </c>
      <c r="AH45" s="54">
        <f t="shared" si="2"/>
        <v>16</v>
      </c>
      <c r="AI45" s="55">
        <f t="shared" si="3"/>
        <v>16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61">
        <v>5.5</v>
      </c>
      <c r="P46" s="61">
        <v>5.5</v>
      </c>
      <c r="Q46" s="61">
        <v>5.5</v>
      </c>
      <c r="R46" s="61">
        <v>5.5</v>
      </c>
      <c r="S46" s="61">
        <v>5.5</v>
      </c>
      <c r="T46" s="61">
        <v>5.5</v>
      </c>
      <c r="U46" s="61">
        <v>5.5</v>
      </c>
      <c r="V46" s="61">
        <v>5.5</v>
      </c>
      <c r="W46" s="61">
        <v>5.5</v>
      </c>
      <c r="X46" s="61">
        <v>5.5</v>
      </c>
      <c r="Y46" s="61">
        <v>5.5</v>
      </c>
      <c r="Z46" s="61">
        <v>5.5</v>
      </c>
      <c r="AA46" s="61">
        <v>5.5</v>
      </c>
      <c r="AB46" s="61">
        <v>5.5</v>
      </c>
      <c r="AC46" s="61">
        <v>5.5</v>
      </c>
      <c r="AD46" s="61">
        <v>5.5</v>
      </c>
      <c r="AE46" s="61">
        <v>5.5</v>
      </c>
      <c r="AF46" s="61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61">
        <v>11</v>
      </c>
      <c r="AA47" s="61">
        <v>11</v>
      </c>
      <c r="AB47" s="61">
        <v>11</v>
      </c>
      <c r="AC47" s="61">
        <v>11</v>
      </c>
      <c r="AD47" s="61">
        <v>11</v>
      </c>
      <c r="AE47" s="61">
        <v>11</v>
      </c>
      <c r="AF47" s="61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61">
        <v>5</v>
      </c>
      <c r="AA48" s="61">
        <v>5</v>
      </c>
      <c r="AB48" s="61">
        <v>5</v>
      </c>
      <c r="AC48" s="61">
        <v>5</v>
      </c>
      <c r="AD48" s="61">
        <v>5</v>
      </c>
      <c r="AE48" s="61">
        <v>5</v>
      </c>
      <c r="AF48" s="61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61">
        <v>4.8</v>
      </c>
      <c r="S49" s="61">
        <v>4.8</v>
      </c>
      <c r="T49" s="61">
        <v>4.8</v>
      </c>
      <c r="U49" s="61">
        <v>4.8</v>
      </c>
      <c r="V49" s="61">
        <v>4.8</v>
      </c>
      <c r="W49" s="61">
        <v>4.8</v>
      </c>
      <c r="X49" s="61">
        <v>4.8</v>
      </c>
      <c r="Y49" s="61">
        <v>4.8</v>
      </c>
      <c r="Z49" s="61">
        <v>4.8</v>
      </c>
      <c r="AA49" s="61">
        <v>4.8</v>
      </c>
      <c r="AB49" s="61">
        <v>4.8</v>
      </c>
      <c r="AC49" s="61">
        <v>4.8</v>
      </c>
      <c r="AD49" s="61">
        <v>4.8</v>
      </c>
      <c r="AE49" s="61">
        <v>4.8</v>
      </c>
      <c r="AF49" s="61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61">
        <v>2.5</v>
      </c>
      <c r="AA50" s="61">
        <v>2.5</v>
      </c>
      <c r="AB50" s="61">
        <v>2.5</v>
      </c>
      <c r="AC50" s="61">
        <v>2.5</v>
      </c>
      <c r="AD50" s="61">
        <v>2.5</v>
      </c>
      <c r="AE50" s="61">
        <v>2.5</v>
      </c>
      <c r="AF50" s="61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6">U199</f>
        <v>3.54</v>
      </c>
      <c r="V51" s="77">
        <f t="shared" si="6"/>
        <v>3.54</v>
      </c>
      <c r="W51" s="77">
        <f t="shared" si="6"/>
        <v>3.54</v>
      </c>
      <c r="X51" s="77">
        <f t="shared" si="6"/>
        <v>3.54</v>
      </c>
      <c r="Y51" s="77">
        <f t="shared" si="6"/>
        <v>3.54</v>
      </c>
      <c r="Z51" s="77">
        <v>3.54</v>
      </c>
      <c r="AA51" s="77">
        <f t="shared" si="6"/>
        <v>3.54</v>
      </c>
      <c r="AB51" s="77">
        <f t="shared" si="6"/>
        <v>3.54</v>
      </c>
      <c r="AC51" s="77">
        <f t="shared" si="6"/>
        <v>3.54</v>
      </c>
      <c r="AD51" s="77">
        <f t="shared" si="6"/>
        <v>3.54</v>
      </c>
      <c r="AE51" s="77">
        <f t="shared" si="6"/>
        <v>3.54</v>
      </c>
      <c r="AF51" s="77">
        <f t="shared" si="6"/>
        <v>3.54</v>
      </c>
      <c r="AG51" s="77">
        <f t="shared" si="6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:AF52" si="7">SUM(B39:B51)</f>
        <v>157.74</v>
      </c>
      <c r="C52" s="72">
        <f t="shared" si="7"/>
        <v>148.24</v>
      </c>
      <c r="D52" s="72">
        <f t="shared" si="7"/>
        <v>148.24</v>
      </c>
      <c r="E52" s="72">
        <f t="shared" si="7"/>
        <v>115.94</v>
      </c>
      <c r="F52" s="72">
        <f t="shared" si="7"/>
        <v>93.44</v>
      </c>
      <c r="G52" s="72">
        <f t="shared" si="7"/>
        <v>108.04</v>
      </c>
      <c r="H52" s="72">
        <f t="shared" si="7"/>
        <v>110.34</v>
      </c>
      <c r="I52" s="72">
        <f t="shared" si="7"/>
        <v>144.64000000000001</v>
      </c>
      <c r="J52" s="72">
        <f t="shared" si="7"/>
        <v>283.74</v>
      </c>
      <c r="K52" s="72">
        <f t="shared" si="7"/>
        <v>316.34000000000003</v>
      </c>
      <c r="L52" s="72">
        <f t="shared" si="7"/>
        <v>368.84000000000003</v>
      </c>
      <c r="M52" s="72">
        <f t="shared" si="7"/>
        <v>376.74</v>
      </c>
      <c r="N52" s="72">
        <f t="shared" si="7"/>
        <v>333.44</v>
      </c>
      <c r="O52" s="72">
        <f t="shared" si="7"/>
        <v>290.84000000000003</v>
      </c>
      <c r="P52" s="72">
        <f t="shared" si="7"/>
        <v>245.44</v>
      </c>
      <c r="Q52" s="72">
        <f t="shared" si="7"/>
        <v>232.04</v>
      </c>
      <c r="R52" s="72">
        <f t="shared" si="7"/>
        <v>206.94</v>
      </c>
      <c r="S52" s="72">
        <f t="shared" si="7"/>
        <v>210.44</v>
      </c>
      <c r="T52" s="72">
        <f t="shared" si="7"/>
        <v>209.44000000000003</v>
      </c>
      <c r="U52" s="72">
        <f t="shared" si="7"/>
        <v>231.14000000000001</v>
      </c>
      <c r="V52" s="72">
        <f t="shared" si="7"/>
        <v>208.84</v>
      </c>
      <c r="W52" s="72">
        <f t="shared" si="7"/>
        <v>208.84</v>
      </c>
      <c r="X52" s="72">
        <f t="shared" si="7"/>
        <v>296.74</v>
      </c>
      <c r="Y52" s="72">
        <f t="shared" si="7"/>
        <v>361.34000000000003</v>
      </c>
      <c r="Z52" s="72">
        <f t="shared" si="7"/>
        <v>381.54</v>
      </c>
      <c r="AA52" s="72">
        <f t="shared" si="7"/>
        <v>331.14000000000004</v>
      </c>
      <c r="AB52" s="72">
        <f t="shared" si="7"/>
        <v>295.04000000000002</v>
      </c>
      <c r="AC52" s="72">
        <f t="shared" si="7"/>
        <v>293.94000000000005</v>
      </c>
      <c r="AD52" s="72">
        <f t="shared" si="7"/>
        <v>244.24</v>
      </c>
      <c r="AE52" s="72">
        <f t="shared" si="7"/>
        <v>145.23999999999998</v>
      </c>
      <c r="AF52" s="72">
        <f t="shared" si="7"/>
        <v>128.14000000000001</v>
      </c>
      <c r="AG52" s="78">
        <f>SUM(AG39:AG51)</f>
        <v>489.91</v>
      </c>
      <c r="AH52" s="54">
        <f t="shared" si="2"/>
        <v>381.54</v>
      </c>
      <c r="AI52" s="55">
        <f t="shared" si="3"/>
        <v>93.44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10</v>
      </c>
      <c r="K53" s="61">
        <v>20</v>
      </c>
      <c r="L53" s="61">
        <v>30</v>
      </c>
      <c r="M53" s="79">
        <v>30.5</v>
      </c>
      <c r="N53" s="79">
        <v>20.2</v>
      </c>
      <c r="O53" s="79">
        <v>14.1</v>
      </c>
      <c r="P53" s="79">
        <v>10</v>
      </c>
      <c r="Q53" s="50">
        <v>10</v>
      </c>
      <c r="R53" s="50">
        <v>0</v>
      </c>
      <c r="S53" s="50">
        <v>0</v>
      </c>
      <c r="T53" s="50">
        <v>0</v>
      </c>
      <c r="U53" s="50">
        <v>14</v>
      </c>
      <c r="V53" s="50">
        <v>14</v>
      </c>
      <c r="W53" s="50">
        <v>14</v>
      </c>
      <c r="X53" s="50">
        <v>39.5</v>
      </c>
      <c r="Y53" s="50">
        <v>45</v>
      </c>
      <c r="Z53" s="50">
        <v>55.2</v>
      </c>
      <c r="AA53" s="50">
        <v>39.9</v>
      </c>
      <c r="AB53" s="50">
        <v>20.399999999999999</v>
      </c>
      <c r="AC53" s="50">
        <v>20.399999999999999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55.2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8.6</v>
      </c>
      <c r="L54" s="61">
        <v>12.3</v>
      </c>
      <c r="M54" s="79">
        <v>15.8</v>
      </c>
      <c r="N54" s="79">
        <v>11.9</v>
      </c>
      <c r="O54" s="79">
        <v>26.2</v>
      </c>
      <c r="P54" s="79">
        <v>5</v>
      </c>
      <c r="Q54" s="73">
        <v>5.8</v>
      </c>
      <c r="R54" s="73">
        <v>0</v>
      </c>
      <c r="S54" s="50">
        <v>0</v>
      </c>
      <c r="T54" s="50">
        <v>0</v>
      </c>
      <c r="U54" s="50">
        <v>0</v>
      </c>
      <c r="V54" s="73">
        <v>7</v>
      </c>
      <c r="W54" s="73">
        <v>7</v>
      </c>
      <c r="X54" s="73">
        <v>8.5</v>
      </c>
      <c r="Y54" s="73">
        <v>19.399999999999999</v>
      </c>
      <c r="Z54" s="73">
        <v>26.8</v>
      </c>
      <c r="AA54" s="73">
        <v>19.5</v>
      </c>
      <c r="AB54" s="73">
        <v>8.9</v>
      </c>
      <c r="AC54" s="73">
        <v>10</v>
      </c>
      <c r="AD54" s="50">
        <v>0</v>
      </c>
      <c r="AE54" s="73">
        <v>0</v>
      </c>
      <c r="AF54" s="73">
        <v>0</v>
      </c>
      <c r="AG54" s="67">
        <v>32</v>
      </c>
      <c r="AH54" s="54">
        <f t="shared" si="2"/>
        <v>26.8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3.2</v>
      </c>
      <c r="L55" s="74">
        <v>4.5</v>
      </c>
      <c r="M55" s="81">
        <v>5.8</v>
      </c>
      <c r="N55" s="81">
        <v>4.4000000000000004</v>
      </c>
      <c r="O55" s="81">
        <v>9.5</v>
      </c>
      <c r="P55" s="81">
        <v>1.8</v>
      </c>
      <c r="Q55" s="80">
        <v>1.9</v>
      </c>
      <c r="R55" s="80">
        <v>0</v>
      </c>
      <c r="S55" s="50">
        <v>0</v>
      </c>
      <c r="T55" s="50">
        <v>0</v>
      </c>
      <c r="U55" s="50">
        <v>0</v>
      </c>
      <c r="V55" s="80">
        <v>2.5</v>
      </c>
      <c r="W55" s="80">
        <v>2.5</v>
      </c>
      <c r="X55" s="80">
        <v>2.5</v>
      </c>
      <c r="Y55" s="80">
        <v>7.1</v>
      </c>
      <c r="Z55" s="80">
        <v>9.8000000000000007</v>
      </c>
      <c r="AA55" s="80">
        <v>7.1</v>
      </c>
      <c r="AB55" s="80">
        <v>3.2</v>
      </c>
      <c r="AC55" s="80">
        <v>3.6</v>
      </c>
      <c r="AD55" s="50">
        <v>0</v>
      </c>
      <c r="AE55" s="80">
        <v>0</v>
      </c>
      <c r="AF55" s="80">
        <v>0</v>
      </c>
      <c r="AG55" s="82">
        <v>14</v>
      </c>
      <c r="AH55" s="54">
        <f t="shared" si="2"/>
        <v>9.8000000000000007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v>0</v>
      </c>
      <c r="C56" s="72">
        <f>SUM(C53:C55)</f>
        <v>0</v>
      </c>
      <c r="D56" s="72">
        <f t="shared" ref="D56:AF56" si="8">SUM(D53:D55)</f>
        <v>0</v>
      </c>
      <c r="E56" s="72">
        <f t="shared" si="8"/>
        <v>0</v>
      </c>
      <c r="F56" s="72">
        <f t="shared" si="8"/>
        <v>0</v>
      </c>
      <c r="G56" s="72">
        <f t="shared" si="8"/>
        <v>0</v>
      </c>
      <c r="H56" s="72">
        <f t="shared" si="8"/>
        <v>0</v>
      </c>
      <c r="I56" s="72">
        <f t="shared" si="8"/>
        <v>0</v>
      </c>
      <c r="J56" s="72">
        <f t="shared" si="8"/>
        <v>10</v>
      </c>
      <c r="K56" s="72">
        <f t="shared" si="8"/>
        <v>31.8</v>
      </c>
      <c r="L56" s="72">
        <f t="shared" si="8"/>
        <v>46.8</v>
      </c>
      <c r="M56" s="72">
        <f t="shared" si="8"/>
        <v>52.099999999999994</v>
      </c>
      <c r="N56" s="72">
        <f t="shared" si="8"/>
        <v>36.5</v>
      </c>
      <c r="O56" s="72">
        <f t="shared" si="8"/>
        <v>49.8</v>
      </c>
      <c r="P56" s="72">
        <f t="shared" si="8"/>
        <v>16.8</v>
      </c>
      <c r="Q56" s="72">
        <f t="shared" si="8"/>
        <v>17.7</v>
      </c>
      <c r="R56" s="72">
        <f t="shared" si="8"/>
        <v>0</v>
      </c>
      <c r="S56" s="72">
        <f t="shared" si="8"/>
        <v>0</v>
      </c>
      <c r="T56" s="72">
        <f t="shared" si="8"/>
        <v>0</v>
      </c>
      <c r="U56" s="72">
        <f t="shared" si="8"/>
        <v>14</v>
      </c>
      <c r="V56" s="72">
        <f t="shared" si="8"/>
        <v>23.5</v>
      </c>
      <c r="W56" s="72">
        <f t="shared" si="8"/>
        <v>23.5</v>
      </c>
      <c r="X56" s="72">
        <f t="shared" si="8"/>
        <v>50.5</v>
      </c>
      <c r="Y56" s="72">
        <f t="shared" si="8"/>
        <v>71.5</v>
      </c>
      <c r="Z56" s="72">
        <f t="shared" si="8"/>
        <v>91.8</v>
      </c>
      <c r="AA56" s="72">
        <f t="shared" si="8"/>
        <v>66.5</v>
      </c>
      <c r="AB56" s="72">
        <f t="shared" si="8"/>
        <v>32.5</v>
      </c>
      <c r="AC56" s="72">
        <f t="shared" si="8"/>
        <v>34</v>
      </c>
      <c r="AD56" s="72">
        <f t="shared" si="8"/>
        <v>0</v>
      </c>
      <c r="AE56" s="72">
        <f t="shared" si="8"/>
        <v>0</v>
      </c>
      <c r="AF56" s="72">
        <f t="shared" si="8"/>
        <v>0</v>
      </c>
      <c r="AG56" s="78">
        <f>SUM(AG53:AG55)</f>
        <v>106</v>
      </c>
      <c r="AH56" s="54">
        <f t="shared" si="2"/>
        <v>91.8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62.2</v>
      </c>
      <c r="C57" s="50">
        <v>66.099999999999994</v>
      </c>
      <c r="D57" s="50">
        <v>65.3</v>
      </c>
      <c r="E57" s="50">
        <v>64.900000000000006</v>
      </c>
      <c r="F57" s="50">
        <v>75.7</v>
      </c>
      <c r="G57" s="50">
        <v>72.099999999999994</v>
      </c>
      <c r="H57" s="50">
        <v>69.3</v>
      </c>
      <c r="I57" s="50">
        <v>74.900000000000006</v>
      </c>
      <c r="J57" s="50">
        <v>73.599999999999994</v>
      </c>
      <c r="K57" s="50">
        <v>71.7</v>
      </c>
      <c r="L57" s="50">
        <v>45</v>
      </c>
      <c r="M57" s="50">
        <v>59.7</v>
      </c>
      <c r="N57" s="50">
        <v>73.599999999999994</v>
      </c>
      <c r="O57" s="50">
        <v>70.099999999999994</v>
      </c>
      <c r="P57" s="50">
        <v>68.8</v>
      </c>
      <c r="Q57" s="50">
        <v>70</v>
      </c>
      <c r="R57" s="50">
        <v>68.3</v>
      </c>
      <c r="S57" s="50">
        <v>75</v>
      </c>
      <c r="T57" s="50">
        <v>78.2</v>
      </c>
      <c r="U57" s="50">
        <v>72</v>
      </c>
      <c r="V57" s="50">
        <v>72</v>
      </c>
      <c r="W57" s="50">
        <v>72</v>
      </c>
      <c r="X57" s="50">
        <v>72</v>
      </c>
      <c r="Y57" s="50">
        <v>72.2</v>
      </c>
      <c r="Z57" s="50">
        <v>67.3</v>
      </c>
      <c r="AA57" s="50">
        <v>66</v>
      </c>
      <c r="AB57" s="50">
        <v>61.8</v>
      </c>
      <c r="AC57" s="50">
        <v>65.5</v>
      </c>
      <c r="AD57" s="50">
        <v>69.2</v>
      </c>
      <c r="AE57" s="50">
        <v>72</v>
      </c>
      <c r="AF57" s="50">
        <v>68</v>
      </c>
      <c r="AG57" s="62"/>
      <c r="AH57" s="54">
        <f t="shared" si="2"/>
        <v>78.2</v>
      </c>
      <c r="AI57" s="55">
        <f t="shared" si="3"/>
        <v>45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363</v>
      </c>
      <c r="C59" s="73">
        <v>358</v>
      </c>
      <c r="D59" s="73">
        <v>340</v>
      </c>
      <c r="E59" s="73">
        <v>345</v>
      </c>
      <c r="F59" s="73">
        <v>343.9</v>
      </c>
      <c r="G59" s="73">
        <v>353</v>
      </c>
      <c r="H59" s="50">
        <v>320</v>
      </c>
      <c r="I59" s="50">
        <v>345</v>
      </c>
      <c r="J59" s="50">
        <v>120</v>
      </c>
      <c r="K59" s="50">
        <v>57.4</v>
      </c>
      <c r="L59" s="50">
        <v>50.2</v>
      </c>
      <c r="M59" s="73">
        <v>43.8</v>
      </c>
      <c r="N59" s="73">
        <v>361</v>
      </c>
      <c r="O59" s="73">
        <v>355</v>
      </c>
      <c r="P59" s="73">
        <v>347.3</v>
      </c>
      <c r="Q59" s="73">
        <v>350</v>
      </c>
      <c r="R59" s="73">
        <v>363.2</v>
      </c>
      <c r="S59" s="73">
        <v>357</v>
      </c>
      <c r="T59" s="73">
        <v>352</v>
      </c>
      <c r="U59" s="73">
        <v>354</v>
      </c>
      <c r="V59" s="73">
        <v>415</v>
      </c>
      <c r="W59" s="73">
        <v>415</v>
      </c>
      <c r="X59" s="73">
        <v>280</v>
      </c>
      <c r="Y59" s="84">
        <v>112</v>
      </c>
      <c r="Z59" s="84">
        <v>167</v>
      </c>
      <c r="AA59" s="84">
        <v>311</v>
      </c>
      <c r="AB59" s="73">
        <v>385</v>
      </c>
      <c r="AC59" s="73">
        <v>349.3</v>
      </c>
      <c r="AD59" s="73">
        <v>361.1</v>
      </c>
      <c r="AE59" s="73">
        <v>381</v>
      </c>
      <c r="AF59" s="73">
        <v>385.6</v>
      </c>
      <c r="AG59" s="85"/>
      <c r="AH59" s="54">
        <f t="shared" si="2"/>
        <v>415</v>
      </c>
      <c r="AI59" s="55">
        <f t="shared" si="3"/>
        <v>43.8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14.6</v>
      </c>
      <c r="F60" s="58">
        <v>17.5</v>
      </c>
      <c r="G60" s="58">
        <v>45.8</v>
      </c>
      <c r="H60" s="58">
        <v>49.4</v>
      </c>
      <c r="I60" s="58">
        <v>50.2</v>
      </c>
      <c r="J60" s="58">
        <v>58.4</v>
      </c>
      <c r="K60" s="58">
        <v>56.6</v>
      </c>
      <c r="L60" s="58">
        <v>54.8</v>
      </c>
      <c r="M60" s="73">
        <v>57.5</v>
      </c>
      <c r="N60" s="73">
        <v>53</v>
      </c>
      <c r="O60" s="73">
        <v>55</v>
      </c>
      <c r="P60" s="73">
        <v>52</v>
      </c>
      <c r="Q60" s="73">
        <v>56</v>
      </c>
      <c r="R60" s="73">
        <v>45</v>
      </c>
      <c r="S60" s="73">
        <v>49.9</v>
      </c>
      <c r="T60" s="73">
        <v>50.4</v>
      </c>
      <c r="U60" s="73">
        <v>18</v>
      </c>
      <c r="V60" s="73">
        <v>20</v>
      </c>
      <c r="W60" s="73">
        <v>20</v>
      </c>
      <c r="X60" s="73">
        <v>17</v>
      </c>
      <c r="Y60" s="73">
        <v>18</v>
      </c>
      <c r="Z60" s="73">
        <v>17.899999999999999</v>
      </c>
      <c r="AA60" s="73">
        <v>17</v>
      </c>
      <c r="AB60" s="73">
        <v>16.5</v>
      </c>
      <c r="AC60" s="73">
        <v>15.7</v>
      </c>
      <c r="AD60" s="73">
        <v>15.3</v>
      </c>
      <c r="AE60" s="73">
        <v>0</v>
      </c>
      <c r="AF60" s="58">
        <v>0</v>
      </c>
      <c r="AG60" s="85"/>
      <c r="AH60" s="54">
        <f t="shared" si="2"/>
        <v>58.4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8">
        <v>0</v>
      </c>
      <c r="F61" s="58">
        <v>0</v>
      </c>
      <c r="G61" s="58">
        <v>0</v>
      </c>
      <c r="H61" s="58">
        <v>77.3</v>
      </c>
      <c r="I61" s="58">
        <v>75.8</v>
      </c>
      <c r="J61" s="58">
        <v>77.599999999999994</v>
      </c>
      <c r="K61" s="58">
        <v>77.2</v>
      </c>
      <c r="L61" s="58">
        <v>80.400000000000006</v>
      </c>
      <c r="M61" s="50">
        <v>51.2</v>
      </c>
      <c r="N61" s="50">
        <v>50.1</v>
      </c>
      <c r="O61" s="50">
        <v>54.4</v>
      </c>
      <c r="P61" s="50">
        <v>61.9</v>
      </c>
      <c r="Q61" s="50">
        <v>65</v>
      </c>
      <c r="R61" s="50">
        <v>57.7</v>
      </c>
      <c r="S61" s="50">
        <v>59.1</v>
      </c>
      <c r="T61" s="50">
        <v>60.3</v>
      </c>
      <c r="U61" s="50">
        <v>55</v>
      </c>
      <c r="V61" s="50">
        <v>54.5</v>
      </c>
      <c r="W61" s="50">
        <v>54.5</v>
      </c>
      <c r="X61" s="50">
        <v>68.900000000000006</v>
      </c>
      <c r="Y61" s="50">
        <v>73.8</v>
      </c>
      <c r="Z61" s="50">
        <v>79.2</v>
      </c>
      <c r="AA61" s="50">
        <v>75.3</v>
      </c>
      <c r="AB61" s="50">
        <v>89</v>
      </c>
      <c r="AC61" s="50">
        <v>92.8</v>
      </c>
      <c r="AD61" s="50">
        <v>88.8</v>
      </c>
      <c r="AE61" s="50">
        <v>82.5</v>
      </c>
      <c r="AF61" s="50">
        <v>0</v>
      </c>
      <c r="AG61" s="85"/>
      <c r="AH61" s="54">
        <f t="shared" si="2"/>
        <v>92.8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73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73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73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7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7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v>415</v>
      </c>
      <c r="C68" s="72">
        <f>SUM(C57:C67)</f>
        <v>424.1</v>
      </c>
      <c r="D68" s="72">
        <f t="shared" ref="D68:AF68" si="9">SUM(D57:D67)</f>
        <v>405.3</v>
      </c>
      <c r="E68" s="72">
        <f t="shared" si="9"/>
        <v>424.5</v>
      </c>
      <c r="F68" s="72">
        <f t="shared" si="9"/>
        <v>437.09999999999997</v>
      </c>
      <c r="G68" s="72">
        <f t="shared" si="9"/>
        <v>470.90000000000003</v>
      </c>
      <c r="H68" s="72">
        <f t="shared" si="9"/>
        <v>516</v>
      </c>
      <c r="I68" s="72">
        <f t="shared" si="9"/>
        <v>545.9</v>
      </c>
      <c r="J68" s="72">
        <f t="shared" si="9"/>
        <v>329.6</v>
      </c>
      <c r="K68" s="72">
        <f t="shared" si="9"/>
        <v>262.89999999999998</v>
      </c>
      <c r="L68" s="72">
        <f t="shared" si="9"/>
        <v>230.4</v>
      </c>
      <c r="M68" s="72">
        <f t="shared" si="9"/>
        <v>212.2</v>
      </c>
      <c r="N68" s="72">
        <f t="shared" si="9"/>
        <v>537.70000000000005</v>
      </c>
      <c r="O68" s="72">
        <f t="shared" si="9"/>
        <v>534.5</v>
      </c>
      <c r="P68" s="72">
        <f t="shared" si="9"/>
        <v>530</v>
      </c>
      <c r="Q68" s="72">
        <f t="shared" si="9"/>
        <v>541</v>
      </c>
      <c r="R68" s="72">
        <f t="shared" si="9"/>
        <v>534.20000000000005</v>
      </c>
      <c r="S68" s="72">
        <f t="shared" si="9"/>
        <v>541</v>
      </c>
      <c r="T68" s="72">
        <f t="shared" si="9"/>
        <v>540.9</v>
      </c>
      <c r="U68" s="72">
        <f t="shared" si="9"/>
        <v>499</v>
      </c>
      <c r="V68" s="72">
        <f t="shared" si="9"/>
        <v>561.5</v>
      </c>
      <c r="W68" s="72">
        <f t="shared" si="9"/>
        <v>561.5</v>
      </c>
      <c r="X68" s="72">
        <f t="shared" si="9"/>
        <v>437.9</v>
      </c>
      <c r="Y68" s="72">
        <f t="shared" si="9"/>
        <v>276</v>
      </c>
      <c r="Z68" s="72">
        <f t="shared" si="9"/>
        <v>331.40000000000003</v>
      </c>
      <c r="AA68" s="72">
        <f t="shared" si="9"/>
        <v>469.3</v>
      </c>
      <c r="AB68" s="72">
        <f t="shared" si="9"/>
        <v>552.29999999999995</v>
      </c>
      <c r="AC68" s="72">
        <f t="shared" si="9"/>
        <v>523.29999999999995</v>
      </c>
      <c r="AD68" s="72">
        <f t="shared" si="9"/>
        <v>534.4</v>
      </c>
      <c r="AE68" s="72">
        <f t="shared" si="9"/>
        <v>535.5</v>
      </c>
      <c r="AF68" s="72">
        <f t="shared" si="9"/>
        <v>453.6</v>
      </c>
      <c r="AG68" s="78">
        <f>SUM(AG57:AG67)</f>
        <v>0</v>
      </c>
      <c r="AH68" s="54">
        <f t="shared" si="2"/>
        <v>561.5</v>
      </c>
      <c r="AI68" s="55">
        <f t="shared" si="3"/>
        <v>212.2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2">
        <f t="shared" si="10"/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:AG73" si="11">B68+B56+B52+B38+B72</f>
        <v>936.14</v>
      </c>
      <c r="C73" s="89">
        <f t="shared" si="11"/>
        <v>930.74</v>
      </c>
      <c r="D73" s="89">
        <f t="shared" si="11"/>
        <v>911.93999999999994</v>
      </c>
      <c r="E73" s="89">
        <f t="shared" si="11"/>
        <v>897.74</v>
      </c>
      <c r="F73" s="89">
        <f t="shared" si="11"/>
        <v>897.33999999999992</v>
      </c>
      <c r="G73" s="89">
        <f t="shared" si="11"/>
        <v>955.14</v>
      </c>
      <c r="H73" s="89">
        <f t="shared" si="11"/>
        <v>1002.04</v>
      </c>
      <c r="I73" s="89">
        <f t="shared" si="11"/>
        <v>1101.1399999999999</v>
      </c>
      <c r="J73" s="89">
        <f t="shared" si="11"/>
        <v>1244.1399999999999</v>
      </c>
      <c r="K73" s="89">
        <f t="shared" si="11"/>
        <v>1352.3400000000001</v>
      </c>
      <c r="L73" s="89">
        <f t="shared" si="11"/>
        <v>1418.04</v>
      </c>
      <c r="M73" s="89">
        <f t="shared" si="11"/>
        <v>1411.6399999999999</v>
      </c>
      <c r="N73" s="89">
        <f t="shared" si="11"/>
        <v>1328.24</v>
      </c>
      <c r="O73" s="89">
        <f t="shared" si="11"/>
        <v>1275.74</v>
      </c>
      <c r="P73" s="89">
        <f t="shared" si="11"/>
        <v>1230.8400000000001</v>
      </c>
      <c r="Q73" s="89">
        <f t="shared" si="11"/>
        <v>1206.3399999999999</v>
      </c>
      <c r="R73" s="89">
        <f t="shared" si="11"/>
        <v>1127.44</v>
      </c>
      <c r="S73" s="89">
        <f t="shared" si="11"/>
        <v>1137.74</v>
      </c>
      <c r="T73" s="89">
        <f t="shared" si="11"/>
        <v>1146.6400000000001</v>
      </c>
      <c r="U73" s="89">
        <f t="shared" si="11"/>
        <v>1145.44</v>
      </c>
      <c r="V73" s="89">
        <f t="shared" si="11"/>
        <v>1195.1400000000001</v>
      </c>
      <c r="W73" s="89">
        <f t="shared" si="11"/>
        <v>1195.1400000000001</v>
      </c>
      <c r="X73" s="89">
        <f t="shared" si="11"/>
        <v>1281.44</v>
      </c>
      <c r="Y73" s="89">
        <f t="shared" si="11"/>
        <v>1464.8400000000001</v>
      </c>
      <c r="Z73" s="89">
        <f t="shared" si="11"/>
        <v>1470.74</v>
      </c>
      <c r="AA73" s="89">
        <f t="shared" si="11"/>
        <v>1368.94</v>
      </c>
      <c r="AB73" s="89">
        <f t="shared" si="11"/>
        <v>1317.44</v>
      </c>
      <c r="AC73" s="89">
        <f t="shared" si="11"/>
        <v>1278.94</v>
      </c>
      <c r="AD73" s="89">
        <f t="shared" si="11"/>
        <v>1189.24</v>
      </c>
      <c r="AE73" s="89">
        <f t="shared" si="11"/>
        <v>1046.74</v>
      </c>
      <c r="AF73" s="89">
        <f t="shared" si="11"/>
        <v>959.04</v>
      </c>
      <c r="AG73" s="89">
        <f t="shared" si="11"/>
        <v>2144.14</v>
      </c>
      <c r="AH73" s="54">
        <f t="shared" si="2"/>
        <v>1470.74</v>
      </c>
      <c r="AI73" s="55">
        <f t="shared" si="3"/>
        <v>897.33999999999992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>
        <v>10</v>
      </c>
      <c r="M74" s="91"/>
      <c r="N74" s="91">
        <v>30</v>
      </c>
      <c r="O74" s="91">
        <v>30</v>
      </c>
      <c r="P74" s="91">
        <v>30</v>
      </c>
      <c r="Q74" s="91">
        <v>30</v>
      </c>
      <c r="R74" s="91">
        <v>30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:AF75" si="12">B72+B68+B56+B52+B38+B74</f>
        <v>936.14</v>
      </c>
      <c r="C75" s="89">
        <f t="shared" si="12"/>
        <v>930.74</v>
      </c>
      <c r="D75" s="89">
        <f t="shared" si="12"/>
        <v>911.93999999999994</v>
      </c>
      <c r="E75" s="89">
        <f t="shared" si="12"/>
        <v>897.74</v>
      </c>
      <c r="F75" s="89">
        <f t="shared" si="12"/>
        <v>897.33999999999992</v>
      </c>
      <c r="G75" s="89">
        <f t="shared" si="12"/>
        <v>955.14</v>
      </c>
      <c r="H75" s="89">
        <f t="shared" si="12"/>
        <v>1002.04</v>
      </c>
      <c r="I75" s="89">
        <f t="shared" si="12"/>
        <v>1101.1399999999999</v>
      </c>
      <c r="J75" s="89">
        <f t="shared" si="12"/>
        <v>1244.1399999999999</v>
      </c>
      <c r="K75" s="89">
        <f t="shared" si="12"/>
        <v>1352.3400000000001</v>
      </c>
      <c r="L75" s="89">
        <f t="shared" si="12"/>
        <v>1428.04</v>
      </c>
      <c r="M75" s="89">
        <f t="shared" si="12"/>
        <v>1411.6399999999999</v>
      </c>
      <c r="N75" s="89">
        <f t="shared" si="12"/>
        <v>1358.24</v>
      </c>
      <c r="O75" s="89">
        <f t="shared" si="12"/>
        <v>1305.74</v>
      </c>
      <c r="P75" s="89">
        <f t="shared" si="12"/>
        <v>1260.8400000000001</v>
      </c>
      <c r="Q75" s="89">
        <f t="shared" si="12"/>
        <v>1236.3399999999999</v>
      </c>
      <c r="R75" s="89">
        <f t="shared" si="12"/>
        <v>1157.44</v>
      </c>
      <c r="S75" s="89">
        <f t="shared" si="12"/>
        <v>1137.74</v>
      </c>
      <c r="T75" s="89">
        <f t="shared" si="12"/>
        <v>1146.6400000000001</v>
      </c>
      <c r="U75" s="89">
        <f t="shared" si="12"/>
        <v>1145.44</v>
      </c>
      <c r="V75" s="89">
        <f t="shared" si="12"/>
        <v>1195.1400000000001</v>
      </c>
      <c r="W75" s="89">
        <f t="shared" si="12"/>
        <v>1195.1400000000001</v>
      </c>
      <c r="X75" s="89">
        <f t="shared" si="12"/>
        <v>1281.44</v>
      </c>
      <c r="Y75" s="89">
        <f t="shared" si="12"/>
        <v>1464.8400000000001</v>
      </c>
      <c r="Z75" s="89">
        <f t="shared" si="12"/>
        <v>1470.74</v>
      </c>
      <c r="AA75" s="89">
        <f t="shared" si="12"/>
        <v>1368.94</v>
      </c>
      <c r="AB75" s="89">
        <f t="shared" si="12"/>
        <v>1317.44</v>
      </c>
      <c r="AC75" s="89">
        <f t="shared" si="12"/>
        <v>1278.94</v>
      </c>
      <c r="AD75" s="89">
        <f t="shared" si="12"/>
        <v>1189.24</v>
      </c>
      <c r="AE75" s="89">
        <f t="shared" si="12"/>
        <v>1046.74</v>
      </c>
      <c r="AF75" s="89">
        <f t="shared" si="12"/>
        <v>959.04</v>
      </c>
      <c r="AG75" s="78">
        <f>AG72+AG68+AG56+AG52+AG38+AG74</f>
        <v>2144.14</v>
      </c>
      <c r="AH75" s="54">
        <f t="shared" si="2"/>
        <v>1470.74</v>
      </c>
      <c r="AI75" s="55">
        <f t="shared" si="3"/>
        <v>897.33999999999992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v>0</v>
      </c>
      <c r="C76" s="58">
        <f>IF(C60&lt;0,C60*-1,0)</f>
        <v>0</v>
      </c>
      <c r="D76" s="58">
        <f t="shared" ref="D76:AF76" si="13">IF(D60&lt;0,D60*-1,0)</f>
        <v>0</v>
      </c>
      <c r="E76" s="58">
        <f t="shared" si="13"/>
        <v>0</v>
      </c>
      <c r="F76" s="58">
        <f t="shared" si="13"/>
        <v>0</v>
      </c>
      <c r="G76" s="58">
        <f t="shared" si="13"/>
        <v>0</v>
      </c>
      <c r="H76" s="58">
        <f t="shared" si="13"/>
        <v>0</v>
      </c>
      <c r="I76" s="58">
        <f t="shared" si="13"/>
        <v>0</v>
      </c>
      <c r="J76" s="58">
        <f t="shared" si="13"/>
        <v>0</v>
      </c>
      <c r="K76" s="58">
        <f t="shared" si="13"/>
        <v>0</v>
      </c>
      <c r="L76" s="58">
        <f t="shared" si="13"/>
        <v>0</v>
      </c>
      <c r="M76" s="58">
        <f t="shared" si="13"/>
        <v>0</v>
      </c>
      <c r="N76" s="58">
        <f t="shared" si="13"/>
        <v>0</v>
      </c>
      <c r="O76" s="58">
        <f t="shared" si="13"/>
        <v>0</v>
      </c>
      <c r="P76" s="58">
        <f t="shared" si="13"/>
        <v>0</v>
      </c>
      <c r="Q76" s="58">
        <f t="shared" si="13"/>
        <v>0</v>
      </c>
      <c r="R76" s="58">
        <f t="shared" si="13"/>
        <v>0</v>
      </c>
      <c r="S76" s="58">
        <f t="shared" si="13"/>
        <v>0</v>
      </c>
      <c r="T76" s="58">
        <f t="shared" si="13"/>
        <v>0</v>
      </c>
      <c r="U76" s="58">
        <f t="shared" si="13"/>
        <v>0</v>
      </c>
      <c r="V76" s="58">
        <f t="shared" si="13"/>
        <v>0</v>
      </c>
      <c r="W76" s="58">
        <f t="shared" si="13"/>
        <v>0</v>
      </c>
      <c r="X76" s="58">
        <f t="shared" si="13"/>
        <v>0</v>
      </c>
      <c r="Y76" s="58">
        <f t="shared" si="13"/>
        <v>0</v>
      </c>
      <c r="Z76" s="58">
        <f t="shared" si="13"/>
        <v>0</v>
      </c>
      <c r="AA76" s="58">
        <f t="shared" si="13"/>
        <v>0</v>
      </c>
      <c r="AB76" s="58">
        <f t="shared" si="13"/>
        <v>0</v>
      </c>
      <c r="AC76" s="58">
        <f t="shared" si="13"/>
        <v>0</v>
      </c>
      <c r="AD76" s="58">
        <f t="shared" si="13"/>
        <v>0</v>
      </c>
      <c r="AE76" s="58">
        <f t="shared" si="13"/>
        <v>0</v>
      </c>
      <c r="AF76" s="58">
        <f t="shared" si="13"/>
        <v>0</v>
      </c>
      <c r="AG76" s="62"/>
      <c r="AH76" s="54">
        <f t="shared" ref="AH76:AH91" si="14">MAX(B76:AF76)</f>
        <v>0</v>
      </c>
      <c r="AI76" s="55">
        <f t="shared" ref="AI76:AI91" si="15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v>0</v>
      </c>
      <c r="C77" s="58">
        <f>IF(C58&lt;0,C58*-1,0)</f>
        <v>0</v>
      </c>
      <c r="D77" s="58">
        <f t="shared" ref="D77:AF77" si="16">IF(D58&lt;0,D58*-1,0)</f>
        <v>0</v>
      </c>
      <c r="E77" s="58">
        <f t="shared" si="16"/>
        <v>0</v>
      </c>
      <c r="F77" s="58">
        <f t="shared" si="16"/>
        <v>0</v>
      </c>
      <c r="G77" s="58">
        <f t="shared" si="16"/>
        <v>0</v>
      </c>
      <c r="H77" s="58">
        <f t="shared" si="16"/>
        <v>0</v>
      </c>
      <c r="I77" s="58">
        <f t="shared" si="16"/>
        <v>0</v>
      </c>
      <c r="J77" s="58">
        <f t="shared" si="16"/>
        <v>0</v>
      </c>
      <c r="K77" s="58">
        <f t="shared" si="16"/>
        <v>0</v>
      </c>
      <c r="L77" s="58">
        <f t="shared" si="16"/>
        <v>0</v>
      </c>
      <c r="M77" s="58">
        <f t="shared" si="16"/>
        <v>0</v>
      </c>
      <c r="N77" s="58">
        <f t="shared" si="16"/>
        <v>0</v>
      </c>
      <c r="O77" s="58">
        <f t="shared" si="16"/>
        <v>0</v>
      </c>
      <c r="P77" s="58">
        <f t="shared" si="16"/>
        <v>0</v>
      </c>
      <c r="Q77" s="58">
        <f t="shared" si="16"/>
        <v>0</v>
      </c>
      <c r="R77" s="58">
        <f t="shared" si="16"/>
        <v>0</v>
      </c>
      <c r="S77" s="58">
        <f t="shared" si="16"/>
        <v>0</v>
      </c>
      <c r="T77" s="58">
        <f t="shared" si="16"/>
        <v>0</v>
      </c>
      <c r="U77" s="58">
        <f t="shared" si="16"/>
        <v>0</v>
      </c>
      <c r="V77" s="58">
        <f t="shared" si="16"/>
        <v>0</v>
      </c>
      <c r="W77" s="58">
        <f t="shared" si="16"/>
        <v>0</v>
      </c>
      <c r="X77" s="58">
        <f t="shared" si="16"/>
        <v>0</v>
      </c>
      <c r="Y77" s="58">
        <f t="shared" si="16"/>
        <v>0</v>
      </c>
      <c r="Z77" s="58">
        <f t="shared" si="16"/>
        <v>0</v>
      </c>
      <c r="AA77" s="58">
        <f t="shared" si="16"/>
        <v>0</v>
      </c>
      <c r="AB77" s="58">
        <f t="shared" si="16"/>
        <v>0</v>
      </c>
      <c r="AC77" s="58">
        <f t="shared" si="16"/>
        <v>0</v>
      </c>
      <c r="AD77" s="58">
        <f t="shared" si="16"/>
        <v>0</v>
      </c>
      <c r="AE77" s="58">
        <f t="shared" si="16"/>
        <v>0</v>
      </c>
      <c r="AF77" s="58">
        <f t="shared" si="16"/>
        <v>0</v>
      </c>
      <c r="AG77" s="67"/>
      <c r="AH77" s="54">
        <f t="shared" si="14"/>
        <v>0</v>
      </c>
      <c r="AI77" s="55">
        <f t="shared" si="15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v>0</v>
      </c>
      <c r="C78" s="58">
        <f>IF(C61&lt;0,C61*-1,0)</f>
        <v>0</v>
      </c>
      <c r="D78" s="58">
        <f t="shared" ref="D78:AF78" si="17">IF(D61&lt;0,D61*-1,0)</f>
        <v>0</v>
      </c>
      <c r="E78" s="58">
        <f t="shared" si="17"/>
        <v>0</v>
      </c>
      <c r="F78" s="58">
        <f t="shared" si="17"/>
        <v>0</v>
      </c>
      <c r="G78" s="58">
        <f t="shared" si="17"/>
        <v>0</v>
      </c>
      <c r="H78" s="58">
        <f t="shared" si="17"/>
        <v>0</v>
      </c>
      <c r="I78" s="58">
        <f t="shared" si="17"/>
        <v>0</v>
      </c>
      <c r="J78" s="58">
        <f t="shared" si="17"/>
        <v>0</v>
      </c>
      <c r="K78" s="58">
        <f t="shared" si="17"/>
        <v>0</v>
      </c>
      <c r="L78" s="58">
        <f t="shared" si="17"/>
        <v>0</v>
      </c>
      <c r="M78" s="58">
        <f t="shared" si="17"/>
        <v>0</v>
      </c>
      <c r="N78" s="58">
        <f t="shared" si="17"/>
        <v>0</v>
      </c>
      <c r="O78" s="58">
        <f t="shared" si="17"/>
        <v>0</v>
      </c>
      <c r="P78" s="58">
        <f t="shared" si="17"/>
        <v>0</v>
      </c>
      <c r="Q78" s="58">
        <f t="shared" si="17"/>
        <v>0</v>
      </c>
      <c r="R78" s="58">
        <f t="shared" si="17"/>
        <v>0</v>
      </c>
      <c r="S78" s="58">
        <f t="shared" si="17"/>
        <v>0</v>
      </c>
      <c r="T78" s="58">
        <f t="shared" si="17"/>
        <v>0</v>
      </c>
      <c r="U78" s="58">
        <f t="shared" si="17"/>
        <v>0</v>
      </c>
      <c r="V78" s="58">
        <f t="shared" si="17"/>
        <v>0</v>
      </c>
      <c r="W78" s="58">
        <f t="shared" si="17"/>
        <v>0</v>
      </c>
      <c r="X78" s="58">
        <f t="shared" si="17"/>
        <v>0</v>
      </c>
      <c r="Y78" s="58">
        <f t="shared" si="17"/>
        <v>0</v>
      </c>
      <c r="Z78" s="58">
        <f t="shared" si="17"/>
        <v>0</v>
      </c>
      <c r="AA78" s="58">
        <f t="shared" si="17"/>
        <v>0</v>
      </c>
      <c r="AB78" s="58">
        <f t="shared" si="17"/>
        <v>0</v>
      </c>
      <c r="AC78" s="58">
        <f t="shared" si="17"/>
        <v>0</v>
      </c>
      <c r="AD78" s="58">
        <f t="shared" si="17"/>
        <v>0</v>
      </c>
      <c r="AE78" s="58">
        <f t="shared" si="17"/>
        <v>0</v>
      </c>
      <c r="AF78" s="58">
        <f t="shared" si="17"/>
        <v>0</v>
      </c>
      <c r="AG78" s="92"/>
      <c r="AH78" s="54">
        <f t="shared" si="14"/>
        <v>0</v>
      </c>
      <c r="AI78" s="55">
        <f t="shared" si="15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v>0</v>
      </c>
      <c r="C79" s="58">
        <f>IF(C59&lt;0,C59*-1,0)</f>
        <v>0</v>
      </c>
      <c r="D79" s="58">
        <f t="shared" ref="D79:AF79" si="18">IF(D59&lt;0,D59*-1,0)</f>
        <v>0</v>
      </c>
      <c r="E79" s="58">
        <f t="shared" si="18"/>
        <v>0</v>
      </c>
      <c r="F79" s="58">
        <f t="shared" si="18"/>
        <v>0</v>
      </c>
      <c r="G79" s="58">
        <f t="shared" si="18"/>
        <v>0</v>
      </c>
      <c r="H79" s="58">
        <f t="shared" si="18"/>
        <v>0</v>
      </c>
      <c r="I79" s="58">
        <f t="shared" si="18"/>
        <v>0</v>
      </c>
      <c r="J79" s="58">
        <f t="shared" si="18"/>
        <v>0</v>
      </c>
      <c r="K79" s="58">
        <f t="shared" si="18"/>
        <v>0</v>
      </c>
      <c r="L79" s="58">
        <f t="shared" si="18"/>
        <v>0</v>
      </c>
      <c r="M79" s="58">
        <f t="shared" si="18"/>
        <v>0</v>
      </c>
      <c r="N79" s="58">
        <f t="shared" si="18"/>
        <v>0</v>
      </c>
      <c r="O79" s="58">
        <f t="shared" si="18"/>
        <v>0</v>
      </c>
      <c r="P79" s="58">
        <f t="shared" si="18"/>
        <v>0</v>
      </c>
      <c r="Q79" s="58">
        <f t="shared" si="18"/>
        <v>0</v>
      </c>
      <c r="R79" s="58">
        <f t="shared" si="18"/>
        <v>0</v>
      </c>
      <c r="S79" s="58">
        <f t="shared" si="18"/>
        <v>0</v>
      </c>
      <c r="T79" s="58">
        <f t="shared" si="18"/>
        <v>0</v>
      </c>
      <c r="U79" s="58">
        <f t="shared" si="18"/>
        <v>0</v>
      </c>
      <c r="V79" s="58">
        <f t="shared" si="18"/>
        <v>0</v>
      </c>
      <c r="W79" s="58">
        <f t="shared" si="18"/>
        <v>0</v>
      </c>
      <c r="X79" s="58">
        <f t="shared" si="18"/>
        <v>0</v>
      </c>
      <c r="Y79" s="58">
        <f t="shared" si="18"/>
        <v>0</v>
      </c>
      <c r="Z79" s="58">
        <f t="shared" si="18"/>
        <v>0</v>
      </c>
      <c r="AA79" s="58">
        <f t="shared" si="18"/>
        <v>0</v>
      </c>
      <c r="AB79" s="58">
        <f t="shared" si="18"/>
        <v>0</v>
      </c>
      <c r="AC79" s="58">
        <f t="shared" si="18"/>
        <v>0</v>
      </c>
      <c r="AD79" s="58">
        <f t="shared" si="18"/>
        <v>0</v>
      </c>
      <c r="AE79" s="58">
        <f t="shared" si="18"/>
        <v>0</v>
      </c>
      <c r="AF79" s="58">
        <f t="shared" si="18"/>
        <v>0</v>
      </c>
      <c r="AG79" s="92"/>
      <c r="AH79" s="54">
        <f t="shared" si="14"/>
        <v>0</v>
      </c>
      <c r="AI79" s="55">
        <f t="shared" si="15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v>0</v>
      </c>
      <c r="C80" s="58">
        <f>IF(C57&lt;0,C57*-1,0)</f>
        <v>0</v>
      </c>
      <c r="D80" s="58">
        <f t="shared" ref="D80:AF80" si="19">IF(D57&lt;0,D57*-1,0)</f>
        <v>0</v>
      </c>
      <c r="E80" s="58">
        <f t="shared" si="19"/>
        <v>0</v>
      </c>
      <c r="F80" s="58">
        <f t="shared" si="19"/>
        <v>0</v>
      </c>
      <c r="G80" s="58">
        <f t="shared" si="19"/>
        <v>0</v>
      </c>
      <c r="H80" s="58">
        <f t="shared" si="19"/>
        <v>0</v>
      </c>
      <c r="I80" s="58">
        <f t="shared" si="19"/>
        <v>0</v>
      </c>
      <c r="J80" s="58">
        <f t="shared" si="19"/>
        <v>0</v>
      </c>
      <c r="K80" s="58">
        <f t="shared" si="19"/>
        <v>0</v>
      </c>
      <c r="L80" s="58">
        <f t="shared" si="19"/>
        <v>0</v>
      </c>
      <c r="M80" s="58">
        <f t="shared" si="19"/>
        <v>0</v>
      </c>
      <c r="N80" s="58">
        <f t="shared" si="19"/>
        <v>0</v>
      </c>
      <c r="O80" s="58">
        <f t="shared" si="19"/>
        <v>0</v>
      </c>
      <c r="P80" s="58">
        <f t="shared" si="19"/>
        <v>0</v>
      </c>
      <c r="Q80" s="58">
        <f t="shared" si="19"/>
        <v>0</v>
      </c>
      <c r="R80" s="58">
        <f t="shared" si="19"/>
        <v>0</v>
      </c>
      <c r="S80" s="58">
        <f t="shared" si="19"/>
        <v>0</v>
      </c>
      <c r="T80" s="58">
        <f t="shared" si="19"/>
        <v>0</v>
      </c>
      <c r="U80" s="58">
        <f t="shared" si="19"/>
        <v>0</v>
      </c>
      <c r="V80" s="58">
        <f t="shared" si="19"/>
        <v>0</v>
      </c>
      <c r="W80" s="58">
        <f t="shared" si="19"/>
        <v>0</v>
      </c>
      <c r="X80" s="58">
        <f t="shared" si="19"/>
        <v>0</v>
      </c>
      <c r="Y80" s="58">
        <f t="shared" si="19"/>
        <v>0</v>
      </c>
      <c r="Z80" s="58">
        <f t="shared" si="19"/>
        <v>0</v>
      </c>
      <c r="AA80" s="58">
        <f t="shared" si="19"/>
        <v>0</v>
      </c>
      <c r="AB80" s="58">
        <f t="shared" si="19"/>
        <v>0</v>
      </c>
      <c r="AC80" s="58">
        <f t="shared" si="19"/>
        <v>0</v>
      </c>
      <c r="AD80" s="58">
        <f t="shared" si="19"/>
        <v>0</v>
      </c>
      <c r="AE80" s="58">
        <f t="shared" si="19"/>
        <v>0</v>
      </c>
      <c r="AF80" s="58">
        <f t="shared" si="19"/>
        <v>0</v>
      </c>
      <c r="AG80" s="92"/>
      <c r="AH80" s="54">
        <f t="shared" si="14"/>
        <v>0</v>
      </c>
      <c r="AI80" s="55">
        <f t="shared" si="15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4"/>
        <v>0</v>
      </c>
      <c r="AI81" s="55">
        <f t="shared" si="15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v>0</v>
      </c>
      <c r="C82" s="72">
        <f t="shared" ref="C82:AG82" si="20">SUM(C76:C81)</f>
        <v>0</v>
      </c>
      <c r="D82" s="72">
        <f t="shared" si="20"/>
        <v>0</v>
      </c>
      <c r="E82" s="72">
        <f t="shared" si="20"/>
        <v>0</v>
      </c>
      <c r="F82" s="72">
        <f t="shared" si="20"/>
        <v>0</v>
      </c>
      <c r="G82" s="72">
        <f t="shared" si="20"/>
        <v>0</v>
      </c>
      <c r="H82" s="72">
        <f t="shared" si="20"/>
        <v>0</v>
      </c>
      <c r="I82" s="72">
        <f t="shared" si="20"/>
        <v>0</v>
      </c>
      <c r="J82" s="72">
        <f t="shared" si="20"/>
        <v>0</v>
      </c>
      <c r="K82" s="72">
        <f t="shared" si="20"/>
        <v>0</v>
      </c>
      <c r="L82" s="72">
        <f t="shared" si="20"/>
        <v>0</v>
      </c>
      <c r="M82" s="72">
        <f t="shared" si="20"/>
        <v>0</v>
      </c>
      <c r="N82" s="72">
        <f t="shared" si="20"/>
        <v>0</v>
      </c>
      <c r="O82" s="72">
        <f t="shared" si="20"/>
        <v>0</v>
      </c>
      <c r="P82" s="72">
        <f t="shared" si="20"/>
        <v>0</v>
      </c>
      <c r="Q82" s="72">
        <f t="shared" si="20"/>
        <v>0</v>
      </c>
      <c r="R82" s="72">
        <f t="shared" si="20"/>
        <v>0</v>
      </c>
      <c r="S82" s="72">
        <f t="shared" si="20"/>
        <v>0</v>
      </c>
      <c r="T82" s="72">
        <f t="shared" si="20"/>
        <v>0</v>
      </c>
      <c r="U82" s="72">
        <f t="shared" si="20"/>
        <v>0</v>
      </c>
      <c r="V82" s="72">
        <f t="shared" si="20"/>
        <v>0</v>
      </c>
      <c r="W82" s="72">
        <f t="shared" si="20"/>
        <v>0</v>
      </c>
      <c r="X82" s="72">
        <f t="shared" si="20"/>
        <v>0</v>
      </c>
      <c r="Y82" s="72">
        <f t="shared" si="20"/>
        <v>0</v>
      </c>
      <c r="Z82" s="72">
        <f t="shared" si="20"/>
        <v>0</v>
      </c>
      <c r="AA82" s="72">
        <f t="shared" si="20"/>
        <v>0</v>
      </c>
      <c r="AB82" s="72">
        <f t="shared" si="20"/>
        <v>0</v>
      </c>
      <c r="AC82" s="72">
        <f t="shared" si="20"/>
        <v>0</v>
      </c>
      <c r="AD82" s="72">
        <f t="shared" si="20"/>
        <v>0</v>
      </c>
      <c r="AE82" s="72">
        <f t="shared" si="20"/>
        <v>0</v>
      </c>
      <c r="AF82" s="72">
        <f t="shared" si="20"/>
        <v>0</v>
      </c>
      <c r="AG82" s="78">
        <f t="shared" si="20"/>
        <v>0</v>
      </c>
      <c r="AH82" s="54">
        <f t="shared" si="14"/>
        <v>0</v>
      </c>
      <c r="AI82" s="55">
        <f t="shared" si="15"/>
        <v>0</v>
      </c>
      <c r="AK82" s="56"/>
    </row>
    <row r="83" spans="1:88" s="1" customFormat="1" ht="15.75" thickBot="1" x14ac:dyDescent="0.3">
      <c r="A83" s="71" t="s">
        <v>88</v>
      </c>
      <c r="B83" s="72">
        <v>2011.8799999999999</v>
      </c>
      <c r="C83" s="72">
        <f t="shared" ref="C83:AG83" si="21">SUM(C70:C82)</f>
        <v>1861.48</v>
      </c>
      <c r="D83" s="72">
        <f t="shared" si="21"/>
        <v>1823.8799999999999</v>
      </c>
      <c r="E83" s="72">
        <f t="shared" si="21"/>
        <v>1795.48</v>
      </c>
      <c r="F83" s="72">
        <f t="shared" si="21"/>
        <v>1794.6799999999998</v>
      </c>
      <c r="G83" s="72">
        <f t="shared" si="21"/>
        <v>1910.28</v>
      </c>
      <c r="H83" s="72">
        <f t="shared" si="21"/>
        <v>2004.08</v>
      </c>
      <c r="I83" s="72">
        <f t="shared" si="21"/>
        <v>2202.2799999999997</v>
      </c>
      <c r="J83" s="72">
        <f t="shared" si="21"/>
        <v>2488.2799999999997</v>
      </c>
      <c r="K83" s="72">
        <f t="shared" si="21"/>
        <v>2704.6800000000003</v>
      </c>
      <c r="L83" s="72">
        <f t="shared" si="21"/>
        <v>2856.08</v>
      </c>
      <c r="M83" s="72">
        <f t="shared" si="21"/>
        <v>2823.2799999999997</v>
      </c>
      <c r="N83" s="72">
        <f t="shared" si="21"/>
        <v>2716.48</v>
      </c>
      <c r="O83" s="72">
        <f t="shared" si="21"/>
        <v>2611.48</v>
      </c>
      <c r="P83" s="72">
        <f t="shared" si="21"/>
        <v>2521.6800000000003</v>
      </c>
      <c r="Q83" s="72">
        <f t="shared" si="21"/>
        <v>2472.6799999999998</v>
      </c>
      <c r="R83" s="72">
        <f t="shared" si="21"/>
        <v>2314.88</v>
      </c>
      <c r="S83" s="72">
        <f t="shared" si="21"/>
        <v>2275.48</v>
      </c>
      <c r="T83" s="72">
        <f t="shared" si="21"/>
        <v>2293.2800000000002</v>
      </c>
      <c r="U83" s="72">
        <f t="shared" si="21"/>
        <v>2290.88</v>
      </c>
      <c r="V83" s="72">
        <f t="shared" si="21"/>
        <v>2390.2800000000002</v>
      </c>
      <c r="W83" s="72">
        <f t="shared" si="21"/>
        <v>2390.2800000000002</v>
      </c>
      <c r="X83" s="72">
        <f t="shared" si="21"/>
        <v>2562.88</v>
      </c>
      <c r="Y83" s="72">
        <f t="shared" si="21"/>
        <v>2929.6800000000003</v>
      </c>
      <c r="Z83" s="72">
        <f t="shared" si="21"/>
        <v>2941.48</v>
      </c>
      <c r="AA83" s="72">
        <f t="shared" si="21"/>
        <v>2737.88</v>
      </c>
      <c r="AB83" s="72">
        <f t="shared" si="21"/>
        <v>2634.88</v>
      </c>
      <c r="AC83" s="72">
        <f t="shared" si="21"/>
        <v>2557.88</v>
      </c>
      <c r="AD83" s="72">
        <f t="shared" si="21"/>
        <v>2378.48</v>
      </c>
      <c r="AE83" s="72">
        <f t="shared" si="21"/>
        <v>2093.48</v>
      </c>
      <c r="AF83" s="72">
        <f t="shared" si="21"/>
        <v>1918.08</v>
      </c>
      <c r="AG83" s="78">
        <f t="shared" si="21"/>
        <v>4360.08</v>
      </c>
      <c r="AH83" s="54">
        <f t="shared" si="14"/>
        <v>2941.48</v>
      </c>
      <c r="AI83" s="55">
        <f t="shared" si="15"/>
        <v>1794.6799999999998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49.96</v>
      </c>
      <c r="C84" s="95">
        <v>49.96</v>
      </c>
      <c r="D84" s="95">
        <v>50.01</v>
      </c>
      <c r="E84" s="96">
        <v>50.04</v>
      </c>
      <c r="F84" s="96">
        <v>49.984000000000002</v>
      </c>
      <c r="G84" s="96">
        <v>50.02</v>
      </c>
      <c r="H84" s="96">
        <v>49.875</v>
      </c>
      <c r="I84" s="96">
        <v>49.972999999999999</v>
      </c>
      <c r="J84" s="96">
        <v>50.048000000000002</v>
      </c>
      <c r="K84" s="96">
        <v>49.996000000000002</v>
      </c>
      <c r="L84" s="96">
        <v>49.886000000000003</v>
      </c>
      <c r="M84" s="96">
        <v>50.05</v>
      </c>
      <c r="N84" s="96">
        <v>50.02</v>
      </c>
      <c r="O84" s="96">
        <v>50.015000000000001</v>
      </c>
      <c r="P84" s="96">
        <v>50.076999999999998</v>
      </c>
      <c r="Q84" s="96">
        <v>49.912999999999997</v>
      </c>
      <c r="R84" s="96">
        <v>50.064999999999998</v>
      </c>
      <c r="S84" s="96">
        <v>50.084000000000003</v>
      </c>
      <c r="T84" s="96">
        <v>49.933999999999997</v>
      </c>
      <c r="U84" s="96">
        <v>49.923999999999999</v>
      </c>
      <c r="V84" s="96">
        <v>49.82</v>
      </c>
      <c r="W84" s="96">
        <v>49.82</v>
      </c>
      <c r="X84" s="96">
        <v>49.82</v>
      </c>
      <c r="Y84" s="96">
        <v>49.951000000000001</v>
      </c>
      <c r="Z84" s="96">
        <v>49.914999999999999</v>
      </c>
      <c r="AA84" s="96">
        <v>49.978000000000002</v>
      </c>
      <c r="AB84" s="96">
        <v>50.029000000000003</v>
      </c>
      <c r="AC84" s="96">
        <v>50.029000000000003</v>
      </c>
      <c r="AD84" s="96">
        <v>49.95</v>
      </c>
      <c r="AE84" s="96">
        <v>49.96</v>
      </c>
      <c r="AF84" s="96">
        <v>49.901000000000003</v>
      </c>
      <c r="AG84" s="97"/>
      <c r="AH84" s="54">
        <f t="shared" si="14"/>
        <v>50.084000000000003</v>
      </c>
      <c r="AI84" s="55">
        <f t="shared" si="15"/>
        <v>49.82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122.6</v>
      </c>
      <c r="C85" s="99">
        <v>122.6</v>
      </c>
      <c r="D85" s="99">
        <v>123.2</v>
      </c>
      <c r="E85" s="73">
        <v>124.6</v>
      </c>
      <c r="F85" s="73">
        <v>124.1</v>
      </c>
      <c r="G85" s="73">
        <v>123.2</v>
      </c>
      <c r="H85" s="73">
        <v>123.3</v>
      </c>
      <c r="I85" s="73">
        <v>123.6</v>
      </c>
      <c r="J85" s="73">
        <v>125.3</v>
      </c>
      <c r="K85" s="73">
        <v>123.3</v>
      </c>
      <c r="L85" s="73">
        <v>123.2</v>
      </c>
      <c r="M85" s="73">
        <v>124.7</v>
      </c>
      <c r="N85" s="73">
        <v>124.1</v>
      </c>
      <c r="O85" s="73">
        <v>122.9</v>
      </c>
      <c r="P85" s="73">
        <v>123.2</v>
      </c>
      <c r="Q85" s="73">
        <v>123.9</v>
      </c>
      <c r="R85" s="73">
        <v>122</v>
      </c>
      <c r="S85" s="73">
        <v>126.2</v>
      </c>
      <c r="T85" s="73">
        <v>124.1</v>
      </c>
      <c r="U85" s="100">
        <v>124</v>
      </c>
      <c r="V85" s="100">
        <v>124.6</v>
      </c>
      <c r="W85" s="100">
        <v>124.6</v>
      </c>
      <c r="X85" s="100">
        <v>124.6</v>
      </c>
      <c r="Y85" s="100">
        <v>125.9</v>
      </c>
      <c r="Z85" s="100">
        <v>125.8</v>
      </c>
      <c r="AA85" s="100">
        <v>126.7</v>
      </c>
      <c r="AB85" s="73">
        <v>128.1</v>
      </c>
      <c r="AC85" s="73">
        <v>128.1</v>
      </c>
      <c r="AD85" s="73">
        <v>127.4</v>
      </c>
      <c r="AE85" s="73">
        <v>128.19999999999999</v>
      </c>
      <c r="AF85" s="73">
        <v>124.9</v>
      </c>
      <c r="AG85" s="101"/>
      <c r="AH85" s="54">
        <f t="shared" si="14"/>
        <v>128.19999999999999</v>
      </c>
      <c r="AI85" s="55">
        <f t="shared" si="15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127.1</v>
      </c>
      <c r="C86" s="99">
        <v>127.1</v>
      </c>
      <c r="D86" s="99">
        <v>127.8</v>
      </c>
      <c r="E86" s="73">
        <v>129.19999999999999</v>
      </c>
      <c r="F86" s="73">
        <v>128.6</v>
      </c>
      <c r="G86" s="73">
        <v>127.8</v>
      </c>
      <c r="H86" s="73">
        <v>127.4</v>
      </c>
      <c r="I86" s="73">
        <v>127.4</v>
      </c>
      <c r="J86" s="73">
        <v>128.30000000000001</v>
      </c>
      <c r="K86" s="73">
        <v>126.9</v>
      </c>
      <c r="L86" s="73">
        <v>126.2</v>
      </c>
      <c r="M86" s="73">
        <v>127.5</v>
      </c>
      <c r="N86" s="73">
        <v>127.1</v>
      </c>
      <c r="O86" s="73">
        <v>125.1</v>
      </c>
      <c r="P86" s="73">
        <v>125.4</v>
      </c>
      <c r="Q86" s="73">
        <v>125.4</v>
      </c>
      <c r="R86" s="73">
        <v>123.8</v>
      </c>
      <c r="S86" s="73">
        <v>127.2</v>
      </c>
      <c r="T86" s="73">
        <v>125.6</v>
      </c>
      <c r="U86" s="100">
        <v>126</v>
      </c>
      <c r="V86" s="100">
        <v>126.9</v>
      </c>
      <c r="W86" s="100">
        <v>126.9</v>
      </c>
      <c r="X86" s="100">
        <v>126.9</v>
      </c>
      <c r="Y86" s="100">
        <v>128.69999999999999</v>
      </c>
      <c r="Z86" s="100">
        <v>128</v>
      </c>
      <c r="AA86" s="100">
        <v>129.19999999999999</v>
      </c>
      <c r="AB86" s="73">
        <v>130.6</v>
      </c>
      <c r="AC86" s="73">
        <v>130.6</v>
      </c>
      <c r="AD86" s="73">
        <v>129.19999999999999</v>
      </c>
      <c r="AE86" s="73">
        <v>130.69999999999999</v>
      </c>
      <c r="AF86" s="73">
        <v>129.19999999999999</v>
      </c>
      <c r="AG86" s="101"/>
      <c r="AH86" s="54">
        <f t="shared" si="14"/>
        <v>130.69999999999999</v>
      </c>
      <c r="AI86" s="55">
        <f t="shared" si="15"/>
        <v>123.8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129.5</v>
      </c>
      <c r="C87" s="99">
        <v>129.5</v>
      </c>
      <c r="D87" s="99">
        <v>130.4</v>
      </c>
      <c r="E87" s="73">
        <v>130.5</v>
      </c>
      <c r="F87" s="73">
        <v>130.4</v>
      </c>
      <c r="G87" s="73">
        <v>129.6</v>
      </c>
      <c r="H87" s="73">
        <v>129.5</v>
      </c>
      <c r="I87" s="73">
        <v>129.69999999999999</v>
      </c>
      <c r="J87" s="73">
        <v>124.7</v>
      </c>
      <c r="K87" s="73">
        <v>124.6</v>
      </c>
      <c r="L87" s="73">
        <v>122.9</v>
      </c>
      <c r="M87" s="73">
        <v>124.2</v>
      </c>
      <c r="N87" s="73">
        <v>125.6</v>
      </c>
      <c r="O87" s="73">
        <v>127.8</v>
      </c>
      <c r="P87" s="73">
        <v>126.7</v>
      </c>
      <c r="Q87" s="73">
        <v>120.1</v>
      </c>
      <c r="R87" s="73">
        <v>130.4</v>
      </c>
      <c r="S87" s="73">
        <v>129.1</v>
      </c>
      <c r="T87" s="73">
        <v>129.19999999999999</v>
      </c>
      <c r="U87" s="73">
        <v>127</v>
      </c>
      <c r="V87" s="73">
        <v>127</v>
      </c>
      <c r="W87" s="73">
        <v>127</v>
      </c>
      <c r="X87" s="73">
        <v>127</v>
      </c>
      <c r="Y87" s="100">
        <v>126.2</v>
      </c>
      <c r="Z87" s="100">
        <v>129.4</v>
      </c>
      <c r="AA87" s="100">
        <v>131.19999999999999</v>
      </c>
      <c r="AB87" s="73">
        <v>131.19999999999999</v>
      </c>
      <c r="AC87" s="73">
        <v>131.19999999999999</v>
      </c>
      <c r="AD87" s="73">
        <v>129</v>
      </c>
      <c r="AE87" s="73">
        <v>130.30000000000001</v>
      </c>
      <c r="AF87" s="73">
        <v>130.4</v>
      </c>
      <c r="AG87" s="101"/>
      <c r="AH87" s="54">
        <f t="shared" si="14"/>
        <v>131.19999999999999</v>
      </c>
      <c r="AI87" s="55">
        <f t="shared" si="15"/>
        <v>120.1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132.6</v>
      </c>
      <c r="C88" s="99">
        <v>132.6</v>
      </c>
      <c r="D88" s="99">
        <v>133.4</v>
      </c>
      <c r="E88" s="73">
        <v>133.30000000000001</v>
      </c>
      <c r="F88" s="73">
        <v>133.5</v>
      </c>
      <c r="G88" s="73">
        <v>132.5</v>
      </c>
      <c r="H88" s="73">
        <v>131.9</v>
      </c>
      <c r="I88" s="73">
        <v>131.69999999999999</v>
      </c>
      <c r="J88" s="73">
        <v>129.19999999999999</v>
      </c>
      <c r="K88" s="73">
        <v>128.30000000000001</v>
      </c>
      <c r="L88" s="73">
        <v>126.4</v>
      </c>
      <c r="M88" s="73">
        <v>126.7</v>
      </c>
      <c r="N88" s="73">
        <v>127.7</v>
      </c>
      <c r="O88" s="73">
        <v>130.4</v>
      </c>
      <c r="P88" s="73">
        <v>130</v>
      </c>
      <c r="Q88" s="73">
        <v>133.19999999999999</v>
      </c>
      <c r="R88" s="73">
        <v>134.80000000000001</v>
      </c>
      <c r="S88" s="73">
        <v>132.6</v>
      </c>
      <c r="T88" s="73">
        <v>132.5</v>
      </c>
      <c r="U88" s="73">
        <v>130.80000000000001</v>
      </c>
      <c r="V88" s="73">
        <v>130.80000000000001</v>
      </c>
      <c r="W88" s="73">
        <v>130.80000000000001</v>
      </c>
      <c r="X88" s="73">
        <v>130.80000000000001</v>
      </c>
      <c r="Y88" s="100">
        <v>129.1</v>
      </c>
      <c r="Z88" s="100">
        <v>132.80000000000001</v>
      </c>
      <c r="AA88" s="100">
        <v>135.1</v>
      </c>
      <c r="AB88" s="73">
        <v>134.19999999999999</v>
      </c>
      <c r="AC88" s="73">
        <v>134.19999999999999</v>
      </c>
      <c r="AD88" s="73">
        <v>131.5</v>
      </c>
      <c r="AE88" s="73">
        <v>132.6</v>
      </c>
      <c r="AF88" s="73">
        <v>132.9</v>
      </c>
      <c r="AG88" s="101"/>
      <c r="AH88" s="54">
        <f t="shared" si="14"/>
        <v>135.1</v>
      </c>
      <c r="AI88" s="55">
        <f t="shared" si="15"/>
        <v>126.4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129</v>
      </c>
      <c r="C89" s="103">
        <v>129</v>
      </c>
      <c r="D89" s="103">
        <v>125.6</v>
      </c>
      <c r="E89" s="104">
        <v>132.4</v>
      </c>
      <c r="F89" s="104">
        <v>127.7</v>
      </c>
      <c r="G89" s="104">
        <v>130.1</v>
      </c>
      <c r="H89" s="104">
        <v>128.5</v>
      </c>
      <c r="I89" s="104">
        <v>128.19999999999999</v>
      </c>
      <c r="J89" s="104">
        <v>135.80000000000001</v>
      </c>
      <c r="K89" s="104">
        <v>132</v>
      </c>
      <c r="L89" s="104">
        <v>133.5</v>
      </c>
      <c r="M89" s="104">
        <v>136.1</v>
      </c>
      <c r="N89" s="104">
        <v>136.1</v>
      </c>
      <c r="O89" s="104">
        <v>134.9</v>
      </c>
      <c r="P89" s="104">
        <v>132.9</v>
      </c>
      <c r="Q89" s="104">
        <v>132.5</v>
      </c>
      <c r="R89" s="104">
        <v>132.30000000000001</v>
      </c>
      <c r="S89" s="104">
        <v>136.1</v>
      </c>
      <c r="T89" s="104">
        <v>135.5</v>
      </c>
      <c r="U89" s="104">
        <v>131.5</v>
      </c>
      <c r="V89" s="104">
        <v>131.5</v>
      </c>
      <c r="W89" s="104">
        <v>131.5</v>
      </c>
      <c r="X89" s="104">
        <v>131.5</v>
      </c>
      <c r="Y89" s="100">
        <v>134.80000000000001</v>
      </c>
      <c r="Z89" s="100">
        <v>132.80000000000001</v>
      </c>
      <c r="AA89" s="100">
        <v>132.9</v>
      </c>
      <c r="AB89" s="104">
        <v>135.5</v>
      </c>
      <c r="AC89" s="104">
        <v>135.5</v>
      </c>
      <c r="AD89" s="104">
        <v>134.5</v>
      </c>
      <c r="AE89" s="104">
        <v>131.1</v>
      </c>
      <c r="AF89" s="104">
        <v>127.4</v>
      </c>
      <c r="AG89" s="105"/>
      <c r="AH89" s="54">
        <f t="shared" si="14"/>
        <v>136.1</v>
      </c>
      <c r="AI89" s="55">
        <f t="shared" si="15"/>
        <v>125.6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133.6</v>
      </c>
      <c r="C90" s="99">
        <v>133.6</v>
      </c>
      <c r="D90" s="99">
        <v>137.30000000000001</v>
      </c>
      <c r="E90" s="73">
        <v>137.1</v>
      </c>
      <c r="F90" s="73">
        <v>137</v>
      </c>
      <c r="G90" s="73">
        <v>135.4</v>
      </c>
      <c r="H90" s="73">
        <v>135.19999999999999</v>
      </c>
      <c r="I90" s="73">
        <v>131.5</v>
      </c>
      <c r="J90" s="73">
        <v>130.69999999999999</v>
      </c>
      <c r="K90" s="73">
        <v>132.6</v>
      </c>
      <c r="L90" s="73">
        <v>135.69999999999999</v>
      </c>
      <c r="M90" s="73">
        <v>132.19999999999999</v>
      </c>
      <c r="N90" s="73">
        <v>131.69999999999999</v>
      </c>
      <c r="O90" s="73">
        <v>129</v>
      </c>
      <c r="P90" s="73">
        <v>131</v>
      </c>
      <c r="Q90" s="73">
        <v>133.30000000000001</v>
      </c>
      <c r="R90" s="73">
        <v>136.6</v>
      </c>
      <c r="S90" s="73">
        <v>130.80000000000001</v>
      </c>
      <c r="T90" s="73">
        <v>132.5</v>
      </c>
      <c r="U90" s="73">
        <v>133.4</v>
      </c>
      <c r="V90" s="73">
        <v>133.4</v>
      </c>
      <c r="W90" s="73">
        <v>133.4</v>
      </c>
      <c r="X90" s="73">
        <v>133.4</v>
      </c>
      <c r="Y90" s="100">
        <v>132.4</v>
      </c>
      <c r="Z90" s="100">
        <v>132.6</v>
      </c>
      <c r="AA90" s="100">
        <v>135.69999999999999</v>
      </c>
      <c r="AB90" s="73">
        <v>133</v>
      </c>
      <c r="AC90" s="73">
        <v>133</v>
      </c>
      <c r="AD90" s="73">
        <v>134.4</v>
      </c>
      <c r="AE90" s="73">
        <v>135</v>
      </c>
      <c r="AF90" s="73">
        <v>133.69999999999999</v>
      </c>
      <c r="AG90" s="101"/>
      <c r="AH90" s="54">
        <f t="shared" si="14"/>
        <v>137.30000000000001</v>
      </c>
      <c r="AI90" s="55">
        <f t="shared" si="15"/>
        <v>129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64.5</v>
      </c>
      <c r="C91" s="106">
        <v>64.5</v>
      </c>
      <c r="D91" s="106">
        <v>64.8</v>
      </c>
      <c r="E91" s="107">
        <v>65.400000000000006</v>
      </c>
      <c r="F91" s="107">
        <v>65.099999999999994</v>
      </c>
      <c r="G91" s="107">
        <v>64.7</v>
      </c>
      <c r="H91" s="107">
        <v>64.5</v>
      </c>
      <c r="I91" s="107">
        <v>64.900000000000006</v>
      </c>
      <c r="J91" s="107">
        <v>65.2</v>
      </c>
      <c r="K91" s="107">
        <v>64.5</v>
      </c>
      <c r="L91" s="107">
        <v>63.9</v>
      </c>
      <c r="M91" s="107">
        <v>64.400000000000006</v>
      </c>
      <c r="N91" s="107">
        <v>64.400000000000006</v>
      </c>
      <c r="O91" s="107">
        <v>63.2</v>
      </c>
      <c r="P91" s="107">
        <v>63.6</v>
      </c>
      <c r="Q91" s="107">
        <v>62.9</v>
      </c>
      <c r="R91" s="107">
        <v>62</v>
      </c>
      <c r="S91" s="107">
        <v>64.099999999999994</v>
      </c>
      <c r="T91" s="107">
        <v>63.2</v>
      </c>
      <c r="U91" s="107">
        <v>63.6</v>
      </c>
      <c r="V91" s="107">
        <v>63.6</v>
      </c>
      <c r="W91" s="107">
        <v>63.6</v>
      </c>
      <c r="X91" s="107">
        <v>63.6</v>
      </c>
      <c r="Y91" s="107">
        <v>65.2</v>
      </c>
      <c r="Z91" s="107">
        <v>64.599999999999994</v>
      </c>
      <c r="AA91" s="107">
        <v>65.099999999999994</v>
      </c>
      <c r="AB91" s="107">
        <v>66.2</v>
      </c>
      <c r="AC91" s="107">
        <v>66.2</v>
      </c>
      <c r="AD91" s="107">
        <v>65</v>
      </c>
      <c r="AE91" s="107">
        <v>66</v>
      </c>
      <c r="AF91" s="107">
        <v>65.5</v>
      </c>
      <c r="AG91" s="108"/>
      <c r="AH91" s="54">
        <f t="shared" si="14"/>
        <v>66.2</v>
      </c>
      <c r="AI91" s="55">
        <f t="shared" si="15"/>
        <v>62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171.33999999999995</v>
      </c>
      <c r="C93" s="114">
        <f>SUM(C15,C18,C21:C22,C42,C44:C45,C47,C49,C94:C97,C102,C108,C114,C123,C125,C137,C144,C147:C148,C155,C157,C159,C163:C165,C167:C169,C174,C180:C181,C183:C185,C193,C198)</f>
        <v>170.43999999999994</v>
      </c>
      <c r="D93" s="114">
        <f t="shared" ref="D93:AF93" si="22">SUM(D15,D18,D21:D22,D42,D44:D45,D47,D49,D94:D97,D102,D108,D114,D123,D125,D137,D144,D147:D148,D155,D157,D159,D163:D165,D167:D169,D174,D180:D181,D183:D185,D193,D198)</f>
        <v>163.33999999999997</v>
      </c>
      <c r="E93" s="114">
        <f t="shared" si="22"/>
        <v>165.44</v>
      </c>
      <c r="F93" s="114">
        <f t="shared" si="22"/>
        <v>166.43999999999997</v>
      </c>
      <c r="G93" s="113">
        <f t="shared" si="22"/>
        <v>196.23999999999995</v>
      </c>
      <c r="H93" s="113">
        <f t="shared" si="22"/>
        <v>215.13999999999993</v>
      </c>
      <c r="I93" s="113">
        <f t="shared" si="22"/>
        <v>242.23999999999995</v>
      </c>
      <c r="J93" s="113">
        <f t="shared" si="22"/>
        <v>330.74</v>
      </c>
      <c r="K93" s="113">
        <f t="shared" si="22"/>
        <v>341.84000000000003</v>
      </c>
      <c r="L93" s="113">
        <f t="shared" si="22"/>
        <v>368.34000000000003</v>
      </c>
      <c r="M93" s="113">
        <f t="shared" si="22"/>
        <v>368.34000000000003</v>
      </c>
      <c r="N93" s="113">
        <f t="shared" si="22"/>
        <v>343.44000000000005</v>
      </c>
      <c r="O93" s="113">
        <f t="shared" si="22"/>
        <v>328.34000000000003</v>
      </c>
      <c r="P93" s="113">
        <f t="shared" si="22"/>
        <v>318.44</v>
      </c>
      <c r="Q93" s="113">
        <f t="shared" si="22"/>
        <v>317.64000000000004</v>
      </c>
      <c r="R93" s="113">
        <f t="shared" si="22"/>
        <v>290.14</v>
      </c>
      <c r="S93" s="113">
        <f t="shared" si="22"/>
        <v>286.64</v>
      </c>
      <c r="T93" s="113">
        <f t="shared" si="22"/>
        <v>287.24</v>
      </c>
      <c r="U93" s="113">
        <f t="shared" si="22"/>
        <v>295.94000000000005</v>
      </c>
      <c r="V93" s="113">
        <f t="shared" si="22"/>
        <v>301.64000000000004</v>
      </c>
      <c r="W93" s="113">
        <f t="shared" si="22"/>
        <v>301.64000000000004</v>
      </c>
      <c r="X93" s="113">
        <f t="shared" si="22"/>
        <v>341.84000000000003</v>
      </c>
      <c r="Y93" s="113">
        <f t="shared" si="22"/>
        <v>365.04</v>
      </c>
      <c r="Z93" s="113">
        <f t="shared" si="22"/>
        <v>407.84000000000003</v>
      </c>
      <c r="AA93" s="113">
        <f t="shared" si="22"/>
        <v>381.84000000000003</v>
      </c>
      <c r="AB93" s="113">
        <f t="shared" si="22"/>
        <v>340.14000000000004</v>
      </c>
      <c r="AC93" s="113">
        <f>SUM(AC15,AC18,AC21:AC22,AC42,AC44:AC45,AC47,AC49,AC94:AC97,AC102,AC108,AC114,AC123,AC125,AC137,AC144,AC147:AC148,AC155,AC157,AC159,AC163:AC165,AC167:AC169,AC174,AC180:AC181,AC183:AC185,AC193,AC198)</f>
        <v>340.04</v>
      </c>
      <c r="AD93" s="113">
        <f>SUM(AD15,AD18,AD21:AD22,AD42,AD44:AD45,AD47,AD49,AD94:AD97,AD102,AD108,AD114,AD123,AD125,AD137,AD144,AD147:AD148,AD155,AD157,AD159,AD163:AD165,AD167:AD169,AD174,AD180:AD181,AD183:AD185,AD193,AD198)</f>
        <v>303.54000000000008</v>
      </c>
      <c r="AE93" s="113">
        <f t="shared" si="22"/>
        <v>247.94</v>
      </c>
      <c r="AF93" s="113">
        <f t="shared" si="22"/>
        <v>199.53999999999996</v>
      </c>
      <c r="AG93" s="115"/>
      <c r="AH93" s="54">
        <f>MAX(C93:AF93)</f>
        <v>407.84000000000003</v>
      </c>
      <c r="AI93" s="55">
        <f>MIN(C93:AF93)</f>
        <v>163.33999999999997</v>
      </c>
    </row>
    <row r="94" spans="1:88" x14ac:dyDescent="0.25">
      <c r="A94" s="116" t="s">
        <v>98</v>
      </c>
      <c r="B94" s="117">
        <v>-35.6</v>
      </c>
      <c r="C94" s="117">
        <v>-34.6</v>
      </c>
      <c r="D94" s="117">
        <v>-43.2</v>
      </c>
      <c r="E94" s="58">
        <v>-33.6</v>
      </c>
      <c r="F94" s="58">
        <v>-46</v>
      </c>
      <c r="G94" s="118">
        <v>-32.799999999999997</v>
      </c>
      <c r="H94" s="118">
        <v>-36.6</v>
      </c>
      <c r="I94" s="118">
        <v>-31.6</v>
      </c>
      <c r="J94" s="118">
        <v>25</v>
      </c>
      <c r="K94" s="118">
        <v>27.2</v>
      </c>
      <c r="L94" s="118">
        <v>30.3</v>
      </c>
      <c r="M94" s="119">
        <v>34.700000000000003</v>
      </c>
      <c r="N94" s="118">
        <v>34.5</v>
      </c>
      <c r="O94" s="118">
        <v>0</v>
      </c>
      <c r="P94" s="118">
        <v>0</v>
      </c>
      <c r="Q94" s="118">
        <v>0</v>
      </c>
      <c r="R94" s="118">
        <v>0</v>
      </c>
      <c r="S94" s="118">
        <v>0</v>
      </c>
      <c r="T94" s="118">
        <v>0</v>
      </c>
      <c r="U94" s="119">
        <v>14</v>
      </c>
      <c r="V94" s="119">
        <v>2</v>
      </c>
      <c r="W94" s="119">
        <v>2</v>
      </c>
      <c r="X94" s="119">
        <v>34.9</v>
      </c>
      <c r="Y94" s="118">
        <v>31.5</v>
      </c>
      <c r="Z94" s="118">
        <v>37.700000000000003</v>
      </c>
      <c r="AA94" s="118">
        <v>23.7</v>
      </c>
      <c r="AB94" s="119">
        <v>21.7</v>
      </c>
      <c r="AC94" s="119">
        <v>21.7</v>
      </c>
      <c r="AD94" s="119">
        <v>13.9</v>
      </c>
      <c r="AE94" s="119">
        <v>-8</v>
      </c>
      <c r="AF94" s="119">
        <v>-29.5</v>
      </c>
      <c r="AG94" s="120">
        <v>75</v>
      </c>
      <c r="AH94" s="54">
        <f t="shared" ref="AH94:AH99" si="23">IF(ABS(MAX(C94:AF94))&gt;ABS(MIN(C94:AF94)),MAX(C94:AF94),MIN(C94:AF94))</f>
        <v>-46</v>
      </c>
      <c r="AI94" s="121">
        <f t="shared" ref="AI94:AI99" si="24">INDEX($C$9:$AF$9,1,MATCH(AH94,C94:AF94,0))</f>
        <v>0.16666666666666699</v>
      </c>
    </row>
    <row r="95" spans="1:88" x14ac:dyDescent="0.25">
      <c r="A95" s="122" t="s">
        <v>99</v>
      </c>
      <c r="B95" s="123">
        <f>-17.6-19.8</f>
        <v>-37.400000000000006</v>
      </c>
      <c r="C95" s="123">
        <f>-18.2-20.1</f>
        <v>-38.299999999999997</v>
      </c>
      <c r="D95" s="123">
        <f>-17.2-19.6</f>
        <v>-36.799999999999997</v>
      </c>
      <c r="E95" s="60">
        <v>-38</v>
      </c>
      <c r="F95" s="60">
        <v>-34</v>
      </c>
      <c r="G95" s="60">
        <v>-18</v>
      </c>
      <c r="H95" s="60">
        <v>-4</v>
      </c>
      <c r="I95" s="60">
        <v>5</v>
      </c>
      <c r="J95" s="60">
        <v>25</v>
      </c>
      <c r="K95" s="60">
        <v>41</v>
      </c>
      <c r="L95" s="60">
        <v>38</v>
      </c>
      <c r="M95" s="60">
        <f>18.3+15.8</f>
        <v>34.1</v>
      </c>
      <c r="N95" s="60">
        <v>28</v>
      </c>
      <c r="O95" s="60">
        <v>55</v>
      </c>
      <c r="P95" s="60">
        <v>51</v>
      </c>
      <c r="Q95" s="60">
        <v>56</v>
      </c>
      <c r="R95" s="60">
        <v>44</v>
      </c>
      <c r="S95" s="60">
        <v>43</v>
      </c>
      <c r="T95" s="60">
        <v>49</v>
      </c>
      <c r="U95" s="60">
        <v>45</v>
      </c>
      <c r="V95" s="60">
        <v>62</v>
      </c>
      <c r="W95" s="60">
        <v>62</v>
      </c>
      <c r="X95" s="60">
        <v>32</v>
      </c>
      <c r="Y95" s="60">
        <v>32</v>
      </c>
      <c r="Z95" s="60">
        <v>55</v>
      </c>
      <c r="AA95" s="60">
        <v>62</v>
      </c>
      <c r="AB95" s="73">
        <v>43</v>
      </c>
      <c r="AC95" s="73">
        <v>43</v>
      </c>
      <c r="AD95" s="73">
        <v>33.799999999999997</v>
      </c>
      <c r="AE95" s="73">
        <v>8</v>
      </c>
      <c r="AF95" s="73">
        <v>-22</v>
      </c>
      <c r="AG95" s="120">
        <v>240</v>
      </c>
      <c r="AH95" s="54">
        <f t="shared" si="23"/>
        <v>62</v>
      </c>
      <c r="AI95" s="121">
        <f t="shared" si="24"/>
        <v>0.70833333333333304</v>
      </c>
    </row>
    <row r="96" spans="1:88" x14ac:dyDescent="0.25">
      <c r="A96" s="122" t="s">
        <v>100</v>
      </c>
      <c r="B96" s="123">
        <v>-9.5</v>
      </c>
      <c r="C96" s="123">
        <v>-10.5</v>
      </c>
      <c r="D96" s="123">
        <v>-9.9</v>
      </c>
      <c r="E96" s="60">
        <v>-11.7</v>
      </c>
      <c r="F96" s="60">
        <v>-7.1</v>
      </c>
      <c r="G96" s="60">
        <v>-7.7</v>
      </c>
      <c r="H96" s="60">
        <v>-4.4000000000000004</v>
      </c>
      <c r="I96" s="60">
        <v>-1</v>
      </c>
      <c r="J96" s="60">
        <v>12</v>
      </c>
      <c r="K96" s="60">
        <v>26.9</v>
      </c>
      <c r="L96" s="60">
        <v>37.4</v>
      </c>
      <c r="M96" s="60">
        <v>36.9</v>
      </c>
      <c r="N96" s="60">
        <v>26.9</v>
      </c>
      <c r="O96" s="60">
        <v>16.600000000000001</v>
      </c>
      <c r="P96" s="60">
        <v>19.100000000000001</v>
      </c>
      <c r="Q96" s="60">
        <v>13</v>
      </c>
      <c r="R96" s="60">
        <v>5.0999999999999996</v>
      </c>
      <c r="S96" s="60">
        <v>4.8</v>
      </c>
      <c r="T96" s="60">
        <v>4.3</v>
      </c>
      <c r="U96" s="60">
        <v>0</v>
      </c>
      <c r="V96" s="60">
        <v>0</v>
      </c>
      <c r="W96" s="60">
        <v>0</v>
      </c>
      <c r="X96" s="60">
        <v>33</v>
      </c>
      <c r="Y96" s="60">
        <v>41.7</v>
      </c>
      <c r="Z96" s="60">
        <v>46.5</v>
      </c>
      <c r="AA96" s="60">
        <v>41.1</v>
      </c>
      <c r="AB96" s="73">
        <v>25.7</v>
      </c>
      <c r="AC96" s="73">
        <v>25.7</v>
      </c>
      <c r="AD96" s="73">
        <v>0</v>
      </c>
      <c r="AE96" s="73">
        <v>0</v>
      </c>
      <c r="AF96" s="73">
        <v>-4.8</v>
      </c>
      <c r="AG96" s="120">
        <v>60</v>
      </c>
      <c r="AH96" s="54">
        <f t="shared" si="23"/>
        <v>46.5</v>
      </c>
      <c r="AI96" s="121">
        <f t="shared" si="24"/>
        <v>0.79166666666666663</v>
      </c>
    </row>
    <row r="97" spans="1:37" x14ac:dyDescent="0.25">
      <c r="A97" s="124" t="s">
        <v>101</v>
      </c>
      <c r="B97" s="125">
        <v>98</v>
      </c>
      <c r="C97" s="125">
        <v>98</v>
      </c>
      <c r="D97" s="125">
        <v>97.4</v>
      </c>
      <c r="E97" s="63">
        <v>94.9</v>
      </c>
      <c r="F97" s="63">
        <v>99.7</v>
      </c>
      <c r="G97" s="63">
        <v>103.6</v>
      </c>
      <c r="H97" s="63">
        <v>108.3</v>
      </c>
      <c r="I97" s="63">
        <v>118.5</v>
      </c>
      <c r="J97" s="63">
        <v>117</v>
      </c>
      <c r="K97" s="63">
        <v>95</v>
      </c>
      <c r="L97" s="63">
        <v>108.9</v>
      </c>
      <c r="M97" s="63">
        <v>109.7</v>
      </c>
      <c r="N97" s="63">
        <v>101.1</v>
      </c>
      <c r="O97" s="63">
        <v>103.8</v>
      </c>
      <c r="P97" s="63">
        <v>97.3</v>
      </c>
      <c r="Q97" s="63">
        <v>98</v>
      </c>
      <c r="R97" s="63">
        <v>87.8</v>
      </c>
      <c r="S97" s="63">
        <v>85.6</v>
      </c>
      <c r="T97" s="63">
        <v>81</v>
      </c>
      <c r="U97" s="63">
        <v>84</v>
      </c>
      <c r="V97" s="63">
        <v>87</v>
      </c>
      <c r="W97" s="63">
        <v>87</v>
      </c>
      <c r="X97" s="63">
        <v>91.3</v>
      </c>
      <c r="Y97" s="63">
        <v>99.5</v>
      </c>
      <c r="Z97" s="63">
        <v>107</v>
      </c>
      <c r="AA97" s="63">
        <v>93.6</v>
      </c>
      <c r="AB97" s="126">
        <v>98.8</v>
      </c>
      <c r="AC97" s="126">
        <v>98.8</v>
      </c>
      <c r="AD97" s="126">
        <v>103.9</v>
      </c>
      <c r="AE97" s="126">
        <v>92.9</v>
      </c>
      <c r="AF97" s="126">
        <v>99.8</v>
      </c>
      <c r="AG97" s="127">
        <v>120</v>
      </c>
      <c r="AH97" s="54">
        <f t="shared" si="23"/>
        <v>118.5</v>
      </c>
      <c r="AI97" s="121">
        <f t="shared" si="24"/>
        <v>0.25</v>
      </c>
    </row>
    <row r="98" spans="1:37" x14ac:dyDescent="0.25">
      <c r="A98" s="124" t="s">
        <v>102</v>
      </c>
      <c r="B98" s="125">
        <v>106.5</v>
      </c>
      <c r="C98" s="125">
        <v>95</v>
      </c>
      <c r="D98" s="125">
        <v>105.8</v>
      </c>
      <c r="E98" s="63">
        <v>102.7</v>
      </c>
      <c r="F98" s="63">
        <v>104.9</v>
      </c>
      <c r="G98" s="63">
        <v>108.5</v>
      </c>
      <c r="H98" s="63">
        <v>94</v>
      </c>
      <c r="I98" s="63">
        <v>102.4</v>
      </c>
      <c r="J98" s="63">
        <v>96</v>
      </c>
      <c r="K98" s="63">
        <v>102</v>
      </c>
      <c r="L98" s="63">
        <v>94</v>
      </c>
      <c r="M98" s="63">
        <v>82.8</v>
      </c>
      <c r="N98" s="63">
        <v>85.5</v>
      </c>
      <c r="O98" s="63">
        <v>81.3</v>
      </c>
      <c r="P98" s="63">
        <v>91</v>
      </c>
      <c r="Q98" s="63">
        <v>92</v>
      </c>
      <c r="R98" s="63">
        <v>102.1</v>
      </c>
      <c r="S98" s="63">
        <v>85.9</v>
      </c>
      <c r="T98" s="63">
        <v>94.1</v>
      </c>
      <c r="U98" s="63">
        <v>91.4</v>
      </c>
      <c r="V98" s="63">
        <v>104</v>
      </c>
      <c r="W98" s="63">
        <v>104</v>
      </c>
      <c r="X98" s="63">
        <v>72.8</v>
      </c>
      <c r="Y98" s="63">
        <v>95</v>
      </c>
      <c r="Z98" s="63">
        <v>80.900000000000006</v>
      </c>
      <c r="AA98" s="63">
        <v>93.2</v>
      </c>
      <c r="AB98" s="126">
        <v>81.2</v>
      </c>
      <c r="AC98" s="126">
        <v>81.2</v>
      </c>
      <c r="AD98" s="126">
        <v>84.4</v>
      </c>
      <c r="AE98" s="126">
        <v>80</v>
      </c>
      <c r="AF98" s="126">
        <v>101.1</v>
      </c>
      <c r="AG98" s="127"/>
      <c r="AH98" s="54">
        <f t="shared" si="23"/>
        <v>108.5</v>
      </c>
      <c r="AI98" s="121">
        <f t="shared" si="24"/>
        <v>0.20833333333333301</v>
      </c>
    </row>
    <row r="99" spans="1:37" ht="15.75" thickBot="1" x14ac:dyDescent="0.3">
      <c r="A99" s="124" t="s">
        <v>103</v>
      </c>
      <c r="B99" s="125">
        <v>64.3</v>
      </c>
      <c r="C99" s="125">
        <v>64.3</v>
      </c>
      <c r="D99" s="125">
        <v>64.599999999999994</v>
      </c>
      <c r="E99" s="63">
        <v>54</v>
      </c>
      <c r="F99" s="63">
        <v>55.5</v>
      </c>
      <c r="G99" s="63">
        <v>46.9</v>
      </c>
      <c r="H99" s="63">
        <v>50.2</v>
      </c>
      <c r="I99" s="63">
        <v>60.1</v>
      </c>
      <c r="J99" s="63">
        <v>21</v>
      </c>
      <c r="K99" s="63">
        <v>31</v>
      </c>
      <c r="L99" s="63">
        <v>31.8</v>
      </c>
      <c r="M99" s="63">
        <v>23.6</v>
      </c>
      <c r="N99" s="63">
        <v>17.899999999999999</v>
      </c>
      <c r="O99" s="63">
        <v>18.899999999999999</v>
      </c>
      <c r="P99" s="63">
        <v>36.700000000000003</v>
      </c>
      <c r="Q99" s="63">
        <v>21</v>
      </c>
      <c r="R99" s="63">
        <v>28.5</v>
      </c>
      <c r="S99" s="63">
        <v>24.7</v>
      </c>
      <c r="T99" s="63">
        <v>21.9</v>
      </c>
      <c r="U99" s="63">
        <v>33</v>
      </c>
      <c r="V99" s="63">
        <v>40</v>
      </c>
      <c r="W99" s="63">
        <v>40</v>
      </c>
      <c r="X99" s="63">
        <v>42.1</v>
      </c>
      <c r="Y99" s="63">
        <v>48.4</v>
      </c>
      <c r="Z99" s="63">
        <v>44.8</v>
      </c>
      <c r="AA99" s="63">
        <v>56.8</v>
      </c>
      <c r="AB99" s="126">
        <v>41.2</v>
      </c>
      <c r="AC99" s="126">
        <v>41.2</v>
      </c>
      <c r="AD99" s="126">
        <v>51.9</v>
      </c>
      <c r="AE99" s="126">
        <v>60.1</v>
      </c>
      <c r="AF99" s="126">
        <v>72.599999999999994</v>
      </c>
      <c r="AG99" s="128"/>
      <c r="AH99" s="54">
        <f t="shared" si="23"/>
        <v>72.599999999999994</v>
      </c>
      <c r="AI99" s="121">
        <f t="shared" si="24"/>
        <v>0.95833333333333304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5">AF101</f>
        <v>9.9</v>
      </c>
      <c r="C101" s="53">
        <v>9.9</v>
      </c>
      <c r="D101" s="134">
        <f t="shared" ref="D101:S106" si="26">C101</f>
        <v>9.9</v>
      </c>
      <c r="E101" s="134">
        <f t="shared" si="26"/>
        <v>9.9</v>
      </c>
      <c r="F101" s="134">
        <f t="shared" si="26"/>
        <v>9.9</v>
      </c>
      <c r="G101" s="134">
        <f t="shared" si="26"/>
        <v>9.9</v>
      </c>
      <c r="H101" s="134">
        <f t="shared" si="26"/>
        <v>9.9</v>
      </c>
      <c r="I101" s="134">
        <f t="shared" si="26"/>
        <v>9.9</v>
      </c>
      <c r="J101" s="134">
        <f t="shared" si="26"/>
        <v>9.9</v>
      </c>
      <c r="K101" s="134">
        <f t="shared" si="26"/>
        <v>9.9</v>
      </c>
      <c r="L101" s="134">
        <f t="shared" si="26"/>
        <v>9.9</v>
      </c>
      <c r="M101" s="134">
        <f t="shared" si="26"/>
        <v>9.9</v>
      </c>
      <c r="N101" s="134">
        <f t="shared" si="26"/>
        <v>9.9</v>
      </c>
      <c r="O101" s="134">
        <f t="shared" si="26"/>
        <v>9.9</v>
      </c>
      <c r="P101" s="134">
        <f t="shared" si="26"/>
        <v>9.9</v>
      </c>
      <c r="Q101" s="134">
        <f t="shared" si="26"/>
        <v>9.9</v>
      </c>
      <c r="R101" s="134">
        <f t="shared" si="26"/>
        <v>9.9</v>
      </c>
      <c r="S101" s="134">
        <f t="shared" si="26"/>
        <v>9.9</v>
      </c>
      <c r="T101" s="134">
        <f t="shared" ref="T101:AF106" si="27">S101</f>
        <v>9.9</v>
      </c>
      <c r="U101" s="134">
        <f t="shared" si="27"/>
        <v>9.9</v>
      </c>
      <c r="V101" s="134">
        <f t="shared" si="27"/>
        <v>9.9</v>
      </c>
      <c r="W101" s="134">
        <f t="shared" si="27"/>
        <v>9.9</v>
      </c>
      <c r="X101" s="134">
        <f t="shared" si="27"/>
        <v>9.9</v>
      </c>
      <c r="Y101" s="134">
        <f t="shared" si="27"/>
        <v>9.9</v>
      </c>
      <c r="Z101" s="134">
        <f t="shared" si="27"/>
        <v>9.9</v>
      </c>
      <c r="AA101" s="134">
        <f t="shared" si="27"/>
        <v>9.9</v>
      </c>
      <c r="AB101" s="134">
        <f t="shared" si="27"/>
        <v>9.9</v>
      </c>
      <c r="AC101" s="134">
        <f t="shared" si="27"/>
        <v>9.9</v>
      </c>
      <c r="AD101" s="134">
        <f t="shared" si="27"/>
        <v>9.9</v>
      </c>
      <c r="AE101" s="134">
        <f t="shared" si="27"/>
        <v>9.9</v>
      </c>
      <c r="AF101" s="134">
        <f t="shared" si="27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5"/>
        <v>9.6</v>
      </c>
      <c r="C102" s="137">
        <v>9.6</v>
      </c>
      <c r="D102" s="136">
        <f t="shared" si="26"/>
        <v>9.6</v>
      </c>
      <c r="E102" s="136">
        <f t="shared" si="26"/>
        <v>9.6</v>
      </c>
      <c r="F102" s="136">
        <f t="shared" si="26"/>
        <v>9.6</v>
      </c>
      <c r="G102" s="136">
        <f t="shared" si="26"/>
        <v>9.6</v>
      </c>
      <c r="H102" s="136">
        <f t="shared" si="26"/>
        <v>9.6</v>
      </c>
      <c r="I102" s="136">
        <f t="shared" si="26"/>
        <v>9.6</v>
      </c>
      <c r="J102" s="136">
        <f t="shared" si="26"/>
        <v>9.6</v>
      </c>
      <c r="K102" s="136">
        <f t="shared" si="26"/>
        <v>9.6</v>
      </c>
      <c r="L102" s="136">
        <f t="shared" si="26"/>
        <v>9.6</v>
      </c>
      <c r="M102" s="136">
        <f t="shared" si="26"/>
        <v>9.6</v>
      </c>
      <c r="N102" s="136">
        <f t="shared" si="26"/>
        <v>9.6</v>
      </c>
      <c r="O102" s="136">
        <f t="shared" si="26"/>
        <v>9.6</v>
      </c>
      <c r="P102" s="136">
        <f t="shared" si="26"/>
        <v>9.6</v>
      </c>
      <c r="Q102" s="136">
        <f t="shared" si="26"/>
        <v>9.6</v>
      </c>
      <c r="R102" s="136">
        <f t="shared" si="26"/>
        <v>9.6</v>
      </c>
      <c r="S102" s="136">
        <f t="shared" si="26"/>
        <v>9.6</v>
      </c>
      <c r="T102" s="136">
        <f t="shared" si="27"/>
        <v>9.6</v>
      </c>
      <c r="U102" s="136">
        <f t="shared" si="27"/>
        <v>9.6</v>
      </c>
      <c r="V102" s="136">
        <f t="shared" si="27"/>
        <v>9.6</v>
      </c>
      <c r="W102" s="136">
        <f t="shared" si="27"/>
        <v>9.6</v>
      </c>
      <c r="X102" s="136">
        <f t="shared" si="27"/>
        <v>9.6</v>
      </c>
      <c r="Y102" s="136">
        <f t="shared" si="27"/>
        <v>9.6</v>
      </c>
      <c r="Z102" s="136">
        <f t="shared" si="27"/>
        <v>9.6</v>
      </c>
      <c r="AA102" s="136">
        <f t="shared" si="27"/>
        <v>9.6</v>
      </c>
      <c r="AB102" s="136">
        <f t="shared" si="27"/>
        <v>9.6</v>
      </c>
      <c r="AC102" s="136">
        <f t="shared" si="27"/>
        <v>9.6</v>
      </c>
      <c r="AD102" s="136">
        <f t="shared" si="27"/>
        <v>9.6</v>
      </c>
      <c r="AE102" s="136">
        <f t="shared" si="27"/>
        <v>9.6</v>
      </c>
      <c r="AF102" s="136">
        <f t="shared" si="27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5"/>
        <v>9.98</v>
      </c>
      <c r="C103" s="137">
        <v>9.98</v>
      </c>
      <c r="D103" s="136">
        <f t="shared" si="26"/>
        <v>9.98</v>
      </c>
      <c r="E103" s="136">
        <f t="shared" si="26"/>
        <v>9.98</v>
      </c>
      <c r="F103" s="136">
        <f t="shared" si="26"/>
        <v>9.98</v>
      </c>
      <c r="G103" s="136">
        <f t="shared" si="26"/>
        <v>9.98</v>
      </c>
      <c r="H103" s="136">
        <f t="shared" si="26"/>
        <v>9.98</v>
      </c>
      <c r="I103" s="136">
        <f t="shared" si="26"/>
        <v>9.98</v>
      </c>
      <c r="J103" s="136">
        <f t="shared" si="26"/>
        <v>9.98</v>
      </c>
      <c r="K103" s="136">
        <f t="shared" si="26"/>
        <v>9.98</v>
      </c>
      <c r="L103" s="136">
        <f t="shared" si="26"/>
        <v>9.98</v>
      </c>
      <c r="M103" s="136">
        <f t="shared" si="26"/>
        <v>9.98</v>
      </c>
      <c r="N103" s="136">
        <f t="shared" si="26"/>
        <v>9.98</v>
      </c>
      <c r="O103" s="136">
        <f t="shared" si="26"/>
        <v>9.98</v>
      </c>
      <c r="P103" s="136">
        <f t="shared" si="26"/>
        <v>9.98</v>
      </c>
      <c r="Q103" s="136">
        <f t="shared" si="26"/>
        <v>9.98</v>
      </c>
      <c r="R103" s="136">
        <f t="shared" si="26"/>
        <v>9.98</v>
      </c>
      <c r="S103" s="136">
        <f t="shared" si="26"/>
        <v>9.98</v>
      </c>
      <c r="T103" s="136">
        <f t="shared" si="27"/>
        <v>9.98</v>
      </c>
      <c r="U103" s="136">
        <f t="shared" si="27"/>
        <v>9.98</v>
      </c>
      <c r="V103" s="136">
        <f t="shared" si="27"/>
        <v>9.98</v>
      </c>
      <c r="W103" s="136">
        <f t="shared" si="27"/>
        <v>9.98</v>
      </c>
      <c r="X103" s="136">
        <f t="shared" si="27"/>
        <v>9.98</v>
      </c>
      <c r="Y103" s="136">
        <f t="shared" si="27"/>
        <v>9.98</v>
      </c>
      <c r="Z103" s="136">
        <f t="shared" si="27"/>
        <v>9.98</v>
      </c>
      <c r="AA103" s="136">
        <f t="shared" si="27"/>
        <v>9.98</v>
      </c>
      <c r="AB103" s="136">
        <f t="shared" si="27"/>
        <v>9.98</v>
      </c>
      <c r="AC103" s="136">
        <f t="shared" si="27"/>
        <v>9.98</v>
      </c>
      <c r="AD103" s="136">
        <f t="shared" si="27"/>
        <v>9.98</v>
      </c>
      <c r="AE103" s="136">
        <f t="shared" si="27"/>
        <v>9.98</v>
      </c>
      <c r="AF103" s="136">
        <f t="shared" si="27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5"/>
        <v>9.1</v>
      </c>
      <c r="C104" s="137">
        <v>9.1</v>
      </c>
      <c r="D104" s="136">
        <f t="shared" si="26"/>
        <v>9.1</v>
      </c>
      <c r="E104" s="136">
        <f t="shared" si="26"/>
        <v>9.1</v>
      </c>
      <c r="F104" s="136">
        <f t="shared" si="26"/>
        <v>9.1</v>
      </c>
      <c r="G104" s="136">
        <f t="shared" si="26"/>
        <v>9.1</v>
      </c>
      <c r="H104" s="136">
        <f t="shared" si="26"/>
        <v>9.1</v>
      </c>
      <c r="I104" s="136">
        <f t="shared" si="26"/>
        <v>9.1</v>
      </c>
      <c r="J104" s="136">
        <f t="shared" si="26"/>
        <v>9.1</v>
      </c>
      <c r="K104" s="136">
        <f t="shared" si="26"/>
        <v>9.1</v>
      </c>
      <c r="L104" s="136">
        <f t="shared" si="26"/>
        <v>9.1</v>
      </c>
      <c r="M104" s="136">
        <f t="shared" si="26"/>
        <v>9.1</v>
      </c>
      <c r="N104" s="136">
        <f t="shared" si="26"/>
        <v>9.1</v>
      </c>
      <c r="O104" s="136">
        <f t="shared" si="26"/>
        <v>9.1</v>
      </c>
      <c r="P104" s="136">
        <f t="shared" si="26"/>
        <v>9.1</v>
      </c>
      <c r="Q104" s="136">
        <f t="shared" si="26"/>
        <v>9.1</v>
      </c>
      <c r="R104" s="136">
        <f t="shared" si="26"/>
        <v>9.1</v>
      </c>
      <c r="S104" s="136">
        <f t="shared" si="26"/>
        <v>9.1</v>
      </c>
      <c r="T104" s="136">
        <f t="shared" si="27"/>
        <v>9.1</v>
      </c>
      <c r="U104" s="136">
        <f t="shared" si="27"/>
        <v>9.1</v>
      </c>
      <c r="V104" s="136">
        <f t="shared" si="27"/>
        <v>9.1</v>
      </c>
      <c r="W104" s="136">
        <f t="shared" si="27"/>
        <v>9.1</v>
      </c>
      <c r="X104" s="136">
        <f t="shared" si="27"/>
        <v>9.1</v>
      </c>
      <c r="Y104" s="136">
        <f t="shared" si="27"/>
        <v>9.1</v>
      </c>
      <c r="Z104" s="136">
        <f t="shared" si="27"/>
        <v>9.1</v>
      </c>
      <c r="AA104" s="136">
        <f t="shared" si="27"/>
        <v>9.1</v>
      </c>
      <c r="AB104" s="136">
        <f t="shared" si="27"/>
        <v>9.1</v>
      </c>
      <c r="AC104" s="136">
        <f t="shared" si="27"/>
        <v>9.1</v>
      </c>
      <c r="AD104" s="136">
        <f t="shared" si="27"/>
        <v>9.1</v>
      </c>
      <c r="AE104" s="136">
        <f t="shared" si="27"/>
        <v>9.1</v>
      </c>
      <c r="AF104" s="136">
        <f t="shared" si="27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5"/>
        <v>9.18</v>
      </c>
      <c r="C105" s="137">
        <v>9.18</v>
      </c>
      <c r="D105" s="136">
        <f t="shared" si="26"/>
        <v>9.18</v>
      </c>
      <c r="E105" s="136">
        <f t="shared" si="26"/>
        <v>9.18</v>
      </c>
      <c r="F105" s="136">
        <f t="shared" si="26"/>
        <v>9.18</v>
      </c>
      <c r="G105" s="136">
        <f t="shared" si="26"/>
        <v>9.18</v>
      </c>
      <c r="H105" s="136">
        <f t="shared" si="26"/>
        <v>9.18</v>
      </c>
      <c r="I105" s="136">
        <f t="shared" si="26"/>
        <v>9.18</v>
      </c>
      <c r="J105" s="136">
        <f t="shared" si="26"/>
        <v>9.18</v>
      </c>
      <c r="K105" s="136">
        <f t="shared" si="26"/>
        <v>9.18</v>
      </c>
      <c r="L105" s="136">
        <f t="shared" si="26"/>
        <v>9.18</v>
      </c>
      <c r="M105" s="136">
        <f t="shared" si="26"/>
        <v>9.18</v>
      </c>
      <c r="N105" s="136">
        <f t="shared" si="26"/>
        <v>9.18</v>
      </c>
      <c r="O105" s="136">
        <f t="shared" si="26"/>
        <v>9.18</v>
      </c>
      <c r="P105" s="136">
        <f t="shared" si="26"/>
        <v>9.18</v>
      </c>
      <c r="Q105" s="136">
        <f t="shared" si="26"/>
        <v>9.18</v>
      </c>
      <c r="R105" s="136">
        <f t="shared" si="26"/>
        <v>9.18</v>
      </c>
      <c r="S105" s="136">
        <f t="shared" si="26"/>
        <v>9.18</v>
      </c>
      <c r="T105" s="136">
        <f t="shared" si="27"/>
        <v>9.18</v>
      </c>
      <c r="U105" s="136">
        <f t="shared" si="27"/>
        <v>9.18</v>
      </c>
      <c r="V105" s="136">
        <f t="shared" si="27"/>
        <v>9.18</v>
      </c>
      <c r="W105" s="136">
        <f t="shared" si="27"/>
        <v>9.18</v>
      </c>
      <c r="X105" s="136">
        <f t="shared" si="27"/>
        <v>9.18</v>
      </c>
      <c r="Y105" s="136">
        <f t="shared" si="27"/>
        <v>9.18</v>
      </c>
      <c r="Z105" s="136">
        <f t="shared" si="27"/>
        <v>9.18</v>
      </c>
      <c r="AA105" s="136">
        <f t="shared" si="27"/>
        <v>9.18</v>
      </c>
      <c r="AB105" s="136">
        <f t="shared" si="27"/>
        <v>9.18</v>
      </c>
      <c r="AC105" s="136">
        <f t="shared" si="27"/>
        <v>9.18</v>
      </c>
      <c r="AD105" s="136">
        <f t="shared" si="27"/>
        <v>9.18</v>
      </c>
      <c r="AE105" s="136">
        <f t="shared" si="27"/>
        <v>9.18</v>
      </c>
      <c r="AF105" s="136">
        <f t="shared" si="27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5"/>
        <v>7</v>
      </c>
      <c r="C106" s="137">
        <v>7</v>
      </c>
      <c r="D106" s="136">
        <f t="shared" si="26"/>
        <v>7</v>
      </c>
      <c r="E106" s="136">
        <f t="shared" si="26"/>
        <v>7</v>
      </c>
      <c r="F106" s="136">
        <f t="shared" si="26"/>
        <v>7</v>
      </c>
      <c r="G106" s="136">
        <f t="shared" si="26"/>
        <v>7</v>
      </c>
      <c r="H106" s="136">
        <f t="shared" si="26"/>
        <v>7</v>
      </c>
      <c r="I106" s="136">
        <f t="shared" si="26"/>
        <v>7</v>
      </c>
      <c r="J106" s="136">
        <f t="shared" si="26"/>
        <v>7</v>
      </c>
      <c r="K106" s="136">
        <f t="shared" si="26"/>
        <v>7</v>
      </c>
      <c r="L106" s="136">
        <f t="shared" si="26"/>
        <v>7</v>
      </c>
      <c r="M106" s="136">
        <f t="shared" si="26"/>
        <v>7</v>
      </c>
      <c r="N106" s="136">
        <f t="shared" si="26"/>
        <v>7</v>
      </c>
      <c r="O106" s="136">
        <f t="shared" si="26"/>
        <v>7</v>
      </c>
      <c r="P106" s="136">
        <f t="shared" si="26"/>
        <v>7</v>
      </c>
      <c r="Q106" s="136">
        <f t="shared" si="26"/>
        <v>7</v>
      </c>
      <c r="R106" s="136">
        <f t="shared" si="26"/>
        <v>7</v>
      </c>
      <c r="S106" s="136">
        <f t="shared" si="26"/>
        <v>7</v>
      </c>
      <c r="T106" s="136">
        <f t="shared" si="27"/>
        <v>7</v>
      </c>
      <c r="U106" s="136">
        <f t="shared" si="27"/>
        <v>7</v>
      </c>
      <c r="V106" s="136">
        <f t="shared" si="27"/>
        <v>7</v>
      </c>
      <c r="W106" s="136">
        <f t="shared" si="27"/>
        <v>7</v>
      </c>
      <c r="X106" s="136">
        <f t="shared" si="27"/>
        <v>7</v>
      </c>
      <c r="Y106" s="136">
        <f t="shared" si="27"/>
        <v>7</v>
      </c>
      <c r="Z106" s="136">
        <f t="shared" si="27"/>
        <v>7</v>
      </c>
      <c r="AA106" s="136">
        <f t="shared" si="27"/>
        <v>7</v>
      </c>
      <c r="AB106" s="136">
        <f t="shared" si="27"/>
        <v>7</v>
      </c>
      <c r="AC106" s="136">
        <f t="shared" si="27"/>
        <v>7</v>
      </c>
      <c r="AD106" s="136">
        <f t="shared" si="27"/>
        <v>7</v>
      </c>
      <c r="AE106" s="136">
        <f t="shared" si="27"/>
        <v>7</v>
      </c>
      <c r="AF106" s="136">
        <f t="shared" si="27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8">C108</f>
        <v>2.25</v>
      </c>
      <c r="E108" s="136">
        <f t="shared" si="28"/>
        <v>2.25</v>
      </c>
      <c r="F108" s="136">
        <f t="shared" si="28"/>
        <v>2.25</v>
      </c>
      <c r="G108" s="136">
        <f t="shared" si="28"/>
        <v>2.25</v>
      </c>
      <c r="H108" s="136">
        <f t="shared" si="28"/>
        <v>2.25</v>
      </c>
      <c r="I108" s="136">
        <f t="shared" si="28"/>
        <v>2.25</v>
      </c>
      <c r="J108" s="136">
        <f t="shared" si="28"/>
        <v>2.25</v>
      </c>
      <c r="K108" s="136">
        <f t="shared" si="28"/>
        <v>2.25</v>
      </c>
      <c r="L108" s="136">
        <f t="shared" si="28"/>
        <v>2.25</v>
      </c>
      <c r="M108" s="136">
        <f t="shared" si="28"/>
        <v>2.25</v>
      </c>
      <c r="N108" s="136">
        <f t="shared" si="28"/>
        <v>2.25</v>
      </c>
      <c r="O108" s="136">
        <f t="shared" si="28"/>
        <v>2.25</v>
      </c>
      <c r="P108" s="136">
        <f t="shared" si="28"/>
        <v>2.25</v>
      </c>
      <c r="Q108" s="136">
        <f t="shared" si="28"/>
        <v>2.25</v>
      </c>
      <c r="R108" s="136">
        <f t="shared" si="28"/>
        <v>2.25</v>
      </c>
      <c r="S108" s="136">
        <f t="shared" si="28"/>
        <v>2.25</v>
      </c>
      <c r="T108" s="136">
        <f t="shared" ref="T108:AF109" si="29">S108</f>
        <v>2.25</v>
      </c>
      <c r="U108" s="136">
        <f t="shared" si="29"/>
        <v>2.25</v>
      </c>
      <c r="V108" s="136">
        <f t="shared" si="29"/>
        <v>2.25</v>
      </c>
      <c r="W108" s="136">
        <f t="shared" si="29"/>
        <v>2.25</v>
      </c>
      <c r="X108" s="136">
        <f t="shared" si="29"/>
        <v>2.25</v>
      </c>
      <c r="Y108" s="136">
        <f t="shared" si="29"/>
        <v>2.25</v>
      </c>
      <c r="Z108" s="136">
        <f t="shared" si="29"/>
        <v>2.25</v>
      </c>
      <c r="AA108" s="136">
        <f t="shared" si="29"/>
        <v>2.25</v>
      </c>
      <c r="AB108" s="136">
        <f t="shared" si="29"/>
        <v>2.25</v>
      </c>
      <c r="AC108" s="136">
        <f t="shared" si="29"/>
        <v>2.25</v>
      </c>
      <c r="AD108" s="136">
        <f t="shared" si="29"/>
        <v>2.25</v>
      </c>
      <c r="AE108" s="136">
        <f t="shared" si="29"/>
        <v>2.25</v>
      </c>
      <c r="AF108" s="136">
        <f t="shared" si="29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8"/>
        <v>1.64</v>
      </c>
      <c r="E109" s="136">
        <f t="shared" si="28"/>
        <v>1.64</v>
      </c>
      <c r="F109" s="136">
        <f t="shared" si="28"/>
        <v>1.64</v>
      </c>
      <c r="G109" s="136">
        <f t="shared" si="28"/>
        <v>1.64</v>
      </c>
      <c r="H109" s="136">
        <f t="shared" si="28"/>
        <v>1.64</v>
      </c>
      <c r="I109" s="136">
        <f t="shared" si="28"/>
        <v>1.64</v>
      </c>
      <c r="J109" s="136">
        <f t="shared" si="28"/>
        <v>1.64</v>
      </c>
      <c r="K109" s="136">
        <f t="shared" si="28"/>
        <v>1.64</v>
      </c>
      <c r="L109" s="136">
        <f t="shared" si="28"/>
        <v>1.64</v>
      </c>
      <c r="M109" s="136">
        <f t="shared" si="28"/>
        <v>1.64</v>
      </c>
      <c r="N109" s="136">
        <f t="shared" si="28"/>
        <v>1.64</v>
      </c>
      <c r="O109" s="136">
        <f t="shared" si="28"/>
        <v>1.64</v>
      </c>
      <c r="P109" s="136">
        <f t="shared" si="28"/>
        <v>1.64</v>
      </c>
      <c r="Q109" s="136">
        <f t="shared" si="28"/>
        <v>1.64</v>
      </c>
      <c r="R109" s="136">
        <f t="shared" si="28"/>
        <v>1.64</v>
      </c>
      <c r="S109" s="136">
        <f t="shared" si="28"/>
        <v>1.64</v>
      </c>
      <c r="T109" s="136">
        <f t="shared" si="29"/>
        <v>1.64</v>
      </c>
      <c r="U109" s="136">
        <f t="shared" si="29"/>
        <v>1.64</v>
      </c>
      <c r="V109" s="136">
        <f t="shared" si="29"/>
        <v>1.64</v>
      </c>
      <c r="W109" s="136">
        <f t="shared" si="29"/>
        <v>1.64</v>
      </c>
      <c r="X109" s="136">
        <f t="shared" si="29"/>
        <v>1.64</v>
      </c>
      <c r="Y109" s="136">
        <f t="shared" si="29"/>
        <v>1.64</v>
      </c>
      <c r="Z109" s="136">
        <f t="shared" si="29"/>
        <v>1.64</v>
      </c>
      <c r="AA109" s="136">
        <f t="shared" si="29"/>
        <v>1.64</v>
      </c>
      <c r="AB109" s="136">
        <f t="shared" si="29"/>
        <v>1.64</v>
      </c>
      <c r="AC109" s="136">
        <f t="shared" si="29"/>
        <v>1.64</v>
      </c>
      <c r="AD109" s="136">
        <f t="shared" si="29"/>
        <v>1.64</v>
      </c>
      <c r="AE109" s="136">
        <f t="shared" si="29"/>
        <v>1.64</v>
      </c>
      <c r="AF109" s="136">
        <f t="shared" si="29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30">AF111</f>
        <v>1.62</v>
      </c>
      <c r="C111" s="137">
        <v>1.62</v>
      </c>
      <c r="D111" s="136">
        <f t="shared" ref="D111:S118" si="31">C111</f>
        <v>1.62</v>
      </c>
      <c r="E111" s="136">
        <f t="shared" si="31"/>
        <v>1.62</v>
      </c>
      <c r="F111" s="136">
        <f t="shared" si="31"/>
        <v>1.62</v>
      </c>
      <c r="G111" s="136">
        <f t="shared" si="31"/>
        <v>1.62</v>
      </c>
      <c r="H111" s="136">
        <f t="shared" si="31"/>
        <v>1.62</v>
      </c>
      <c r="I111" s="136">
        <f t="shared" si="31"/>
        <v>1.62</v>
      </c>
      <c r="J111" s="136">
        <f t="shared" si="31"/>
        <v>1.62</v>
      </c>
      <c r="K111" s="136">
        <f t="shared" si="31"/>
        <v>1.62</v>
      </c>
      <c r="L111" s="136">
        <f t="shared" si="31"/>
        <v>1.62</v>
      </c>
      <c r="M111" s="136">
        <f t="shared" si="31"/>
        <v>1.62</v>
      </c>
      <c r="N111" s="136">
        <f t="shared" si="31"/>
        <v>1.62</v>
      </c>
      <c r="O111" s="136">
        <f t="shared" si="31"/>
        <v>1.62</v>
      </c>
      <c r="P111" s="136">
        <f t="shared" si="31"/>
        <v>1.62</v>
      </c>
      <c r="Q111" s="136">
        <f t="shared" si="31"/>
        <v>1.62</v>
      </c>
      <c r="R111" s="136">
        <f t="shared" si="31"/>
        <v>1.62</v>
      </c>
      <c r="S111" s="136">
        <f t="shared" si="31"/>
        <v>1.62</v>
      </c>
      <c r="T111" s="136">
        <f t="shared" ref="T111:AF126" si="32">S111</f>
        <v>1.62</v>
      </c>
      <c r="U111" s="136">
        <f t="shared" si="32"/>
        <v>1.62</v>
      </c>
      <c r="V111" s="136">
        <f t="shared" si="32"/>
        <v>1.62</v>
      </c>
      <c r="W111" s="136">
        <f t="shared" si="32"/>
        <v>1.62</v>
      </c>
      <c r="X111" s="136">
        <f t="shared" si="32"/>
        <v>1.62</v>
      </c>
      <c r="Y111" s="136">
        <f t="shared" si="32"/>
        <v>1.62</v>
      </c>
      <c r="Z111" s="136">
        <f t="shared" si="32"/>
        <v>1.62</v>
      </c>
      <c r="AA111" s="136">
        <f t="shared" si="32"/>
        <v>1.62</v>
      </c>
      <c r="AB111" s="136">
        <f t="shared" si="32"/>
        <v>1.62</v>
      </c>
      <c r="AC111" s="136">
        <f t="shared" si="32"/>
        <v>1.62</v>
      </c>
      <c r="AD111" s="136">
        <f t="shared" si="32"/>
        <v>1.62</v>
      </c>
      <c r="AE111" s="136">
        <f t="shared" si="32"/>
        <v>1.62</v>
      </c>
      <c r="AF111" s="136">
        <f t="shared" si="32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30"/>
        <v>8.36</v>
      </c>
      <c r="C112" s="137">
        <v>8.36</v>
      </c>
      <c r="D112" s="136">
        <f t="shared" si="31"/>
        <v>8.36</v>
      </c>
      <c r="E112" s="136">
        <f t="shared" si="31"/>
        <v>8.36</v>
      </c>
      <c r="F112" s="136">
        <f t="shared" si="31"/>
        <v>8.36</v>
      </c>
      <c r="G112" s="136">
        <f t="shared" si="31"/>
        <v>8.36</v>
      </c>
      <c r="H112" s="136">
        <f t="shared" si="31"/>
        <v>8.36</v>
      </c>
      <c r="I112" s="136">
        <f t="shared" si="31"/>
        <v>8.36</v>
      </c>
      <c r="J112" s="136">
        <f t="shared" si="31"/>
        <v>8.36</v>
      </c>
      <c r="K112" s="136">
        <f t="shared" si="31"/>
        <v>8.36</v>
      </c>
      <c r="L112" s="136">
        <f t="shared" si="31"/>
        <v>8.36</v>
      </c>
      <c r="M112" s="136">
        <f t="shared" si="31"/>
        <v>8.36</v>
      </c>
      <c r="N112" s="136">
        <f t="shared" si="31"/>
        <v>8.36</v>
      </c>
      <c r="O112" s="136">
        <f t="shared" si="31"/>
        <v>8.36</v>
      </c>
      <c r="P112" s="136">
        <f t="shared" si="31"/>
        <v>8.36</v>
      </c>
      <c r="Q112" s="136">
        <f t="shared" si="31"/>
        <v>8.36</v>
      </c>
      <c r="R112" s="136">
        <f t="shared" si="31"/>
        <v>8.36</v>
      </c>
      <c r="S112" s="136">
        <f t="shared" si="31"/>
        <v>8.36</v>
      </c>
      <c r="T112" s="136">
        <f t="shared" si="32"/>
        <v>8.36</v>
      </c>
      <c r="U112" s="136">
        <f t="shared" si="32"/>
        <v>8.36</v>
      </c>
      <c r="V112" s="136">
        <f t="shared" si="32"/>
        <v>8.36</v>
      </c>
      <c r="W112" s="136">
        <f t="shared" si="32"/>
        <v>8.36</v>
      </c>
      <c r="X112" s="136">
        <f t="shared" si="32"/>
        <v>8.36</v>
      </c>
      <c r="Y112" s="136">
        <f t="shared" si="32"/>
        <v>8.36</v>
      </c>
      <c r="Z112" s="136">
        <f t="shared" si="32"/>
        <v>8.36</v>
      </c>
      <c r="AA112" s="136">
        <f t="shared" si="32"/>
        <v>8.36</v>
      </c>
      <c r="AB112" s="136">
        <f t="shared" si="32"/>
        <v>8.36</v>
      </c>
      <c r="AC112" s="136">
        <f t="shared" si="32"/>
        <v>8.36</v>
      </c>
      <c r="AD112" s="136">
        <f t="shared" si="32"/>
        <v>8.36</v>
      </c>
      <c r="AE112" s="136">
        <f t="shared" si="32"/>
        <v>8.36</v>
      </c>
      <c r="AF112" s="136">
        <f t="shared" si="32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30"/>
        <v>5.4</v>
      </c>
      <c r="C113" s="137">
        <v>8</v>
      </c>
      <c r="D113" s="136">
        <f t="shared" si="31"/>
        <v>8</v>
      </c>
      <c r="E113" s="136">
        <f t="shared" si="31"/>
        <v>8</v>
      </c>
      <c r="F113" s="136">
        <f t="shared" si="31"/>
        <v>8</v>
      </c>
      <c r="G113" s="136">
        <f t="shared" si="31"/>
        <v>8</v>
      </c>
      <c r="H113" s="136">
        <f t="shared" si="31"/>
        <v>8</v>
      </c>
      <c r="I113" s="136">
        <f t="shared" si="31"/>
        <v>8</v>
      </c>
      <c r="J113" s="136">
        <v>5.4</v>
      </c>
      <c r="K113" s="136">
        <f t="shared" si="31"/>
        <v>5.4</v>
      </c>
      <c r="L113" s="136">
        <f t="shared" si="31"/>
        <v>5.4</v>
      </c>
      <c r="M113" s="136">
        <f t="shared" si="31"/>
        <v>5.4</v>
      </c>
      <c r="N113" s="136">
        <f t="shared" si="31"/>
        <v>5.4</v>
      </c>
      <c r="O113" s="136">
        <f t="shared" si="31"/>
        <v>5.4</v>
      </c>
      <c r="P113" s="136">
        <f t="shared" si="31"/>
        <v>5.4</v>
      </c>
      <c r="Q113" s="136">
        <f t="shared" si="31"/>
        <v>5.4</v>
      </c>
      <c r="R113" s="136">
        <f t="shared" si="31"/>
        <v>5.4</v>
      </c>
      <c r="S113" s="136">
        <f t="shared" si="31"/>
        <v>5.4</v>
      </c>
      <c r="T113" s="136">
        <f t="shared" si="32"/>
        <v>5.4</v>
      </c>
      <c r="U113" s="136">
        <f t="shared" si="32"/>
        <v>5.4</v>
      </c>
      <c r="V113" s="136">
        <f t="shared" si="32"/>
        <v>5.4</v>
      </c>
      <c r="W113" s="136">
        <f t="shared" si="32"/>
        <v>5.4</v>
      </c>
      <c r="X113" s="136">
        <f t="shared" si="32"/>
        <v>5.4</v>
      </c>
      <c r="Y113" s="136">
        <f t="shared" si="32"/>
        <v>5.4</v>
      </c>
      <c r="Z113" s="136">
        <f t="shared" si="32"/>
        <v>5.4</v>
      </c>
      <c r="AA113" s="136">
        <f t="shared" si="32"/>
        <v>5.4</v>
      </c>
      <c r="AB113" s="136">
        <f t="shared" si="32"/>
        <v>5.4</v>
      </c>
      <c r="AC113" s="136">
        <f t="shared" si="32"/>
        <v>5.4</v>
      </c>
      <c r="AD113" s="136">
        <f t="shared" si="32"/>
        <v>5.4</v>
      </c>
      <c r="AE113" s="136">
        <f t="shared" si="32"/>
        <v>5.4</v>
      </c>
      <c r="AF113" s="136">
        <f t="shared" si="32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30"/>
        <v>6.57</v>
      </c>
      <c r="C114" s="137">
        <v>6.57</v>
      </c>
      <c r="D114" s="136">
        <f t="shared" si="31"/>
        <v>6.57</v>
      </c>
      <c r="E114" s="136">
        <f t="shared" si="31"/>
        <v>6.57</v>
      </c>
      <c r="F114" s="136">
        <f t="shared" si="31"/>
        <v>6.57</v>
      </c>
      <c r="G114" s="136">
        <f t="shared" si="31"/>
        <v>6.57</v>
      </c>
      <c r="H114" s="136">
        <f t="shared" si="31"/>
        <v>6.57</v>
      </c>
      <c r="I114" s="136">
        <f t="shared" si="31"/>
        <v>6.57</v>
      </c>
      <c r="J114" s="136">
        <f t="shared" si="31"/>
        <v>6.57</v>
      </c>
      <c r="K114" s="136">
        <f t="shared" si="31"/>
        <v>6.57</v>
      </c>
      <c r="L114" s="136">
        <f t="shared" si="31"/>
        <v>6.57</v>
      </c>
      <c r="M114" s="136">
        <f t="shared" si="31"/>
        <v>6.57</v>
      </c>
      <c r="N114" s="136">
        <f t="shared" si="31"/>
        <v>6.57</v>
      </c>
      <c r="O114" s="136">
        <f t="shared" si="31"/>
        <v>6.57</v>
      </c>
      <c r="P114" s="136">
        <f t="shared" si="31"/>
        <v>6.57</v>
      </c>
      <c r="Q114" s="136">
        <f t="shared" si="31"/>
        <v>6.57</v>
      </c>
      <c r="R114" s="136">
        <f t="shared" si="31"/>
        <v>6.57</v>
      </c>
      <c r="S114" s="136">
        <f t="shared" si="31"/>
        <v>6.57</v>
      </c>
      <c r="T114" s="136">
        <f t="shared" si="32"/>
        <v>6.57</v>
      </c>
      <c r="U114" s="136">
        <f t="shared" si="32"/>
        <v>6.57</v>
      </c>
      <c r="V114" s="136">
        <f t="shared" si="32"/>
        <v>6.57</v>
      </c>
      <c r="W114" s="136">
        <f t="shared" si="32"/>
        <v>6.57</v>
      </c>
      <c r="X114" s="136">
        <f t="shared" si="32"/>
        <v>6.57</v>
      </c>
      <c r="Y114" s="136">
        <f t="shared" si="32"/>
        <v>6.57</v>
      </c>
      <c r="Z114" s="136">
        <f t="shared" si="32"/>
        <v>6.57</v>
      </c>
      <c r="AA114" s="136">
        <f t="shared" si="32"/>
        <v>6.57</v>
      </c>
      <c r="AB114" s="136">
        <f t="shared" si="32"/>
        <v>6.57</v>
      </c>
      <c r="AC114" s="136">
        <f t="shared" si="32"/>
        <v>6.57</v>
      </c>
      <c r="AD114" s="136">
        <f t="shared" si="32"/>
        <v>6.57</v>
      </c>
      <c r="AE114" s="136">
        <f t="shared" si="32"/>
        <v>6.57</v>
      </c>
      <c r="AF114" s="136">
        <f t="shared" si="32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30"/>
        <v>3.43</v>
      </c>
      <c r="C115" s="137">
        <v>3.43</v>
      </c>
      <c r="D115" s="136">
        <f t="shared" si="31"/>
        <v>3.43</v>
      </c>
      <c r="E115" s="136">
        <f t="shared" si="31"/>
        <v>3.43</v>
      </c>
      <c r="F115" s="136">
        <f t="shared" si="31"/>
        <v>3.43</v>
      </c>
      <c r="G115" s="136">
        <f t="shared" si="31"/>
        <v>3.43</v>
      </c>
      <c r="H115" s="136">
        <f t="shared" si="31"/>
        <v>3.43</v>
      </c>
      <c r="I115" s="136">
        <f t="shared" si="31"/>
        <v>3.43</v>
      </c>
      <c r="J115" s="136">
        <f t="shared" si="31"/>
        <v>3.43</v>
      </c>
      <c r="K115" s="136">
        <f t="shared" si="31"/>
        <v>3.43</v>
      </c>
      <c r="L115" s="136">
        <f t="shared" si="31"/>
        <v>3.43</v>
      </c>
      <c r="M115" s="136">
        <f t="shared" si="31"/>
        <v>3.43</v>
      </c>
      <c r="N115" s="136">
        <f t="shared" si="31"/>
        <v>3.43</v>
      </c>
      <c r="O115" s="136">
        <f t="shared" si="31"/>
        <v>3.43</v>
      </c>
      <c r="P115" s="136">
        <f t="shared" si="31"/>
        <v>3.43</v>
      </c>
      <c r="Q115" s="136">
        <f t="shared" si="31"/>
        <v>3.43</v>
      </c>
      <c r="R115" s="136">
        <f t="shared" si="31"/>
        <v>3.43</v>
      </c>
      <c r="S115" s="136">
        <f t="shared" si="31"/>
        <v>3.43</v>
      </c>
      <c r="T115" s="136">
        <f t="shared" si="32"/>
        <v>3.43</v>
      </c>
      <c r="U115" s="136">
        <f t="shared" si="32"/>
        <v>3.43</v>
      </c>
      <c r="V115" s="136">
        <f t="shared" si="32"/>
        <v>3.43</v>
      </c>
      <c r="W115" s="136">
        <f t="shared" si="32"/>
        <v>3.43</v>
      </c>
      <c r="X115" s="136">
        <f t="shared" si="32"/>
        <v>3.43</v>
      </c>
      <c r="Y115" s="136">
        <f t="shared" si="32"/>
        <v>3.43</v>
      </c>
      <c r="Z115" s="136">
        <f t="shared" si="32"/>
        <v>3.43</v>
      </c>
      <c r="AA115" s="136">
        <f t="shared" si="32"/>
        <v>3.43</v>
      </c>
      <c r="AB115" s="136">
        <f t="shared" si="32"/>
        <v>3.43</v>
      </c>
      <c r="AC115" s="136">
        <f t="shared" si="32"/>
        <v>3.43</v>
      </c>
      <c r="AD115" s="136">
        <f t="shared" si="32"/>
        <v>3.43</v>
      </c>
      <c r="AE115" s="136">
        <f t="shared" si="32"/>
        <v>3.43</v>
      </c>
      <c r="AF115" s="136">
        <f t="shared" si="32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30"/>
        <v>2.96</v>
      </c>
      <c r="C116" s="137">
        <v>2.96</v>
      </c>
      <c r="D116" s="136">
        <f t="shared" si="31"/>
        <v>2.96</v>
      </c>
      <c r="E116" s="136">
        <f t="shared" si="31"/>
        <v>2.96</v>
      </c>
      <c r="F116" s="136">
        <f t="shared" si="31"/>
        <v>2.96</v>
      </c>
      <c r="G116" s="136">
        <f t="shared" si="31"/>
        <v>2.96</v>
      </c>
      <c r="H116" s="136">
        <f t="shared" si="31"/>
        <v>2.96</v>
      </c>
      <c r="I116" s="136">
        <f t="shared" si="31"/>
        <v>2.96</v>
      </c>
      <c r="J116" s="136">
        <f t="shared" si="31"/>
        <v>2.96</v>
      </c>
      <c r="K116" s="136">
        <f t="shared" si="31"/>
        <v>2.96</v>
      </c>
      <c r="L116" s="136">
        <f t="shared" si="31"/>
        <v>2.96</v>
      </c>
      <c r="M116" s="136">
        <f t="shared" si="31"/>
        <v>2.96</v>
      </c>
      <c r="N116" s="136">
        <f t="shared" si="31"/>
        <v>2.96</v>
      </c>
      <c r="O116" s="136">
        <f t="shared" si="31"/>
        <v>2.96</v>
      </c>
      <c r="P116" s="136">
        <f t="shared" si="31"/>
        <v>2.96</v>
      </c>
      <c r="Q116" s="136">
        <f t="shared" si="31"/>
        <v>2.96</v>
      </c>
      <c r="R116" s="136">
        <f t="shared" si="31"/>
        <v>2.96</v>
      </c>
      <c r="S116" s="136">
        <f t="shared" si="31"/>
        <v>2.96</v>
      </c>
      <c r="T116" s="136">
        <f t="shared" si="32"/>
        <v>2.96</v>
      </c>
      <c r="U116" s="136">
        <f t="shared" si="32"/>
        <v>2.96</v>
      </c>
      <c r="V116" s="136">
        <f t="shared" si="32"/>
        <v>2.96</v>
      </c>
      <c r="W116" s="136">
        <f t="shared" si="32"/>
        <v>2.96</v>
      </c>
      <c r="X116" s="136">
        <f t="shared" si="32"/>
        <v>2.96</v>
      </c>
      <c r="Y116" s="136">
        <f t="shared" si="32"/>
        <v>2.96</v>
      </c>
      <c r="Z116" s="136">
        <f t="shared" si="32"/>
        <v>2.96</v>
      </c>
      <c r="AA116" s="136">
        <f t="shared" si="32"/>
        <v>2.96</v>
      </c>
      <c r="AB116" s="136">
        <f t="shared" si="32"/>
        <v>2.96</v>
      </c>
      <c r="AC116" s="136">
        <f t="shared" si="32"/>
        <v>2.96</v>
      </c>
      <c r="AD116" s="136">
        <f t="shared" si="32"/>
        <v>2.96</v>
      </c>
      <c r="AE116" s="136">
        <f t="shared" si="32"/>
        <v>2.96</v>
      </c>
      <c r="AF116" s="136">
        <f t="shared" si="32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30"/>
        <v>8</v>
      </c>
      <c r="C117" s="137">
        <v>8</v>
      </c>
      <c r="D117" s="136">
        <f t="shared" si="31"/>
        <v>8</v>
      </c>
      <c r="E117" s="136">
        <f t="shared" si="31"/>
        <v>8</v>
      </c>
      <c r="F117" s="136">
        <f t="shared" si="31"/>
        <v>8</v>
      </c>
      <c r="G117" s="136">
        <f t="shared" si="31"/>
        <v>8</v>
      </c>
      <c r="H117" s="136">
        <f t="shared" si="31"/>
        <v>8</v>
      </c>
      <c r="I117" s="136">
        <f t="shared" si="31"/>
        <v>8</v>
      </c>
      <c r="J117" s="136">
        <f t="shared" si="31"/>
        <v>8</v>
      </c>
      <c r="K117" s="136">
        <f t="shared" si="31"/>
        <v>8</v>
      </c>
      <c r="L117" s="136">
        <f t="shared" si="31"/>
        <v>8</v>
      </c>
      <c r="M117" s="136">
        <f t="shared" si="31"/>
        <v>8</v>
      </c>
      <c r="N117" s="136">
        <f t="shared" si="31"/>
        <v>8</v>
      </c>
      <c r="O117" s="136">
        <f t="shared" si="31"/>
        <v>8</v>
      </c>
      <c r="P117" s="136">
        <f t="shared" si="31"/>
        <v>8</v>
      </c>
      <c r="Q117" s="136">
        <f t="shared" si="31"/>
        <v>8</v>
      </c>
      <c r="R117" s="136">
        <f t="shared" si="31"/>
        <v>8</v>
      </c>
      <c r="S117" s="136">
        <f t="shared" si="31"/>
        <v>8</v>
      </c>
      <c r="T117" s="136">
        <f t="shared" si="32"/>
        <v>8</v>
      </c>
      <c r="U117" s="136">
        <f t="shared" si="32"/>
        <v>8</v>
      </c>
      <c r="V117" s="136">
        <f t="shared" si="32"/>
        <v>8</v>
      </c>
      <c r="W117" s="136">
        <f t="shared" si="32"/>
        <v>8</v>
      </c>
      <c r="X117" s="136">
        <f t="shared" si="32"/>
        <v>8</v>
      </c>
      <c r="Y117" s="136">
        <f t="shared" si="32"/>
        <v>8</v>
      </c>
      <c r="Z117" s="136">
        <f t="shared" si="32"/>
        <v>8</v>
      </c>
      <c r="AA117" s="136">
        <f t="shared" si="32"/>
        <v>8</v>
      </c>
      <c r="AB117" s="136">
        <f t="shared" si="32"/>
        <v>8</v>
      </c>
      <c r="AC117" s="136">
        <f t="shared" si="32"/>
        <v>8</v>
      </c>
      <c r="AD117" s="136">
        <f t="shared" si="32"/>
        <v>8</v>
      </c>
      <c r="AE117" s="136">
        <f t="shared" si="32"/>
        <v>8</v>
      </c>
      <c r="AF117" s="136">
        <f t="shared" si="32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30"/>
        <v>7</v>
      </c>
      <c r="C118" s="137">
        <v>7</v>
      </c>
      <c r="D118" s="136">
        <f>C118</f>
        <v>7</v>
      </c>
      <c r="E118" s="136">
        <f t="shared" si="31"/>
        <v>7</v>
      </c>
      <c r="F118" s="136">
        <f t="shared" si="31"/>
        <v>7</v>
      </c>
      <c r="G118" s="136">
        <f t="shared" si="31"/>
        <v>7</v>
      </c>
      <c r="H118" s="136">
        <f t="shared" si="31"/>
        <v>7</v>
      </c>
      <c r="I118" s="136">
        <f t="shared" si="31"/>
        <v>7</v>
      </c>
      <c r="J118" s="136">
        <f t="shared" si="31"/>
        <v>7</v>
      </c>
      <c r="K118" s="136">
        <f t="shared" si="31"/>
        <v>7</v>
      </c>
      <c r="L118" s="136">
        <f t="shared" si="31"/>
        <v>7</v>
      </c>
      <c r="M118" s="136">
        <f t="shared" si="31"/>
        <v>7</v>
      </c>
      <c r="N118" s="136">
        <f t="shared" si="31"/>
        <v>7</v>
      </c>
      <c r="O118" s="136">
        <f t="shared" si="31"/>
        <v>7</v>
      </c>
      <c r="P118" s="136">
        <f t="shared" si="31"/>
        <v>7</v>
      </c>
      <c r="Q118" s="136">
        <f t="shared" si="31"/>
        <v>7</v>
      </c>
      <c r="R118" s="136">
        <f t="shared" si="31"/>
        <v>7</v>
      </c>
      <c r="S118" s="136">
        <f t="shared" si="31"/>
        <v>7</v>
      </c>
      <c r="T118" s="136">
        <f t="shared" si="32"/>
        <v>7</v>
      </c>
      <c r="U118" s="136">
        <f t="shared" si="32"/>
        <v>7</v>
      </c>
      <c r="V118" s="136">
        <f t="shared" si="32"/>
        <v>7</v>
      </c>
      <c r="W118" s="136">
        <f t="shared" si="32"/>
        <v>7</v>
      </c>
      <c r="X118" s="136">
        <f t="shared" si="32"/>
        <v>7</v>
      </c>
      <c r="Y118" s="136">
        <f t="shared" si="32"/>
        <v>7</v>
      </c>
      <c r="Z118" s="136">
        <f t="shared" si="32"/>
        <v>7</v>
      </c>
      <c r="AA118" s="136">
        <f t="shared" si="32"/>
        <v>7</v>
      </c>
      <c r="AB118" s="136">
        <f t="shared" si="32"/>
        <v>7</v>
      </c>
      <c r="AC118" s="136">
        <f t="shared" si="32"/>
        <v>7</v>
      </c>
      <c r="AD118" s="136">
        <f t="shared" si="32"/>
        <v>7</v>
      </c>
      <c r="AE118" s="136">
        <f t="shared" si="32"/>
        <v>7</v>
      </c>
      <c r="AF118" s="136">
        <f t="shared" si="32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30"/>
        <v>3.47</v>
      </c>
      <c r="C119" s="137">
        <v>3.47</v>
      </c>
      <c r="D119" s="136">
        <f t="shared" ref="D119:S128" si="33">C119</f>
        <v>3.47</v>
      </c>
      <c r="E119" s="136">
        <f t="shared" si="33"/>
        <v>3.47</v>
      </c>
      <c r="F119" s="136">
        <f t="shared" si="33"/>
        <v>3.47</v>
      </c>
      <c r="G119" s="136">
        <f t="shared" si="33"/>
        <v>3.47</v>
      </c>
      <c r="H119" s="136">
        <f t="shared" si="33"/>
        <v>3.47</v>
      </c>
      <c r="I119" s="136">
        <f t="shared" si="33"/>
        <v>3.47</v>
      </c>
      <c r="J119" s="136">
        <f t="shared" si="33"/>
        <v>3.47</v>
      </c>
      <c r="K119" s="136">
        <f t="shared" si="33"/>
        <v>3.47</v>
      </c>
      <c r="L119" s="136">
        <f t="shared" si="33"/>
        <v>3.47</v>
      </c>
      <c r="M119" s="136">
        <f t="shared" si="33"/>
        <v>3.47</v>
      </c>
      <c r="N119" s="136">
        <f t="shared" si="33"/>
        <v>3.47</v>
      </c>
      <c r="O119" s="136">
        <f t="shared" si="33"/>
        <v>3.47</v>
      </c>
      <c r="P119" s="136">
        <f t="shared" si="33"/>
        <v>3.47</v>
      </c>
      <c r="Q119" s="136">
        <f t="shared" si="33"/>
        <v>3.47</v>
      </c>
      <c r="R119" s="136">
        <f t="shared" si="33"/>
        <v>3.47</v>
      </c>
      <c r="S119" s="136">
        <f t="shared" si="33"/>
        <v>3.47</v>
      </c>
      <c r="T119" s="136">
        <f t="shared" si="32"/>
        <v>3.47</v>
      </c>
      <c r="U119" s="136">
        <f t="shared" si="32"/>
        <v>3.47</v>
      </c>
      <c r="V119" s="136">
        <f t="shared" si="32"/>
        <v>3.47</v>
      </c>
      <c r="W119" s="136">
        <f t="shared" si="32"/>
        <v>3.47</v>
      </c>
      <c r="X119" s="136">
        <f t="shared" si="32"/>
        <v>3.47</v>
      </c>
      <c r="Y119" s="136">
        <f t="shared" si="32"/>
        <v>3.47</v>
      </c>
      <c r="Z119" s="136">
        <f t="shared" si="32"/>
        <v>3.47</v>
      </c>
      <c r="AA119" s="136">
        <f t="shared" si="32"/>
        <v>3.47</v>
      </c>
      <c r="AB119" s="136">
        <f t="shared" si="32"/>
        <v>3.47</v>
      </c>
      <c r="AC119" s="136">
        <f t="shared" si="32"/>
        <v>3.47</v>
      </c>
      <c r="AD119" s="136">
        <f t="shared" si="32"/>
        <v>3.47</v>
      </c>
      <c r="AE119" s="136">
        <f t="shared" si="32"/>
        <v>3.47</v>
      </c>
      <c r="AF119" s="136">
        <f t="shared" si="32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30"/>
        <v>2.1</v>
      </c>
      <c r="C120" s="137">
        <v>2.1</v>
      </c>
      <c r="D120" s="136">
        <f t="shared" si="33"/>
        <v>2.1</v>
      </c>
      <c r="E120" s="136">
        <f t="shared" si="33"/>
        <v>2.1</v>
      </c>
      <c r="F120" s="136">
        <f t="shared" si="33"/>
        <v>2.1</v>
      </c>
      <c r="G120" s="136">
        <f t="shared" si="33"/>
        <v>2.1</v>
      </c>
      <c r="H120" s="136">
        <f t="shared" si="33"/>
        <v>2.1</v>
      </c>
      <c r="I120" s="136">
        <f t="shared" si="33"/>
        <v>2.1</v>
      </c>
      <c r="J120" s="136">
        <f t="shared" si="33"/>
        <v>2.1</v>
      </c>
      <c r="K120" s="136">
        <f t="shared" si="33"/>
        <v>2.1</v>
      </c>
      <c r="L120" s="136">
        <f t="shared" si="33"/>
        <v>2.1</v>
      </c>
      <c r="M120" s="136">
        <f t="shared" si="33"/>
        <v>2.1</v>
      </c>
      <c r="N120" s="136">
        <f t="shared" si="33"/>
        <v>2.1</v>
      </c>
      <c r="O120" s="136">
        <f t="shared" si="33"/>
        <v>2.1</v>
      </c>
      <c r="P120" s="136">
        <f t="shared" si="33"/>
        <v>2.1</v>
      </c>
      <c r="Q120" s="136">
        <f t="shared" si="33"/>
        <v>2.1</v>
      </c>
      <c r="R120" s="136">
        <f t="shared" si="33"/>
        <v>2.1</v>
      </c>
      <c r="S120" s="136">
        <f t="shared" si="33"/>
        <v>2.1</v>
      </c>
      <c r="T120" s="136">
        <f t="shared" si="32"/>
        <v>2.1</v>
      </c>
      <c r="U120" s="136">
        <f t="shared" si="32"/>
        <v>2.1</v>
      </c>
      <c r="V120" s="136">
        <f t="shared" si="32"/>
        <v>2.1</v>
      </c>
      <c r="W120" s="136">
        <f t="shared" si="32"/>
        <v>2.1</v>
      </c>
      <c r="X120" s="136">
        <f t="shared" si="32"/>
        <v>2.1</v>
      </c>
      <c r="Y120" s="136">
        <f t="shared" si="32"/>
        <v>2.1</v>
      </c>
      <c r="Z120" s="136">
        <f t="shared" si="32"/>
        <v>2.1</v>
      </c>
      <c r="AA120" s="136">
        <f t="shared" si="32"/>
        <v>2.1</v>
      </c>
      <c r="AB120" s="136">
        <f t="shared" si="32"/>
        <v>2.1</v>
      </c>
      <c r="AC120" s="136">
        <f t="shared" si="32"/>
        <v>2.1</v>
      </c>
      <c r="AD120" s="136">
        <f t="shared" si="32"/>
        <v>2.1</v>
      </c>
      <c r="AE120" s="136">
        <f t="shared" si="32"/>
        <v>2.1</v>
      </c>
      <c r="AF120" s="136">
        <f t="shared" si="32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30"/>
        <v>9.3000000000000007</v>
      </c>
      <c r="C121" s="137">
        <v>9.3000000000000007</v>
      </c>
      <c r="D121" s="136">
        <f t="shared" si="33"/>
        <v>9.3000000000000007</v>
      </c>
      <c r="E121" s="136">
        <f t="shared" si="33"/>
        <v>9.3000000000000007</v>
      </c>
      <c r="F121" s="136">
        <f t="shared" si="33"/>
        <v>9.3000000000000007</v>
      </c>
      <c r="G121" s="136">
        <f t="shared" si="33"/>
        <v>9.3000000000000007</v>
      </c>
      <c r="H121" s="136">
        <f t="shared" si="33"/>
        <v>9.3000000000000007</v>
      </c>
      <c r="I121" s="136">
        <f t="shared" si="33"/>
        <v>9.3000000000000007</v>
      </c>
      <c r="J121" s="136">
        <f t="shared" si="33"/>
        <v>9.3000000000000007</v>
      </c>
      <c r="K121" s="136">
        <f t="shared" si="33"/>
        <v>9.3000000000000007</v>
      </c>
      <c r="L121" s="136">
        <f t="shared" si="33"/>
        <v>9.3000000000000007</v>
      </c>
      <c r="M121" s="136">
        <f t="shared" si="33"/>
        <v>9.3000000000000007</v>
      </c>
      <c r="N121" s="136">
        <f t="shared" si="33"/>
        <v>9.3000000000000007</v>
      </c>
      <c r="O121" s="136">
        <f t="shared" si="33"/>
        <v>9.3000000000000007</v>
      </c>
      <c r="P121" s="136">
        <f t="shared" si="33"/>
        <v>9.3000000000000007</v>
      </c>
      <c r="Q121" s="136">
        <f t="shared" si="33"/>
        <v>9.3000000000000007</v>
      </c>
      <c r="R121" s="136">
        <f t="shared" si="33"/>
        <v>9.3000000000000007</v>
      </c>
      <c r="S121" s="136">
        <f t="shared" si="33"/>
        <v>9.3000000000000007</v>
      </c>
      <c r="T121" s="136">
        <f t="shared" si="32"/>
        <v>9.3000000000000007</v>
      </c>
      <c r="U121" s="136">
        <f t="shared" si="32"/>
        <v>9.3000000000000007</v>
      </c>
      <c r="V121" s="136">
        <f t="shared" si="32"/>
        <v>9.3000000000000007</v>
      </c>
      <c r="W121" s="136">
        <f t="shared" si="32"/>
        <v>9.3000000000000007</v>
      </c>
      <c r="X121" s="136">
        <f t="shared" si="32"/>
        <v>9.3000000000000007</v>
      </c>
      <c r="Y121" s="136">
        <f t="shared" si="32"/>
        <v>9.3000000000000007</v>
      </c>
      <c r="Z121" s="136">
        <f t="shared" si="32"/>
        <v>9.3000000000000007</v>
      </c>
      <c r="AA121" s="136">
        <f t="shared" si="32"/>
        <v>9.3000000000000007</v>
      </c>
      <c r="AB121" s="136">
        <f t="shared" si="32"/>
        <v>9.3000000000000007</v>
      </c>
      <c r="AC121" s="136">
        <f t="shared" si="32"/>
        <v>9.3000000000000007</v>
      </c>
      <c r="AD121" s="136">
        <f t="shared" si="32"/>
        <v>9.3000000000000007</v>
      </c>
      <c r="AE121" s="136">
        <f t="shared" si="32"/>
        <v>9.3000000000000007</v>
      </c>
      <c r="AF121" s="136">
        <f t="shared" si="32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30"/>
        <v>0</v>
      </c>
      <c r="C122" s="137">
        <v>0</v>
      </c>
      <c r="D122" s="136">
        <f t="shared" si="33"/>
        <v>0</v>
      </c>
      <c r="E122" s="136">
        <f t="shared" si="33"/>
        <v>0</v>
      </c>
      <c r="F122" s="136">
        <f t="shared" si="33"/>
        <v>0</v>
      </c>
      <c r="G122" s="136">
        <f t="shared" si="33"/>
        <v>0</v>
      </c>
      <c r="H122" s="136">
        <f t="shared" si="33"/>
        <v>0</v>
      </c>
      <c r="I122" s="136">
        <f t="shared" si="33"/>
        <v>0</v>
      </c>
      <c r="J122" s="136">
        <f t="shared" si="33"/>
        <v>0</v>
      </c>
      <c r="K122" s="136">
        <f t="shared" si="33"/>
        <v>0</v>
      </c>
      <c r="L122" s="136">
        <f t="shared" si="33"/>
        <v>0</v>
      </c>
      <c r="M122" s="136">
        <f t="shared" si="33"/>
        <v>0</v>
      </c>
      <c r="N122" s="136">
        <f t="shared" si="33"/>
        <v>0</v>
      </c>
      <c r="O122" s="136">
        <f t="shared" si="33"/>
        <v>0</v>
      </c>
      <c r="P122" s="136">
        <f t="shared" si="33"/>
        <v>0</v>
      </c>
      <c r="Q122" s="136">
        <f t="shared" si="33"/>
        <v>0</v>
      </c>
      <c r="R122" s="136">
        <f t="shared" si="33"/>
        <v>0</v>
      </c>
      <c r="S122" s="136">
        <f t="shared" si="33"/>
        <v>0</v>
      </c>
      <c r="T122" s="136">
        <f t="shared" si="32"/>
        <v>0</v>
      </c>
      <c r="U122" s="136">
        <f t="shared" si="32"/>
        <v>0</v>
      </c>
      <c r="V122" s="136">
        <f t="shared" si="32"/>
        <v>0</v>
      </c>
      <c r="W122" s="136">
        <f t="shared" si="32"/>
        <v>0</v>
      </c>
      <c r="X122" s="136">
        <f t="shared" si="32"/>
        <v>0</v>
      </c>
      <c r="Y122" s="136">
        <f t="shared" si="32"/>
        <v>0</v>
      </c>
      <c r="Z122" s="136">
        <f t="shared" si="32"/>
        <v>0</v>
      </c>
      <c r="AA122" s="136">
        <f t="shared" si="32"/>
        <v>0</v>
      </c>
      <c r="AB122" s="136">
        <f t="shared" si="32"/>
        <v>0</v>
      </c>
      <c r="AC122" s="136">
        <f t="shared" si="32"/>
        <v>0</v>
      </c>
      <c r="AD122" s="136">
        <f t="shared" si="32"/>
        <v>0</v>
      </c>
      <c r="AE122" s="136">
        <f t="shared" si="32"/>
        <v>0</v>
      </c>
      <c r="AF122" s="136">
        <f t="shared" si="32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30"/>
        <v>0</v>
      </c>
      <c r="C123" s="137">
        <v>0</v>
      </c>
      <c r="D123" s="136">
        <f t="shared" si="33"/>
        <v>0</v>
      </c>
      <c r="E123" s="136">
        <f t="shared" si="33"/>
        <v>0</v>
      </c>
      <c r="F123" s="136">
        <f t="shared" si="33"/>
        <v>0</v>
      </c>
      <c r="G123" s="136">
        <f t="shared" si="33"/>
        <v>0</v>
      </c>
      <c r="H123" s="136">
        <f t="shared" si="33"/>
        <v>0</v>
      </c>
      <c r="I123" s="136">
        <f t="shared" si="33"/>
        <v>0</v>
      </c>
      <c r="J123" s="136">
        <f t="shared" si="33"/>
        <v>0</v>
      </c>
      <c r="K123" s="136">
        <f t="shared" si="33"/>
        <v>0</v>
      </c>
      <c r="L123" s="136">
        <f t="shared" si="33"/>
        <v>0</v>
      </c>
      <c r="M123" s="136">
        <f t="shared" si="33"/>
        <v>0</v>
      </c>
      <c r="N123" s="136">
        <f t="shared" si="33"/>
        <v>0</v>
      </c>
      <c r="O123" s="136">
        <f t="shared" si="33"/>
        <v>0</v>
      </c>
      <c r="P123" s="136">
        <f t="shared" si="33"/>
        <v>0</v>
      </c>
      <c r="Q123" s="136">
        <f t="shared" si="33"/>
        <v>0</v>
      </c>
      <c r="R123" s="136">
        <f t="shared" si="33"/>
        <v>0</v>
      </c>
      <c r="S123" s="136">
        <f t="shared" si="33"/>
        <v>0</v>
      </c>
      <c r="T123" s="136">
        <f t="shared" si="32"/>
        <v>0</v>
      </c>
      <c r="U123" s="136">
        <f t="shared" si="32"/>
        <v>0</v>
      </c>
      <c r="V123" s="136">
        <f t="shared" si="32"/>
        <v>0</v>
      </c>
      <c r="W123" s="136">
        <f t="shared" si="32"/>
        <v>0</v>
      </c>
      <c r="X123" s="136">
        <f t="shared" si="32"/>
        <v>0</v>
      </c>
      <c r="Y123" s="136">
        <f t="shared" si="32"/>
        <v>0</v>
      </c>
      <c r="Z123" s="136">
        <f t="shared" si="32"/>
        <v>0</v>
      </c>
      <c r="AA123" s="136">
        <f t="shared" si="32"/>
        <v>0</v>
      </c>
      <c r="AB123" s="136">
        <f t="shared" si="32"/>
        <v>0</v>
      </c>
      <c r="AC123" s="136">
        <f t="shared" si="32"/>
        <v>0</v>
      </c>
      <c r="AD123" s="136">
        <f t="shared" si="32"/>
        <v>0</v>
      </c>
      <c r="AE123" s="136">
        <f t="shared" si="32"/>
        <v>0</v>
      </c>
      <c r="AF123" s="136">
        <f t="shared" si="32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30"/>
        <v>5</v>
      </c>
      <c r="C124" s="137">
        <v>5</v>
      </c>
      <c r="D124" s="136">
        <f t="shared" si="33"/>
        <v>5</v>
      </c>
      <c r="E124" s="136">
        <f t="shared" si="33"/>
        <v>5</v>
      </c>
      <c r="F124" s="136">
        <f t="shared" si="33"/>
        <v>5</v>
      </c>
      <c r="G124" s="136">
        <f t="shared" si="33"/>
        <v>5</v>
      </c>
      <c r="H124" s="136">
        <f t="shared" si="33"/>
        <v>5</v>
      </c>
      <c r="I124" s="136">
        <f t="shared" si="33"/>
        <v>5</v>
      </c>
      <c r="J124" s="136">
        <f t="shared" si="33"/>
        <v>5</v>
      </c>
      <c r="K124" s="136">
        <f t="shared" si="33"/>
        <v>5</v>
      </c>
      <c r="L124" s="136">
        <f t="shared" si="33"/>
        <v>5</v>
      </c>
      <c r="M124" s="136">
        <f t="shared" si="33"/>
        <v>5</v>
      </c>
      <c r="N124" s="136">
        <f t="shared" si="33"/>
        <v>5</v>
      </c>
      <c r="O124" s="136">
        <f t="shared" si="33"/>
        <v>5</v>
      </c>
      <c r="P124" s="136">
        <f t="shared" si="33"/>
        <v>5</v>
      </c>
      <c r="Q124" s="136">
        <f t="shared" si="33"/>
        <v>5</v>
      </c>
      <c r="R124" s="136">
        <f t="shared" si="33"/>
        <v>5</v>
      </c>
      <c r="S124" s="136">
        <f t="shared" si="33"/>
        <v>5</v>
      </c>
      <c r="T124" s="136">
        <f t="shared" si="32"/>
        <v>5</v>
      </c>
      <c r="U124" s="136">
        <f t="shared" si="32"/>
        <v>5</v>
      </c>
      <c r="V124" s="136">
        <f t="shared" si="32"/>
        <v>5</v>
      </c>
      <c r="W124" s="136">
        <f t="shared" si="32"/>
        <v>5</v>
      </c>
      <c r="X124" s="136">
        <f t="shared" si="32"/>
        <v>5</v>
      </c>
      <c r="Y124" s="136">
        <f t="shared" si="32"/>
        <v>5</v>
      </c>
      <c r="Z124" s="136">
        <f t="shared" si="32"/>
        <v>5</v>
      </c>
      <c r="AA124" s="136">
        <f t="shared" si="32"/>
        <v>5</v>
      </c>
      <c r="AB124" s="136">
        <f t="shared" si="32"/>
        <v>5</v>
      </c>
      <c r="AC124" s="136">
        <f t="shared" si="32"/>
        <v>5</v>
      </c>
      <c r="AD124" s="136">
        <f t="shared" si="32"/>
        <v>5</v>
      </c>
      <c r="AE124" s="136">
        <f t="shared" si="32"/>
        <v>5</v>
      </c>
      <c r="AF124" s="136">
        <f t="shared" si="32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30"/>
        <v>1</v>
      </c>
      <c r="C125" s="137">
        <v>1</v>
      </c>
      <c r="D125" s="136">
        <f t="shared" si="33"/>
        <v>1</v>
      </c>
      <c r="E125" s="136">
        <f t="shared" si="33"/>
        <v>1</v>
      </c>
      <c r="F125" s="136">
        <f t="shared" si="33"/>
        <v>1</v>
      </c>
      <c r="G125" s="136">
        <f t="shared" si="33"/>
        <v>1</v>
      </c>
      <c r="H125" s="136">
        <f t="shared" si="33"/>
        <v>1</v>
      </c>
      <c r="I125" s="136">
        <f t="shared" si="33"/>
        <v>1</v>
      </c>
      <c r="J125" s="136">
        <f t="shared" si="33"/>
        <v>1</v>
      </c>
      <c r="K125" s="136">
        <f t="shared" si="33"/>
        <v>1</v>
      </c>
      <c r="L125" s="136">
        <f t="shared" si="33"/>
        <v>1</v>
      </c>
      <c r="M125" s="136">
        <f t="shared" si="33"/>
        <v>1</v>
      </c>
      <c r="N125" s="136">
        <f t="shared" si="33"/>
        <v>1</v>
      </c>
      <c r="O125" s="136">
        <f t="shared" si="33"/>
        <v>1</v>
      </c>
      <c r="P125" s="136">
        <f t="shared" si="33"/>
        <v>1</v>
      </c>
      <c r="Q125" s="136">
        <f t="shared" si="33"/>
        <v>1</v>
      </c>
      <c r="R125" s="136">
        <f t="shared" si="33"/>
        <v>1</v>
      </c>
      <c r="S125" s="136">
        <f t="shared" si="33"/>
        <v>1</v>
      </c>
      <c r="T125" s="136">
        <f t="shared" si="32"/>
        <v>1</v>
      </c>
      <c r="U125" s="136">
        <f t="shared" si="32"/>
        <v>1</v>
      </c>
      <c r="V125" s="136">
        <f t="shared" si="32"/>
        <v>1</v>
      </c>
      <c r="W125" s="136">
        <f t="shared" si="32"/>
        <v>1</v>
      </c>
      <c r="X125" s="136">
        <f t="shared" si="32"/>
        <v>1</v>
      </c>
      <c r="Y125" s="136">
        <f t="shared" si="32"/>
        <v>1</v>
      </c>
      <c r="Z125" s="136">
        <f t="shared" si="32"/>
        <v>1</v>
      </c>
      <c r="AA125" s="136">
        <f t="shared" si="32"/>
        <v>1</v>
      </c>
      <c r="AB125" s="136">
        <f t="shared" si="32"/>
        <v>1</v>
      </c>
      <c r="AC125" s="136">
        <f t="shared" si="32"/>
        <v>1</v>
      </c>
      <c r="AD125" s="136">
        <f t="shared" si="32"/>
        <v>1</v>
      </c>
      <c r="AE125" s="136">
        <f t="shared" si="32"/>
        <v>1</v>
      </c>
      <c r="AF125" s="136">
        <f t="shared" si="32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30"/>
        <v>1.58</v>
      </c>
      <c r="C126" s="137">
        <v>1.58</v>
      </c>
      <c r="D126" s="136">
        <f t="shared" si="33"/>
        <v>1.58</v>
      </c>
      <c r="E126" s="136">
        <f t="shared" si="33"/>
        <v>1.58</v>
      </c>
      <c r="F126" s="136">
        <f t="shared" si="33"/>
        <v>1.58</v>
      </c>
      <c r="G126" s="136">
        <f t="shared" si="33"/>
        <v>1.58</v>
      </c>
      <c r="H126" s="136">
        <f t="shared" si="33"/>
        <v>1.58</v>
      </c>
      <c r="I126" s="136">
        <f t="shared" si="33"/>
        <v>1.58</v>
      </c>
      <c r="J126" s="136">
        <f t="shared" si="33"/>
        <v>1.58</v>
      </c>
      <c r="K126" s="136">
        <f t="shared" si="33"/>
        <v>1.58</v>
      </c>
      <c r="L126" s="136">
        <f t="shared" si="33"/>
        <v>1.58</v>
      </c>
      <c r="M126" s="136">
        <f t="shared" si="33"/>
        <v>1.58</v>
      </c>
      <c r="N126" s="136">
        <f t="shared" si="33"/>
        <v>1.58</v>
      </c>
      <c r="O126" s="136">
        <f t="shared" si="33"/>
        <v>1.58</v>
      </c>
      <c r="P126" s="136">
        <f t="shared" si="33"/>
        <v>1.58</v>
      </c>
      <c r="Q126" s="136">
        <f t="shared" si="33"/>
        <v>1.58</v>
      </c>
      <c r="R126" s="136">
        <f t="shared" si="33"/>
        <v>1.58</v>
      </c>
      <c r="S126" s="136">
        <f t="shared" si="33"/>
        <v>1.58</v>
      </c>
      <c r="T126" s="136">
        <f t="shared" si="32"/>
        <v>1.58</v>
      </c>
      <c r="U126" s="136">
        <f t="shared" si="32"/>
        <v>1.58</v>
      </c>
      <c r="V126" s="136">
        <f t="shared" si="32"/>
        <v>1.58</v>
      </c>
      <c r="W126" s="136">
        <f t="shared" si="32"/>
        <v>1.58</v>
      </c>
      <c r="X126" s="136">
        <f t="shared" si="32"/>
        <v>1.58</v>
      </c>
      <c r="Y126" s="136">
        <f t="shared" si="32"/>
        <v>1.58</v>
      </c>
      <c r="Z126" s="136">
        <f t="shared" si="32"/>
        <v>1.58</v>
      </c>
      <c r="AA126" s="136">
        <f t="shared" si="32"/>
        <v>1.58</v>
      </c>
      <c r="AB126" s="136">
        <f t="shared" si="32"/>
        <v>1.58</v>
      </c>
      <c r="AC126" s="136">
        <f t="shared" si="32"/>
        <v>1.58</v>
      </c>
      <c r="AD126" s="136">
        <f t="shared" si="32"/>
        <v>1.58</v>
      </c>
      <c r="AE126" s="136">
        <f t="shared" si="32"/>
        <v>1.58</v>
      </c>
      <c r="AF126" s="136">
        <f t="shared" si="32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30"/>
        <v>1.46</v>
      </c>
      <c r="C127" s="137">
        <v>1.46</v>
      </c>
      <c r="D127" s="136">
        <f t="shared" si="33"/>
        <v>1.46</v>
      </c>
      <c r="E127" s="136">
        <f t="shared" si="33"/>
        <v>1.46</v>
      </c>
      <c r="F127" s="136">
        <f t="shared" si="33"/>
        <v>1.46</v>
      </c>
      <c r="G127" s="136">
        <f t="shared" si="33"/>
        <v>1.46</v>
      </c>
      <c r="H127" s="136">
        <f t="shared" si="33"/>
        <v>1.46</v>
      </c>
      <c r="I127" s="136">
        <f t="shared" si="33"/>
        <v>1.46</v>
      </c>
      <c r="J127" s="136">
        <f t="shared" si="33"/>
        <v>1.46</v>
      </c>
      <c r="K127" s="136">
        <f t="shared" si="33"/>
        <v>1.46</v>
      </c>
      <c r="L127" s="136">
        <f t="shared" si="33"/>
        <v>1.46</v>
      </c>
      <c r="M127" s="136">
        <f t="shared" si="33"/>
        <v>1.46</v>
      </c>
      <c r="N127" s="136">
        <f t="shared" si="33"/>
        <v>1.46</v>
      </c>
      <c r="O127" s="136">
        <f t="shared" si="33"/>
        <v>1.46</v>
      </c>
      <c r="P127" s="136">
        <f t="shared" si="33"/>
        <v>1.46</v>
      </c>
      <c r="Q127" s="136">
        <f t="shared" si="33"/>
        <v>1.46</v>
      </c>
      <c r="R127" s="136">
        <f t="shared" si="33"/>
        <v>1.46</v>
      </c>
      <c r="S127" s="136">
        <f t="shared" si="33"/>
        <v>1.46</v>
      </c>
      <c r="T127" s="136">
        <f t="shared" ref="T127:AF128" si="34">S127</f>
        <v>1.46</v>
      </c>
      <c r="U127" s="136">
        <f t="shared" si="34"/>
        <v>1.46</v>
      </c>
      <c r="V127" s="136">
        <f t="shared" si="34"/>
        <v>1.46</v>
      </c>
      <c r="W127" s="136">
        <f t="shared" si="34"/>
        <v>1.46</v>
      </c>
      <c r="X127" s="136">
        <f t="shared" si="34"/>
        <v>1.46</v>
      </c>
      <c r="Y127" s="136">
        <f t="shared" si="34"/>
        <v>1.46</v>
      </c>
      <c r="Z127" s="136">
        <f t="shared" si="34"/>
        <v>1.46</v>
      </c>
      <c r="AA127" s="136">
        <f t="shared" si="34"/>
        <v>1.46</v>
      </c>
      <c r="AB127" s="136">
        <f t="shared" si="34"/>
        <v>1.46</v>
      </c>
      <c r="AC127" s="136">
        <f t="shared" si="34"/>
        <v>1.46</v>
      </c>
      <c r="AD127" s="136">
        <f t="shared" si="34"/>
        <v>1.46</v>
      </c>
      <c r="AE127" s="136">
        <f t="shared" si="34"/>
        <v>1.46</v>
      </c>
      <c r="AF127" s="136">
        <f t="shared" si="34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30"/>
        <v>1.48</v>
      </c>
      <c r="C128" s="137">
        <v>1.48</v>
      </c>
      <c r="D128" s="136">
        <f t="shared" si="33"/>
        <v>1.48</v>
      </c>
      <c r="E128" s="136">
        <f t="shared" si="33"/>
        <v>1.48</v>
      </c>
      <c r="F128" s="136">
        <f t="shared" si="33"/>
        <v>1.48</v>
      </c>
      <c r="G128" s="136">
        <f t="shared" si="33"/>
        <v>1.48</v>
      </c>
      <c r="H128" s="136">
        <f t="shared" si="33"/>
        <v>1.48</v>
      </c>
      <c r="I128" s="136">
        <f t="shared" si="33"/>
        <v>1.48</v>
      </c>
      <c r="J128" s="136">
        <f t="shared" si="33"/>
        <v>1.48</v>
      </c>
      <c r="K128" s="136">
        <f t="shared" si="33"/>
        <v>1.48</v>
      </c>
      <c r="L128" s="136">
        <f t="shared" si="33"/>
        <v>1.48</v>
      </c>
      <c r="M128" s="136">
        <f t="shared" si="33"/>
        <v>1.48</v>
      </c>
      <c r="N128" s="136">
        <f t="shared" si="33"/>
        <v>1.48</v>
      </c>
      <c r="O128" s="136">
        <f t="shared" si="33"/>
        <v>1.48</v>
      </c>
      <c r="P128" s="136">
        <f t="shared" si="33"/>
        <v>1.48</v>
      </c>
      <c r="Q128" s="136">
        <f t="shared" si="33"/>
        <v>1.48</v>
      </c>
      <c r="R128" s="136">
        <f t="shared" si="33"/>
        <v>1.48</v>
      </c>
      <c r="S128" s="136">
        <f t="shared" si="33"/>
        <v>1.48</v>
      </c>
      <c r="T128" s="136">
        <f t="shared" si="34"/>
        <v>1.48</v>
      </c>
      <c r="U128" s="136">
        <f t="shared" si="34"/>
        <v>1.48</v>
      </c>
      <c r="V128" s="136">
        <f t="shared" si="34"/>
        <v>1.48</v>
      </c>
      <c r="W128" s="136">
        <f t="shared" si="34"/>
        <v>1.48</v>
      </c>
      <c r="X128" s="136">
        <f t="shared" si="34"/>
        <v>1.48</v>
      </c>
      <c r="Y128" s="136">
        <f t="shared" si="34"/>
        <v>1.48</v>
      </c>
      <c r="Z128" s="136">
        <f t="shared" si="34"/>
        <v>1.48</v>
      </c>
      <c r="AA128" s="136">
        <f t="shared" si="34"/>
        <v>1.48</v>
      </c>
      <c r="AB128" s="136">
        <f t="shared" si="34"/>
        <v>1.48</v>
      </c>
      <c r="AC128" s="136">
        <f t="shared" si="34"/>
        <v>1.48</v>
      </c>
      <c r="AD128" s="136">
        <f t="shared" si="34"/>
        <v>1.48</v>
      </c>
      <c r="AE128" s="136">
        <f t="shared" si="34"/>
        <v>1.48</v>
      </c>
      <c r="AF128" s="136">
        <f t="shared" si="34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5">AF130</f>
        <v>2.2000000000000002</v>
      </c>
      <c r="C130" s="137">
        <v>2.2000000000000002</v>
      </c>
      <c r="D130" s="136">
        <f t="shared" ref="D130:S137" si="36">C130</f>
        <v>2.2000000000000002</v>
      </c>
      <c r="E130" s="136">
        <f t="shared" si="36"/>
        <v>2.2000000000000002</v>
      </c>
      <c r="F130" s="136">
        <f t="shared" si="36"/>
        <v>2.2000000000000002</v>
      </c>
      <c r="G130" s="136">
        <f t="shared" si="36"/>
        <v>2.2000000000000002</v>
      </c>
      <c r="H130" s="136">
        <f t="shared" si="36"/>
        <v>2.2000000000000002</v>
      </c>
      <c r="I130" s="136">
        <f t="shared" si="36"/>
        <v>2.2000000000000002</v>
      </c>
      <c r="J130" s="136">
        <f t="shared" si="36"/>
        <v>2.2000000000000002</v>
      </c>
      <c r="K130" s="136">
        <f t="shared" si="36"/>
        <v>2.2000000000000002</v>
      </c>
      <c r="L130" s="136">
        <f t="shared" si="36"/>
        <v>2.2000000000000002</v>
      </c>
      <c r="M130" s="136">
        <f t="shared" si="36"/>
        <v>2.2000000000000002</v>
      </c>
      <c r="N130" s="136">
        <f t="shared" si="36"/>
        <v>2.2000000000000002</v>
      </c>
      <c r="O130" s="136">
        <f t="shared" si="36"/>
        <v>2.2000000000000002</v>
      </c>
      <c r="P130" s="136">
        <f t="shared" si="36"/>
        <v>2.2000000000000002</v>
      </c>
      <c r="Q130" s="136">
        <f t="shared" si="36"/>
        <v>2.2000000000000002</v>
      </c>
      <c r="R130" s="136">
        <f t="shared" si="36"/>
        <v>2.2000000000000002</v>
      </c>
      <c r="S130" s="136">
        <f t="shared" si="36"/>
        <v>2.2000000000000002</v>
      </c>
      <c r="T130" s="136">
        <f t="shared" ref="T130:AF137" si="37">S130</f>
        <v>2.2000000000000002</v>
      </c>
      <c r="U130" s="136">
        <f t="shared" si="37"/>
        <v>2.2000000000000002</v>
      </c>
      <c r="V130" s="136">
        <f t="shared" si="37"/>
        <v>2.2000000000000002</v>
      </c>
      <c r="W130" s="136">
        <f t="shared" si="37"/>
        <v>2.2000000000000002</v>
      </c>
      <c r="X130" s="136">
        <f t="shared" si="37"/>
        <v>2.2000000000000002</v>
      </c>
      <c r="Y130" s="136">
        <f t="shared" si="37"/>
        <v>2.2000000000000002</v>
      </c>
      <c r="Z130" s="136">
        <f t="shared" si="37"/>
        <v>2.2000000000000002</v>
      </c>
      <c r="AA130" s="136">
        <f t="shared" si="37"/>
        <v>2.2000000000000002</v>
      </c>
      <c r="AB130" s="136">
        <f t="shared" si="37"/>
        <v>2.2000000000000002</v>
      </c>
      <c r="AC130" s="136">
        <f t="shared" si="37"/>
        <v>2.2000000000000002</v>
      </c>
      <c r="AD130" s="136">
        <f t="shared" si="37"/>
        <v>2.2000000000000002</v>
      </c>
      <c r="AE130" s="136">
        <f t="shared" si="37"/>
        <v>2.2000000000000002</v>
      </c>
      <c r="AF130" s="136">
        <f t="shared" si="37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5"/>
        <v>2</v>
      </c>
      <c r="C131" s="137">
        <v>2</v>
      </c>
      <c r="D131" s="136">
        <f t="shared" si="36"/>
        <v>2</v>
      </c>
      <c r="E131" s="136">
        <f t="shared" si="36"/>
        <v>2</v>
      </c>
      <c r="F131" s="136">
        <f t="shared" si="36"/>
        <v>2</v>
      </c>
      <c r="G131" s="136">
        <f t="shared" si="36"/>
        <v>2</v>
      </c>
      <c r="H131" s="136">
        <f t="shared" si="36"/>
        <v>2</v>
      </c>
      <c r="I131" s="136">
        <f t="shared" si="36"/>
        <v>2</v>
      </c>
      <c r="J131" s="136">
        <f t="shared" si="36"/>
        <v>2</v>
      </c>
      <c r="K131" s="136">
        <f t="shared" si="36"/>
        <v>2</v>
      </c>
      <c r="L131" s="136">
        <f t="shared" si="36"/>
        <v>2</v>
      </c>
      <c r="M131" s="136">
        <f t="shared" si="36"/>
        <v>2</v>
      </c>
      <c r="N131" s="136">
        <f t="shared" si="36"/>
        <v>2</v>
      </c>
      <c r="O131" s="136">
        <f t="shared" si="36"/>
        <v>2</v>
      </c>
      <c r="P131" s="136">
        <f t="shared" si="36"/>
        <v>2</v>
      </c>
      <c r="Q131" s="136">
        <f t="shared" si="36"/>
        <v>2</v>
      </c>
      <c r="R131" s="136">
        <f t="shared" si="36"/>
        <v>2</v>
      </c>
      <c r="S131" s="136">
        <f t="shared" si="36"/>
        <v>2</v>
      </c>
      <c r="T131" s="136">
        <f t="shared" si="37"/>
        <v>2</v>
      </c>
      <c r="U131" s="136">
        <f t="shared" si="37"/>
        <v>2</v>
      </c>
      <c r="V131" s="136">
        <f t="shared" si="37"/>
        <v>2</v>
      </c>
      <c r="W131" s="136">
        <f t="shared" si="37"/>
        <v>2</v>
      </c>
      <c r="X131" s="136">
        <f t="shared" si="37"/>
        <v>2</v>
      </c>
      <c r="Y131" s="136">
        <f t="shared" si="37"/>
        <v>2</v>
      </c>
      <c r="Z131" s="136">
        <f t="shared" si="37"/>
        <v>2</v>
      </c>
      <c r="AA131" s="136">
        <f t="shared" si="37"/>
        <v>2</v>
      </c>
      <c r="AB131" s="136">
        <f t="shared" si="37"/>
        <v>2</v>
      </c>
      <c r="AC131" s="136">
        <f t="shared" si="37"/>
        <v>2</v>
      </c>
      <c r="AD131" s="136">
        <f t="shared" si="37"/>
        <v>2</v>
      </c>
      <c r="AE131" s="136">
        <f t="shared" si="37"/>
        <v>2</v>
      </c>
      <c r="AF131" s="136">
        <f t="shared" si="37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5"/>
        <v>1.25</v>
      </c>
      <c r="C132" s="137">
        <v>1.25</v>
      </c>
      <c r="D132" s="136">
        <f t="shared" si="36"/>
        <v>1.25</v>
      </c>
      <c r="E132" s="136">
        <f t="shared" si="36"/>
        <v>1.25</v>
      </c>
      <c r="F132" s="136">
        <f t="shared" si="36"/>
        <v>1.25</v>
      </c>
      <c r="G132" s="136">
        <f t="shared" si="36"/>
        <v>1.25</v>
      </c>
      <c r="H132" s="136">
        <f t="shared" si="36"/>
        <v>1.25</v>
      </c>
      <c r="I132" s="136">
        <f t="shared" si="36"/>
        <v>1.25</v>
      </c>
      <c r="J132" s="136">
        <f t="shared" si="36"/>
        <v>1.25</v>
      </c>
      <c r="K132" s="136">
        <f t="shared" si="36"/>
        <v>1.25</v>
      </c>
      <c r="L132" s="136">
        <f t="shared" si="36"/>
        <v>1.25</v>
      </c>
      <c r="M132" s="136">
        <f t="shared" si="36"/>
        <v>1.25</v>
      </c>
      <c r="N132" s="136">
        <f t="shared" si="36"/>
        <v>1.25</v>
      </c>
      <c r="O132" s="136">
        <f t="shared" si="36"/>
        <v>1.25</v>
      </c>
      <c r="P132" s="136">
        <f t="shared" si="36"/>
        <v>1.25</v>
      </c>
      <c r="Q132" s="136">
        <f t="shared" si="36"/>
        <v>1.25</v>
      </c>
      <c r="R132" s="136">
        <f t="shared" si="36"/>
        <v>1.25</v>
      </c>
      <c r="S132" s="136">
        <f t="shared" si="36"/>
        <v>1.25</v>
      </c>
      <c r="T132" s="136">
        <f t="shared" si="37"/>
        <v>1.25</v>
      </c>
      <c r="U132" s="136">
        <f t="shared" si="37"/>
        <v>1.25</v>
      </c>
      <c r="V132" s="136">
        <f t="shared" si="37"/>
        <v>1.25</v>
      </c>
      <c r="W132" s="136">
        <f t="shared" si="37"/>
        <v>1.25</v>
      </c>
      <c r="X132" s="136">
        <f t="shared" si="37"/>
        <v>1.25</v>
      </c>
      <c r="Y132" s="136">
        <f t="shared" si="37"/>
        <v>1.25</v>
      </c>
      <c r="Z132" s="136">
        <f t="shared" si="37"/>
        <v>1.25</v>
      </c>
      <c r="AA132" s="136">
        <f t="shared" si="37"/>
        <v>1.25</v>
      </c>
      <c r="AB132" s="136">
        <f t="shared" si="37"/>
        <v>1.25</v>
      </c>
      <c r="AC132" s="136">
        <f t="shared" si="37"/>
        <v>1.25</v>
      </c>
      <c r="AD132" s="136">
        <f t="shared" si="37"/>
        <v>1.25</v>
      </c>
      <c r="AE132" s="136">
        <f t="shared" si="37"/>
        <v>1.25</v>
      </c>
      <c r="AF132" s="136">
        <f t="shared" si="37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5"/>
        <v>1.1499999999999999</v>
      </c>
      <c r="C133" s="137">
        <v>1.1499999999999999</v>
      </c>
      <c r="D133" s="136">
        <f t="shared" si="36"/>
        <v>1.1499999999999999</v>
      </c>
      <c r="E133" s="136">
        <f t="shared" si="36"/>
        <v>1.1499999999999999</v>
      </c>
      <c r="F133" s="136">
        <f t="shared" si="36"/>
        <v>1.1499999999999999</v>
      </c>
      <c r="G133" s="136">
        <f t="shared" si="36"/>
        <v>1.1499999999999999</v>
      </c>
      <c r="H133" s="136">
        <f t="shared" si="36"/>
        <v>1.1499999999999999</v>
      </c>
      <c r="I133" s="136">
        <f t="shared" si="36"/>
        <v>1.1499999999999999</v>
      </c>
      <c r="J133" s="136">
        <f t="shared" si="36"/>
        <v>1.1499999999999999</v>
      </c>
      <c r="K133" s="136">
        <f t="shared" si="36"/>
        <v>1.1499999999999999</v>
      </c>
      <c r="L133" s="136">
        <f t="shared" si="36"/>
        <v>1.1499999999999999</v>
      </c>
      <c r="M133" s="136">
        <f t="shared" si="36"/>
        <v>1.1499999999999999</v>
      </c>
      <c r="N133" s="136">
        <f t="shared" si="36"/>
        <v>1.1499999999999999</v>
      </c>
      <c r="O133" s="136">
        <f t="shared" si="36"/>
        <v>1.1499999999999999</v>
      </c>
      <c r="P133" s="136">
        <f t="shared" si="36"/>
        <v>1.1499999999999999</v>
      </c>
      <c r="Q133" s="136">
        <f t="shared" si="36"/>
        <v>1.1499999999999999</v>
      </c>
      <c r="R133" s="136">
        <f t="shared" si="36"/>
        <v>1.1499999999999999</v>
      </c>
      <c r="S133" s="136">
        <f t="shared" si="36"/>
        <v>1.1499999999999999</v>
      </c>
      <c r="T133" s="136">
        <f t="shared" si="37"/>
        <v>1.1499999999999999</v>
      </c>
      <c r="U133" s="136">
        <f t="shared" si="37"/>
        <v>1.1499999999999999</v>
      </c>
      <c r="V133" s="136">
        <f t="shared" si="37"/>
        <v>1.1499999999999999</v>
      </c>
      <c r="W133" s="136">
        <f t="shared" si="37"/>
        <v>1.1499999999999999</v>
      </c>
      <c r="X133" s="136">
        <f t="shared" si="37"/>
        <v>1.1499999999999999</v>
      </c>
      <c r="Y133" s="136">
        <f t="shared" si="37"/>
        <v>1.1499999999999999</v>
      </c>
      <c r="Z133" s="136">
        <f t="shared" si="37"/>
        <v>1.1499999999999999</v>
      </c>
      <c r="AA133" s="136">
        <f t="shared" si="37"/>
        <v>1.1499999999999999</v>
      </c>
      <c r="AB133" s="136">
        <f t="shared" si="37"/>
        <v>1.1499999999999999</v>
      </c>
      <c r="AC133" s="136">
        <f t="shared" si="37"/>
        <v>1.1499999999999999</v>
      </c>
      <c r="AD133" s="136">
        <f t="shared" si="37"/>
        <v>1.1499999999999999</v>
      </c>
      <c r="AE133" s="136">
        <f t="shared" si="37"/>
        <v>1.1499999999999999</v>
      </c>
      <c r="AF133" s="136">
        <f t="shared" si="37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5"/>
        <v>2.133</v>
      </c>
      <c r="C134" s="137">
        <v>2.133</v>
      </c>
      <c r="D134" s="136">
        <f t="shared" si="36"/>
        <v>2.133</v>
      </c>
      <c r="E134" s="136">
        <f t="shared" si="36"/>
        <v>2.133</v>
      </c>
      <c r="F134" s="136">
        <f t="shared" si="36"/>
        <v>2.133</v>
      </c>
      <c r="G134" s="136">
        <f t="shared" si="36"/>
        <v>2.133</v>
      </c>
      <c r="H134" s="136">
        <f t="shared" si="36"/>
        <v>2.133</v>
      </c>
      <c r="I134" s="136">
        <f t="shared" si="36"/>
        <v>2.133</v>
      </c>
      <c r="J134" s="136">
        <f t="shared" si="36"/>
        <v>2.133</v>
      </c>
      <c r="K134" s="136">
        <f t="shared" si="36"/>
        <v>2.133</v>
      </c>
      <c r="L134" s="136">
        <f t="shared" si="36"/>
        <v>2.133</v>
      </c>
      <c r="M134" s="136">
        <f t="shared" si="36"/>
        <v>2.133</v>
      </c>
      <c r="N134" s="136">
        <f t="shared" si="36"/>
        <v>2.133</v>
      </c>
      <c r="O134" s="136">
        <f t="shared" si="36"/>
        <v>2.133</v>
      </c>
      <c r="P134" s="136">
        <f t="shared" si="36"/>
        <v>2.133</v>
      </c>
      <c r="Q134" s="136">
        <f t="shared" si="36"/>
        <v>2.133</v>
      </c>
      <c r="R134" s="136">
        <f t="shared" si="36"/>
        <v>2.133</v>
      </c>
      <c r="S134" s="136">
        <f t="shared" si="36"/>
        <v>2.133</v>
      </c>
      <c r="T134" s="136">
        <f t="shared" si="37"/>
        <v>2.133</v>
      </c>
      <c r="U134" s="136">
        <f t="shared" si="37"/>
        <v>2.133</v>
      </c>
      <c r="V134" s="136">
        <f t="shared" si="37"/>
        <v>2.133</v>
      </c>
      <c r="W134" s="136">
        <f t="shared" si="37"/>
        <v>2.133</v>
      </c>
      <c r="X134" s="136">
        <f t="shared" si="37"/>
        <v>2.133</v>
      </c>
      <c r="Y134" s="136">
        <f t="shared" si="37"/>
        <v>2.133</v>
      </c>
      <c r="Z134" s="136">
        <f t="shared" si="37"/>
        <v>2.133</v>
      </c>
      <c r="AA134" s="136">
        <f t="shared" si="37"/>
        <v>2.133</v>
      </c>
      <c r="AB134" s="136">
        <f t="shared" si="37"/>
        <v>2.133</v>
      </c>
      <c r="AC134" s="136">
        <f t="shared" si="37"/>
        <v>2.133</v>
      </c>
      <c r="AD134" s="136">
        <f t="shared" si="37"/>
        <v>2.133</v>
      </c>
      <c r="AE134" s="136">
        <f t="shared" si="37"/>
        <v>2.133</v>
      </c>
      <c r="AF134" s="136">
        <f t="shared" si="37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5"/>
        <v>2.09</v>
      </c>
      <c r="C135" s="137">
        <v>2.09</v>
      </c>
      <c r="D135" s="136">
        <f t="shared" si="36"/>
        <v>2.09</v>
      </c>
      <c r="E135" s="136">
        <f t="shared" si="36"/>
        <v>2.09</v>
      </c>
      <c r="F135" s="136">
        <f t="shared" si="36"/>
        <v>2.09</v>
      </c>
      <c r="G135" s="136">
        <f t="shared" si="36"/>
        <v>2.09</v>
      </c>
      <c r="H135" s="136">
        <f t="shared" si="36"/>
        <v>2.09</v>
      </c>
      <c r="I135" s="136">
        <f t="shared" si="36"/>
        <v>2.09</v>
      </c>
      <c r="J135" s="136">
        <f t="shared" si="36"/>
        <v>2.09</v>
      </c>
      <c r="K135" s="136">
        <f t="shared" si="36"/>
        <v>2.09</v>
      </c>
      <c r="L135" s="136">
        <f t="shared" si="36"/>
        <v>2.09</v>
      </c>
      <c r="M135" s="136">
        <f t="shared" si="36"/>
        <v>2.09</v>
      </c>
      <c r="N135" s="136">
        <f t="shared" si="36"/>
        <v>2.09</v>
      </c>
      <c r="O135" s="136">
        <f t="shared" si="36"/>
        <v>2.09</v>
      </c>
      <c r="P135" s="136">
        <f t="shared" si="36"/>
        <v>2.09</v>
      </c>
      <c r="Q135" s="136">
        <f t="shared" si="36"/>
        <v>2.09</v>
      </c>
      <c r="R135" s="136">
        <f t="shared" si="36"/>
        <v>2.09</v>
      </c>
      <c r="S135" s="136">
        <f t="shared" si="36"/>
        <v>2.09</v>
      </c>
      <c r="T135" s="136">
        <f t="shared" si="37"/>
        <v>2.09</v>
      </c>
      <c r="U135" s="136">
        <f t="shared" si="37"/>
        <v>2.09</v>
      </c>
      <c r="V135" s="136">
        <f t="shared" si="37"/>
        <v>2.09</v>
      </c>
      <c r="W135" s="136">
        <f t="shared" si="37"/>
        <v>2.09</v>
      </c>
      <c r="X135" s="136">
        <f t="shared" si="37"/>
        <v>2.09</v>
      </c>
      <c r="Y135" s="136">
        <f t="shared" si="37"/>
        <v>2.09</v>
      </c>
      <c r="Z135" s="136">
        <f t="shared" si="37"/>
        <v>2.09</v>
      </c>
      <c r="AA135" s="136">
        <f t="shared" si="37"/>
        <v>2.09</v>
      </c>
      <c r="AB135" s="136">
        <f t="shared" si="37"/>
        <v>2.09</v>
      </c>
      <c r="AC135" s="136">
        <f t="shared" si="37"/>
        <v>2.09</v>
      </c>
      <c r="AD135" s="136">
        <f t="shared" si="37"/>
        <v>2.09</v>
      </c>
      <c r="AE135" s="136">
        <f t="shared" si="37"/>
        <v>2.09</v>
      </c>
      <c r="AF135" s="136">
        <f t="shared" si="37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5"/>
        <v>1.1399999999999999</v>
      </c>
      <c r="C136" s="137">
        <v>1.1399999999999999</v>
      </c>
      <c r="D136" s="136">
        <f t="shared" si="36"/>
        <v>1.1399999999999999</v>
      </c>
      <c r="E136" s="136">
        <f t="shared" si="36"/>
        <v>1.1399999999999999</v>
      </c>
      <c r="F136" s="136">
        <f t="shared" si="36"/>
        <v>1.1399999999999999</v>
      </c>
      <c r="G136" s="136">
        <f t="shared" si="36"/>
        <v>1.1399999999999999</v>
      </c>
      <c r="H136" s="136">
        <f t="shared" si="36"/>
        <v>1.1399999999999999</v>
      </c>
      <c r="I136" s="136">
        <f t="shared" si="36"/>
        <v>1.1399999999999999</v>
      </c>
      <c r="J136" s="136">
        <f t="shared" si="36"/>
        <v>1.1399999999999999</v>
      </c>
      <c r="K136" s="136">
        <f t="shared" si="36"/>
        <v>1.1399999999999999</v>
      </c>
      <c r="L136" s="136">
        <f t="shared" si="36"/>
        <v>1.1399999999999999</v>
      </c>
      <c r="M136" s="136">
        <f t="shared" si="36"/>
        <v>1.1399999999999999</v>
      </c>
      <c r="N136" s="136">
        <f t="shared" si="36"/>
        <v>1.1399999999999999</v>
      </c>
      <c r="O136" s="136">
        <f t="shared" si="36"/>
        <v>1.1399999999999999</v>
      </c>
      <c r="P136" s="136">
        <f t="shared" si="36"/>
        <v>1.1399999999999999</v>
      </c>
      <c r="Q136" s="136">
        <f t="shared" si="36"/>
        <v>1.1399999999999999</v>
      </c>
      <c r="R136" s="136">
        <f t="shared" si="36"/>
        <v>1.1399999999999999</v>
      </c>
      <c r="S136" s="136">
        <f t="shared" si="36"/>
        <v>1.1399999999999999</v>
      </c>
      <c r="T136" s="136">
        <f t="shared" si="37"/>
        <v>1.1399999999999999</v>
      </c>
      <c r="U136" s="136">
        <f t="shared" si="37"/>
        <v>1.1399999999999999</v>
      </c>
      <c r="V136" s="136">
        <f t="shared" si="37"/>
        <v>1.1399999999999999</v>
      </c>
      <c r="W136" s="136">
        <f t="shared" si="37"/>
        <v>1.1399999999999999</v>
      </c>
      <c r="X136" s="136">
        <f t="shared" si="37"/>
        <v>1.1399999999999999</v>
      </c>
      <c r="Y136" s="136">
        <f t="shared" si="37"/>
        <v>1.1399999999999999</v>
      </c>
      <c r="Z136" s="136">
        <f t="shared" si="37"/>
        <v>1.1399999999999999</v>
      </c>
      <c r="AA136" s="136">
        <f t="shared" si="37"/>
        <v>1.1399999999999999</v>
      </c>
      <c r="AB136" s="136">
        <f t="shared" si="37"/>
        <v>1.1399999999999999</v>
      </c>
      <c r="AC136" s="136">
        <f t="shared" si="37"/>
        <v>1.1399999999999999</v>
      </c>
      <c r="AD136" s="136">
        <f t="shared" si="37"/>
        <v>1.1399999999999999</v>
      </c>
      <c r="AE136" s="136">
        <f t="shared" si="37"/>
        <v>1.1399999999999999</v>
      </c>
      <c r="AF136" s="136">
        <f t="shared" si="37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5"/>
        <v>0.82</v>
      </c>
      <c r="C137" s="137">
        <v>0.82</v>
      </c>
      <c r="D137" s="136">
        <f t="shared" si="36"/>
        <v>0.82</v>
      </c>
      <c r="E137" s="136">
        <f t="shared" si="36"/>
        <v>0.82</v>
      </c>
      <c r="F137" s="136">
        <f t="shared" si="36"/>
        <v>0.82</v>
      </c>
      <c r="G137" s="136">
        <f t="shared" si="36"/>
        <v>0.82</v>
      </c>
      <c r="H137" s="136">
        <f t="shared" si="36"/>
        <v>0.82</v>
      </c>
      <c r="I137" s="136">
        <f t="shared" si="36"/>
        <v>0.82</v>
      </c>
      <c r="J137" s="136">
        <f t="shared" si="36"/>
        <v>0.82</v>
      </c>
      <c r="K137" s="136">
        <f t="shared" si="36"/>
        <v>0.82</v>
      </c>
      <c r="L137" s="136">
        <f t="shared" si="36"/>
        <v>0.82</v>
      </c>
      <c r="M137" s="136">
        <f t="shared" si="36"/>
        <v>0.82</v>
      </c>
      <c r="N137" s="136">
        <f t="shared" si="36"/>
        <v>0.82</v>
      </c>
      <c r="O137" s="136">
        <f t="shared" si="36"/>
        <v>0.82</v>
      </c>
      <c r="P137" s="136">
        <f t="shared" si="36"/>
        <v>0.82</v>
      </c>
      <c r="Q137" s="136">
        <f t="shared" si="36"/>
        <v>0.82</v>
      </c>
      <c r="R137" s="136">
        <f t="shared" si="36"/>
        <v>0.82</v>
      </c>
      <c r="S137" s="136">
        <f t="shared" si="36"/>
        <v>0.82</v>
      </c>
      <c r="T137" s="136">
        <f t="shared" si="37"/>
        <v>0.82</v>
      </c>
      <c r="U137" s="136">
        <f t="shared" si="37"/>
        <v>0.82</v>
      </c>
      <c r="V137" s="136">
        <f t="shared" si="37"/>
        <v>0.82</v>
      </c>
      <c r="W137" s="136">
        <f t="shared" si="37"/>
        <v>0.82</v>
      </c>
      <c r="X137" s="136">
        <f t="shared" si="37"/>
        <v>0.82</v>
      </c>
      <c r="Y137" s="136">
        <f t="shared" si="37"/>
        <v>0.82</v>
      </c>
      <c r="Z137" s="136">
        <f t="shared" si="37"/>
        <v>0.82</v>
      </c>
      <c r="AA137" s="136">
        <f t="shared" si="37"/>
        <v>0.82</v>
      </c>
      <c r="AB137" s="136">
        <f t="shared" si="37"/>
        <v>0.82</v>
      </c>
      <c r="AC137" s="136">
        <f t="shared" si="37"/>
        <v>0.82</v>
      </c>
      <c r="AD137" s="136">
        <f t="shared" si="37"/>
        <v>0.82</v>
      </c>
      <c r="AE137" s="136">
        <f t="shared" si="37"/>
        <v>0.82</v>
      </c>
      <c r="AF137" s="136">
        <f t="shared" si="37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8">AF139</f>
        <v>2</v>
      </c>
      <c r="C139" s="137">
        <v>2</v>
      </c>
      <c r="D139" s="136">
        <f t="shared" ref="D139:S145" si="39">C139</f>
        <v>2</v>
      </c>
      <c r="E139" s="136">
        <f t="shared" si="39"/>
        <v>2</v>
      </c>
      <c r="F139" s="136">
        <f t="shared" si="39"/>
        <v>2</v>
      </c>
      <c r="G139" s="136">
        <f t="shared" si="39"/>
        <v>2</v>
      </c>
      <c r="H139" s="136">
        <f t="shared" si="39"/>
        <v>2</v>
      </c>
      <c r="I139" s="136">
        <f t="shared" si="39"/>
        <v>2</v>
      </c>
      <c r="J139" s="136">
        <f t="shared" si="39"/>
        <v>2</v>
      </c>
      <c r="K139" s="136">
        <f t="shared" si="39"/>
        <v>2</v>
      </c>
      <c r="L139" s="136">
        <f t="shared" si="39"/>
        <v>2</v>
      </c>
      <c r="M139" s="136">
        <f t="shared" si="39"/>
        <v>2</v>
      </c>
      <c r="N139" s="136">
        <f t="shared" si="39"/>
        <v>2</v>
      </c>
      <c r="O139" s="136">
        <f t="shared" si="39"/>
        <v>2</v>
      </c>
      <c r="P139" s="136">
        <f t="shared" si="39"/>
        <v>2</v>
      </c>
      <c r="Q139" s="136">
        <f t="shared" si="39"/>
        <v>2</v>
      </c>
      <c r="R139" s="136">
        <f t="shared" si="39"/>
        <v>2</v>
      </c>
      <c r="S139" s="136">
        <f t="shared" si="39"/>
        <v>2</v>
      </c>
      <c r="T139" s="136">
        <f t="shared" ref="T139:AF145" si="40">S139</f>
        <v>2</v>
      </c>
      <c r="U139" s="136">
        <f t="shared" si="40"/>
        <v>2</v>
      </c>
      <c r="V139" s="136">
        <f t="shared" si="40"/>
        <v>2</v>
      </c>
      <c r="W139" s="136">
        <f t="shared" si="40"/>
        <v>2</v>
      </c>
      <c r="X139" s="136">
        <f t="shared" si="40"/>
        <v>2</v>
      </c>
      <c r="Y139" s="136">
        <f t="shared" si="40"/>
        <v>2</v>
      </c>
      <c r="Z139" s="136">
        <f t="shared" si="40"/>
        <v>2</v>
      </c>
      <c r="AA139" s="136">
        <f t="shared" si="40"/>
        <v>2</v>
      </c>
      <c r="AB139" s="136">
        <f t="shared" si="40"/>
        <v>2</v>
      </c>
      <c r="AC139" s="136">
        <f t="shared" si="40"/>
        <v>2</v>
      </c>
      <c r="AD139" s="136">
        <f t="shared" si="40"/>
        <v>2</v>
      </c>
      <c r="AE139" s="136">
        <f t="shared" si="40"/>
        <v>2</v>
      </c>
      <c r="AF139" s="136">
        <f t="shared" si="40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8"/>
        <v>5.61</v>
      </c>
      <c r="C140" s="137">
        <v>5.61</v>
      </c>
      <c r="D140" s="136">
        <f t="shared" si="39"/>
        <v>5.61</v>
      </c>
      <c r="E140" s="136">
        <f t="shared" si="39"/>
        <v>5.61</v>
      </c>
      <c r="F140" s="136">
        <f t="shared" si="39"/>
        <v>5.61</v>
      </c>
      <c r="G140" s="136">
        <f t="shared" si="39"/>
        <v>5.61</v>
      </c>
      <c r="H140" s="136">
        <f t="shared" si="39"/>
        <v>5.61</v>
      </c>
      <c r="I140" s="136">
        <f t="shared" si="39"/>
        <v>5.61</v>
      </c>
      <c r="J140" s="136">
        <f t="shared" si="39"/>
        <v>5.61</v>
      </c>
      <c r="K140" s="136">
        <f t="shared" si="39"/>
        <v>5.61</v>
      </c>
      <c r="L140" s="136">
        <f t="shared" si="39"/>
        <v>5.61</v>
      </c>
      <c r="M140" s="136">
        <f t="shared" si="39"/>
        <v>5.61</v>
      </c>
      <c r="N140" s="136">
        <f t="shared" si="39"/>
        <v>5.61</v>
      </c>
      <c r="O140" s="136">
        <f t="shared" si="39"/>
        <v>5.61</v>
      </c>
      <c r="P140" s="136">
        <f t="shared" si="39"/>
        <v>5.61</v>
      </c>
      <c r="Q140" s="136">
        <f t="shared" si="39"/>
        <v>5.61</v>
      </c>
      <c r="R140" s="136">
        <f t="shared" si="39"/>
        <v>5.61</v>
      </c>
      <c r="S140" s="136">
        <f t="shared" si="39"/>
        <v>5.61</v>
      </c>
      <c r="T140" s="136">
        <f t="shared" si="40"/>
        <v>5.61</v>
      </c>
      <c r="U140" s="136">
        <f t="shared" si="40"/>
        <v>5.61</v>
      </c>
      <c r="V140" s="136">
        <f t="shared" si="40"/>
        <v>5.61</v>
      </c>
      <c r="W140" s="136">
        <f t="shared" si="40"/>
        <v>5.61</v>
      </c>
      <c r="X140" s="136">
        <f t="shared" si="40"/>
        <v>5.61</v>
      </c>
      <c r="Y140" s="136">
        <f t="shared" si="40"/>
        <v>5.61</v>
      </c>
      <c r="Z140" s="136">
        <f t="shared" si="40"/>
        <v>5.61</v>
      </c>
      <c r="AA140" s="136">
        <f t="shared" si="40"/>
        <v>5.61</v>
      </c>
      <c r="AB140" s="136">
        <f t="shared" si="40"/>
        <v>5.61</v>
      </c>
      <c r="AC140" s="136">
        <f t="shared" si="40"/>
        <v>5.61</v>
      </c>
      <c r="AD140" s="136">
        <f t="shared" si="40"/>
        <v>5.61</v>
      </c>
      <c r="AE140" s="136">
        <f t="shared" si="40"/>
        <v>5.61</v>
      </c>
      <c r="AF140" s="136">
        <f t="shared" si="40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8"/>
        <v>1.25</v>
      </c>
      <c r="C141" s="137">
        <v>1.25</v>
      </c>
      <c r="D141" s="136">
        <f t="shared" si="39"/>
        <v>1.25</v>
      </c>
      <c r="E141" s="136">
        <f t="shared" si="39"/>
        <v>1.25</v>
      </c>
      <c r="F141" s="136">
        <f t="shared" si="39"/>
        <v>1.25</v>
      </c>
      <c r="G141" s="136">
        <f t="shared" si="39"/>
        <v>1.25</v>
      </c>
      <c r="H141" s="136">
        <f t="shared" si="39"/>
        <v>1.25</v>
      </c>
      <c r="I141" s="136">
        <f t="shared" si="39"/>
        <v>1.25</v>
      </c>
      <c r="J141" s="136">
        <f t="shared" si="39"/>
        <v>1.25</v>
      </c>
      <c r="K141" s="136">
        <f t="shared" si="39"/>
        <v>1.25</v>
      </c>
      <c r="L141" s="136">
        <f t="shared" si="39"/>
        <v>1.25</v>
      </c>
      <c r="M141" s="136">
        <f t="shared" si="39"/>
        <v>1.25</v>
      </c>
      <c r="N141" s="136">
        <f t="shared" si="39"/>
        <v>1.25</v>
      </c>
      <c r="O141" s="136">
        <f t="shared" si="39"/>
        <v>1.25</v>
      </c>
      <c r="P141" s="136">
        <f t="shared" si="39"/>
        <v>1.25</v>
      </c>
      <c r="Q141" s="136">
        <f t="shared" si="39"/>
        <v>1.25</v>
      </c>
      <c r="R141" s="136">
        <f t="shared" si="39"/>
        <v>1.25</v>
      </c>
      <c r="S141" s="136">
        <f t="shared" si="39"/>
        <v>1.25</v>
      </c>
      <c r="T141" s="136">
        <f t="shared" si="40"/>
        <v>1.25</v>
      </c>
      <c r="U141" s="136">
        <f t="shared" si="40"/>
        <v>1.25</v>
      </c>
      <c r="V141" s="136">
        <f t="shared" si="40"/>
        <v>1.25</v>
      </c>
      <c r="W141" s="136">
        <f t="shared" si="40"/>
        <v>1.25</v>
      </c>
      <c r="X141" s="136">
        <f t="shared" si="40"/>
        <v>1.25</v>
      </c>
      <c r="Y141" s="136">
        <f t="shared" si="40"/>
        <v>1.25</v>
      </c>
      <c r="Z141" s="136">
        <f t="shared" si="40"/>
        <v>1.25</v>
      </c>
      <c r="AA141" s="136">
        <f t="shared" si="40"/>
        <v>1.25</v>
      </c>
      <c r="AB141" s="136">
        <f t="shared" si="40"/>
        <v>1.25</v>
      </c>
      <c r="AC141" s="136">
        <f t="shared" si="40"/>
        <v>1.25</v>
      </c>
      <c r="AD141" s="136">
        <f t="shared" si="40"/>
        <v>1.25</v>
      </c>
      <c r="AE141" s="136">
        <f t="shared" si="40"/>
        <v>1.25</v>
      </c>
      <c r="AF141" s="136">
        <f t="shared" si="40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8"/>
        <v>1.25</v>
      </c>
      <c r="C142" s="137">
        <v>1.25</v>
      </c>
      <c r="D142" s="136">
        <f t="shared" si="39"/>
        <v>1.25</v>
      </c>
      <c r="E142" s="136">
        <f t="shared" si="39"/>
        <v>1.25</v>
      </c>
      <c r="F142" s="136">
        <f t="shared" si="39"/>
        <v>1.25</v>
      </c>
      <c r="G142" s="136">
        <f t="shared" si="39"/>
        <v>1.25</v>
      </c>
      <c r="H142" s="136">
        <f t="shared" si="39"/>
        <v>1.25</v>
      </c>
      <c r="I142" s="136">
        <f t="shared" si="39"/>
        <v>1.25</v>
      </c>
      <c r="J142" s="136">
        <f t="shared" si="39"/>
        <v>1.25</v>
      </c>
      <c r="K142" s="136">
        <f t="shared" si="39"/>
        <v>1.25</v>
      </c>
      <c r="L142" s="136">
        <f t="shared" si="39"/>
        <v>1.25</v>
      </c>
      <c r="M142" s="136">
        <f t="shared" si="39"/>
        <v>1.25</v>
      </c>
      <c r="N142" s="136">
        <f t="shared" si="39"/>
        <v>1.25</v>
      </c>
      <c r="O142" s="136">
        <f t="shared" si="39"/>
        <v>1.25</v>
      </c>
      <c r="P142" s="136">
        <f t="shared" si="39"/>
        <v>1.25</v>
      </c>
      <c r="Q142" s="136">
        <f t="shared" si="39"/>
        <v>1.25</v>
      </c>
      <c r="R142" s="136">
        <f t="shared" si="39"/>
        <v>1.25</v>
      </c>
      <c r="S142" s="136">
        <f t="shared" si="39"/>
        <v>1.25</v>
      </c>
      <c r="T142" s="136">
        <f t="shared" si="40"/>
        <v>1.25</v>
      </c>
      <c r="U142" s="136">
        <f t="shared" si="40"/>
        <v>1.25</v>
      </c>
      <c r="V142" s="136">
        <f t="shared" si="40"/>
        <v>1.25</v>
      </c>
      <c r="W142" s="136">
        <f t="shared" si="40"/>
        <v>1.25</v>
      </c>
      <c r="X142" s="136">
        <f t="shared" si="40"/>
        <v>1.25</v>
      </c>
      <c r="Y142" s="136">
        <f t="shared" si="40"/>
        <v>1.25</v>
      </c>
      <c r="Z142" s="136">
        <f t="shared" si="40"/>
        <v>1.25</v>
      </c>
      <c r="AA142" s="136">
        <f t="shared" si="40"/>
        <v>1.25</v>
      </c>
      <c r="AB142" s="136">
        <f t="shared" si="40"/>
        <v>1.25</v>
      </c>
      <c r="AC142" s="136">
        <f t="shared" si="40"/>
        <v>1.25</v>
      </c>
      <c r="AD142" s="136">
        <f t="shared" si="40"/>
        <v>1.25</v>
      </c>
      <c r="AE142" s="136">
        <f t="shared" si="40"/>
        <v>1.25</v>
      </c>
      <c r="AF142" s="136">
        <f t="shared" si="40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8"/>
        <v>1.46</v>
      </c>
      <c r="C143" s="137">
        <v>1.46</v>
      </c>
      <c r="D143" s="136">
        <f t="shared" si="39"/>
        <v>1.46</v>
      </c>
      <c r="E143" s="136">
        <f t="shared" si="39"/>
        <v>1.46</v>
      </c>
      <c r="F143" s="136">
        <f t="shared" si="39"/>
        <v>1.46</v>
      </c>
      <c r="G143" s="136">
        <f t="shared" si="39"/>
        <v>1.46</v>
      </c>
      <c r="H143" s="136">
        <f t="shared" si="39"/>
        <v>1.46</v>
      </c>
      <c r="I143" s="136">
        <f t="shared" si="39"/>
        <v>1.46</v>
      </c>
      <c r="J143" s="136">
        <f t="shared" si="39"/>
        <v>1.46</v>
      </c>
      <c r="K143" s="136">
        <f t="shared" si="39"/>
        <v>1.46</v>
      </c>
      <c r="L143" s="136">
        <f t="shared" si="39"/>
        <v>1.46</v>
      </c>
      <c r="M143" s="136">
        <f t="shared" si="39"/>
        <v>1.46</v>
      </c>
      <c r="N143" s="136">
        <f t="shared" si="39"/>
        <v>1.46</v>
      </c>
      <c r="O143" s="136">
        <f t="shared" si="39"/>
        <v>1.46</v>
      </c>
      <c r="P143" s="136">
        <f t="shared" si="39"/>
        <v>1.46</v>
      </c>
      <c r="Q143" s="136">
        <f t="shared" si="39"/>
        <v>1.46</v>
      </c>
      <c r="R143" s="136">
        <f t="shared" si="39"/>
        <v>1.46</v>
      </c>
      <c r="S143" s="136">
        <f t="shared" si="39"/>
        <v>1.46</v>
      </c>
      <c r="T143" s="136">
        <f t="shared" si="40"/>
        <v>1.46</v>
      </c>
      <c r="U143" s="136">
        <f t="shared" si="40"/>
        <v>1.46</v>
      </c>
      <c r="V143" s="136">
        <f t="shared" si="40"/>
        <v>1.46</v>
      </c>
      <c r="W143" s="136">
        <f t="shared" si="40"/>
        <v>1.46</v>
      </c>
      <c r="X143" s="136">
        <f t="shared" si="40"/>
        <v>1.46</v>
      </c>
      <c r="Y143" s="136">
        <f t="shared" si="40"/>
        <v>1.46</v>
      </c>
      <c r="Z143" s="136">
        <f t="shared" si="40"/>
        <v>1.46</v>
      </c>
      <c r="AA143" s="136">
        <f t="shared" si="40"/>
        <v>1.46</v>
      </c>
      <c r="AB143" s="136">
        <f t="shared" si="40"/>
        <v>1.46</v>
      </c>
      <c r="AC143" s="136">
        <f t="shared" si="40"/>
        <v>1.46</v>
      </c>
      <c r="AD143" s="136">
        <f t="shared" si="40"/>
        <v>1.46</v>
      </c>
      <c r="AE143" s="136">
        <f t="shared" si="40"/>
        <v>1.46</v>
      </c>
      <c r="AF143" s="136">
        <f t="shared" si="40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8"/>
        <v>3</v>
      </c>
      <c r="C144" s="137">
        <v>3</v>
      </c>
      <c r="D144" s="136">
        <f t="shared" si="39"/>
        <v>3</v>
      </c>
      <c r="E144" s="136">
        <f t="shared" si="39"/>
        <v>3</v>
      </c>
      <c r="F144" s="136">
        <f t="shared" si="39"/>
        <v>3</v>
      </c>
      <c r="G144" s="136">
        <f t="shared" si="39"/>
        <v>3</v>
      </c>
      <c r="H144" s="136">
        <f t="shared" si="39"/>
        <v>3</v>
      </c>
      <c r="I144" s="136">
        <f t="shared" si="39"/>
        <v>3</v>
      </c>
      <c r="J144" s="136">
        <f t="shared" si="39"/>
        <v>3</v>
      </c>
      <c r="K144" s="136">
        <f t="shared" si="39"/>
        <v>3</v>
      </c>
      <c r="L144" s="136">
        <f t="shared" si="39"/>
        <v>3</v>
      </c>
      <c r="M144" s="136">
        <f t="shared" si="39"/>
        <v>3</v>
      </c>
      <c r="N144" s="136">
        <f t="shared" si="39"/>
        <v>3</v>
      </c>
      <c r="O144" s="136">
        <f t="shared" si="39"/>
        <v>3</v>
      </c>
      <c r="P144" s="136">
        <f t="shared" si="39"/>
        <v>3</v>
      </c>
      <c r="Q144" s="136">
        <f t="shared" si="39"/>
        <v>3</v>
      </c>
      <c r="R144" s="136">
        <f t="shared" si="39"/>
        <v>3</v>
      </c>
      <c r="S144" s="136">
        <f t="shared" si="39"/>
        <v>3</v>
      </c>
      <c r="T144" s="136">
        <f t="shared" si="40"/>
        <v>3</v>
      </c>
      <c r="U144" s="136">
        <f t="shared" si="40"/>
        <v>3</v>
      </c>
      <c r="V144" s="136">
        <f t="shared" si="40"/>
        <v>3</v>
      </c>
      <c r="W144" s="136">
        <f t="shared" si="40"/>
        <v>3</v>
      </c>
      <c r="X144" s="136">
        <f t="shared" si="40"/>
        <v>3</v>
      </c>
      <c r="Y144" s="136">
        <f t="shared" si="40"/>
        <v>3</v>
      </c>
      <c r="Z144" s="136">
        <f t="shared" si="40"/>
        <v>3</v>
      </c>
      <c r="AA144" s="136">
        <f t="shared" si="40"/>
        <v>3</v>
      </c>
      <c r="AB144" s="136">
        <f t="shared" si="40"/>
        <v>3</v>
      </c>
      <c r="AC144" s="136">
        <f t="shared" si="40"/>
        <v>3</v>
      </c>
      <c r="AD144" s="136">
        <f t="shared" si="40"/>
        <v>3</v>
      </c>
      <c r="AE144" s="136">
        <f t="shared" si="40"/>
        <v>3</v>
      </c>
      <c r="AF144" s="136">
        <f t="shared" si="40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8"/>
        <v>3.3</v>
      </c>
      <c r="C145" s="137">
        <v>3.3</v>
      </c>
      <c r="D145" s="136">
        <f t="shared" si="39"/>
        <v>3.3</v>
      </c>
      <c r="E145" s="136">
        <f t="shared" si="39"/>
        <v>3.3</v>
      </c>
      <c r="F145" s="136">
        <f t="shared" si="39"/>
        <v>3.3</v>
      </c>
      <c r="G145" s="136">
        <f t="shared" si="39"/>
        <v>3.3</v>
      </c>
      <c r="H145" s="136">
        <f t="shared" si="39"/>
        <v>3.3</v>
      </c>
      <c r="I145" s="136">
        <f t="shared" si="39"/>
        <v>3.3</v>
      </c>
      <c r="J145" s="136">
        <f t="shared" si="39"/>
        <v>3.3</v>
      </c>
      <c r="K145" s="136">
        <f t="shared" si="39"/>
        <v>3.3</v>
      </c>
      <c r="L145" s="136">
        <f t="shared" si="39"/>
        <v>3.3</v>
      </c>
      <c r="M145" s="136">
        <f t="shared" si="39"/>
        <v>3.3</v>
      </c>
      <c r="N145" s="136">
        <f t="shared" si="39"/>
        <v>3.3</v>
      </c>
      <c r="O145" s="136">
        <f t="shared" si="39"/>
        <v>3.3</v>
      </c>
      <c r="P145" s="136">
        <f t="shared" si="39"/>
        <v>3.3</v>
      </c>
      <c r="Q145" s="136">
        <f t="shared" si="39"/>
        <v>3.3</v>
      </c>
      <c r="R145" s="136">
        <f t="shared" si="39"/>
        <v>3.3</v>
      </c>
      <c r="S145" s="136">
        <f t="shared" si="39"/>
        <v>3.3</v>
      </c>
      <c r="T145" s="136">
        <f t="shared" si="40"/>
        <v>3.3</v>
      </c>
      <c r="U145" s="136">
        <f t="shared" si="40"/>
        <v>3.3</v>
      </c>
      <c r="V145" s="136">
        <f t="shared" si="40"/>
        <v>3.3</v>
      </c>
      <c r="W145" s="136">
        <f t="shared" si="40"/>
        <v>3.3</v>
      </c>
      <c r="X145" s="136">
        <f t="shared" si="40"/>
        <v>3.3</v>
      </c>
      <c r="Y145" s="136">
        <f t="shared" si="40"/>
        <v>3.3</v>
      </c>
      <c r="Z145" s="136">
        <f t="shared" si="40"/>
        <v>3.3</v>
      </c>
      <c r="AA145" s="136">
        <f t="shared" si="40"/>
        <v>3.3</v>
      </c>
      <c r="AB145" s="136">
        <f t="shared" si="40"/>
        <v>3.3</v>
      </c>
      <c r="AC145" s="136">
        <f t="shared" si="40"/>
        <v>3.3</v>
      </c>
      <c r="AD145" s="136">
        <f t="shared" si="40"/>
        <v>3.3</v>
      </c>
      <c r="AE145" s="136">
        <f t="shared" si="40"/>
        <v>3.3</v>
      </c>
      <c r="AF145" s="136">
        <f t="shared" si="40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1">C147</f>
        <v>1.76</v>
      </c>
      <c r="E147" s="136">
        <f t="shared" si="41"/>
        <v>1.76</v>
      </c>
      <c r="F147" s="136">
        <f t="shared" si="41"/>
        <v>1.76</v>
      </c>
      <c r="G147" s="136">
        <f t="shared" si="41"/>
        <v>1.76</v>
      </c>
      <c r="H147" s="136">
        <f t="shared" si="41"/>
        <v>1.76</v>
      </c>
      <c r="I147" s="136">
        <f t="shared" si="41"/>
        <v>1.76</v>
      </c>
      <c r="J147" s="136">
        <f t="shared" si="41"/>
        <v>1.76</v>
      </c>
      <c r="K147" s="136">
        <f t="shared" si="41"/>
        <v>1.76</v>
      </c>
      <c r="L147" s="136">
        <f t="shared" si="41"/>
        <v>1.76</v>
      </c>
      <c r="M147" s="136">
        <f t="shared" si="41"/>
        <v>1.76</v>
      </c>
      <c r="N147" s="136">
        <f t="shared" si="41"/>
        <v>1.76</v>
      </c>
      <c r="O147" s="136">
        <f t="shared" si="41"/>
        <v>1.76</v>
      </c>
      <c r="P147" s="136">
        <f t="shared" si="41"/>
        <v>1.76</v>
      </c>
      <c r="Q147" s="136">
        <f t="shared" si="41"/>
        <v>1.76</v>
      </c>
      <c r="R147" s="136">
        <f t="shared" si="41"/>
        <v>1.76</v>
      </c>
      <c r="S147" s="136">
        <f t="shared" si="41"/>
        <v>1.76</v>
      </c>
      <c r="T147" s="136">
        <f t="shared" ref="T147:AF148" si="42">S147</f>
        <v>1.76</v>
      </c>
      <c r="U147" s="136">
        <f t="shared" si="42"/>
        <v>1.76</v>
      </c>
      <c r="V147" s="136">
        <f t="shared" si="42"/>
        <v>1.76</v>
      </c>
      <c r="W147" s="136">
        <f t="shared" si="42"/>
        <v>1.76</v>
      </c>
      <c r="X147" s="136">
        <f t="shared" si="42"/>
        <v>1.76</v>
      </c>
      <c r="Y147" s="136">
        <f t="shared" si="42"/>
        <v>1.76</v>
      </c>
      <c r="Z147" s="136">
        <f t="shared" si="42"/>
        <v>1.76</v>
      </c>
      <c r="AA147" s="136">
        <f t="shared" si="42"/>
        <v>1.76</v>
      </c>
      <c r="AB147" s="136">
        <f t="shared" si="42"/>
        <v>1.76</v>
      </c>
      <c r="AC147" s="136">
        <f t="shared" si="42"/>
        <v>1.76</v>
      </c>
      <c r="AD147" s="136">
        <f t="shared" si="42"/>
        <v>1.76</v>
      </c>
      <c r="AE147" s="136">
        <f t="shared" si="42"/>
        <v>1.76</v>
      </c>
      <c r="AF147" s="136">
        <f t="shared" si="42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1"/>
        <v>0</v>
      </c>
      <c r="E148" s="136">
        <f t="shared" si="41"/>
        <v>0</v>
      </c>
      <c r="F148" s="136">
        <f t="shared" si="41"/>
        <v>0</v>
      </c>
      <c r="G148" s="136">
        <f t="shared" si="41"/>
        <v>0</v>
      </c>
      <c r="H148" s="136">
        <f t="shared" si="41"/>
        <v>0</v>
      </c>
      <c r="I148" s="136">
        <f t="shared" si="41"/>
        <v>0</v>
      </c>
      <c r="J148" s="136">
        <f t="shared" si="41"/>
        <v>0</v>
      </c>
      <c r="K148" s="136">
        <f t="shared" si="41"/>
        <v>0</v>
      </c>
      <c r="L148" s="136">
        <f t="shared" si="41"/>
        <v>0</v>
      </c>
      <c r="M148" s="136">
        <f t="shared" si="41"/>
        <v>0</v>
      </c>
      <c r="N148" s="136">
        <f t="shared" si="41"/>
        <v>0</v>
      </c>
      <c r="O148" s="136">
        <f t="shared" si="41"/>
        <v>0</v>
      </c>
      <c r="P148" s="136">
        <f t="shared" si="41"/>
        <v>0</v>
      </c>
      <c r="Q148" s="136">
        <f t="shared" si="41"/>
        <v>0</v>
      </c>
      <c r="R148" s="136">
        <f t="shared" si="41"/>
        <v>0</v>
      </c>
      <c r="S148" s="136">
        <f t="shared" si="41"/>
        <v>0</v>
      </c>
      <c r="T148" s="136">
        <f t="shared" si="42"/>
        <v>0</v>
      </c>
      <c r="U148" s="136">
        <f t="shared" si="42"/>
        <v>0</v>
      </c>
      <c r="V148" s="136">
        <f t="shared" si="42"/>
        <v>0</v>
      </c>
      <c r="W148" s="136">
        <f t="shared" si="42"/>
        <v>0</v>
      </c>
      <c r="X148" s="136">
        <f t="shared" si="42"/>
        <v>0</v>
      </c>
      <c r="Y148" s="136">
        <f t="shared" si="42"/>
        <v>0</v>
      </c>
      <c r="Z148" s="136">
        <f t="shared" si="42"/>
        <v>0</v>
      </c>
      <c r="AA148" s="136">
        <f t="shared" si="42"/>
        <v>0</v>
      </c>
      <c r="AB148" s="136">
        <f t="shared" si="42"/>
        <v>0</v>
      </c>
      <c r="AC148" s="136">
        <f t="shared" si="42"/>
        <v>0</v>
      </c>
      <c r="AD148" s="136">
        <f t="shared" si="42"/>
        <v>0</v>
      </c>
      <c r="AE148" s="136">
        <f t="shared" si="42"/>
        <v>0</v>
      </c>
      <c r="AF148" s="136">
        <f t="shared" si="42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3">C150</f>
        <v>0.1</v>
      </c>
      <c r="E150" s="136">
        <f t="shared" si="43"/>
        <v>0.1</v>
      </c>
      <c r="F150" s="136">
        <f t="shared" si="43"/>
        <v>0.1</v>
      </c>
      <c r="G150" s="136">
        <f t="shared" si="43"/>
        <v>0.1</v>
      </c>
      <c r="H150" s="136">
        <f t="shared" si="43"/>
        <v>0.1</v>
      </c>
      <c r="I150" s="136">
        <f t="shared" si="43"/>
        <v>0.1</v>
      </c>
      <c r="J150" s="136">
        <f t="shared" si="43"/>
        <v>0.1</v>
      </c>
      <c r="K150" s="136">
        <f t="shared" si="43"/>
        <v>0.1</v>
      </c>
      <c r="L150" s="136">
        <f t="shared" si="43"/>
        <v>0.1</v>
      </c>
      <c r="M150" s="136">
        <f t="shared" si="43"/>
        <v>0.1</v>
      </c>
      <c r="N150" s="136">
        <f t="shared" si="43"/>
        <v>0.1</v>
      </c>
      <c r="O150" s="136">
        <f t="shared" si="43"/>
        <v>0.1</v>
      </c>
      <c r="P150" s="136">
        <f t="shared" si="43"/>
        <v>0.1</v>
      </c>
      <c r="Q150" s="136">
        <f t="shared" si="43"/>
        <v>0.1</v>
      </c>
      <c r="R150" s="136">
        <f t="shared" si="43"/>
        <v>0.1</v>
      </c>
      <c r="S150" s="136">
        <f t="shared" si="43"/>
        <v>0.1</v>
      </c>
      <c r="T150" s="136">
        <f t="shared" ref="T150:AF153" si="44">S150</f>
        <v>0.1</v>
      </c>
      <c r="U150" s="136">
        <f t="shared" si="44"/>
        <v>0.1</v>
      </c>
      <c r="V150" s="136">
        <f t="shared" si="44"/>
        <v>0.1</v>
      </c>
      <c r="W150" s="136">
        <f t="shared" si="44"/>
        <v>0.1</v>
      </c>
      <c r="X150" s="136">
        <f t="shared" si="44"/>
        <v>0.1</v>
      </c>
      <c r="Y150" s="136">
        <f t="shared" si="44"/>
        <v>0.1</v>
      </c>
      <c r="Z150" s="136">
        <f t="shared" si="44"/>
        <v>0.1</v>
      </c>
      <c r="AA150" s="136">
        <f t="shared" si="44"/>
        <v>0.1</v>
      </c>
      <c r="AB150" s="136">
        <f t="shared" si="44"/>
        <v>0.1</v>
      </c>
      <c r="AC150" s="136">
        <f t="shared" si="44"/>
        <v>0.1</v>
      </c>
      <c r="AD150" s="136">
        <f t="shared" si="44"/>
        <v>0.1</v>
      </c>
      <c r="AE150" s="136">
        <f t="shared" si="44"/>
        <v>0.1</v>
      </c>
      <c r="AF150" s="136">
        <f t="shared" si="44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3"/>
        <v>2.0499999999999998</v>
      </c>
      <c r="E151" s="136">
        <f t="shared" si="43"/>
        <v>2.0499999999999998</v>
      </c>
      <c r="F151" s="136">
        <f t="shared" si="43"/>
        <v>2.0499999999999998</v>
      </c>
      <c r="G151" s="136">
        <f t="shared" si="43"/>
        <v>2.0499999999999998</v>
      </c>
      <c r="H151" s="136">
        <f t="shared" si="43"/>
        <v>2.0499999999999998</v>
      </c>
      <c r="I151" s="136">
        <f t="shared" si="43"/>
        <v>2.0499999999999998</v>
      </c>
      <c r="J151" s="136">
        <f t="shared" si="43"/>
        <v>2.0499999999999998</v>
      </c>
      <c r="K151" s="136">
        <f t="shared" si="43"/>
        <v>2.0499999999999998</v>
      </c>
      <c r="L151" s="136">
        <f t="shared" si="43"/>
        <v>2.0499999999999998</v>
      </c>
      <c r="M151" s="136">
        <f t="shared" si="43"/>
        <v>2.0499999999999998</v>
      </c>
      <c r="N151" s="136">
        <f t="shared" si="43"/>
        <v>2.0499999999999998</v>
      </c>
      <c r="O151" s="136">
        <f t="shared" si="43"/>
        <v>2.0499999999999998</v>
      </c>
      <c r="P151" s="136">
        <f t="shared" si="43"/>
        <v>2.0499999999999998</v>
      </c>
      <c r="Q151" s="136">
        <f t="shared" si="43"/>
        <v>2.0499999999999998</v>
      </c>
      <c r="R151" s="136">
        <f t="shared" si="43"/>
        <v>2.0499999999999998</v>
      </c>
      <c r="S151" s="136">
        <f t="shared" si="43"/>
        <v>2.0499999999999998</v>
      </c>
      <c r="T151" s="136">
        <f t="shared" si="44"/>
        <v>2.0499999999999998</v>
      </c>
      <c r="U151" s="136">
        <f t="shared" si="44"/>
        <v>2.0499999999999998</v>
      </c>
      <c r="V151" s="136">
        <f t="shared" si="44"/>
        <v>2.0499999999999998</v>
      </c>
      <c r="W151" s="136">
        <f t="shared" si="44"/>
        <v>2.0499999999999998</v>
      </c>
      <c r="X151" s="136">
        <f t="shared" si="44"/>
        <v>2.0499999999999998</v>
      </c>
      <c r="Y151" s="136">
        <f t="shared" si="44"/>
        <v>2.0499999999999998</v>
      </c>
      <c r="Z151" s="136">
        <f t="shared" si="44"/>
        <v>2.0499999999999998</v>
      </c>
      <c r="AA151" s="136">
        <f t="shared" si="44"/>
        <v>2.0499999999999998</v>
      </c>
      <c r="AB151" s="136">
        <f t="shared" si="44"/>
        <v>2.0499999999999998</v>
      </c>
      <c r="AC151" s="136">
        <f t="shared" si="44"/>
        <v>2.0499999999999998</v>
      </c>
      <c r="AD151" s="136">
        <f t="shared" si="44"/>
        <v>2.0499999999999998</v>
      </c>
      <c r="AE151" s="136">
        <f t="shared" si="44"/>
        <v>2.0499999999999998</v>
      </c>
      <c r="AF151" s="136">
        <f t="shared" si="44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3"/>
        <v>2.7</v>
      </c>
      <c r="E152" s="136">
        <f t="shared" si="43"/>
        <v>2.7</v>
      </c>
      <c r="F152" s="136">
        <f t="shared" si="43"/>
        <v>2.7</v>
      </c>
      <c r="G152" s="136">
        <f t="shared" si="43"/>
        <v>2.7</v>
      </c>
      <c r="H152" s="136">
        <f t="shared" si="43"/>
        <v>2.7</v>
      </c>
      <c r="I152" s="136">
        <f t="shared" si="43"/>
        <v>2.7</v>
      </c>
      <c r="J152" s="136">
        <f t="shared" si="43"/>
        <v>2.7</v>
      </c>
      <c r="K152" s="136">
        <f t="shared" si="43"/>
        <v>2.7</v>
      </c>
      <c r="L152" s="136">
        <f t="shared" si="43"/>
        <v>2.7</v>
      </c>
      <c r="M152" s="136">
        <f t="shared" si="43"/>
        <v>2.7</v>
      </c>
      <c r="N152" s="136">
        <f t="shared" si="43"/>
        <v>2.7</v>
      </c>
      <c r="O152" s="136">
        <f t="shared" si="43"/>
        <v>2.7</v>
      </c>
      <c r="P152" s="136">
        <f t="shared" si="43"/>
        <v>2.7</v>
      </c>
      <c r="Q152" s="136">
        <f t="shared" si="43"/>
        <v>2.7</v>
      </c>
      <c r="R152" s="136">
        <f t="shared" si="43"/>
        <v>2.7</v>
      </c>
      <c r="S152" s="136">
        <f t="shared" si="43"/>
        <v>2.7</v>
      </c>
      <c r="T152" s="136">
        <f t="shared" si="44"/>
        <v>2.7</v>
      </c>
      <c r="U152" s="136">
        <f t="shared" si="44"/>
        <v>2.7</v>
      </c>
      <c r="V152" s="136">
        <f t="shared" si="44"/>
        <v>2.7</v>
      </c>
      <c r="W152" s="136">
        <f t="shared" si="44"/>
        <v>2.7</v>
      </c>
      <c r="X152" s="136">
        <f t="shared" si="44"/>
        <v>2.7</v>
      </c>
      <c r="Y152" s="136">
        <f t="shared" si="44"/>
        <v>2.7</v>
      </c>
      <c r="Z152" s="136">
        <f t="shared" si="44"/>
        <v>2.7</v>
      </c>
      <c r="AA152" s="136">
        <f t="shared" si="44"/>
        <v>2.7</v>
      </c>
      <c r="AB152" s="136">
        <f t="shared" si="44"/>
        <v>2.7</v>
      </c>
      <c r="AC152" s="136">
        <f t="shared" si="44"/>
        <v>2.7</v>
      </c>
      <c r="AD152" s="136">
        <f t="shared" si="44"/>
        <v>2.7</v>
      </c>
      <c r="AE152" s="136">
        <f t="shared" si="44"/>
        <v>2.7</v>
      </c>
      <c r="AF152" s="136">
        <f t="shared" si="44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3"/>
        <v>2.15</v>
      </c>
      <c r="E153" s="136">
        <f t="shared" si="43"/>
        <v>2.15</v>
      </c>
      <c r="F153" s="136">
        <f t="shared" si="43"/>
        <v>2.15</v>
      </c>
      <c r="G153" s="136">
        <f t="shared" si="43"/>
        <v>2.15</v>
      </c>
      <c r="H153" s="136">
        <f t="shared" si="43"/>
        <v>2.15</v>
      </c>
      <c r="I153" s="136">
        <f t="shared" si="43"/>
        <v>2.15</v>
      </c>
      <c r="J153" s="136">
        <f t="shared" si="43"/>
        <v>2.15</v>
      </c>
      <c r="K153" s="136">
        <f t="shared" si="43"/>
        <v>2.15</v>
      </c>
      <c r="L153" s="136">
        <f t="shared" si="43"/>
        <v>2.15</v>
      </c>
      <c r="M153" s="136">
        <f t="shared" si="43"/>
        <v>2.15</v>
      </c>
      <c r="N153" s="136">
        <f t="shared" si="43"/>
        <v>2.15</v>
      </c>
      <c r="O153" s="136">
        <f t="shared" si="43"/>
        <v>2.15</v>
      </c>
      <c r="P153" s="136">
        <f t="shared" si="43"/>
        <v>2.15</v>
      </c>
      <c r="Q153" s="136">
        <f t="shared" si="43"/>
        <v>2.15</v>
      </c>
      <c r="R153" s="136">
        <f t="shared" si="43"/>
        <v>2.15</v>
      </c>
      <c r="S153" s="136">
        <f t="shared" si="43"/>
        <v>2.15</v>
      </c>
      <c r="T153" s="136">
        <f t="shared" si="44"/>
        <v>2.15</v>
      </c>
      <c r="U153" s="136">
        <f t="shared" si="44"/>
        <v>2.15</v>
      </c>
      <c r="V153" s="136">
        <f t="shared" si="44"/>
        <v>2.15</v>
      </c>
      <c r="W153" s="136">
        <f t="shared" si="44"/>
        <v>2.15</v>
      </c>
      <c r="X153" s="136">
        <f t="shared" si="44"/>
        <v>2.15</v>
      </c>
      <c r="Y153" s="136">
        <f t="shared" si="44"/>
        <v>2.15</v>
      </c>
      <c r="Z153" s="136">
        <f t="shared" si="44"/>
        <v>2.15</v>
      </c>
      <c r="AA153" s="136">
        <f t="shared" si="44"/>
        <v>2.15</v>
      </c>
      <c r="AB153" s="136">
        <f t="shared" si="44"/>
        <v>2.15</v>
      </c>
      <c r="AC153" s="136">
        <f t="shared" si="44"/>
        <v>2.15</v>
      </c>
      <c r="AD153" s="136">
        <f t="shared" si="44"/>
        <v>2.15</v>
      </c>
      <c r="AE153" s="136">
        <f t="shared" si="44"/>
        <v>2.15</v>
      </c>
      <c r="AF153" s="136">
        <f t="shared" si="44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5">AF155</f>
        <v>0.9</v>
      </c>
      <c r="C155" s="137">
        <v>0.9</v>
      </c>
      <c r="D155" s="136">
        <f t="shared" ref="D155:S167" si="46">C155</f>
        <v>0.9</v>
      </c>
      <c r="E155" s="136">
        <f t="shared" si="46"/>
        <v>0.9</v>
      </c>
      <c r="F155" s="136">
        <f t="shared" si="46"/>
        <v>0.9</v>
      </c>
      <c r="G155" s="136">
        <f t="shared" si="46"/>
        <v>0.9</v>
      </c>
      <c r="H155" s="136">
        <f t="shared" si="46"/>
        <v>0.9</v>
      </c>
      <c r="I155" s="136">
        <f t="shared" si="46"/>
        <v>0.9</v>
      </c>
      <c r="J155" s="136">
        <f t="shared" si="46"/>
        <v>0.9</v>
      </c>
      <c r="K155" s="136">
        <f t="shared" si="46"/>
        <v>0.9</v>
      </c>
      <c r="L155" s="136">
        <f t="shared" si="46"/>
        <v>0.9</v>
      </c>
      <c r="M155" s="136">
        <f t="shared" si="46"/>
        <v>0.9</v>
      </c>
      <c r="N155" s="136">
        <f t="shared" si="46"/>
        <v>0.9</v>
      </c>
      <c r="O155" s="136">
        <f t="shared" si="46"/>
        <v>0.9</v>
      </c>
      <c r="P155" s="136">
        <f t="shared" si="46"/>
        <v>0.9</v>
      </c>
      <c r="Q155" s="136">
        <f t="shared" si="46"/>
        <v>0.9</v>
      </c>
      <c r="R155" s="136">
        <f t="shared" si="46"/>
        <v>0.9</v>
      </c>
      <c r="S155" s="136">
        <f t="shared" si="46"/>
        <v>0.9</v>
      </c>
      <c r="T155" s="136">
        <f t="shared" ref="S155:AF167" si="47">S155</f>
        <v>0.9</v>
      </c>
      <c r="U155" s="136">
        <f t="shared" si="47"/>
        <v>0.9</v>
      </c>
      <c r="V155" s="136">
        <f t="shared" si="47"/>
        <v>0.9</v>
      </c>
      <c r="W155" s="136">
        <f t="shared" si="47"/>
        <v>0.9</v>
      </c>
      <c r="X155" s="136">
        <f t="shared" si="47"/>
        <v>0.9</v>
      </c>
      <c r="Y155" s="136">
        <f t="shared" si="47"/>
        <v>0.9</v>
      </c>
      <c r="Z155" s="136">
        <f t="shared" si="47"/>
        <v>0.9</v>
      </c>
      <c r="AA155" s="136">
        <f t="shared" si="47"/>
        <v>0.9</v>
      </c>
      <c r="AB155" s="136">
        <f t="shared" si="47"/>
        <v>0.9</v>
      </c>
      <c r="AC155" s="136">
        <f t="shared" si="47"/>
        <v>0.9</v>
      </c>
      <c r="AD155" s="136">
        <f t="shared" si="47"/>
        <v>0.9</v>
      </c>
      <c r="AE155" s="136">
        <f t="shared" si="47"/>
        <v>0.9</v>
      </c>
      <c r="AF155" s="136">
        <f t="shared" si="47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5"/>
        <v>1.08</v>
      </c>
      <c r="C156" s="137">
        <v>1.08</v>
      </c>
      <c r="D156" s="136">
        <f t="shared" si="46"/>
        <v>1.08</v>
      </c>
      <c r="E156" s="136">
        <f t="shared" si="46"/>
        <v>1.08</v>
      </c>
      <c r="F156" s="136">
        <f t="shared" si="46"/>
        <v>1.08</v>
      </c>
      <c r="G156" s="136">
        <f t="shared" si="46"/>
        <v>1.08</v>
      </c>
      <c r="H156" s="136">
        <f t="shared" si="46"/>
        <v>1.08</v>
      </c>
      <c r="I156" s="136">
        <f t="shared" si="46"/>
        <v>1.08</v>
      </c>
      <c r="J156" s="136">
        <f t="shared" si="46"/>
        <v>1.08</v>
      </c>
      <c r="K156" s="136">
        <f t="shared" si="46"/>
        <v>1.08</v>
      </c>
      <c r="L156" s="136">
        <f t="shared" si="46"/>
        <v>1.08</v>
      </c>
      <c r="M156" s="136">
        <f t="shared" si="46"/>
        <v>1.08</v>
      </c>
      <c r="N156" s="136">
        <f t="shared" si="46"/>
        <v>1.08</v>
      </c>
      <c r="O156" s="136">
        <f t="shared" si="46"/>
        <v>1.08</v>
      </c>
      <c r="P156" s="136">
        <f t="shared" si="46"/>
        <v>1.08</v>
      </c>
      <c r="Q156" s="136">
        <f t="shared" si="46"/>
        <v>1.08</v>
      </c>
      <c r="R156" s="136">
        <f t="shared" si="46"/>
        <v>1.08</v>
      </c>
      <c r="S156" s="136">
        <f t="shared" si="46"/>
        <v>1.08</v>
      </c>
      <c r="T156" s="136">
        <f t="shared" si="47"/>
        <v>1.08</v>
      </c>
      <c r="U156" s="136">
        <f t="shared" si="47"/>
        <v>1.08</v>
      </c>
      <c r="V156" s="136">
        <f t="shared" si="47"/>
        <v>1.08</v>
      </c>
      <c r="W156" s="136">
        <f t="shared" si="47"/>
        <v>1.08</v>
      </c>
      <c r="X156" s="136">
        <f t="shared" si="47"/>
        <v>1.08</v>
      </c>
      <c r="Y156" s="136">
        <f t="shared" si="47"/>
        <v>1.08</v>
      </c>
      <c r="Z156" s="136">
        <f t="shared" si="47"/>
        <v>1.08</v>
      </c>
      <c r="AA156" s="136">
        <f t="shared" si="47"/>
        <v>1.08</v>
      </c>
      <c r="AB156" s="136">
        <f t="shared" si="47"/>
        <v>1.08</v>
      </c>
      <c r="AC156" s="136">
        <f t="shared" si="47"/>
        <v>1.08</v>
      </c>
      <c r="AD156" s="136">
        <f t="shared" si="47"/>
        <v>1.08</v>
      </c>
      <c r="AE156" s="136">
        <f t="shared" si="47"/>
        <v>1.08</v>
      </c>
      <c r="AF156" s="136">
        <f t="shared" si="47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5"/>
        <v>2.37</v>
      </c>
      <c r="C157" s="137">
        <v>2.37</v>
      </c>
      <c r="D157" s="136">
        <f t="shared" si="46"/>
        <v>2.37</v>
      </c>
      <c r="E157" s="136">
        <f t="shared" si="46"/>
        <v>2.37</v>
      </c>
      <c r="F157" s="136">
        <f t="shared" si="46"/>
        <v>2.37</v>
      </c>
      <c r="G157" s="136">
        <f t="shared" si="46"/>
        <v>2.37</v>
      </c>
      <c r="H157" s="136">
        <f t="shared" si="46"/>
        <v>2.37</v>
      </c>
      <c r="I157" s="136">
        <f t="shared" si="46"/>
        <v>2.37</v>
      </c>
      <c r="J157" s="136">
        <f t="shared" si="46"/>
        <v>2.37</v>
      </c>
      <c r="K157" s="136">
        <f t="shared" si="46"/>
        <v>2.37</v>
      </c>
      <c r="L157" s="136">
        <f t="shared" si="46"/>
        <v>2.37</v>
      </c>
      <c r="M157" s="136">
        <f t="shared" si="46"/>
        <v>2.37</v>
      </c>
      <c r="N157" s="136">
        <f t="shared" si="46"/>
        <v>2.37</v>
      </c>
      <c r="O157" s="136">
        <f t="shared" si="46"/>
        <v>2.37</v>
      </c>
      <c r="P157" s="136">
        <f t="shared" si="46"/>
        <v>2.37</v>
      </c>
      <c r="Q157" s="136">
        <f t="shared" si="46"/>
        <v>2.37</v>
      </c>
      <c r="R157" s="136">
        <f t="shared" si="46"/>
        <v>2.37</v>
      </c>
      <c r="S157" s="136">
        <f t="shared" si="46"/>
        <v>2.37</v>
      </c>
      <c r="T157" s="136">
        <f t="shared" si="47"/>
        <v>2.37</v>
      </c>
      <c r="U157" s="136">
        <f t="shared" si="47"/>
        <v>2.37</v>
      </c>
      <c r="V157" s="136">
        <f t="shared" si="47"/>
        <v>2.37</v>
      </c>
      <c r="W157" s="136">
        <f t="shared" si="47"/>
        <v>2.37</v>
      </c>
      <c r="X157" s="136">
        <f t="shared" si="47"/>
        <v>2.37</v>
      </c>
      <c r="Y157" s="136">
        <f t="shared" si="47"/>
        <v>2.37</v>
      </c>
      <c r="Z157" s="136">
        <f t="shared" si="47"/>
        <v>2.37</v>
      </c>
      <c r="AA157" s="136">
        <f t="shared" si="47"/>
        <v>2.37</v>
      </c>
      <c r="AB157" s="136">
        <f t="shared" si="47"/>
        <v>2.37</v>
      </c>
      <c r="AC157" s="136">
        <f t="shared" si="47"/>
        <v>2.37</v>
      </c>
      <c r="AD157" s="136">
        <f t="shared" si="47"/>
        <v>2.37</v>
      </c>
      <c r="AE157" s="136">
        <f t="shared" si="47"/>
        <v>2.37</v>
      </c>
      <c r="AF157" s="136">
        <f t="shared" si="47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5"/>
        <v>1.81</v>
      </c>
      <c r="C158" s="137">
        <v>1.81</v>
      </c>
      <c r="D158" s="136">
        <f t="shared" si="46"/>
        <v>1.81</v>
      </c>
      <c r="E158" s="136">
        <f t="shared" si="46"/>
        <v>1.81</v>
      </c>
      <c r="F158" s="136">
        <f t="shared" si="46"/>
        <v>1.81</v>
      </c>
      <c r="G158" s="136">
        <f t="shared" si="46"/>
        <v>1.81</v>
      </c>
      <c r="H158" s="136">
        <f t="shared" si="46"/>
        <v>1.81</v>
      </c>
      <c r="I158" s="136">
        <f t="shared" si="46"/>
        <v>1.81</v>
      </c>
      <c r="J158" s="136">
        <f t="shared" si="46"/>
        <v>1.81</v>
      </c>
      <c r="K158" s="136">
        <f t="shared" si="46"/>
        <v>1.81</v>
      </c>
      <c r="L158" s="136">
        <f t="shared" si="46"/>
        <v>1.81</v>
      </c>
      <c r="M158" s="136">
        <f t="shared" si="46"/>
        <v>1.81</v>
      </c>
      <c r="N158" s="136">
        <f t="shared" si="46"/>
        <v>1.81</v>
      </c>
      <c r="O158" s="136">
        <f t="shared" si="46"/>
        <v>1.81</v>
      </c>
      <c r="P158" s="136">
        <f t="shared" si="46"/>
        <v>1.81</v>
      </c>
      <c r="Q158" s="136">
        <f t="shared" si="46"/>
        <v>1.81</v>
      </c>
      <c r="R158" s="136">
        <f t="shared" si="46"/>
        <v>1.81</v>
      </c>
      <c r="S158" s="136">
        <f t="shared" si="46"/>
        <v>1.81</v>
      </c>
      <c r="T158" s="136">
        <f t="shared" si="47"/>
        <v>1.81</v>
      </c>
      <c r="U158" s="136">
        <f t="shared" si="47"/>
        <v>1.81</v>
      </c>
      <c r="V158" s="136">
        <f t="shared" si="47"/>
        <v>1.81</v>
      </c>
      <c r="W158" s="136">
        <f t="shared" si="47"/>
        <v>1.81</v>
      </c>
      <c r="X158" s="136">
        <f t="shared" si="47"/>
        <v>1.81</v>
      </c>
      <c r="Y158" s="136">
        <f t="shared" si="47"/>
        <v>1.81</v>
      </c>
      <c r="Z158" s="136">
        <f t="shared" si="47"/>
        <v>1.81</v>
      </c>
      <c r="AA158" s="136">
        <f t="shared" si="47"/>
        <v>1.81</v>
      </c>
      <c r="AB158" s="136">
        <f t="shared" si="47"/>
        <v>1.81</v>
      </c>
      <c r="AC158" s="136">
        <f t="shared" si="47"/>
        <v>1.81</v>
      </c>
      <c r="AD158" s="136">
        <f t="shared" si="47"/>
        <v>1.81</v>
      </c>
      <c r="AE158" s="136">
        <f t="shared" si="47"/>
        <v>1.81</v>
      </c>
      <c r="AF158" s="136">
        <f t="shared" si="47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5"/>
        <v>1.0900000000000001</v>
      </c>
      <c r="C159" s="137">
        <v>1.0900000000000001</v>
      </c>
      <c r="D159" s="136">
        <f t="shared" si="46"/>
        <v>1.0900000000000001</v>
      </c>
      <c r="E159" s="136">
        <f t="shared" si="46"/>
        <v>1.0900000000000001</v>
      </c>
      <c r="F159" s="136">
        <f t="shared" si="46"/>
        <v>1.0900000000000001</v>
      </c>
      <c r="G159" s="136">
        <f t="shared" si="46"/>
        <v>1.0900000000000001</v>
      </c>
      <c r="H159" s="136">
        <f t="shared" si="46"/>
        <v>1.0900000000000001</v>
      </c>
      <c r="I159" s="136">
        <f t="shared" si="46"/>
        <v>1.0900000000000001</v>
      </c>
      <c r="J159" s="136">
        <f t="shared" si="46"/>
        <v>1.0900000000000001</v>
      </c>
      <c r="K159" s="136">
        <f t="shared" si="46"/>
        <v>1.0900000000000001</v>
      </c>
      <c r="L159" s="136">
        <f t="shared" si="46"/>
        <v>1.0900000000000001</v>
      </c>
      <c r="M159" s="136">
        <f t="shared" si="46"/>
        <v>1.0900000000000001</v>
      </c>
      <c r="N159" s="136">
        <f t="shared" si="46"/>
        <v>1.0900000000000001</v>
      </c>
      <c r="O159" s="136">
        <f t="shared" si="46"/>
        <v>1.0900000000000001</v>
      </c>
      <c r="P159" s="136">
        <f t="shared" si="46"/>
        <v>1.0900000000000001</v>
      </c>
      <c r="Q159" s="136">
        <f t="shared" si="46"/>
        <v>1.0900000000000001</v>
      </c>
      <c r="R159" s="136">
        <f t="shared" si="46"/>
        <v>1.0900000000000001</v>
      </c>
      <c r="S159" s="136">
        <f t="shared" si="46"/>
        <v>1.0900000000000001</v>
      </c>
      <c r="T159" s="136">
        <f t="shared" si="47"/>
        <v>1.0900000000000001</v>
      </c>
      <c r="U159" s="136">
        <f t="shared" si="47"/>
        <v>1.0900000000000001</v>
      </c>
      <c r="V159" s="136">
        <f t="shared" si="47"/>
        <v>1.0900000000000001</v>
      </c>
      <c r="W159" s="136">
        <f t="shared" si="47"/>
        <v>1.0900000000000001</v>
      </c>
      <c r="X159" s="136">
        <f t="shared" si="47"/>
        <v>1.0900000000000001</v>
      </c>
      <c r="Y159" s="136">
        <f t="shared" si="47"/>
        <v>1.0900000000000001</v>
      </c>
      <c r="Z159" s="136">
        <f t="shared" si="47"/>
        <v>1.0900000000000001</v>
      </c>
      <c r="AA159" s="136">
        <f t="shared" si="47"/>
        <v>1.0900000000000001</v>
      </c>
      <c r="AB159" s="136">
        <f t="shared" si="47"/>
        <v>1.0900000000000001</v>
      </c>
      <c r="AC159" s="136">
        <f t="shared" si="47"/>
        <v>1.0900000000000001</v>
      </c>
      <c r="AD159" s="136">
        <f t="shared" si="47"/>
        <v>1.0900000000000001</v>
      </c>
      <c r="AE159" s="136">
        <f t="shared" si="47"/>
        <v>1.0900000000000001</v>
      </c>
      <c r="AF159" s="136">
        <f t="shared" si="47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5"/>
        <v>1.58</v>
      </c>
      <c r="C160" s="137">
        <v>1.58</v>
      </c>
      <c r="D160" s="136">
        <f t="shared" si="46"/>
        <v>1.58</v>
      </c>
      <c r="E160" s="136">
        <f t="shared" si="46"/>
        <v>1.58</v>
      </c>
      <c r="F160" s="136">
        <f t="shared" si="46"/>
        <v>1.58</v>
      </c>
      <c r="G160" s="136">
        <f t="shared" si="46"/>
        <v>1.58</v>
      </c>
      <c r="H160" s="136">
        <f t="shared" si="46"/>
        <v>1.58</v>
      </c>
      <c r="I160" s="136">
        <f t="shared" si="46"/>
        <v>1.58</v>
      </c>
      <c r="J160" s="136">
        <f t="shared" si="46"/>
        <v>1.58</v>
      </c>
      <c r="K160" s="136">
        <f t="shared" si="46"/>
        <v>1.58</v>
      </c>
      <c r="L160" s="136">
        <f t="shared" si="46"/>
        <v>1.58</v>
      </c>
      <c r="M160" s="136">
        <f t="shared" si="46"/>
        <v>1.58</v>
      </c>
      <c r="N160" s="136">
        <f t="shared" si="46"/>
        <v>1.58</v>
      </c>
      <c r="O160" s="136">
        <f t="shared" si="46"/>
        <v>1.58</v>
      </c>
      <c r="P160" s="136">
        <f t="shared" si="46"/>
        <v>1.58</v>
      </c>
      <c r="Q160" s="136">
        <f t="shared" si="46"/>
        <v>1.58</v>
      </c>
      <c r="R160" s="136">
        <f t="shared" si="46"/>
        <v>1.58</v>
      </c>
      <c r="S160" s="136">
        <f t="shared" si="46"/>
        <v>1.58</v>
      </c>
      <c r="T160" s="136">
        <f t="shared" si="47"/>
        <v>1.58</v>
      </c>
      <c r="U160" s="136">
        <f t="shared" si="47"/>
        <v>1.58</v>
      </c>
      <c r="V160" s="136">
        <f t="shared" si="47"/>
        <v>1.58</v>
      </c>
      <c r="W160" s="136">
        <f t="shared" si="47"/>
        <v>1.58</v>
      </c>
      <c r="X160" s="136">
        <f t="shared" si="47"/>
        <v>1.58</v>
      </c>
      <c r="Y160" s="136">
        <f t="shared" si="47"/>
        <v>1.58</v>
      </c>
      <c r="Z160" s="136">
        <f t="shared" si="47"/>
        <v>1.58</v>
      </c>
      <c r="AA160" s="136">
        <f t="shared" si="47"/>
        <v>1.58</v>
      </c>
      <c r="AB160" s="136">
        <f t="shared" si="47"/>
        <v>1.58</v>
      </c>
      <c r="AC160" s="136">
        <f t="shared" si="47"/>
        <v>1.58</v>
      </c>
      <c r="AD160" s="136">
        <f t="shared" si="47"/>
        <v>1.58</v>
      </c>
      <c r="AE160" s="136">
        <f t="shared" si="47"/>
        <v>1.58</v>
      </c>
      <c r="AF160" s="136">
        <f t="shared" si="47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5"/>
        <v>2</v>
      </c>
      <c r="C161" s="137">
        <v>2</v>
      </c>
      <c r="D161" s="136">
        <f t="shared" si="46"/>
        <v>2</v>
      </c>
      <c r="E161" s="136">
        <f t="shared" si="46"/>
        <v>2</v>
      </c>
      <c r="F161" s="136">
        <f t="shared" si="46"/>
        <v>2</v>
      </c>
      <c r="G161" s="136">
        <f t="shared" si="46"/>
        <v>2</v>
      </c>
      <c r="H161" s="136">
        <f t="shared" si="46"/>
        <v>2</v>
      </c>
      <c r="I161" s="136">
        <f t="shared" si="46"/>
        <v>2</v>
      </c>
      <c r="J161" s="136">
        <f t="shared" si="46"/>
        <v>2</v>
      </c>
      <c r="K161" s="136">
        <f t="shared" si="46"/>
        <v>2</v>
      </c>
      <c r="L161" s="136">
        <f t="shared" si="46"/>
        <v>2</v>
      </c>
      <c r="M161" s="136">
        <f t="shared" si="46"/>
        <v>2</v>
      </c>
      <c r="N161" s="136">
        <f t="shared" si="46"/>
        <v>2</v>
      </c>
      <c r="O161" s="136">
        <f t="shared" si="46"/>
        <v>2</v>
      </c>
      <c r="P161" s="136">
        <f t="shared" si="46"/>
        <v>2</v>
      </c>
      <c r="Q161" s="136">
        <f t="shared" si="46"/>
        <v>2</v>
      </c>
      <c r="R161" s="136">
        <f t="shared" si="46"/>
        <v>2</v>
      </c>
      <c r="S161" s="136">
        <f t="shared" si="46"/>
        <v>2</v>
      </c>
      <c r="T161" s="136">
        <f t="shared" si="47"/>
        <v>2</v>
      </c>
      <c r="U161" s="136">
        <f t="shared" si="47"/>
        <v>2</v>
      </c>
      <c r="V161" s="136">
        <f t="shared" si="47"/>
        <v>2</v>
      </c>
      <c r="W161" s="136">
        <f t="shared" si="47"/>
        <v>2</v>
      </c>
      <c r="X161" s="136">
        <f t="shared" si="47"/>
        <v>2</v>
      </c>
      <c r="Y161" s="136">
        <f t="shared" si="47"/>
        <v>2</v>
      </c>
      <c r="Z161" s="136">
        <f t="shared" si="47"/>
        <v>2</v>
      </c>
      <c r="AA161" s="136">
        <f t="shared" si="47"/>
        <v>2</v>
      </c>
      <c r="AB161" s="136">
        <f t="shared" si="47"/>
        <v>2</v>
      </c>
      <c r="AC161" s="136">
        <f t="shared" si="47"/>
        <v>2</v>
      </c>
      <c r="AD161" s="136">
        <f t="shared" si="47"/>
        <v>2</v>
      </c>
      <c r="AE161" s="136">
        <f t="shared" si="47"/>
        <v>2</v>
      </c>
      <c r="AF161" s="136">
        <f t="shared" si="47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5"/>
        <v>0.47</v>
      </c>
      <c r="C162" s="137">
        <v>0.47</v>
      </c>
      <c r="D162" s="136">
        <f t="shared" si="46"/>
        <v>0.47</v>
      </c>
      <c r="E162" s="136">
        <f t="shared" si="46"/>
        <v>0.47</v>
      </c>
      <c r="F162" s="136">
        <f t="shared" si="46"/>
        <v>0.47</v>
      </c>
      <c r="G162" s="136">
        <f t="shared" si="46"/>
        <v>0.47</v>
      </c>
      <c r="H162" s="136">
        <f t="shared" si="46"/>
        <v>0.47</v>
      </c>
      <c r="I162" s="136">
        <f t="shared" si="46"/>
        <v>0.47</v>
      </c>
      <c r="J162" s="136">
        <f t="shared" si="46"/>
        <v>0.47</v>
      </c>
      <c r="K162" s="136">
        <f t="shared" si="46"/>
        <v>0.47</v>
      </c>
      <c r="L162" s="136">
        <f t="shared" si="46"/>
        <v>0.47</v>
      </c>
      <c r="M162" s="136">
        <f t="shared" si="46"/>
        <v>0.47</v>
      </c>
      <c r="N162" s="136">
        <f t="shared" si="46"/>
        <v>0.47</v>
      </c>
      <c r="O162" s="136">
        <f t="shared" si="46"/>
        <v>0.47</v>
      </c>
      <c r="P162" s="136">
        <f t="shared" si="46"/>
        <v>0.47</v>
      </c>
      <c r="Q162" s="136">
        <f t="shared" si="46"/>
        <v>0.47</v>
      </c>
      <c r="R162" s="136">
        <f t="shared" si="46"/>
        <v>0.47</v>
      </c>
      <c r="S162" s="136">
        <f t="shared" si="46"/>
        <v>0.47</v>
      </c>
      <c r="T162" s="136">
        <f t="shared" si="47"/>
        <v>0.47</v>
      </c>
      <c r="U162" s="136">
        <f t="shared" si="47"/>
        <v>0.47</v>
      </c>
      <c r="V162" s="136">
        <f t="shared" si="47"/>
        <v>0.47</v>
      </c>
      <c r="W162" s="136">
        <f t="shared" si="47"/>
        <v>0.47</v>
      </c>
      <c r="X162" s="136">
        <f t="shared" si="47"/>
        <v>0.47</v>
      </c>
      <c r="Y162" s="136">
        <f t="shared" si="47"/>
        <v>0.47</v>
      </c>
      <c r="Z162" s="136">
        <f t="shared" si="47"/>
        <v>0.47</v>
      </c>
      <c r="AA162" s="136">
        <f t="shared" si="47"/>
        <v>0.47</v>
      </c>
      <c r="AB162" s="136">
        <f t="shared" si="47"/>
        <v>0.47</v>
      </c>
      <c r="AC162" s="136">
        <f t="shared" si="47"/>
        <v>0.47</v>
      </c>
      <c r="AD162" s="136">
        <f t="shared" si="47"/>
        <v>0.47</v>
      </c>
      <c r="AE162" s="136">
        <f t="shared" si="47"/>
        <v>0.47</v>
      </c>
      <c r="AF162" s="136">
        <f t="shared" si="47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5"/>
        <v>0</v>
      </c>
      <c r="C163" s="137">
        <v>0</v>
      </c>
      <c r="D163" s="136">
        <f t="shared" si="46"/>
        <v>0</v>
      </c>
      <c r="E163" s="136">
        <f t="shared" si="46"/>
        <v>0</v>
      </c>
      <c r="F163" s="136">
        <f t="shared" si="46"/>
        <v>0</v>
      </c>
      <c r="G163" s="136">
        <f t="shared" si="46"/>
        <v>0</v>
      </c>
      <c r="H163" s="136">
        <f t="shared" si="46"/>
        <v>0</v>
      </c>
      <c r="I163" s="136">
        <f t="shared" si="46"/>
        <v>0</v>
      </c>
      <c r="J163" s="136">
        <f t="shared" si="46"/>
        <v>0</v>
      </c>
      <c r="K163" s="136">
        <f t="shared" si="46"/>
        <v>0</v>
      </c>
      <c r="L163" s="136">
        <f t="shared" si="46"/>
        <v>0</v>
      </c>
      <c r="M163" s="136">
        <f t="shared" si="46"/>
        <v>0</v>
      </c>
      <c r="N163" s="136">
        <f t="shared" si="46"/>
        <v>0</v>
      </c>
      <c r="O163" s="136">
        <f t="shared" si="46"/>
        <v>0</v>
      </c>
      <c r="P163" s="136">
        <f t="shared" si="46"/>
        <v>0</v>
      </c>
      <c r="Q163" s="136">
        <f t="shared" si="46"/>
        <v>0</v>
      </c>
      <c r="R163" s="136">
        <f t="shared" si="46"/>
        <v>0</v>
      </c>
      <c r="S163" s="136">
        <f t="shared" si="46"/>
        <v>0</v>
      </c>
      <c r="T163" s="136">
        <f t="shared" si="47"/>
        <v>0</v>
      </c>
      <c r="U163" s="136">
        <f t="shared" si="47"/>
        <v>0</v>
      </c>
      <c r="V163" s="136">
        <f t="shared" si="47"/>
        <v>0</v>
      </c>
      <c r="W163" s="136">
        <f t="shared" si="47"/>
        <v>0</v>
      </c>
      <c r="X163" s="136">
        <f t="shared" si="47"/>
        <v>0</v>
      </c>
      <c r="Y163" s="136">
        <f t="shared" si="47"/>
        <v>0</v>
      </c>
      <c r="Z163" s="136">
        <f t="shared" si="47"/>
        <v>0</v>
      </c>
      <c r="AA163" s="136">
        <f t="shared" si="47"/>
        <v>0</v>
      </c>
      <c r="AB163" s="136">
        <f t="shared" si="47"/>
        <v>0</v>
      </c>
      <c r="AC163" s="136">
        <f t="shared" si="47"/>
        <v>0</v>
      </c>
      <c r="AD163" s="136">
        <f t="shared" si="47"/>
        <v>0</v>
      </c>
      <c r="AE163" s="136">
        <f t="shared" si="47"/>
        <v>0</v>
      </c>
      <c r="AF163" s="136">
        <f t="shared" si="47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5"/>
        <v>0</v>
      </c>
      <c r="C164" s="137">
        <v>0</v>
      </c>
      <c r="D164" s="136">
        <f t="shared" si="46"/>
        <v>0</v>
      </c>
      <c r="E164" s="136">
        <f t="shared" si="46"/>
        <v>0</v>
      </c>
      <c r="F164" s="136">
        <f t="shared" si="46"/>
        <v>0</v>
      </c>
      <c r="G164" s="136">
        <f t="shared" si="46"/>
        <v>0</v>
      </c>
      <c r="H164" s="136">
        <f t="shared" si="46"/>
        <v>0</v>
      </c>
      <c r="I164" s="136">
        <f t="shared" si="46"/>
        <v>0</v>
      </c>
      <c r="J164" s="136">
        <f t="shared" si="46"/>
        <v>0</v>
      </c>
      <c r="K164" s="136">
        <f t="shared" si="46"/>
        <v>0</v>
      </c>
      <c r="L164" s="136">
        <f t="shared" si="46"/>
        <v>0</v>
      </c>
      <c r="M164" s="136">
        <f t="shared" si="46"/>
        <v>0</v>
      </c>
      <c r="N164" s="136">
        <f t="shared" si="46"/>
        <v>0</v>
      </c>
      <c r="O164" s="136">
        <f t="shared" si="46"/>
        <v>0</v>
      </c>
      <c r="P164" s="136">
        <f t="shared" si="46"/>
        <v>0</v>
      </c>
      <c r="Q164" s="136">
        <f t="shared" si="46"/>
        <v>0</v>
      </c>
      <c r="R164" s="136">
        <f t="shared" si="46"/>
        <v>0</v>
      </c>
      <c r="S164" s="136">
        <f t="shared" si="47"/>
        <v>0</v>
      </c>
      <c r="T164" s="136">
        <f t="shared" si="47"/>
        <v>0</v>
      </c>
      <c r="U164" s="136">
        <f t="shared" si="47"/>
        <v>0</v>
      </c>
      <c r="V164" s="136">
        <f t="shared" si="47"/>
        <v>0</v>
      </c>
      <c r="W164" s="136">
        <f t="shared" si="47"/>
        <v>0</v>
      </c>
      <c r="X164" s="136">
        <f t="shared" si="47"/>
        <v>0</v>
      </c>
      <c r="Y164" s="136">
        <f t="shared" si="47"/>
        <v>0</v>
      </c>
      <c r="Z164" s="136">
        <f t="shared" si="47"/>
        <v>0</v>
      </c>
      <c r="AA164" s="136">
        <f t="shared" si="47"/>
        <v>0</v>
      </c>
      <c r="AB164" s="136">
        <f t="shared" si="47"/>
        <v>0</v>
      </c>
      <c r="AC164" s="136">
        <f t="shared" si="47"/>
        <v>0</v>
      </c>
      <c r="AD164" s="136">
        <f t="shared" si="47"/>
        <v>0</v>
      </c>
      <c r="AE164" s="136">
        <f t="shared" si="47"/>
        <v>0</v>
      </c>
      <c r="AF164" s="136">
        <f t="shared" si="47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5"/>
        <v>0.8</v>
      </c>
      <c r="C165" s="137">
        <v>0.8</v>
      </c>
      <c r="D165" s="136">
        <f t="shared" si="46"/>
        <v>0.8</v>
      </c>
      <c r="E165" s="136">
        <f t="shared" si="46"/>
        <v>0.8</v>
      </c>
      <c r="F165" s="136">
        <f t="shared" si="46"/>
        <v>0.8</v>
      </c>
      <c r="G165" s="136">
        <f t="shared" si="46"/>
        <v>0.8</v>
      </c>
      <c r="H165" s="136">
        <f t="shared" si="46"/>
        <v>0.8</v>
      </c>
      <c r="I165" s="136">
        <f t="shared" si="46"/>
        <v>0.8</v>
      </c>
      <c r="J165" s="136">
        <f t="shared" si="46"/>
        <v>0.8</v>
      </c>
      <c r="K165" s="136">
        <f t="shared" si="46"/>
        <v>0.8</v>
      </c>
      <c r="L165" s="136">
        <f t="shared" si="46"/>
        <v>0.8</v>
      </c>
      <c r="M165" s="136">
        <f t="shared" si="46"/>
        <v>0.8</v>
      </c>
      <c r="N165" s="136">
        <f t="shared" si="46"/>
        <v>0.8</v>
      </c>
      <c r="O165" s="136">
        <f t="shared" si="46"/>
        <v>0.8</v>
      </c>
      <c r="P165" s="136">
        <f t="shared" si="46"/>
        <v>0.8</v>
      </c>
      <c r="Q165" s="136">
        <f t="shared" si="46"/>
        <v>0.8</v>
      </c>
      <c r="R165" s="136">
        <f t="shared" si="46"/>
        <v>0.8</v>
      </c>
      <c r="S165" s="136">
        <f t="shared" si="47"/>
        <v>0.8</v>
      </c>
      <c r="T165" s="136">
        <f t="shared" si="47"/>
        <v>0.8</v>
      </c>
      <c r="U165" s="136">
        <f t="shared" si="47"/>
        <v>0.8</v>
      </c>
      <c r="V165" s="136">
        <f t="shared" si="47"/>
        <v>0.8</v>
      </c>
      <c r="W165" s="136">
        <f t="shared" si="47"/>
        <v>0.8</v>
      </c>
      <c r="X165" s="136">
        <f t="shared" si="47"/>
        <v>0.8</v>
      </c>
      <c r="Y165" s="136">
        <f t="shared" si="47"/>
        <v>0.8</v>
      </c>
      <c r="Z165" s="136">
        <f t="shared" si="47"/>
        <v>0.8</v>
      </c>
      <c r="AA165" s="136">
        <f t="shared" si="47"/>
        <v>0.8</v>
      </c>
      <c r="AB165" s="136">
        <f t="shared" si="47"/>
        <v>0.8</v>
      </c>
      <c r="AC165" s="136">
        <f t="shared" si="47"/>
        <v>0.8</v>
      </c>
      <c r="AD165" s="136">
        <f t="shared" si="47"/>
        <v>0.8</v>
      </c>
      <c r="AE165" s="136">
        <f t="shared" si="47"/>
        <v>0.8</v>
      </c>
      <c r="AF165" s="136">
        <f t="shared" si="47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5"/>
        <v>1.5</v>
      </c>
      <c r="C166" s="137">
        <v>1.5</v>
      </c>
      <c r="D166" s="136">
        <f t="shared" si="46"/>
        <v>1.5</v>
      </c>
      <c r="E166" s="136">
        <f t="shared" si="46"/>
        <v>1.5</v>
      </c>
      <c r="F166" s="136">
        <f t="shared" si="46"/>
        <v>1.5</v>
      </c>
      <c r="G166" s="136">
        <f t="shared" si="46"/>
        <v>1.5</v>
      </c>
      <c r="H166" s="136">
        <f t="shared" si="46"/>
        <v>1.5</v>
      </c>
      <c r="I166" s="136">
        <f t="shared" si="46"/>
        <v>1.5</v>
      </c>
      <c r="J166" s="136">
        <f t="shared" si="46"/>
        <v>1.5</v>
      </c>
      <c r="K166" s="136">
        <f t="shared" si="46"/>
        <v>1.5</v>
      </c>
      <c r="L166" s="136">
        <f t="shared" si="46"/>
        <v>1.5</v>
      </c>
      <c r="M166" s="136">
        <f t="shared" si="46"/>
        <v>1.5</v>
      </c>
      <c r="N166" s="136">
        <f t="shared" si="46"/>
        <v>1.5</v>
      </c>
      <c r="O166" s="136">
        <f t="shared" si="46"/>
        <v>1.5</v>
      </c>
      <c r="P166" s="136">
        <f t="shared" si="46"/>
        <v>1.5</v>
      </c>
      <c r="Q166" s="136">
        <f t="shared" si="46"/>
        <v>1.5</v>
      </c>
      <c r="R166" s="136">
        <f t="shared" si="46"/>
        <v>1.5</v>
      </c>
      <c r="S166" s="136">
        <f t="shared" si="47"/>
        <v>1.5</v>
      </c>
      <c r="T166" s="136">
        <f t="shared" si="47"/>
        <v>1.5</v>
      </c>
      <c r="U166" s="136">
        <f t="shared" si="47"/>
        <v>1.5</v>
      </c>
      <c r="V166" s="136">
        <f t="shared" si="47"/>
        <v>1.5</v>
      </c>
      <c r="W166" s="136">
        <f t="shared" si="47"/>
        <v>1.5</v>
      </c>
      <c r="X166" s="136">
        <f t="shared" si="47"/>
        <v>1.5</v>
      </c>
      <c r="Y166" s="136">
        <f t="shared" si="47"/>
        <v>1.5</v>
      </c>
      <c r="Z166" s="136">
        <f t="shared" si="47"/>
        <v>1.5</v>
      </c>
      <c r="AA166" s="136">
        <f t="shared" si="47"/>
        <v>1.5</v>
      </c>
      <c r="AB166" s="136">
        <f t="shared" si="47"/>
        <v>1.5</v>
      </c>
      <c r="AC166" s="136">
        <f t="shared" si="47"/>
        <v>1.5</v>
      </c>
      <c r="AD166" s="136">
        <f t="shared" si="47"/>
        <v>1.5</v>
      </c>
      <c r="AE166" s="136">
        <f t="shared" si="47"/>
        <v>1.5</v>
      </c>
      <c r="AF166" s="136">
        <f t="shared" si="47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5"/>
        <v>1</v>
      </c>
      <c r="C167" s="137">
        <v>1</v>
      </c>
      <c r="D167" s="136">
        <f t="shared" si="46"/>
        <v>1</v>
      </c>
      <c r="E167" s="136">
        <f t="shared" si="46"/>
        <v>1</v>
      </c>
      <c r="F167" s="136">
        <f t="shared" si="46"/>
        <v>1</v>
      </c>
      <c r="G167" s="136">
        <f t="shared" si="46"/>
        <v>1</v>
      </c>
      <c r="H167" s="136">
        <f t="shared" si="46"/>
        <v>1</v>
      </c>
      <c r="I167" s="136">
        <f t="shared" si="46"/>
        <v>1</v>
      </c>
      <c r="J167" s="136">
        <f t="shared" si="46"/>
        <v>1</v>
      </c>
      <c r="K167" s="136">
        <f t="shared" si="46"/>
        <v>1</v>
      </c>
      <c r="L167" s="136">
        <f t="shared" si="46"/>
        <v>1</v>
      </c>
      <c r="M167" s="136">
        <f t="shared" si="46"/>
        <v>1</v>
      </c>
      <c r="N167" s="136">
        <f t="shared" si="46"/>
        <v>1</v>
      </c>
      <c r="O167" s="136">
        <f t="shared" si="46"/>
        <v>1</v>
      </c>
      <c r="P167" s="136">
        <f t="shared" si="46"/>
        <v>1</v>
      </c>
      <c r="Q167" s="136">
        <f t="shared" si="46"/>
        <v>1</v>
      </c>
      <c r="R167" s="136">
        <f t="shared" si="46"/>
        <v>1</v>
      </c>
      <c r="S167" s="136">
        <f t="shared" si="47"/>
        <v>1</v>
      </c>
      <c r="T167" s="136">
        <f t="shared" si="47"/>
        <v>1</v>
      </c>
      <c r="U167" s="136">
        <f t="shared" si="47"/>
        <v>1</v>
      </c>
      <c r="V167" s="136">
        <f t="shared" si="47"/>
        <v>1</v>
      </c>
      <c r="W167" s="136">
        <f t="shared" si="47"/>
        <v>1</v>
      </c>
      <c r="X167" s="136">
        <f t="shared" si="47"/>
        <v>1</v>
      </c>
      <c r="Y167" s="136">
        <f t="shared" si="47"/>
        <v>1</v>
      </c>
      <c r="Z167" s="136">
        <f t="shared" si="47"/>
        <v>1</v>
      </c>
      <c r="AA167" s="136">
        <f t="shared" si="47"/>
        <v>1</v>
      </c>
      <c r="AB167" s="136">
        <f t="shared" si="47"/>
        <v>1</v>
      </c>
      <c r="AC167" s="136">
        <f t="shared" si="47"/>
        <v>1</v>
      </c>
      <c r="AD167" s="136">
        <f t="shared" si="47"/>
        <v>1</v>
      </c>
      <c r="AE167" s="136">
        <f t="shared" si="47"/>
        <v>1</v>
      </c>
      <c r="AF167" s="136">
        <f t="shared" si="47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8">AF169</f>
        <v>1</v>
      </c>
      <c r="C169" s="137">
        <v>1</v>
      </c>
      <c r="D169" s="136">
        <f t="shared" ref="D169:S176" si="49">C169</f>
        <v>1</v>
      </c>
      <c r="E169" s="136">
        <f t="shared" si="49"/>
        <v>1</v>
      </c>
      <c r="F169" s="136">
        <f t="shared" si="49"/>
        <v>1</v>
      </c>
      <c r="G169" s="136">
        <f t="shared" si="49"/>
        <v>1</v>
      </c>
      <c r="H169" s="136">
        <f t="shared" si="49"/>
        <v>1</v>
      </c>
      <c r="I169" s="136">
        <f t="shared" si="49"/>
        <v>1</v>
      </c>
      <c r="J169" s="136">
        <f t="shared" si="49"/>
        <v>1</v>
      </c>
      <c r="K169" s="136">
        <f t="shared" si="49"/>
        <v>1</v>
      </c>
      <c r="L169" s="136">
        <f t="shared" si="49"/>
        <v>1</v>
      </c>
      <c r="M169" s="136">
        <f t="shared" si="49"/>
        <v>1</v>
      </c>
      <c r="N169" s="136">
        <f t="shared" si="49"/>
        <v>1</v>
      </c>
      <c r="O169" s="136">
        <f t="shared" si="49"/>
        <v>1</v>
      </c>
      <c r="P169" s="136">
        <f t="shared" si="49"/>
        <v>1</v>
      </c>
      <c r="Q169" s="136">
        <f t="shared" si="49"/>
        <v>1</v>
      </c>
      <c r="R169" s="136">
        <f t="shared" si="49"/>
        <v>1</v>
      </c>
      <c r="S169" s="136">
        <f t="shared" si="49"/>
        <v>1</v>
      </c>
      <c r="T169" s="136">
        <f t="shared" ref="S169:AF176" si="50">S169</f>
        <v>1</v>
      </c>
      <c r="U169" s="136">
        <f t="shared" si="50"/>
        <v>1</v>
      </c>
      <c r="V169" s="136">
        <f t="shared" si="50"/>
        <v>1</v>
      </c>
      <c r="W169" s="136">
        <f t="shared" si="50"/>
        <v>1</v>
      </c>
      <c r="X169" s="136">
        <f t="shared" si="50"/>
        <v>1</v>
      </c>
      <c r="Y169" s="136">
        <f t="shared" si="50"/>
        <v>1</v>
      </c>
      <c r="Z169" s="136">
        <f t="shared" si="50"/>
        <v>1</v>
      </c>
      <c r="AA169" s="136">
        <f t="shared" si="50"/>
        <v>1</v>
      </c>
      <c r="AB169" s="136">
        <f t="shared" si="50"/>
        <v>1</v>
      </c>
      <c r="AC169" s="136">
        <f t="shared" si="50"/>
        <v>1</v>
      </c>
      <c r="AD169" s="136">
        <f t="shared" si="50"/>
        <v>1</v>
      </c>
      <c r="AE169" s="136">
        <f t="shared" si="50"/>
        <v>1</v>
      </c>
      <c r="AF169" s="136">
        <f t="shared" si="50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8"/>
        <v>0.42</v>
      </c>
      <c r="C170" s="137">
        <v>0.42</v>
      </c>
      <c r="D170" s="136">
        <f t="shared" si="49"/>
        <v>0.42</v>
      </c>
      <c r="E170" s="136">
        <f t="shared" si="49"/>
        <v>0.42</v>
      </c>
      <c r="F170" s="136">
        <f t="shared" si="49"/>
        <v>0.42</v>
      </c>
      <c r="G170" s="136">
        <f t="shared" si="49"/>
        <v>0.42</v>
      </c>
      <c r="H170" s="136">
        <f t="shared" si="49"/>
        <v>0.42</v>
      </c>
      <c r="I170" s="136">
        <f t="shared" si="49"/>
        <v>0.42</v>
      </c>
      <c r="J170" s="136">
        <f t="shared" si="49"/>
        <v>0.42</v>
      </c>
      <c r="K170" s="136">
        <f t="shared" si="49"/>
        <v>0.42</v>
      </c>
      <c r="L170" s="136">
        <f t="shared" si="49"/>
        <v>0.42</v>
      </c>
      <c r="M170" s="136">
        <f t="shared" si="49"/>
        <v>0.42</v>
      </c>
      <c r="N170" s="136">
        <f t="shared" si="49"/>
        <v>0.42</v>
      </c>
      <c r="O170" s="136">
        <f t="shared" si="49"/>
        <v>0.42</v>
      </c>
      <c r="P170" s="136">
        <f t="shared" si="49"/>
        <v>0.42</v>
      </c>
      <c r="Q170" s="136">
        <f t="shared" si="49"/>
        <v>0.42</v>
      </c>
      <c r="R170" s="136">
        <f t="shared" si="49"/>
        <v>0.42</v>
      </c>
      <c r="S170" s="136">
        <f t="shared" si="50"/>
        <v>0.42</v>
      </c>
      <c r="T170" s="136">
        <f t="shared" si="50"/>
        <v>0.42</v>
      </c>
      <c r="U170" s="136">
        <f t="shared" si="50"/>
        <v>0.42</v>
      </c>
      <c r="V170" s="136">
        <f t="shared" si="50"/>
        <v>0.42</v>
      </c>
      <c r="W170" s="136">
        <f t="shared" si="50"/>
        <v>0.42</v>
      </c>
      <c r="X170" s="136">
        <f t="shared" si="50"/>
        <v>0.42</v>
      </c>
      <c r="Y170" s="136">
        <f t="shared" si="50"/>
        <v>0.42</v>
      </c>
      <c r="Z170" s="136">
        <f t="shared" si="50"/>
        <v>0.42</v>
      </c>
      <c r="AA170" s="136">
        <f t="shared" si="50"/>
        <v>0.42</v>
      </c>
      <c r="AB170" s="136">
        <f t="shared" si="50"/>
        <v>0.42</v>
      </c>
      <c r="AC170" s="136">
        <f t="shared" si="50"/>
        <v>0.42</v>
      </c>
      <c r="AD170" s="136">
        <f t="shared" si="50"/>
        <v>0.42</v>
      </c>
      <c r="AE170" s="136">
        <f t="shared" si="50"/>
        <v>0.42</v>
      </c>
      <c r="AF170" s="136">
        <f t="shared" si="50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8"/>
        <v>0.46</v>
      </c>
      <c r="C171" s="137">
        <v>0.46</v>
      </c>
      <c r="D171" s="136">
        <f t="shared" si="49"/>
        <v>0.46</v>
      </c>
      <c r="E171" s="136">
        <f t="shared" si="49"/>
        <v>0.46</v>
      </c>
      <c r="F171" s="136">
        <f t="shared" si="49"/>
        <v>0.46</v>
      </c>
      <c r="G171" s="136">
        <f t="shared" si="49"/>
        <v>0.46</v>
      </c>
      <c r="H171" s="136">
        <f t="shared" si="49"/>
        <v>0.46</v>
      </c>
      <c r="I171" s="136">
        <f t="shared" si="49"/>
        <v>0.46</v>
      </c>
      <c r="J171" s="136">
        <f t="shared" si="49"/>
        <v>0.46</v>
      </c>
      <c r="K171" s="136">
        <f t="shared" si="49"/>
        <v>0.46</v>
      </c>
      <c r="L171" s="136">
        <f t="shared" si="49"/>
        <v>0.46</v>
      </c>
      <c r="M171" s="136">
        <f t="shared" si="49"/>
        <v>0.46</v>
      </c>
      <c r="N171" s="136">
        <f t="shared" si="49"/>
        <v>0.46</v>
      </c>
      <c r="O171" s="136">
        <f t="shared" si="49"/>
        <v>0.46</v>
      </c>
      <c r="P171" s="136">
        <f t="shared" si="49"/>
        <v>0.46</v>
      </c>
      <c r="Q171" s="136">
        <f t="shared" si="49"/>
        <v>0.46</v>
      </c>
      <c r="R171" s="136">
        <f t="shared" si="49"/>
        <v>0.46</v>
      </c>
      <c r="S171" s="136">
        <f t="shared" si="50"/>
        <v>0.46</v>
      </c>
      <c r="T171" s="136">
        <f t="shared" si="50"/>
        <v>0.46</v>
      </c>
      <c r="U171" s="136">
        <f t="shared" si="50"/>
        <v>0.46</v>
      </c>
      <c r="V171" s="136">
        <f t="shared" si="50"/>
        <v>0.46</v>
      </c>
      <c r="W171" s="136">
        <f t="shared" si="50"/>
        <v>0.46</v>
      </c>
      <c r="X171" s="136">
        <f t="shared" si="50"/>
        <v>0.46</v>
      </c>
      <c r="Y171" s="136">
        <f t="shared" si="50"/>
        <v>0.46</v>
      </c>
      <c r="Z171" s="136">
        <f t="shared" si="50"/>
        <v>0.46</v>
      </c>
      <c r="AA171" s="136">
        <f t="shared" si="50"/>
        <v>0.46</v>
      </c>
      <c r="AB171" s="136">
        <f t="shared" si="50"/>
        <v>0.46</v>
      </c>
      <c r="AC171" s="136">
        <f t="shared" si="50"/>
        <v>0.46</v>
      </c>
      <c r="AD171" s="136">
        <f t="shared" si="50"/>
        <v>0.46</v>
      </c>
      <c r="AE171" s="136">
        <f t="shared" si="50"/>
        <v>0.46</v>
      </c>
      <c r="AF171" s="136">
        <f t="shared" si="50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8"/>
        <v>0.85</v>
      </c>
      <c r="C172" s="137">
        <v>0.85</v>
      </c>
      <c r="D172" s="136">
        <f t="shared" si="49"/>
        <v>0.85</v>
      </c>
      <c r="E172" s="136">
        <f t="shared" si="49"/>
        <v>0.85</v>
      </c>
      <c r="F172" s="136">
        <f t="shared" si="49"/>
        <v>0.85</v>
      </c>
      <c r="G172" s="136">
        <f t="shared" si="49"/>
        <v>0.85</v>
      </c>
      <c r="H172" s="136">
        <f t="shared" si="49"/>
        <v>0.85</v>
      </c>
      <c r="I172" s="136">
        <f t="shared" si="49"/>
        <v>0.85</v>
      </c>
      <c r="J172" s="136">
        <f t="shared" si="49"/>
        <v>0.85</v>
      </c>
      <c r="K172" s="136">
        <f t="shared" si="49"/>
        <v>0.85</v>
      </c>
      <c r="L172" s="136">
        <f t="shared" si="49"/>
        <v>0.85</v>
      </c>
      <c r="M172" s="136">
        <f t="shared" si="49"/>
        <v>0.85</v>
      </c>
      <c r="N172" s="136">
        <f t="shared" si="49"/>
        <v>0.85</v>
      </c>
      <c r="O172" s="136">
        <f t="shared" si="49"/>
        <v>0.85</v>
      </c>
      <c r="P172" s="136">
        <f t="shared" si="49"/>
        <v>0.85</v>
      </c>
      <c r="Q172" s="136">
        <f t="shared" si="49"/>
        <v>0.85</v>
      </c>
      <c r="R172" s="136">
        <f t="shared" si="49"/>
        <v>0.85</v>
      </c>
      <c r="S172" s="136">
        <f t="shared" si="50"/>
        <v>0.85</v>
      </c>
      <c r="T172" s="136">
        <f t="shared" si="50"/>
        <v>0.85</v>
      </c>
      <c r="U172" s="136">
        <f t="shared" si="50"/>
        <v>0.85</v>
      </c>
      <c r="V172" s="136">
        <f t="shared" si="50"/>
        <v>0.85</v>
      </c>
      <c r="W172" s="136">
        <f t="shared" si="50"/>
        <v>0.85</v>
      </c>
      <c r="X172" s="136">
        <f t="shared" si="50"/>
        <v>0.85</v>
      </c>
      <c r="Y172" s="136">
        <f t="shared" si="50"/>
        <v>0.85</v>
      </c>
      <c r="Z172" s="136">
        <f t="shared" si="50"/>
        <v>0.85</v>
      </c>
      <c r="AA172" s="136">
        <f t="shared" si="50"/>
        <v>0.85</v>
      </c>
      <c r="AB172" s="136">
        <f t="shared" si="50"/>
        <v>0.85</v>
      </c>
      <c r="AC172" s="136">
        <f t="shared" si="50"/>
        <v>0.85</v>
      </c>
      <c r="AD172" s="136">
        <f t="shared" si="50"/>
        <v>0.85</v>
      </c>
      <c r="AE172" s="136">
        <f t="shared" si="50"/>
        <v>0.85</v>
      </c>
      <c r="AF172" s="136">
        <f t="shared" si="50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8"/>
        <v>0.9</v>
      </c>
      <c r="C173" s="137">
        <v>0.9</v>
      </c>
      <c r="D173" s="136">
        <f t="shared" si="49"/>
        <v>0.9</v>
      </c>
      <c r="E173" s="136">
        <f t="shared" si="49"/>
        <v>0.9</v>
      </c>
      <c r="F173" s="136">
        <f t="shared" si="49"/>
        <v>0.9</v>
      </c>
      <c r="G173" s="136">
        <f t="shared" si="49"/>
        <v>0.9</v>
      </c>
      <c r="H173" s="136">
        <f t="shared" si="49"/>
        <v>0.9</v>
      </c>
      <c r="I173" s="136">
        <f t="shared" si="49"/>
        <v>0.9</v>
      </c>
      <c r="J173" s="136">
        <f t="shared" si="49"/>
        <v>0.9</v>
      </c>
      <c r="K173" s="136">
        <f t="shared" si="49"/>
        <v>0.9</v>
      </c>
      <c r="L173" s="136">
        <f t="shared" si="49"/>
        <v>0.9</v>
      </c>
      <c r="M173" s="136">
        <f t="shared" si="49"/>
        <v>0.9</v>
      </c>
      <c r="N173" s="136">
        <f t="shared" si="49"/>
        <v>0.9</v>
      </c>
      <c r="O173" s="136">
        <f t="shared" si="49"/>
        <v>0.9</v>
      </c>
      <c r="P173" s="136">
        <f t="shared" si="49"/>
        <v>0.9</v>
      </c>
      <c r="Q173" s="136">
        <f t="shared" si="49"/>
        <v>0.9</v>
      </c>
      <c r="R173" s="136">
        <f t="shared" si="49"/>
        <v>0.9</v>
      </c>
      <c r="S173" s="136">
        <f t="shared" si="50"/>
        <v>0.9</v>
      </c>
      <c r="T173" s="136">
        <f t="shared" si="50"/>
        <v>0.9</v>
      </c>
      <c r="U173" s="136">
        <f t="shared" si="50"/>
        <v>0.9</v>
      </c>
      <c r="V173" s="136">
        <f t="shared" si="50"/>
        <v>0.9</v>
      </c>
      <c r="W173" s="136">
        <f t="shared" si="50"/>
        <v>0.9</v>
      </c>
      <c r="X173" s="136">
        <f t="shared" si="50"/>
        <v>0.9</v>
      </c>
      <c r="Y173" s="136">
        <f t="shared" si="50"/>
        <v>0.9</v>
      </c>
      <c r="Z173" s="136">
        <f t="shared" si="50"/>
        <v>0.9</v>
      </c>
      <c r="AA173" s="136">
        <f t="shared" si="50"/>
        <v>0.9</v>
      </c>
      <c r="AB173" s="136">
        <f t="shared" si="50"/>
        <v>0.9</v>
      </c>
      <c r="AC173" s="136">
        <f t="shared" si="50"/>
        <v>0.9</v>
      </c>
      <c r="AD173" s="136">
        <f t="shared" si="50"/>
        <v>0.9</v>
      </c>
      <c r="AE173" s="136">
        <f t="shared" si="50"/>
        <v>0.9</v>
      </c>
      <c r="AF173" s="136">
        <f t="shared" si="50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8"/>
        <v>0.44</v>
      </c>
      <c r="C174" s="137">
        <v>0.44</v>
      </c>
      <c r="D174" s="136">
        <f t="shared" si="49"/>
        <v>0.44</v>
      </c>
      <c r="E174" s="136">
        <f t="shared" si="49"/>
        <v>0.44</v>
      </c>
      <c r="F174" s="136">
        <f t="shared" si="49"/>
        <v>0.44</v>
      </c>
      <c r="G174" s="136">
        <f t="shared" si="49"/>
        <v>0.44</v>
      </c>
      <c r="H174" s="136">
        <f t="shared" si="49"/>
        <v>0.44</v>
      </c>
      <c r="I174" s="136">
        <f t="shared" si="49"/>
        <v>0.44</v>
      </c>
      <c r="J174" s="136">
        <f t="shared" si="49"/>
        <v>0.44</v>
      </c>
      <c r="K174" s="136">
        <f t="shared" si="49"/>
        <v>0.44</v>
      </c>
      <c r="L174" s="136">
        <f t="shared" si="49"/>
        <v>0.44</v>
      </c>
      <c r="M174" s="136">
        <f t="shared" si="49"/>
        <v>0.44</v>
      </c>
      <c r="N174" s="136">
        <f t="shared" si="49"/>
        <v>0.44</v>
      </c>
      <c r="O174" s="136">
        <f t="shared" si="49"/>
        <v>0.44</v>
      </c>
      <c r="P174" s="136">
        <f t="shared" si="49"/>
        <v>0.44</v>
      </c>
      <c r="Q174" s="136">
        <f t="shared" si="49"/>
        <v>0.44</v>
      </c>
      <c r="R174" s="136">
        <f t="shared" si="49"/>
        <v>0.44</v>
      </c>
      <c r="S174" s="136">
        <f t="shared" si="50"/>
        <v>0.44</v>
      </c>
      <c r="T174" s="136">
        <f t="shared" si="50"/>
        <v>0.44</v>
      </c>
      <c r="U174" s="136">
        <f t="shared" si="50"/>
        <v>0.44</v>
      </c>
      <c r="V174" s="136">
        <f t="shared" si="50"/>
        <v>0.44</v>
      </c>
      <c r="W174" s="136">
        <f t="shared" si="50"/>
        <v>0.44</v>
      </c>
      <c r="X174" s="136">
        <f t="shared" si="50"/>
        <v>0.44</v>
      </c>
      <c r="Y174" s="136">
        <f t="shared" si="50"/>
        <v>0.44</v>
      </c>
      <c r="Z174" s="136">
        <f t="shared" si="50"/>
        <v>0.44</v>
      </c>
      <c r="AA174" s="136">
        <f t="shared" si="50"/>
        <v>0.44</v>
      </c>
      <c r="AB174" s="136">
        <f t="shared" si="50"/>
        <v>0.44</v>
      </c>
      <c r="AC174" s="136">
        <f t="shared" si="50"/>
        <v>0.44</v>
      </c>
      <c r="AD174" s="136">
        <f t="shared" si="50"/>
        <v>0.44</v>
      </c>
      <c r="AE174" s="136">
        <f t="shared" si="50"/>
        <v>0.44</v>
      </c>
      <c r="AF174" s="136">
        <f t="shared" si="50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8"/>
        <v>2.1</v>
      </c>
      <c r="C175" s="137">
        <v>2.1</v>
      </c>
      <c r="D175" s="136">
        <f t="shared" si="49"/>
        <v>2.1</v>
      </c>
      <c r="E175" s="136">
        <f t="shared" si="49"/>
        <v>2.1</v>
      </c>
      <c r="F175" s="136">
        <f t="shared" si="49"/>
        <v>2.1</v>
      </c>
      <c r="G175" s="136">
        <f t="shared" si="49"/>
        <v>2.1</v>
      </c>
      <c r="H175" s="136">
        <f t="shared" si="49"/>
        <v>2.1</v>
      </c>
      <c r="I175" s="136">
        <f t="shared" si="49"/>
        <v>2.1</v>
      </c>
      <c r="J175" s="136">
        <f t="shared" si="49"/>
        <v>2.1</v>
      </c>
      <c r="K175" s="136">
        <f t="shared" si="49"/>
        <v>2.1</v>
      </c>
      <c r="L175" s="136">
        <f t="shared" si="49"/>
        <v>2.1</v>
      </c>
      <c r="M175" s="136">
        <f t="shared" si="49"/>
        <v>2.1</v>
      </c>
      <c r="N175" s="136">
        <f t="shared" si="49"/>
        <v>2.1</v>
      </c>
      <c r="O175" s="136">
        <f t="shared" si="49"/>
        <v>2.1</v>
      </c>
      <c r="P175" s="136">
        <f t="shared" si="49"/>
        <v>2.1</v>
      </c>
      <c r="Q175" s="136">
        <f t="shared" si="49"/>
        <v>2.1</v>
      </c>
      <c r="R175" s="136">
        <f t="shared" si="49"/>
        <v>2.1</v>
      </c>
      <c r="S175" s="136">
        <f t="shared" si="50"/>
        <v>2.1</v>
      </c>
      <c r="T175" s="136">
        <f t="shared" si="50"/>
        <v>2.1</v>
      </c>
      <c r="U175" s="136">
        <f t="shared" si="50"/>
        <v>2.1</v>
      </c>
      <c r="V175" s="136">
        <f t="shared" si="50"/>
        <v>2.1</v>
      </c>
      <c r="W175" s="136">
        <f t="shared" si="50"/>
        <v>2.1</v>
      </c>
      <c r="X175" s="136">
        <f t="shared" si="50"/>
        <v>2.1</v>
      </c>
      <c r="Y175" s="136">
        <f t="shared" si="50"/>
        <v>2.1</v>
      </c>
      <c r="Z175" s="136">
        <f t="shared" si="50"/>
        <v>2.1</v>
      </c>
      <c r="AA175" s="136">
        <f t="shared" si="50"/>
        <v>2.1</v>
      </c>
      <c r="AB175" s="136">
        <f t="shared" si="50"/>
        <v>2.1</v>
      </c>
      <c r="AC175" s="136">
        <f t="shared" si="50"/>
        <v>2.1</v>
      </c>
      <c r="AD175" s="136">
        <f t="shared" si="50"/>
        <v>2.1</v>
      </c>
      <c r="AE175" s="136">
        <f t="shared" si="50"/>
        <v>2.1</v>
      </c>
      <c r="AF175" s="136">
        <f t="shared" si="50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8"/>
        <v>0.9</v>
      </c>
      <c r="C176" s="137">
        <v>0.9</v>
      </c>
      <c r="D176" s="136">
        <f t="shared" si="49"/>
        <v>0.9</v>
      </c>
      <c r="E176" s="136">
        <f t="shared" si="49"/>
        <v>0.9</v>
      </c>
      <c r="F176" s="136">
        <f t="shared" si="49"/>
        <v>0.9</v>
      </c>
      <c r="G176" s="136">
        <f t="shared" si="49"/>
        <v>0.9</v>
      </c>
      <c r="H176" s="136">
        <f t="shared" si="49"/>
        <v>0.9</v>
      </c>
      <c r="I176" s="136">
        <f t="shared" si="49"/>
        <v>0.9</v>
      </c>
      <c r="J176" s="136">
        <f t="shared" si="49"/>
        <v>0.9</v>
      </c>
      <c r="K176" s="136">
        <f t="shared" si="49"/>
        <v>0.9</v>
      </c>
      <c r="L176" s="136">
        <f t="shared" si="49"/>
        <v>0.9</v>
      </c>
      <c r="M176" s="136">
        <f t="shared" si="49"/>
        <v>0.9</v>
      </c>
      <c r="N176" s="136">
        <f t="shared" si="49"/>
        <v>0.9</v>
      </c>
      <c r="O176" s="136">
        <f t="shared" si="49"/>
        <v>0.9</v>
      </c>
      <c r="P176" s="136">
        <f t="shared" si="49"/>
        <v>0.9</v>
      </c>
      <c r="Q176" s="136">
        <f t="shared" si="49"/>
        <v>0.9</v>
      </c>
      <c r="R176" s="136">
        <f t="shared" si="49"/>
        <v>0.9</v>
      </c>
      <c r="S176" s="136">
        <f t="shared" si="50"/>
        <v>0.9</v>
      </c>
      <c r="T176" s="136">
        <f t="shared" si="50"/>
        <v>0.9</v>
      </c>
      <c r="U176" s="136">
        <f t="shared" si="50"/>
        <v>0.9</v>
      </c>
      <c r="V176" s="136">
        <f t="shared" si="50"/>
        <v>0.9</v>
      </c>
      <c r="W176" s="136">
        <f t="shared" si="50"/>
        <v>0.9</v>
      </c>
      <c r="X176" s="136">
        <f t="shared" si="50"/>
        <v>0.9</v>
      </c>
      <c r="Y176" s="136">
        <f t="shared" si="50"/>
        <v>0.9</v>
      </c>
      <c r="Z176" s="136">
        <f t="shared" si="50"/>
        <v>0.9</v>
      </c>
      <c r="AA176" s="136">
        <f t="shared" si="50"/>
        <v>0.9</v>
      </c>
      <c r="AB176" s="136">
        <f t="shared" si="50"/>
        <v>0.9</v>
      </c>
      <c r="AC176" s="136">
        <f t="shared" si="50"/>
        <v>0.9</v>
      </c>
      <c r="AD176" s="136">
        <f t="shared" si="50"/>
        <v>0.9</v>
      </c>
      <c r="AE176" s="136">
        <f t="shared" si="50"/>
        <v>0.9</v>
      </c>
      <c r="AF176" s="136">
        <f t="shared" si="50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1">AF178</f>
        <v>0.57999999999999996</v>
      </c>
      <c r="C178" s="137">
        <v>0.57999999999999996</v>
      </c>
      <c r="D178" s="136">
        <f t="shared" ref="D178:S190" si="52">C178</f>
        <v>0.57999999999999996</v>
      </c>
      <c r="E178" s="136">
        <f t="shared" si="52"/>
        <v>0.57999999999999996</v>
      </c>
      <c r="F178" s="136">
        <f t="shared" si="52"/>
        <v>0.57999999999999996</v>
      </c>
      <c r="G178" s="136">
        <f t="shared" si="52"/>
        <v>0.57999999999999996</v>
      </c>
      <c r="H178" s="136">
        <f t="shared" si="52"/>
        <v>0.57999999999999996</v>
      </c>
      <c r="I178" s="136">
        <f t="shared" si="52"/>
        <v>0.57999999999999996</v>
      </c>
      <c r="J178" s="136">
        <f t="shared" si="52"/>
        <v>0.57999999999999996</v>
      </c>
      <c r="K178" s="136">
        <f t="shared" si="52"/>
        <v>0.57999999999999996</v>
      </c>
      <c r="L178" s="136">
        <f t="shared" si="52"/>
        <v>0.57999999999999996</v>
      </c>
      <c r="M178" s="136">
        <f t="shared" si="52"/>
        <v>0.57999999999999996</v>
      </c>
      <c r="N178" s="136">
        <f t="shared" si="52"/>
        <v>0.57999999999999996</v>
      </c>
      <c r="O178" s="136">
        <f t="shared" si="52"/>
        <v>0.57999999999999996</v>
      </c>
      <c r="P178" s="136">
        <f t="shared" si="52"/>
        <v>0.57999999999999996</v>
      </c>
      <c r="Q178" s="136">
        <f t="shared" si="52"/>
        <v>0.57999999999999996</v>
      </c>
      <c r="R178" s="136">
        <f t="shared" si="52"/>
        <v>0.57999999999999996</v>
      </c>
      <c r="S178" s="136">
        <f t="shared" si="52"/>
        <v>0.57999999999999996</v>
      </c>
      <c r="T178" s="136">
        <f t="shared" ref="S178:AF190" si="53">S178</f>
        <v>0.57999999999999996</v>
      </c>
      <c r="U178" s="136">
        <f t="shared" si="53"/>
        <v>0.57999999999999996</v>
      </c>
      <c r="V178" s="136">
        <f t="shared" si="53"/>
        <v>0.57999999999999996</v>
      </c>
      <c r="W178" s="136">
        <f t="shared" si="53"/>
        <v>0.57999999999999996</v>
      </c>
      <c r="X178" s="136">
        <f t="shared" si="53"/>
        <v>0.57999999999999996</v>
      </c>
      <c r="Y178" s="136">
        <f t="shared" si="53"/>
        <v>0.57999999999999996</v>
      </c>
      <c r="Z178" s="136">
        <f t="shared" si="53"/>
        <v>0.57999999999999996</v>
      </c>
      <c r="AA178" s="136">
        <f t="shared" si="53"/>
        <v>0.57999999999999996</v>
      </c>
      <c r="AB178" s="136">
        <f t="shared" si="53"/>
        <v>0.57999999999999996</v>
      </c>
      <c r="AC178" s="136">
        <f t="shared" si="53"/>
        <v>0.57999999999999996</v>
      </c>
      <c r="AD178" s="136">
        <f t="shared" si="53"/>
        <v>0.57999999999999996</v>
      </c>
      <c r="AE178" s="136">
        <f t="shared" si="53"/>
        <v>0.57999999999999996</v>
      </c>
      <c r="AF178" s="136">
        <f t="shared" si="53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1"/>
        <v>0.8</v>
      </c>
      <c r="C179" s="137">
        <v>0.8</v>
      </c>
      <c r="D179" s="136">
        <f t="shared" si="52"/>
        <v>0.8</v>
      </c>
      <c r="E179" s="136">
        <f t="shared" si="52"/>
        <v>0.8</v>
      </c>
      <c r="F179" s="136">
        <f t="shared" si="52"/>
        <v>0.8</v>
      </c>
      <c r="G179" s="136">
        <f t="shared" si="52"/>
        <v>0.8</v>
      </c>
      <c r="H179" s="136">
        <f t="shared" si="52"/>
        <v>0.8</v>
      </c>
      <c r="I179" s="136">
        <f t="shared" si="52"/>
        <v>0.8</v>
      </c>
      <c r="J179" s="136">
        <f t="shared" si="52"/>
        <v>0.8</v>
      </c>
      <c r="K179" s="136">
        <f t="shared" si="52"/>
        <v>0.8</v>
      </c>
      <c r="L179" s="136">
        <f t="shared" si="52"/>
        <v>0.8</v>
      </c>
      <c r="M179" s="136">
        <f t="shared" si="52"/>
        <v>0.8</v>
      </c>
      <c r="N179" s="136">
        <f t="shared" si="52"/>
        <v>0.8</v>
      </c>
      <c r="O179" s="136">
        <f t="shared" si="52"/>
        <v>0.8</v>
      </c>
      <c r="P179" s="136">
        <f t="shared" si="52"/>
        <v>0.8</v>
      </c>
      <c r="Q179" s="136">
        <f t="shared" si="52"/>
        <v>0.8</v>
      </c>
      <c r="R179" s="136">
        <f t="shared" si="52"/>
        <v>0.8</v>
      </c>
      <c r="S179" s="136">
        <f t="shared" si="52"/>
        <v>0.8</v>
      </c>
      <c r="T179" s="136">
        <f t="shared" si="53"/>
        <v>0.8</v>
      </c>
      <c r="U179" s="136">
        <f t="shared" si="53"/>
        <v>0.8</v>
      </c>
      <c r="V179" s="136">
        <f t="shared" si="53"/>
        <v>0.8</v>
      </c>
      <c r="W179" s="136">
        <f t="shared" si="53"/>
        <v>0.8</v>
      </c>
      <c r="X179" s="136">
        <f t="shared" si="53"/>
        <v>0.8</v>
      </c>
      <c r="Y179" s="136">
        <f t="shared" si="53"/>
        <v>0.8</v>
      </c>
      <c r="Z179" s="136">
        <f t="shared" si="53"/>
        <v>0.8</v>
      </c>
      <c r="AA179" s="136">
        <f t="shared" si="53"/>
        <v>0.8</v>
      </c>
      <c r="AB179" s="136">
        <f t="shared" si="53"/>
        <v>0.8</v>
      </c>
      <c r="AC179" s="136">
        <f t="shared" si="53"/>
        <v>0.8</v>
      </c>
      <c r="AD179" s="136">
        <f t="shared" si="53"/>
        <v>0.8</v>
      </c>
      <c r="AE179" s="136">
        <f t="shared" si="53"/>
        <v>0.8</v>
      </c>
      <c r="AF179" s="136">
        <f t="shared" si="53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1"/>
        <v>0</v>
      </c>
      <c r="C180" s="137">
        <v>0</v>
      </c>
      <c r="D180" s="136">
        <f t="shared" si="52"/>
        <v>0</v>
      </c>
      <c r="E180" s="136">
        <f t="shared" si="52"/>
        <v>0</v>
      </c>
      <c r="F180" s="136">
        <f t="shared" si="52"/>
        <v>0</v>
      </c>
      <c r="G180" s="136">
        <f t="shared" si="52"/>
        <v>0</v>
      </c>
      <c r="H180" s="136">
        <f t="shared" si="52"/>
        <v>0</v>
      </c>
      <c r="I180" s="136">
        <f t="shared" si="52"/>
        <v>0</v>
      </c>
      <c r="J180" s="136">
        <f t="shared" si="52"/>
        <v>0</v>
      </c>
      <c r="K180" s="136">
        <f t="shared" si="52"/>
        <v>0</v>
      </c>
      <c r="L180" s="136">
        <f t="shared" si="52"/>
        <v>0</v>
      </c>
      <c r="M180" s="136">
        <f t="shared" si="52"/>
        <v>0</v>
      </c>
      <c r="N180" s="136">
        <f t="shared" si="52"/>
        <v>0</v>
      </c>
      <c r="O180" s="136">
        <f t="shared" si="52"/>
        <v>0</v>
      </c>
      <c r="P180" s="136">
        <f t="shared" si="52"/>
        <v>0</v>
      </c>
      <c r="Q180" s="136">
        <f t="shared" si="52"/>
        <v>0</v>
      </c>
      <c r="R180" s="136">
        <f t="shared" si="52"/>
        <v>0</v>
      </c>
      <c r="S180" s="136">
        <f t="shared" si="52"/>
        <v>0</v>
      </c>
      <c r="T180" s="136">
        <f t="shared" si="53"/>
        <v>0</v>
      </c>
      <c r="U180" s="136">
        <f t="shared" si="53"/>
        <v>0</v>
      </c>
      <c r="V180" s="136">
        <f t="shared" si="53"/>
        <v>0</v>
      </c>
      <c r="W180" s="136">
        <f t="shared" si="53"/>
        <v>0</v>
      </c>
      <c r="X180" s="136">
        <f t="shared" si="53"/>
        <v>0</v>
      </c>
      <c r="Y180" s="136">
        <f t="shared" si="53"/>
        <v>0</v>
      </c>
      <c r="Z180" s="136">
        <f t="shared" si="53"/>
        <v>0</v>
      </c>
      <c r="AA180" s="136">
        <f t="shared" si="53"/>
        <v>0</v>
      </c>
      <c r="AB180" s="136">
        <f t="shared" si="53"/>
        <v>0</v>
      </c>
      <c r="AC180" s="136">
        <f t="shared" si="53"/>
        <v>0</v>
      </c>
      <c r="AD180" s="136">
        <f t="shared" si="53"/>
        <v>0</v>
      </c>
      <c r="AE180" s="136">
        <f t="shared" si="53"/>
        <v>0</v>
      </c>
      <c r="AF180" s="136">
        <f t="shared" si="53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1"/>
        <v>0.6</v>
      </c>
      <c r="C181" s="137">
        <v>0.6</v>
      </c>
      <c r="D181" s="136">
        <f t="shared" si="52"/>
        <v>0.6</v>
      </c>
      <c r="E181" s="136">
        <f t="shared" si="52"/>
        <v>0.6</v>
      </c>
      <c r="F181" s="136">
        <f t="shared" si="52"/>
        <v>0.6</v>
      </c>
      <c r="G181" s="136">
        <f t="shared" si="52"/>
        <v>0.6</v>
      </c>
      <c r="H181" s="136">
        <f t="shared" si="52"/>
        <v>0.6</v>
      </c>
      <c r="I181" s="136">
        <f t="shared" si="52"/>
        <v>0.6</v>
      </c>
      <c r="J181" s="136">
        <f t="shared" si="52"/>
        <v>0.6</v>
      </c>
      <c r="K181" s="136">
        <f t="shared" si="52"/>
        <v>0.6</v>
      </c>
      <c r="L181" s="136">
        <f t="shared" si="52"/>
        <v>0.6</v>
      </c>
      <c r="M181" s="136">
        <f t="shared" si="52"/>
        <v>0.6</v>
      </c>
      <c r="N181" s="136">
        <f t="shared" si="52"/>
        <v>0.6</v>
      </c>
      <c r="O181" s="136">
        <f t="shared" si="52"/>
        <v>0.6</v>
      </c>
      <c r="P181" s="136">
        <f t="shared" si="52"/>
        <v>0.6</v>
      </c>
      <c r="Q181" s="136">
        <f t="shared" si="52"/>
        <v>0.6</v>
      </c>
      <c r="R181" s="136">
        <f t="shared" si="52"/>
        <v>0.6</v>
      </c>
      <c r="S181" s="136">
        <f t="shared" si="52"/>
        <v>0.6</v>
      </c>
      <c r="T181" s="136">
        <f t="shared" si="53"/>
        <v>0.6</v>
      </c>
      <c r="U181" s="136">
        <f t="shared" si="53"/>
        <v>0.6</v>
      </c>
      <c r="V181" s="136">
        <f t="shared" si="53"/>
        <v>0.6</v>
      </c>
      <c r="W181" s="136">
        <f t="shared" si="53"/>
        <v>0.6</v>
      </c>
      <c r="X181" s="136">
        <f t="shared" si="53"/>
        <v>0.6</v>
      </c>
      <c r="Y181" s="136">
        <f t="shared" si="53"/>
        <v>0.6</v>
      </c>
      <c r="Z181" s="136">
        <f t="shared" si="53"/>
        <v>0.6</v>
      </c>
      <c r="AA181" s="136">
        <f t="shared" si="53"/>
        <v>0.6</v>
      </c>
      <c r="AB181" s="136">
        <f t="shared" si="53"/>
        <v>0.6</v>
      </c>
      <c r="AC181" s="136">
        <f t="shared" si="53"/>
        <v>0.6</v>
      </c>
      <c r="AD181" s="136">
        <f t="shared" si="53"/>
        <v>0.6</v>
      </c>
      <c r="AE181" s="136">
        <f t="shared" si="53"/>
        <v>0.6</v>
      </c>
      <c r="AF181" s="136">
        <f t="shared" si="53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1"/>
        <v>0.6</v>
      </c>
      <c r="C182" s="137">
        <v>0.6</v>
      </c>
      <c r="D182" s="136">
        <f t="shared" si="52"/>
        <v>0.6</v>
      </c>
      <c r="E182" s="136">
        <f t="shared" si="52"/>
        <v>0.6</v>
      </c>
      <c r="F182" s="136">
        <f t="shared" si="52"/>
        <v>0.6</v>
      </c>
      <c r="G182" s="136">
        <f t="shared" si="52"/>
        <v>0.6</v>
      </c>
      <c r="H182" s="136">
        <f t="shared" si="52"/>
        <v>0.6</v>
      </c>
      <c r="I182" s="136">
        <f t="shared" si="52"/>
        <v>0.6</v>
      </c>
      <c r="J182" s="136">
        <f t="shared" si="52"/>
        <v>0.6</v>
      </c>
      <c r="K182" s="136">
        <f t="shared" si="52"/>
        <v>0.6</v>
      </c>
      <c r="L182" s="136">
        <f t="shared" si="52"/>
        <v>0.6</v>
      </c>
      <c r="M182" s="136">
        <f t="shared" si="52"/>
        <v>0.6</v>
      </c>
      <c r="N182" s="136">
        <f t="shared" si="52"/>
        <v>0.6</v>
      </c>
      <c r="O182" s="136">
        <f t="shared" si="52"/>
        <v>0.6</v>
      </c>
      <c r="P182" s="136">
        <f t="shared" si="52"/>
        <v>0.6</v>
      </c>
      <c r="Q182" s="136">
        <f t="shared" si="52"/>
        <v>0.6</v>
      </c>
      <c r="R182" s="136">
        <f t="shared" si="52"/>
        <v>0.6</v>
      </c>
      <c r="S182" s="136">
        <f t="shared" si="52"/>
        <v>0.6</v>
      </c>
      <c r="T182" s="136">
        <f t="shared" si="53"/>
        <v>0.6</v>
      </c>
      <c r="U182" s="136">
        <f t="shared" si="53"/>
        <v>0.6</v>
      </c>
      <c r="V182" s="136">
        <f t="shared" si="53"/>
        <v>0.6</v>
      </c>
      <c r="W182" s="136">
        <f t="shared" si="53"/>
        <v>0.6</v>
      </c>
      <c r="X182" s="136">
        <f t="shared" si="53"/>
        <v>0.6</v>
      </c>
      <c r="Y182" s="136">
        <f t="shared" si="53"/>
        <v>0.6</v>
      </c>
      <c r="Z182" s="136">
        <f t="shared" si="53"/>
        <v>0.6</v>
      </c>
      <c r="AA182" s="136">
        <f t="shared" si="53"/>
        <v>0.6</v>
      </c>
      <c r="AB182" s="136">
        <f t="shared" si="53"/>
        <v>0.6</v>
      </c>
      <c r="AC182" s="136">
        <f t="shared" si="53"/>
        <v>0.6</v>
      </c>
      <c r="AD182" s="136">
        <f t="shared" si="53"/>
        <v>0.6</v>
      </c>
      <c r="AE182" s="136">
        <f t="shared" si="53"/>
        <v>0.6</v>
      </c>
      <c r="AF182" s="136">
        <f t="shared" si="53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1"/>
        <v>0.35</v>
      </c>
      <c r="C183" s="137">
        <v>0.35</v>
      </c>
      <c r="D183" s="136">
        <f t="shared" si="52"/>
        <v>0.35</v>
      </c>
      <c r="E183" s="136">
        <f t="shared" si="52"/>
        <v>0.35</v>
      </c>
      <c r="F183" s="136">
        <f t="shared" si="52"/>
        <v>0.35</v>
      </c>
      <c r="G183" s="136">
        <f t="shared" si="52"/>
        <v>0.35</v>
      </c>
      <c r="H183" s="136">
        <f t="shared" si="52"/>
        <v>0.35</v>
      </c>
      <c r="I183" s="136">
        <f t="shared" si="52"/>
        <v>0.35</v>
      </c>
      <c r="J183" s="136">
        <f t="shared" si="52"/>
        <v>0.35</v>
      </c>
      <c r="K183" s="136">
        <f t="shared" si="52"/>
        <v>0.35</v>
      </c>
      <c r="L183" s="136">
        <f t="shared" si="52"/>
        <v>0.35</v>
      </c>
      <c r="M183" s="136">
        <f t="shared" si="52"/>
        <v>0.35</v>
      </c>
      <c r="N183" s="136">
        <f t="shared" si="52"/>
        <v>0.35</v>
      </c>
      <c r="O183" s="136">
        <f t="shared" si="52"/>
        <v>0.35</v>
      </c>
      <c r="P183" s="136">
        <f t="shared" si="52"/>
        <v>0.35</v>
      </c>
      <c r="Q183" s="136">
        <f t="shared" si="52"/>
        <v>0.35</v>
      </c>
      <c r="R183" s="136">
        <f t="shared" si="52"/>
        <v>0.35</v>
      </c>
      <c r="S183" s="136">
        <f t="shared" si="52"/>
        <v>0.35</v>
      </c>
      <c r="T183" s="136">
        <f t="shared" si="53"/>
        <v>0.35</v>
      </c>
      <c r="U183" s="136">
        <f t="shared" si="53"/>
        <v>0.35</v>
      </c>
      <c r="V183" s="136">
        <f t="shared" si="53"/>
        <v>0.35</v>
      </c>
      <c r="W183" s="136">
        <f t="shared" si="53"/>
        <v>0.35</v>
      </c>
      <c r="X183" s="136">
        <f t="shared" si="53"/>
        <v>0.35</v>
      </c>
      <c r="Y183" s="136">
        <f t="shared" si="53"/>
        <v>0.35</v>
      </c>
      <c r="Z183" s="136">
        <f t="shared" si="53"/>
        <v>0.35</v>
      </c>
      <c r="AA183" s="136">
        <f t="shared" si="53"/>
        <v>0.35</v>
      </c>
      <c r="AB183" s="136">
        <f t="shared" si="53"/>
        <v>0.35</v>
      </c>
      <c r="AC183" s="136">
        <f t="shared" si="53"/>
        <v>0.35</v>
      </c>
      <c r="AD183" s="136">
        <f t="shared" si="53"/>
        <v>0.35</v>
      </c>
      <c r="AE183" s="136">
        <f t="shared" si="53"/>
        <v>0.35</v>
      </c>
      <c r="AF183" s="136">
        <f t="shared" si="53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1"/>
        <v>0.28999999999999998</v>
      </c>
      <c r="C184" s="137">
        <v>0.28999999999999998</v>
      </c>
      <c r="D184" s="136">
        <f t="shared" si="52"/>
        <v>0.28999999999999998</v>
      </c>
      <c r="E184" s="136">
        <f t="shared" si="52"/>
        <v>0.28999999999999998</v>
      </c>
      <c r="F184" s="136">
        <f t="shared" si="52"/>
        <v>0.28999999999999998</v>
      </c>
      <c r="G184" s="136">
        <f t="shared" si="52"/>
        <v>0.28999999999999998</v>
      </c>
      <c r="H184" s="136">
        <f t="shared" si="52"/>
        <v>0.28999999999999998</v>
      </c>
      <c r="I184" s="136">
        <f t="shared" si="52"/>
        <v>0.28999999999999998</v>
      </c>
      <c r="J184" s="136">
        <f t="shared" si="52"/>
        <v>0.28999999999999998</v>
      </c>
      <c r="K184" s="136">
        <f t="shared" si="52"/>
        <v>0.28999999999999998</v>
      </c>
      <c r="L184" s="136">
        <f t="shared" si="52"/>
        <v>0.28999999999999998</v>
      </c>
      <c r="M184" s="136">
        <f t="shared" si="52"/>
        <v>0.28999999999999998</v>
      </c>
      <c r="N184" s="136">
        <f t="shared" si="52"/>
        <v>0.28999999999999998</v>
      </c>
      <c r="O184" s="136">
        <f t="shared" si="52"/>
        <v>0.28999999999999998</v>
      </c>
      <c r="P184" s="136">
        <f t="shared" si="52"/>
        <v>0.28999999999999998</v>
      </c>
      <c r="Q184" s="136">
        <f t="shared" si="52"/>
        <v>0.28999999999999998</v>
      </c>
      <c r="R184" s="136">
        <f t="shared" si="52"/>
        <v>0.28999999999999998</v>
      </c>
      <c r="S184" s="136">
        <f t="shared" si="52"/>
        <v>0.28999999999999998</v>
      </c>
      <c r="T184" s="136">
        <f t="shared" si="53"/>
        <v>0.28999999999999998</v>
      </c>
      <c r="U184" s="136">
        <f t="shared" si="53"/>
        <v>0.28999999999999998</v>
      </c>
      <c r="V184" s="136">
        <f t="shared" si="53"/>
        <v>0.28999999999999998</v>
      </c>
      <c r="W184" s="136">
        <f t="shared" si="53"/>
        <v>0.28999999999999998</v>
      </c>
      <c r="X184" s="136">
        <f t="shared" si="53"/>
        <v>0.28999999999999998</v>
      </c>
      <c r="Y184" s="136">
        <f t="shared" si="53"/>
        <v>0.28999999999999998</v>
      </c>
      <c r="Z184" s="136">
        <f t="shared" si="53"/>
        <v>0.28999999999999998</v>
      </c>
      <c r="AA184" s="136">
        <f t="shared" si="53"/>
        <v>0.28999999999999998</v>
      </c>
      <c r="AB184" s="136">
        <f t="shared" si="53"/>
        <v>0.28999999999999998</v>
      </c>
      <c r="AC184" s="136">
        <f t="shared" si="53"/>
        <v>0.28999999999999998</v>
      </c>
      <c r="AD184" s="136">
        <f t="shared" si="53"/>
        <v>0.28999999999999998</v>
      </c>
      <c r="AE184" s="136">
        <f t="shared" si="53"/>
        <v>0.28999999999999998</v>
      </c>
      <c r="AF184" s="136">
        <f t="shared" si="53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1"/>
        <v>0.06</v>
      </c>
      <c r="C185" s="137">
        <v>0.06</v>
      </c>
      <c r="D185" s="136">
        <f t="shared" si="52"/>
        <v>0.06</v>
      </c>
      <c r="E185" s="136">
        <f t="shared" si="52"/>
        <v>0.06</v>
      </c>
      <c r="F185" s="136">
        <f t="shared" si="52"/>
        <v>0.06</v>
      </c>
      <c r="G185" s="136">
        <f t="shared" si="52"/>
        <v>0.06</v>
      </c>
      <c r="H185" s="136">
        <f t="shared" si="52"/>
        <v>0.06</v>
      </c>
      <c r="I185" s="136">
        <f t="shared" si="52"/>
        <v>0.06</v>
      </c>
      <c r="J185" s="136">
        <f t="shared" si="52"/>
        <v>0.06</v>
      </c>
      <c r="K185" s="136">
        <f t="shared" si="52"/>
        <v>0.06</v>
      </c>
      <c r="L185" s="136">
        <f t="shared" si="52"/>
        <v>0.06</v>
      </c>
      <c r="M185" s="136">
        <f t="shared" si="52"/>
        <v>0.06</v>
      </c>
      <c r="N185" s="136">
        <f t="shared" si="52"/>
        <v>0.06</v>
      </c>
      <c r="O185" s="136">
        <f t="shared" si="52"/>
        <v>0.06</v>
      </c>
      <c r="P185" s="136">
        <f t="shared" si="52"/>
        <v>0.06</v>
      </c>
      <c r="Q185" s="136">
        <f t="shared" si="52"/>
        <v>0.06</v>
      </c>
      <c r="R185" s="136">
        <f t="shared" si="52"/>
        <v>0.06</v>
      </c>
      <c r="S185" s="136">
        <f t="shared" si="52"/>
        <v>0.06</v>
      </c>
      <c r="T185" s="136">
        <f t="shared" si="53"/>
        <v>0.06</v>
      </c>
      <c r="U185" s="136">
        <f t="shared" si="53"/>
        <v>0.06</v>
      </c>
      <c r="V185" s="136">
        <f t="shared" si="53"/>
        <v>0.06</v>
      </c>
      <c r="W185" s="136">
        <f t="shared" si="53"/>
        <v>0.06</v>
      </c>
      <c r="X185" s="136">
        <f t="shared" si="53"/>
        <v>0.06</v>
      </c>
      <c r="Y185" s="136">
        <f t="shared" si="53"/>
        <v>0.06</v>
      </c>
      <c r="Z185" s="136">
        <f t="shared" si="53"/>
        <v>0.06</v>
      </c>
      <c r="AA185" s="136">
        <f t="shared" si="53"/>
        <v>0.06</v>
      </c>
      <c r="AB185" s="136">
        <f t="shared" si="53"/>
        <v>0.06</v>
      </c>
      <c r="AC185" s="136">
        <f t="shared" si="53"/>
        <v>0.06</v>
      </c>
      <c r="AD185" s="136">
        <f t="shared" si="53"/>
        <v>0.06</v>
      </c>
      <c r="AE185" s="136">
        <f t="shared" si="53"/>
        <v>0.06</v>
      </c>
      <c r="AF185" s="136">
        <f t="shared" si="53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1"/>
        <v>0.11</v>
      </c>
      <c r="C186" s="137">
        <v>0.11</v>
      </c>
      <c r="D186" s="136">
        <f t="shared" si="52"/>
        <v>0.11</v>
      </c>
      <c r="E186" s="136">
        <f t="shared" si="52"/>
        <v>0.11</v>
      </c>
      <c r="F186" s="136">
        <f t="shared" si="52"/>
        <v>0.11</v>
      </c>
      <c r="G186" s="136">
        <f t="shared" si="52"/>
        <v>0.11</v>
      </c>
      <c r="H186" s="136">
        <f t="shared" si="52"/>
        <v>0.11</v>
      </c>
      <c r="I186" s="136">
        <f t="shared" si="52"/>
        <v>0.11</v>
      </c>
      <c r="J186" s="136">
        <f t="shared" si="52"/>
        <v>0.11</v>
      </c>
      <c r="K186" s="136">
        <f t="shared" si="52"/>
        <v>0.11</v>
      </c>
      <c r="L186" s="136">
        <f t="shared" si="52"/>
        <v>0.11</v>
      </c>
      <c r="M186" s="136">
        <f t="shared" si="52"/>
        <v>0.11</v>
      </c>
      <c r="N186" s="136">
        <f t="shared" si="52"/>
        <v>0.11</v>
      </c>
      <c r="O186" s="136">
        <f t="shared" si="52"/>
        <v>0.11</v>
      </c>
      <c r="P186" s="136">
        <f t="shared" si="52"/>
        <v>0.11</v>
      </c>
      <c r="Q186" s="136">
        <f t="shared" si="52"/>
        <v>0.11</v>
      </c>
      <c r="R186" s="136">
        <f t="shared" si="52"/>
        <v>0.11</v>
      </c>
      <c r="S186" s="136">
        <f t="shared" si="52"/>
        <v>0.11</v>
      </c>
      <c r="T186" s="136">
        <f t="shared" si="53"/>
        <v>0.11</v>
      </c>
      <c r="U186" s="136">
        <f t="shared" si="53"/>
        <v>0.11</v>
      </c>
      <c r="V186" s="136">
        <f t="shared" si="53"/>
        <v>0.11</v>
      </c>
      <c r="W186" s="136">
        <f t="shared" si="53"/>
        <v>0.11</v>
      </c>
      <c r="X186" s="136">
        <f t="shared" si="53"/>
        <v>0.11</v>
      </c>
      <c r="Y186" s="136">
        <f t="shared" si="53"/>
        <v>0.11</v>
      </c>
      <c r="Z186" s="136">
        <f t="shared" si="53"/>
        <v>0.11</v>
      </c>
      <c r="AA186" s="136">
        <f t="shared" si="53"/>
        <v>0.11</v>
      </c>
      <c r="AB186" s="136">
        <f t="shared" si="53"/>
        <v>0.11</v>
      </c>
      <c r="AC186" s="136">
        <f t="shared" si="53"/>
        <v>0.11</v>
      </c>
      <c r="AD186" s="136">
        <f t="shared" si="53"/>
        <v>0.11</v>
      </c>
      <c r="AE186" s="136">
        <f t="shared" si="53"/>
        <v>0.11</v>
      </c>
      <c r="AF186" s="136">
        <f t="shared" si="53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1"/>
        <v>0.1</v>
      </c>
      <c r="C187" s="137">
        <v>0.1</v>
      </c>
      <c r="D187" s="136">
        <f t="shared" si="52"/>
        <v>0.1</v>
      </c>
      <c r="E187" s="136">
        <f t="shared" si="52"/>
        <v>0.1</v>
      </c>
      <c r="F187" s="136">
        <f t="shared" si="52"/>
        <v>0.1</v>
      </c>
      <c r="G187" s="136">
        <f t="shared" si="52"/>
        <v>0.1</v>
      </c>
      <c r="H187" s="136">
        <f t="shared" si="52"/>
        <v>0.1</v>
      </c>
      <c r="I187" s="136">
        <f t="shared" si="52"/>
        <v>0.1</v>
      </c>
      <c r="J187" s="136">
        <f t="shared" si="52"/>
        <v>0.1</v>
      </c>
      <c r="K187" s="136">
        <f t="shared" si="52"/>
        <v>0.1</v>
      </c>
      <c r="L187" s="136">
        <f t="shared" si="52"/>
        <v>0.1</v>
      </c>
      <c r="M187" s="136">
        <f t="shared" si="52"/>
        <v>0.1</v>
      </c>
      <c r="N187" s="136">
        <f t="shared" si="52"/>
        <v>0.1</v>
      </c>
      <c r="O187" s="136">
        <f t="shared" si="52"/>
        <v>0.1</v>
      </c>
      <c r="P187" s="136">
        <f t="shared" si="52"/>
        <v>0.1</v>
      </c>
      <c r="Q187" s="136">
        <f t="shared" si="52"/>
        <v>0.1</v>
      </c>
      <c r="R187" s="136">
        <f t="shared" si="52"/>
        <v>0.1</v>
      </c>
      <c r="S187" s="136">
        <f t="shared" si="53"/>
        <v>0.1</v>
      </c>
      <c r="T187" s="136">
        <f t="shared" si="53"/>
        <v>0.1</v>
      </c>
      <c r="U187" s="136">
        <f t="shared" si="53"/>
        <v>0.1</v>
      </c>
      <c r="V187" s="136">
        <f t="shared" si="53"/>
        <v>0.1</v>
      </c>
      <c r="W187" s="136">
        <f t="shared" si="53"/>
        <v>0.1</v>
      </c>
      <c r="X187" s="136">
        <f t="shared" si="53"/>
        <v>0.1</v>
      </c>
      <c r="Y187" s="136">
        <f t="shared" si="53"/>
        <v>0.1</v>
      </c>
      <c r="Z187" s="136">
        <f t="shared" si="53"/>
        <v>0.1</v>
      </c>
      <c r="AA187" s="136">
        <f t="shared" si="53"/>
        <v>0.1</v>
      </c>
      <c r="AB187" s="136">
        <f t="shared" si="53"/>
        <v>0.1</v>
      </c>
      <c r="AC187" s="136">
        <f t="shared" si="53"/>
        <v>0.1</v>
      </c>
      <c r="AD187" s="136">
        <f t="shared" si="53"/>
        <v>0.1</v>
      </c>
      <c r="AE187" s="136">
        <f t="shared" si="53"/>
        <v>0.1</v>
      </c>
      <c r="AF187" s="136">
        <f t="shared" si="53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1"/>
        <v>0.09</v>
      </c>
      <c r="C188" s="137">
        <v>0.09</v>
      </c>
      <c r="D188" s="136">
        <f t="shared" si="52"/>
        <v>0.09</v>
      </c>
      <c r="E188" s="136">
        <f t="shared" si="52"/>
        <v>0.09</v>
      </c>
      <c r="F188" s="136">
        <f t="shared" si="52"/>
        <v>0.09</v>
      </c>
      <c r="G188" s="136">
        <f t="shared" si="52"/>
        <v>0.09</v>
      </c>
      <c r="H188" s="136">
        <f t="shared" si="52"/>
        <v>0.09</v>
      </c>
      <c r="I188" s="136">
        <f t="shared" si="52"/>
        <v>0.09</v>
      </c>
      <c r="J188" s="136">
        <f t="shared" si="52"/>
        <v>0.09</v>
      </c>
      <c r="K188" s="136">
        <f t="shared" si="52"/>
        <v>0.09</v>
      </c>
      <c r="L188" s="136">
        <f t="shared" si="52"/>
        <v>0.09</v>
      </c>
      <c r="M188" s="136">
        <f t="shared" si="52"/>
        <v>0.09</v>
      </c>
      <c r="N188" s="136">
        <f t="shared" si="52"/>
        <v>0.09</v>
      </c>
      <c r="O188" s="136">
        <f t="shared" si="52"/>
        <v>0.09</v>
      </c>
      <c r="P188" s="136">
        <f t="shared" si="52"/>
        <v>0.09</v>
      </c>
      <c r="Q188" s="136">
        <f t="shared" si="52"/>
        <v>0.09</v>
      </c>
      <c r="R188" s="136">
        <f t="shared" si="52"/>
        <v>0.09</v>
      </c>
      <c r="S188" s="136">
        <f t="shared" si="53"/>
        <v>0.09</v>
      </c>
      <c r="T188" s="136">
        <f t="shared" si="53"/>
        <v>0.09</v>
      </c>
      <c r="U188" s="136">
        <f t="shared" si="53"/>
        <v>0.09</v>
      </c>
      <c r="V188" s="136">
        <f t="shared" si="53"/>
        <v>0.09</v>
      </c>
      <c r="W188" s="136">
        <f t="shared" si="53"/>
        <v>0.09</v>
      </c>
      <c r="X188" s="136">
        <f t="shared" si="53"/>
        <v>0.09</v>
      </c>
      <c r="Y188" s="136">
        <f t="shared" si="53"/>
        <v>0.09</v>
      </c>
      <c r="Z188" s="136">
        <f t="shared" si="53"/>
        <v>0.09</v>
      </c>
      <c r="AA188" s="136">
        <f t="shared" si="53"/>
        <v>0.09</v>
      </c>
      <c r="AB188" s="136">
        <f t="shared" si="53"/>
        <v>0.09</v>
      </c>
      <c r="AC188" s="136">
        <f t="shared" si="53"/>
        <v>0.09</v>
      </c>
      <c r="AD188" s="136">
        <f t="shared" si="53"/>
        <v>0.09</v>
      </c>
      <c r="AE188" s="136">
        <f t="shared" si="53"/>
        <v>0.09</v>
      </c>
      <c r="AF188" s="136">
        <f t="shared" si="53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1"/>
        <v>0.04</v>
      </c>
      <c r="C189" s="53">
        <v>0.04</v>
      </c>
      <c r="D189" s="136">
        <f t="shared" si="52"/>
        <v>0.04</v>
      </c>
      <c r="E189" s="136">
        <f t="shared" si="52"/>
        <v>0.04</v>
      </c>
      <c r="F189" s="136">
        <f t="shared" si="52"/>
        <v>0.04</v>
      </c>
      <c r="G189" s="136">
        <f t="shared" si="52"/>
        <v>0.04</v>
      </c>
      <c r="H189" s="136">
        <f t="shared" si="52"/>
        <v>0.04</v>
      </c>
      <c r="I189" s="136">
        <f t="shared" si="52"/>
        <v>0.04</v>
      </c>
      <c r="J189" s="136">
        <f t="shared" si="52"/>
        <v>0.04</v>
      </c>
      <c r="K189" s="136">
        <f t="shared" si="52"/>
        <v>0.04</v>
      </c>
      <c r="L189" s="136">
        <f t="shared" si="52"/>
        <v>0.04</v>
      </c>
      <c r="M189" s="136">
        <f t="shared" si="52"/>
        <v>0.04</v>
      </c>
      <c r="N189" s="136">
        <f t="shared" si="52"/>
        <v>0.04</v>
      </c>
      <c r="O189" s="136">
        <f t="shared" si="52"/>
        <v>0.04</v>
      </c>
      <c r="P189" s="136">
        <f t="shared" si="52"/>
        <v>0.04</v>
      </c>
      <c r="Q189" s="136">
        <f t="shared" si="52"/>
        <v>0.04</v>
      </c>
      <c r="R189" s="136">
        <f t="shared" si="52"/>
        <v>0.04</v>
      </c>
      <c r="S189" s="136">
        <f t="shared" si="53"/>
        <v>0.04</v>
      </c>
      <c r="T189" s="136">
        <f t="shared" si="53"/>
        <v>0.04</v>
      </c>
      <c r="U189" s="136">
        <f t="shared" si="53"/>
        <v>0.04</v>
      </c>
      <c r="V189" s="136">
        <f t="shared" si="53"/>
        <v>0.04</v>
      </c>
      <c r="W189" s="136">
        <f t="shared" si="53"/>
        <v>0.04</v>
      </c>
      <c r="X189" s="136">
        <f t="shared" si="53"/>
        <v>0.04</v>
      </c>
      <c r="Y189" s="136">
        <f t="shared" si="53"/>
        <v>0.04</v>
      </c>
      <c r="Z189" s="136">
        <f t="shared" si="53"/>
        <v>0.04</v>
      </c>
      <c r="AA189" s="136">
        <f t="shared" si="53"/>
        <v>0.04</v>
      </c>
      <c r="AB189" s="136">
        <f t="shared" si="53"/>
        <v>0.04</v>
      </c>
      <c r="AC189" s="136">
        <f t="shared" si="53"/>
        <v>0.04</v>
      </c>
      <c r="AD189" s="136">
        <f t="shared" si="53"/>
        <v>0.04</v>
      </c>
      <c r="AE189" s="136">
        <f t="shared" si="53"/>
        <v>0.04</v>
      </c>
      <c r="AF189" s="136">
        <f t="shared" si="53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1"/>
        <v>2.3E-2</v>
      </c>
      <c r="C190" s="53">
        <v>2.3E-2</v>
      </c>
      <c r="D190" s="136">
        <f>C190</f>
        <v>2.3E-2</v>
      </c>
      <c r="E190" s="136">
        <f t="shared" si="52"/>
        <v>2.3E-2</v>
      </c>
      <c r="F190" s="136">
        <f t="shared" si="52"/>
        <v>2.3E-2</v>
      </c>
      <c r="G190" s="136">
        <f t="shared" si="52"/>
        <v>2.3E-2</v>
      </c>
      <c r="H190" s="136">
        <f t="shared" si="52"/>
        <v>2.3E-2</v>
      </c>
      <c r="I190" s="136">
        <f t="shared" si="52"/>
        <v>2.3E-2</v>
      </c>
      <c r="J190" s="136">
        <f t="shared" si="52"/>
        <v>2.3E-2</v>
      </c>
      <c r="K190" s="136">
        <f t="shared" si="52"/>
        <v>2.3E-2</v>
      </c>
      <c r="L190" s="136">
        <f t="shared" si="52"/>
        <v>2.3E-2</v>
      </c>
      <c r="M190" s="136">
        <f t="shared" si="52"/>
        <v>2.3E-2</v>
      </c>
      <c r="N190" s="136">
        <f t="shared" si="52"/>
        <v>2.3E-2</v>
      </c>
      <c r="O190" s="136">
        <f t="shared" si="52"/>
        <v>2.3E-2</v>
      </c>
      <c r="P190" s="136">
        <f t="shared" si="52"/>
        <v>2.3E-2</v>
      </c>
      <c r="Q190" s="136">
        <f t="shared" si="52"/>
        <v>2.3E-2</v>
      </c>
      <c r="R190" s="136">
        <f t="shared" si="52"/>
        <v>2.3E-2</v>
      </c>
      <c r="S190" s="136">
        <f t="shared" si="53"/>
        <v>2.3E-2</v>
      </c>
      <c r="T190" s="136">
        <f t="shared" si="53"/>
        <v>2.3E-2</v>
      </c>
      <c r="U190" s="136">
        <f t="shared" si="53"/>
        <v>2.3E-2</v>
      </c>
      <c r="V190" s="136">
        <f t="shared" si="53"/>
        <v>2.3E-2</v>
      </c>
      <c r="W190" s="136">
        <f t="shared" si="53"/>
        <v>2.3E-2</v>
      </c>
      <c r="X190" s="136">
        <f t="shared" si="53"/>
        <v>2.3E-2</v>
      </c>
      <c r="Y190" s="136">
        <f t="shared" si="53"/>
        <v>2.3E-2</v>
      </c>
      <c r="Z190" s="136">
        <f t="shared" si="53"/>
        <v>2.3E-2</v>
      </c>
      <c r="AA190" s="136">
        <f t="shared" si="53"/>
        <v>2.3E-2</v>
      </c>
      <c r="AB190" s="136">
        <f t="shared" si="53"/>
        <v>2.3E-2</v>
      </c>
      <c r="AC190" s="136">
        <f t="shared" si="53"/>
        <v>2.3E-2</v>
      </c>
      <c r="AD190" s="136">
        <f t="shared" si="53"/>
        <v>2.3E-2</v>
      </c>
      <c r="AE190" s="136">
        <f t="shared" si="53"/>
        <v>2.3E-2</v>
      </c>
      <c r="AF190" s="136">
        <f t="shared" si="53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4">SUM(C101:C190)</f>
        <v>194.70600000000002</v>
      </c>
      <c r="D191" s="141">
        <f t="shared" si="54"/>
        <v>194.70600000000002</v>
      </c>
      <c r="E191" s="141">
        <f t="shared" si="54"/>
        <v>194.70600000000002</v>
      </c>
      <c r="F191" s="141">
        <f t="shared" si="54"/>
        <v>194.70600000000002</v>
      </c>
      <c r="G191" s="141">
        <f t="shared" si="54"/>
        <v>194.70600000000002</v>
      </c>
      <c r="H191" s="141">
        <f t="shared" si="54"/>
        <v>194.70600000000002</v>
      </c>
      <c r="I191" s="141">
        <f t="shared" si="54"/>
        <v>194.70600000000002</v>
      </c>
      <c r="J191" s="141">
        <f t="shared" si="54"/>
        <v>192.10600000000005</v>
      </c>
      <c r="K191" s="141">
        <f t="shared" si="54"/>
        <v>192.10600000000005</v>
      </c>
      <c r="L191" s="141">
        <f t="shared" si="54"/>
        <v>192.10600000000005</v>
      </c>
      <c r="M191" s="141">
        <f t="shared" si="54"/>
        <v>192.10600000000005</v>
      </c>
      <c r="N191" s="141">
        <f t="shared" si="54"/>
        <v>192.10600000000005</v>
      </c>
      <c r="O191" s="141">
        <f t="shared" si="54"/>
        <v>192.10600000000005</v>
      </c>
      <c r="P191" s="141">
        <f t="shared" si="54"/>
        <v>192.10600000000005</v>
      </c>
      <c r="Q191" s="141">
        <f t="shared" si="54"/>
        <v>192.10600000000005</v>
      </c>
      <c r="R191" s="141">
        <f t="shared" si="54"/>
        <v>192.10600000000005</v>
      </c>
      <c r="S191" s="141">
        <f t="shared" si="54"/>
        <v>192.10600000000005</v>
      </c>
      <c r="T191" s="141">
        <f t="shared" si="54"/>
        <v>192.10600000000005</v>
      </c>
      <c r="U191" s="141">
        <f t="shared" si="54"/>
        <v>192.10600000000005</v>
      </c>
      <c r="V191" s="141">
        <f t="shared" si="54"/>
        <v>192.10600000000005</v>
      </c>
      <c r="W191" s="141">
        <f t="shared" si="54"/>
        <v>192.10600000000005</v>
      </c>
      <c r="X191" s="141">
        <f t="shared" si="54"/>
        <v>192.10600000000005</v>
      </c>
      <c r="Y191" s="141">
        <f t="shared" si="54"/>
        <v>192.10600000000005</v>
      </c>
      <c r="Z191" s="141">
        <f t="shared" si="54"/>
        <v>192.10600000000005</v>
      </c>
      <c r="AA191" s="141">
        <f t="shared" si="54"/>
        <v>192.10600000000005</v>
      </c>
      <c r="AB191" s="141">
        <f t="shared" si="54"/>
        <v>192.10600000000005</v>
      </c>
      <c r="AC191" s="141">
        <f t="shared" si="54"/>
        <v>192.10600000000005</v>
      </c>
      <c r="AD191" s="141">
        <f t="shared" si="54"/>
        <v>192.10600000000005</v>
      </c>
      <c r="AE191" s="141">
        <f t="shared" si="54"/>
        <v>192.10600000000005</v>
      </c>
      <c r="AF191" s="141">
        <f t="shared" si="54"/>
        <v>192.10600000000005</v>
      </c>
      <c r="AG191" s="142">
        <f t="shared" si="54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5">AF193</f>
        <v>0.3</v>
      </c>
      <c r="C193" s="143">
        <v>0.3</v>
      </c>
      <c r="D193" s="143">
        <f t="shared" ref="D193:S198" si="56">C193</f>
        <v>0.3</v>
      </c>
      <c r="E193" s="143">
        <f t="shared" si="56"/>
        <v>0.3</v>
      </c>
      <c r="F193" s="143">
        <f t="shared" si="56"/>
        <v>0.3</v>
      </c>
      <c r="G193" s="143">
        <f t="shared" si="56"/>
        <v>0.3</v>
      </c>
      <c r="H193" s="143">
        <f t="shared" si="56"/>
        <v>0.3</v>
      </c>
      <c r="I193" s="143">
        <f t="shared" si="56"/>
        <v>0.3</v>
      </c>
      <c r="J193" s="143">
        <f t="shared" si="56"/>
        <v>0.3</v>
      </c>
      <c r="K193" s="143">
        <f t="shared" si="56"/>
        <v>0.3</v>
      </c>
      <c r="L193" s="143">
        <f t="shared" si="56"/>
        <v>0.3</v>
      </c>
      <c r="M193" s="143">
        <f t="shared" si="56"/>
        <v>0.3</v>
      </c>
      <c r="N193" s="143">
        <f t="shared" si="56"/>
        <v>0.3</v>
      </c>
      <c r="O193" s="143">
        <f t="shared" si="56"/>
        <v>0.3</v>
      </c>
      <c r="P193" s="143">
        <f t="shared" si="56"/>
        <v>0.3</v>
      </c>
      <c r="Q193" s="143">
        <f t="shared" si="56"/>
        <v>0.3</v>
      </c>
      <c r="R193" s="143">
        <f t="shared" si="56"/>
        <v>0.3</v>
      </c>
      <c r="S193" s="143">
        <f t="shared" si="56"/>
        <v>0.3</v>
      </c>
      <c r="T193" s="143">
        <f t="shared" ref="T193:AF198" si="57">S193</f>
        <v>0.3</v>
      </c>
      <c r="U193" s="143">
        <f t="shared" si="57"/>
        <v>0.3</v>
      </c>
      <c r="V193" s="143">
        <f t="shared" si="57"/>
        <v>0.3</v>
      </c>
      <c r="W193" s="143">
        <f t="shared" si="57"/>
        <v>0.3</v>
      </c>
      <c r="X193" s="143">
        <f t="shared" si="57"/>
        <v>0.3</v>
      </c>
      <c r="Y193" s="143">
        <f t="shared" si="57"/>
        <v>0.3</v>
      </c>
      <c r="Z193" s="143">
        <f t="shared" si="57"/>
        <v>0.3</v>
      </c>
      <c r="AA193" s="143">
        <f t="shared" si="57"/>
        <v>0.3</v>
      </c>
      <c r="AB193" s="143">
        <f t="shared" si="57"/>
        <v>0.3</v>
      </c>
      <c r="AC193" s="143">
        <f t="shared" si="57"/>
        <v>0.3</v>
      </c>
      <c r="AD193" s="143">
        <f t="shared" si="57"/>
        <v>0.3</v>
      </c>
      <c r="AE193" s="143">
        <f t="shared" si="57"/>
        <v>0.3</v>
      </c>
      <c r="AF193" s="143">
        <f t="shared" si="57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5"/>
        <v>0.4</v>
      </c>
      <c r="C194" s="136">
        <v>0.4</v>
      </c>
      <c r="D194" s="136">
        <f t="shared" si="56"/>
        <v>0.4</v>
      </c>
      <c r="E194" s="136">
        <f t="shared" si="56"/>
        <v>0.4</v>
      </c>
      <c r="F194" s="136">
        <f t="shared" si="56"/>
        <v>0.4</v>
      </c>
      <c r="G194" s="136">
        <f t="shared" si="56"/>
        <v>0.4</v>
      </c>
      <c r="H194" s="136">
        <f t="shared" si="56"/>
        <v>0.4</v>
      </c>
      <c r="I194" s="136">
        <f t="shared" si="56"/>
        <v>0.4</v>
      </c>
      <c r="J194" s="136">
        <f t="shared" si="56"/>
        <v>0.4</v>
      </c>
      <c r="K194" s="136">
        <f t="shared" si="56"/>
        <v>0.4</v>
      </c>
      <c r="L194" s="136">
        <f t="shared" si="56"/>
        <v>0.4</v>
      </c>
      <c r="M194" s="136">
        <f t="shared" si="56"/>
        <v>0.4</v>
      </c>
      <c r="N194" s="136">
        <f t="shared" si="56"/>
        <v>0.4</v>
      </c>
      <c r="O194" s="136">
        <f t="shared" si="56"/>
        <v>0.4</v>
      </c>
      <c r="P194" s="136">
        <f t="shared" si="56"/>
        <v>0.4</v>
      </c>
      <c r="Q194" s="136">
        <f t="shared" si="56"/>
        <v>0.4</v>
      </c>
      <c r="R194" s="136">
        <f t="shared" si="56"/>
        <v>0.4</v>
      </c>
      <c r="S194" s="136">
        <f t="shared" si="56"/>
        <v>0.4</v>
      </c>
      <c r="T194" s="136">
        <f t="shared" si="57"/>
        <v>0.4</v>
      </c>
      <c r="U194" s="136">
        <f t="shared" si="57"/>
        <v>0.4</v>
      </c>
      <c r="V194" s="136">
        <f t="shared" si="57"/>
        <v>0.4</v>
      </c>
      <c r="W194" s="136">
        <f>V194</f>
        <v>0.4</v>
      </c>
      <c r="X194" s="136">
        <f>W194</f>
        <v>0.4</v>
      </c>
      <c r="Y194" s="136">
        <f t="shared" si="57"/>
        <v>0.4</v>
      </c>
      <c r="Z194" s="136">
        <f t="shared" si="57"/>
        <v>0.4</v>
      </c>
      <c r="AA194" s="136">
        <f t="shared" si="57"/>
        <v>0.4</v>
      </c>
      <c r="AB194" s="136">
        <f t="shared" si="57"/>
        <v>0.4</v>
      </c>
      <c r="AC194" s="136">
        <f t="shared" si="57"/>
        <v>0.4</v>
      </c>
      <c r="AD194" s="136">
        <f t="shared" si="57"/>
        <v>0.4</v>
      </c>
      <c r="AE194" s="136">
        <f t="shared" si="57"/>
        <v>0.4</v>
      </c>
      <c r="AF194" s="136">
        <f t="shared" si="57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5"/>
        <v>1.5</v>
      </c>
      <c r="C195" s="136">
        <v>1.5</v>
      </c>
      <c r="D195" s="136">
        <f t="shared" si="56"/>
        <v>1.5</v>
      </c>
      <c r="E195" s="136">
        <f t="shared" si="56"/>
        <v>1.5</v>
      </c>
      <c r="F195" s="136">
        <f t="shared" si="56"/>
        <v>1.5</v>
      </c>
      <c r="G195" s="136">
        <f t="shared" si="56"/>
        <v>1.5</v>
      </c>
      <c r="H195" s="136">
        <f t="shared" si="56"/>
        <v>1.5</v>
      </c>
      <c r="I195" s="136">
        <f t="shared" si="56"/>
        <v>1.5</v>
      </c>
      <c r="J195" s="136">
        <f t="shared" si="56"/>
        <v>1.5</v>
      </c>
      <c r="K195" s="136">
        <f t="shared" si="56"/>
        <v>1.5</v>
      </c>
      <c r="L195" s="136">
        <f t="shared" si="56"/>
        <v>1.5</v>
      </c>
      <c r="M195" s="136">
        <f t="shared" si="56"/>
        <v>1.5</v>
      </c>
      <c r="N195" s="136">
        <f t="shared" si="56"/>
        <v>1.5</v>
      </c>
      <c r="O195" s="136">
        <f t="shared" si="56"/>
        <v>1.5</v>
      </c>
      <c r="P195" s="136">
        <f t="shared" si="56"/>
        <v>1.5</v>
      </c>
      <c r="Q195" s="136">
        <f t="shared" si="56"/>
        <v>1.5</v>
      </c>
      <c r="R195" s="136">
        <f t="shared" si="56"/>
        <v>1.5</v>
      </c>
      <c r="S195" s="136">
        <f t="shared" si="56"/>
        <v>1.5</v>
      </c>
      <c r="T195" s="136">
        <f t="shared" si="57"/>
        <v>1.5</v>
      </c>
      <c r="U195" s="136">
        <f t="shared" si="57"/>
        <v>1.5</v>
      </c>
      <c r="V195" s="136">
        <f t="shared" si="57"/>
        <v>1.5</v>
      </c>
      <c r="W195" s="136">
        <f t="shared" si="57"/>
        <v>1.5</v>
      </c>
      <c r="X195" s="136">
        <f t="shared" si="57"/>
        <v>1.5</v>
      </c>
      <c r="Y195" s="136">
        <f t="shared" si="57"/>
        <v>1.5</v>
      </c>
      <c r="Z195" s="136">
        <f t="shared" si="57"/>
        <v>1.5</v>
      </c>
      <c r="AA195" s="136">
        <f t="shared" si="57"/>
        <v>1.5</v>
      </c>
      <c r="AB195" s="136">
        <f t="shared" si="57"/>
        <v>1.5</v>
      </c>
      <c r="AC195" s="136">
        <f t="shared" si="57"/>
        <v>1.5</v>
      </c>
      <c r="AD195" s="136">
        <f t="shared" si="57"/>
        <v>1.5</v>
      </c>
      <c r="AE195" s="136">
        <f t="shared" si="57"/>
        <v>1.5</v>
      </c>
      <c r="AF195" s="136">
        <f t="shared" si="57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5"/>
        <v>0.3</v>
      </c>
      <c r="C196" s="136">
        <v>0.3</v>
      </c>
      <c r="D196" s="136">
        <f t="shared" si="56"/>
        <v>0.3</v>
      </c>
      <c r="E196" s="136">
        <f t="shared" si="56"/>
        <v>0.3</v>
      </c>
      <c r="F196" s="136">
        <f t="shared" si="56"/>
        <v>0.3</v>
      </c>
      <c r="G196" s="136">
        <f t="shared" si="56"/>
        <v>0.3</v>
      </c>
      <c r="H196" s="136">
        <f t="shared" si="56"/>
        <v>0.3</v>
      </c>
      <c r="I196" s="136">
        <f t="shared" si="56"/>
        <v>0.3</v>
      </c>
      <c r="J196" s="136">
        <f t="shared" si="56"/>
        <v>0.3</v>
      </c>
      <c r="K196" s="136">
        <f t="shared" si="56"/>
        <v>0.3</v>
      </c>
      <c r="L196" s="136">
        <f t="shared" si="56"/>
        <v>0.3</v>
      </c>
      <c r="M196" s="136">
        <f t="shared" si="56"/>
        <v>0.3</v>
      </c>
      <c r="N196" s="136">
        <f t="shared" si="56"/>
        <v>0.3</v>
      </c>
      <c r="O196" s="136">
        <f t="shared" si="56"/>
        <v>0.3</v>
      </c>
      <c r="P196" s="136">
        <f t="shared" si="56"/>
        <v>0.3</v>
      </c>
      <c r="Q196" s="136">
        <f t="shared" si="56"/>
        <v>0.3</v>
      </c>
      <c r="R196" s="136">
        <f t="shared" si="56"/>
        <v>0.3</v>
      </c>
      <c r="S196" s="136">
        <f t="shared" si="56"/>
        <v>0.3</v>
      </c>
      <c r="T196" s="136">
        <f t="shared" si="57"/>
        <v>0.3</v>
      </c>
      <c r="U196" s="136">
        <f t="shared" si="57"/>
        <v>0.3</v>
      </c>
      <c r="V196" s="136">
        <f t="shared" si="57"/>
        <v>0.3</v>
      </c>
      <c r="W196" s="136">
        <f t="shared" si="57"/>
        <v>0.3</v>
      </c>
      <c r="X196" s="136">
        <f t="shared" si="57"/>
        <v>0.3</v>
      </c>
      <c r="Y196" s="136">
        <f t="shared" si="57"/>
        <v>0.3</v>
      </c>
      <c r="Z196" s="136">
        <f t="shared" si="57"/>
        <v>0.3</v>
      </c>
      <c r="AA196" s="136">
        <f t="shared" si="57"/>
        <v>0.3</v>
      </c>
      <c r="AB196" s="136">
        <f t="shared" si="57"/>
        <v>0.3</v>
      </c>
      <c r="AC196" s="136">
        <f t="shared" si="57"/>
        <v>0.3</v>
      </c>
      <c r="AD196" s="136">
        <f t="shared" si="57"/>
        <v>0.3</v>
      </c>
      <c r="AE196" s="136">
        <f t="shared" si="57"/>
        <v>0.3</v>
      </c>
      <c r="AF196" s="136">
        <f t="shared" si="57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5"/>
        <v>0.4</v>
      </c>
      <c r="C197" s="136">
        <v>0.4</v>
      </c>
      <c r="D197" s="136">
        <f t="shared" si="56"/>
        <v>0.4</v>
      </c>
      <c r="E197" s="136">
        <f t="shared" si="56"/>
        <v>0.4</v>
      </c>
      <c r="F197" s="136">
        <f t="shared" si="56"/>
        <v>0.4</v>
      </c>
      <c r="G197" s="136">
        <f t="shared" si="56"/>
        <v>0.4</v>
      </c>
      <c r="H197" s="136">
        <f t="shared" si="56"/>
        <v>0.4</v>
      </c>
      <c r="I197" s="136">
        <f t="shared" si="56"/>
        <v>0.4</v>
      </c>
      <c r="J197" s="136">
        <f t="shared" si="56"/>
        <v>0.4</v>
      </c>
      <c r="K197" s="136">
        <f t="shared" si="56"/>
        <v>0.4</v>
      </c>
      <c r="L197" s="136">
        <f t="shared" si="56"/>
        <v>0.4</v>
      </c>
      <c r="M197" s="136">
        <f t="shared" si="56"/>
        <v>0.4</v>
      </c>
      <c r="N197" s="136">
        <f t="shared" si="56"/>
        <v>0.4</v>
      </c>
      <c r="O197" s="136">
        <f t="shared" si="56"/>
        <v>0.4</v>
      </c>
      <c r="P197" s="136">
        <f t="shared" si="56"/>
        <v>0.4</v>
      </c>
      <c r="Q197" s="136">
        <f t="shared" si="56"/>
        <v>0.4</v>
      </c>
      <c r="R197" s="136">
        <f t="shared" si="56"/>
        <v>0.4</v>
      </c>
      <c r="S197" s="136">
        <f t="shared" si="56"/>
        <v>0.4</v>
      </c>
      <c r="T197" s="136">
        <f t="shared" si="57"/>
        <v>0.4</v>
      </c>
      <c r="U197" s="136">
        <f t="shared" si="57"/>
        <v>0.4</v>
      </c>
      <c r="V197" s="136">
        <f t="shared" si="57"/>
        <v>0.4</v>
      </c>
      <c r="W197" s="136">
        <f t="shared" si="57"/>
        <v>0.4</v>
      </c>
      <c r="X197" s="136">
        <f t="shared" si="57"/>
        <v>0.4</v>
      </c>
      <c r="Y197" s="136">
        <f t="shared" si="57"/>
        <v>0.4</v>
      </c>
      <c r="Z197" s="136">
        <f t="shared" si="57"/>
        <v>0.4</v>
      </c>
      <c r="AA197" s="136">
        <f t="shared" si="57"/>
        <v>0.4</v>
      </c>
      <c r="AB197" s="136">
        <f t="shared" si="57"/>
        <v>0.4</v>
      </c>
      <c r="AC197" s="136">
        <f t="shared" si="57"/>
        <v>0.4</v>
      </c>
      <c r="AD197" s="136">
        <f t="shared" si="57"/>
        <v>0.4</v>
      </c>
      <c r="AE197" s="136">
        <f t="shared" si="57"/>
        <v>0.4</v>
      </c>
      <c r="AF197" s="136">
        <f t="shared" si="57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5"/>
        <v>0.64</v>
      </c>
      <c r="C198" s="146">
        <v>0.64</v>
      </c>
      <c r="D198" s="146">
        <f t="shared" si="56"/>
        <v>0.64</v>
      </c>
      <c r="E198" s="146">
        <f t="shared" si="56"/>
        <v>0.64</v>
      </c>
      <c r="F198" s="146">
        <f t="shared" si="56"/>
        <v>0.64</v>
      </c>
      <c r="G198" s="146">
        <f t="shared" si="56"/>
        <v>0.64</v>
      </c>
      <c r="H198" s="146">
        <f t="shared" si="56"/>
        <v>0.64</v>
      </c>
      <c r="I198" s="146">
        <f t="shared" si="56"/>
        <v>0.64</v>
      </c>
      <c r="J198" s="146">
        <f t="shared" si="56"/>
        <v>0.64</v>
      </c>
      <c r="K198" s="146">
        <f t="shared" si="56"/>
        <v>0.64</v>
      </c>
      <c r="L198" s="146">
        <f t="shared" si="56"/>
        <v>0.64</v>
      </c>
      <c r="M198" s="146">
        <f t="shared" si="56"/>
        <v>0.64</v>
      </c>
      <c r="N198" s="146">
        <f t="shared" si="56"/>
        <v>0.64</v>
      </c>
      <c r="O198" s="146">
        <f t="shared" si="56"/>
        <v>0.64</v>
      </c>
      <c r="P198" s="146">
        <f t="shared" si="56"/>
        <v>0.64</v>
      </c>
      <c r="Q198" s="146">
        <f t="shared" si="56"/>
        <v>0.64</v>
      </c>
      <c r="R198" s="146">
        <f t="shared" si="56"/>
        <v>0.64</v>
      </c>
      <c r="S198" s="146">
        <f t="shared" si="56"/>
        <v>0.64</v>
      </c>
      <c r="T198" s="146">
        <f t="shared" si="57"/>
        <v>0.64</v>
      </c>
      <c r="U198" s="146">
        <f t="shared" si="57"/>
        <v>0.64</v>
      </c>
      <c r="V198" s="146">
        <f t="shared" si="57"/>
        <v>0.64</v>
      </c>
      <c r="W198" s="146">
        <f t="shared" si="57"/>
        <v>0.64</v>
      </c>
      <c r="X198" s="146">
        <f t="shared" si="57"/>
        <v>0.64</v>
      </c>
      <c r="Y198" s="146">
        <f t="shared" si="57"/>
        <v>0.64</v>
      </c>
      <c r="Z198" s="146">
        <f t="shared" si="57"/>
        <v>0.64</v>
      </c>
      <c r="AA198" s="146">
        <f t="shared" si="57"/>
        <v>0.64</v>
      </c>
      <c r="AB198" s="146">
        <f t="shared" si="57"/>
        <v>0.64</v>
      </c>
      <c r="AC198" s="146">
        <f t="shared" si="57"/>
        <v>0.64</v>
      </c>
      <c r="AD198" s="146">
        <f t="shared" si="57"/>
        <v>0.64</v>
      </c>
      <c r="AE198" s="146">
        <f t="shared" si="57"/>
        <v>0.64</v>
      </c>
      <c r="AF198" s="146">
        <f t="shared" si="57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8">SUM(D193:D198)</f>
        <v>3.54</v>
      </c>
      <c r="E199" s="149">
        <f t="shared" si="58"/>
        <v>3.54</v>
      </c>
      <c r="F199" s="149">
        <f t="shared" si="58"/>
        <v>3.54</v>
      </c>
      <c r="G199" s="149">
        <f t="shared" si="58"/>
        <v>3.54</v>
      </c>
      <c r="H199" s="149">
        <f t="shared" si="58"/>
        <v>3.54</v>
      </c>
      <c r="I199" s="149">
        <f t="shared" si="58"/>
        <v>3.54</v>
      </c>
      <c r="J199" s="149">
        <f t="shared" si="58"/>
        <v>3.54</v>
      </c>
      <c r="K199" s="149">
        <f t="shared" si="58"/>
        <v>3.54</v>
      </c>
      <c r="L199" s="149">
        <f t="shared" si="58"/>
        <v>3.54</v>
      </c>
      <c r="M199" s="149">
        <f>SUM(M193:M198)</f>
        <v>3.54</v>
      </c>
      <c r="N199" s="149">
        <f t="shared" ref="N199:S199" si="59">SUM(N193:N198)</f>
        <v>3.54</v>
      </c>
      <c r="O199" s="149">
        <f t="shared" si="59"/>
        <v>3.54</v>
      </c>
      <c r="P199" s="149">
        <f t="shared" si="59"/>
        <v>3.54</v>
      </c>
      <c r="Q199" s="149">
        <f t="shared" si="59"/>
        <v>3.54</v>
      </c>
      <c r="R199" s="149">
        <f t="shared" si="59"/>
        <v>3.54</v>
      </c>
      <c r="S199" s="149">
        <f t="shared" si="59"/>
        <v>3.54</v>
      </c>
      <c r="T199" s="149">
        <f>SUM(T193:T198)</f>
        <v>3.54</v>
      </c>
      <c r="U199" s="149">
        <f t="shared" ref="U199:AG199" si="60">SUM(U193:U198)</f>
        <v>3.54</v>
      </c>
      <c r="V199" s="149">
        <f t="shared" si="60"/>
        <v>3.54</v>
      </c>
      <c r="W199" s="149">
        <f t="shared" si="60"/>
        <v>3.54</v>
      </c>
      <c r="X199" s="149">
        <f t="shared" si="60"/>
        <v>3.54</v>
      </c>
      <c r="Y199" s="149">
        <f t="shared" si="60"/>
        <v>3.54</v>
      </c>
      <c r="Z199" s="149">
        <f t="shared" si="60"/>
        <v>3.54</v>
      </c>
      <c r="AA199" s="149">
        <f t="shared" si="60"/>
        <v>3.54</v>
      </c>
      <c r="AB199" s="149">
        <f t="shared" si="60"/>
        <v>3.54</v>
      </c>
      <c r="AC199" s="149">
        <f t="shared" si="60"/>
        <v>3.54</v>
      </c>
      <c r="AD199" s="149">
        <f t="shared" si="60"/>
        <v>3.54</v>
      </c>
      <c r="AE199" s="149">
        <f t="shared" si="60"/>
        <v>3.54</v>
      </c>
      <c r="AF199" s="149">
        <f t="shared" si="60"/>
        <v>3.54</v>
      </c>
      <c r="AG199" s="150">
        <f t="shared" si="60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1428.04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20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2078/11/20)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2078/11/20)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1">B75</f>
        <v>936.14</v>
      </c>
      <c r="U213" s="174">
        <f t="shared" si="61"/>
        <v>930.74</v>
      </c>
      <c r="V213" s="174">
        <f t="shared" si="61"/>
        <v>911.93999999999994</v>
      </c>
      <c r="W213" s="174">
        <f t="shared" si="61"/>
        <v>897.74</v>
      </c>
      <c r="X213" s="174">
        <f t="shared" si="61"/>
        <v>897.33999999999992</v>
      </c>
      <c r="Y213" s="174">
        <f t="shared" si="61"/>
        <v>955.14</v>
      </c>
      <c r="Z213" s="174">
        <f t="shared" si="61"/>
        <v>1002.04</v>
      </c>
      <c r="AA213" s="174">
        <f t="shared" si="61"/>
        <v>1101.1399999999999</v>
      </c>
      <c r="AB213" s="174">
        <f t="shared" si="61"/>
        <v>1244.1399999999999</v>
      </c>
      <c r="AC213" s="174">
        <f t="shared" si="61"/>
        <v>1352.3400000000001</v>
      </c>
      <c r="AD213" s="174">
        <f t="shared" si="61"/>
        <v>1428.04</v>
      </c>
      <c r="AE213" s="174">
        <f t="shared" si="61"/>
        <v>1411.6399999999999</v>
      </c>
      <c r="AF213" s="174">
        <f t="shared" si="61"/>
        <v>1358.24</v>
      </c>
      <c r="AG213" s="174">
        <f t="shared" si="61"/>
        <v>1305.74</v>
      </c>
      <c r="AH213" s="174">
        <f t="shared" si="61"/>
        <v>1260.8400000000001</v>
      </c>
      <c r="AI213" s="174">
        <f t="shared" si="61"/>
        <v>1236.3399999999999</v>
      </c>
      <c r="AJ213" s="174">
        <f t="shared" si="61"/>
        <v>1157.44</v>
      </c>
      <c r="AK213" s="174">
        <f t="shared" si="61"/>
        <v>1137.74</v>
      </c>
      <c r="AL213" s="174">
        <f t="shared" si="61"/>
        <v>1146.6400000000001</v>
      </c>
      <c r="AM213" s="174">
        <f t="shared" si="61"/>
        <v>1145.44</v>
      </c>
      <c r="AN213" s="174">
        <f t="shared" si="61"/>
        <v>1195.1400000000001</v>
      </c>
      <c r="AO213" s="174">
        <f t="shared" si="61"/>
        <v>1195.1400000000001</v>
      </c>
      <c r="AP213" s="174">
        <f t="shared" si="61"/>
        <v>1281.44</v>
      </c>
      <c r="AQ213" s="174">
        <f t="shared" si="61"/>
        <v>1464.8400000000001</v>
      </c>
      <c r="AR213" s="174">
        <f t="shared" si="61"/>
        <v>1470.74</v>
      </c>
      <c r="AS213" s="174">
        <f t="shared" si="61"/>
        <v>1368.94</v>
      </c>
      <c r="AT213" s="174">
        <f t="shared" si="61"/>
        <v>1317.44</v>
      </c>
      <c r="AU213" s="174">
        <f t="shared" si="61"/>
        <v>1278.94</v>
      </c>
      <c r="AV213" s="174">
        <f t="shared" si="61"/>
        <v>1189.24</v>
      </c>
      <c r="AW213" s="174">
        <f t="shared" si="61"/>
        <v>1046.74</v>
      </c>
      <c r="AX213" s="174">
        <f t="shared" si="61"/>
        <v>959.04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2">C198</f>
        <v>0.64</v>
      </c>
      <c r="C234" s="177">
        <f t="shared" si="62"/>
        <v>0.64</v>
      </c>
      <c r="D234" s="177">
        <f t="shared" si="62"/>
        <v>0.64</v>
      </c>
      <c r="E234" s="177">
        <f t="shared" si="62"/>
        <v>0.64</v>
      </c>
      <c r="F234" s="177">
        <f t="shared" si="62"/>
        <v>0.64</v>
      </c>
      <c r="G234" s="177">
        <f t="shared" si="62"/>
        <v>0.64</v>
      </c>
      <c r="H234" s="177">
        <f t="shared" si="62"/>
        <v>0.64</v>
      </c>
      <c r="I234" s="177">
        <f t="shared" si="62"/>
        <v>0.64</v>
      </c>
      <c r="J234" s="177">
        <f t="shared" si="62"/>
        <v>0.64</v>
      </c>
      <c r="K234" s="177">
        <f t="shared" si="62"/>
        <v>0.64</v>
      </c>
      <c r="L234" s="177">
        <f t="shared" si="62"/>
        <v>0.64</v>
      </c>
      <c r="M234" s="177">
        <f t="shared" si="62"/>
        <v>0.64</v>
      </c>
      <c r="N234" s="177">
        <f t="shared" si="62"/>
        <v>0.64</v>
      </c>
      <c r="O234" s="177">
        <f t="shared" si="62"/>
        <v>0.64</v>
      </c>
      <c r="P234" s="177">
        <f t="shared" si="62"/>
        <v>0.64</v>
      </c>
      <c r="Q234" s="177">
        <f t="shared" si="62"/>
        <v>0.64</v>
      </c>
      <c r="R234" s="177">
        <f t="shared" si="62"/>
        <v>0.64</v>
      </c>
      <c r="S234" s="177">
        <f t="shared" si="62"/>
        <v>0.64</v>
      </c>
      <c r="T234" s="177">
        <f t="shared" si="62"/>
        <v>0.64</v>
      </c>
      <c r="U234" s="177">
        <f t="shared" si="62"/>
        <v>0.64</v>
      </c>
      <c r="V234" s="177">
        <f t="shared" si="62"/>
        <v>0.64</v>
      </c>
      <c r="W234" s="177">
        <f t="shared" si="62"/>
        <v>0.64</v>
      </c>
      <c r="X234" s="177">
        <f t="shared" si="62"/>
        <v>0.64</v>
      </c>
      <c r="Y234" s="177">
        <f t="shared" si="62"/>
        <v>0.64</v>
      </c>
      <c r="Z234" s="177">
        <f t="shared" si="62"/>
        <v>0.64</v>
      </c>
      <c r="AA234" s="177">
        <f t="shared" si="62"/>
        <v>0.64</v>
      </c>
      <c r="AB234" s="177">
        <f t="shared" si="62"/>
        <v>0.64</v>
      </c>
      <c r="AC234" s="177">
        <f t="shared" si="62"/>
        <v>0.64</v>
      </c>
      <c r="AD234" s="177">
        <f t="shared" si="62"/>
        <v>0.64</v>
      </c>
      <c r="AE234" s="177">
        <f t="shared" si="62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3">IF(C202&lt;100,"",C202-520)</f>
        <v/>
      </c>
      <c r="D235" s="120" t="str">
        <f t="shared" si="63"/>
        <v/>
      </c>
      <c r="E235" s="120" t="str">
        <f t="shared" si="63"/>
        <v/>
      </c>
      <c r="F235" s="120" t="str">
        <f t="shared" si="63"/>
        <v/>
      </c>
      <c r="G235" s="120" t="str">
        <f t="shared" si="63"/>
        <v/>
      </c>
      <c r="H235" s="120" t="str">
        <f t="shared" si="63"/>
        <v/>
      </c>
      <c r="I235" s="120" t="str">
        <f t="shared" si="63"/>
        <v/>
      </c>
      <c r="J235" s="120" t="str">
        <f t="shared" si="63"/>
        <v/>
      </c>
      <c r="K235" s="120" t="str">
        <f t="shared" si="63"/>
        <v/>
      </c>
      <c r="L235" s="120" t="str">
        <f t="shared" si="63"/>
        <v/>
      </c>
      <c r="M235" s="120" t="str">
        <f t="shared" si="63"/>
        <v/>
      </c>
      <c r="N235" s="120" t="str">
        <f t="shared" si="63"/>
        <v/>
      </c>
      <c r="O235" s="120" t="str">
        <f t="shared" si="63"/>
        <v/>
      </c>
      <c r="P235" s="120" t="str">
        <f t="shared" si="63"/>
        <v/>
      </c>
      <c r="Q235" s="120" t="str">
        <f t="shared" si="63"/>
        <v/>
      </c>
      <c r="R235" s="120" t="str">
        <f t="shared" si="63"/>
        <v/>
      </c>
      <c r="S235" s="120" t="str">
        <f t="shared" si="63"/>
        <v/>
      </c>
      <c r="T235" s="120" t="str">
        <f t="shared" si="63"/>
        <v/>
      </c>
      <c r="U235" s="120" t="str">
        <f t="shared" si="63"/>
        <v/>
      </c>
      <c r="V235" s="120" t="str">
        <f t="shared" si="63"/>
        <v/>
      </c>
      <c r="W235" s="120" t="str">
        <f t="shared" si="63"/>
        <v/>
      </c>
      <c r="X235" s="120" t="str">
        <f t="shared" si="63"/>
        <v/>
      </c>
      <c r="Y235" s="120" t="str">
        <f t="shared" si="63"/>
        <v/>
      </c>
      <c r="Z235" s="120" t="str">
        <f t="shared" si="63"/>
        <v/>
      </c>
      <c r="AA235" s="120" t="str">
        <f t="shared" si="63"/>
        <v/>
      </c>
      <c r="AB235" s="120" t="str">
        <f t="shared" si="63"/>
        <v/>
      </c>
      <c r="AC235" s="120" t="str">
        <f t="shared" si="63"/>
        <v/>
      </c>
      <c r="AD235" s="120" t="str">
        <f t="shared" si="63"/>
        <v/>
      </c>
      <c r="AE235" s="120" t="str">
        <f t="shared" si="63"/>
        <v/>
      </c>
      <c r="AF235" s="120" t="str">
        <f t="shared" si="63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4">IF(B203&lt;100,"",B203-620)</f>
        <v/>
      </c>
      <c r="C236" s="120" t="str">
        <f t="shared" si="64"/>
        <v/>
      </c>
      <c r="D236" s="120" t="str">
        <f t="shared" si="64"/>
        <v/>
      </c>
      <c r="E236" s="120" t="str">
        <f t="shared" si="64"/>
        <v/>
      </c>
      <c r="F236" s="120" t="str">
        <f t="shared" si="64"/>
        <v/>
      </c>
      <c r="G236" s="120" t="str">
        <f t="shared" si="64"/>
        <v/>
      </c>
      <c r="H236" s="120" t="str">
        <f t="shared" si="64"/>
        <v/>
      </c>
      <c r="I236" s="120" t="str">
        <f t="shared" si="64"/>
        <v/>
      </c>
      <c r="J236" s="120" t="str">
        <f t="shared" si="64"/>
        <v/>
      </c>
      <c r="K236" s="120" t="str">
        <f t="shared" si="64"/>
        <v/>
      </c>
      <c r="L236" s="120" t="str">
        <f t="shared" si="64"/>
        <v/>
      </c>
      <c r="M236" s="120" t="str">
        <f t="shared" si="64"/>
        <v/>
      </c>
      <c r="N236" s="120" t="str">
        <f t="shared" si="64"/>
        <v/>
      </c>
      <c r="O236" s="120" t="str">
        <f t="shared" si="64"/>
        <v/>
      </c>
      <c r="P236" s="120" t="str">
        <f t="shared" si="64"/>
        <v/>
      </c>
      <c r="Q236" s="120" t="str">
        <f t="shared" si="64"/>
        <v/>
      </c>
      <c r="R236" s="120" t="str">
        <f t="shared" si="64"/>
        <v/>
      </c>
      <c r="S236" s="120" t="str">
        <f t="shared" si="64"/>
        <v/>
      </c>
      <c r="T236" s="120" t="str">
        <f t="shared" si="64"/>
        <v/>
      </c>
      <c r="U236" s="120" t="str">
        <f t="shared" si="64"/>
        <v/>
      </c>
      <c r="V236" s="120" t="str">
        <f t="shared" si="64"/>
        <v/>
      </c>
      <c r="W236" s="120" t="str">
        <f t="shared" si="64"/>
        <v/>
      </c>
      <c r="X236" s="120" t="str">
        <f t="shared" si="64"/>
        <v/>
      </c>
      <c r="Y236" s="120" t="str">
        <f t="shared" si="64"/>
        <v/>
      </c>
      <c r="Z236" s="120" t="str">
        <f t="shared" si="64"/>
        <v/>
      </c>
      <c r="AA236" s="120" t="str">
        <f t="shared" si="64"/>
        <v/>
      </c>
      <c r="AB236" s="120" t="str">
        <f t="shared" si="64"/>
        <v/>
      </c>
      <c r="AC236" s="120" t="str">
        <f t="shared" si="64"/>
        <v/>
      </c>
      <c r="AD236" s="120" t="str">
        <f t="shared" si="64"/>
        <v/>
      </c>
      <c r="AE236" s="120" t="str">
        <f t="shared" si="64"/>
        <v/>
      </c>
      <c r="AF236" s="120" t="str">
        <f t="shared" si="64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5">IF(B204&lt;100,"",B204-330)</f>
        <v/>
      </c>
      <c r="C237" s="120" t="str">
        <f t="shared" si="65"/>
        <v/>
      </c>
      <c r="D237" s="120" t="str">
        <f t="shared" si="65"/>
        <v/>
      </c>
      <c r="E237" s="120" t="str">
        <f t="shared" si="65"/>
        <v/>
      </c>
      <c r="F237" s="120" t="str">
        <f t="shared" si="65"/>
        <v/>
      </c>
      <c r="G237" s="120" t="str">
        <f t="shared" si="65"/>
        <v/>
      </c>
      <c r="H237" s="120" t="str">
        <f t="shared" si="65"/>
        <v/>
      </c>
      <c r="I237" s="120" t="str">
        <f t="shared" si="65"/>
        <v/>
      </c>
      <c r="J237" s="120" t="str">
        <f t="shared" si="65"/>
        <v/>
      </c>
      <c r="K237" s="120" t="str">
        <f t="shared" si="65"/>
        <v/>
      </c>
      <c r="L237" s="120" t="str">
        <f t="shared" si="65"/>
        <v/>
      </c>
      <c r="M237" s="120" t="str">
        <f t="shared" si="65"/>
        <v/>
      </c>
      <c r="N237" s="120" t="str">
        <f t="shared" si="65"/>
        <v/>
      </c>
      <c r="O237" s="120" t="str">
        <f t="shared" si="65"/>
        <v/>
      </c>
      <c r="P237" s="120" t="str">
        <f t="shared" si="65"/>
        <v/>
      </c>
      <c r="Q237" s="120" t="str">
        <f t="shared" si="65"/>
        <v/>
      </c>
      <c r="R237" s="120" t="str">
        <f t="shared" si="65"/>
        <v/>
      </c>
      <c r="S237" s="120" t="str">
        <f t="shared" si="65"/>
        <v/>
      </c>
      <c r="T237" s="120" t="str">
        <f t="shared" si="65"/>
        <v/>
      </c>
      <c r="U237" s="120" t="str">
        <f t="shared" si="65"/>
        <v/>
      </c>
      <c r="V237" s="120" t="str">
        <f t="shared" si="65"/>
        <v/>
      </c>
      <c r="W237" s="120" t="str">
        <f t="shared" si="65"/>
        <v/>
      </c>
      <c r="X237" s="120" t="str">
        <f t="shared" si="65"/>
        <v/>
      </c>
      <c r="Y237" s="120" t="str">
        <f t="shared" si="65"/>
        <v/>
      </c>
      <c r="Z237" s="120" t="str">
        <f t="shared" si="65"/>
        <v/>
      </c>
      <c r="AA237" s="120" t="str">
        <f t="shared" si="65"/>
        <v/>
      </c>
      <c r="AB237" s="120" t="str">
        <f t="shared" si="65"/>
        <v/>
      </c>
      <c r="AC237" s="120" t="str">
        <f t="shared" si="65"/>
        <v/>
      </c>
      <c r="AD237" s="120" t="str">
        <f t="shared" si="65"/>
        <v/>
      </c>
      <c r="AE237" s="120" t="str">
        <f t="shared" si="65"/>
        <v/>
      </c>
      <c r="AF237" s="120" t="str">
        <f t="shared" si="65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6">IF(C205&lt;100,"",C205-1500)</f>
        <v/>
      </c>
      <c r="D238" s="120" t="str">
        <f t="shared" si="66"/>
        <v/>
      </c>
      <c r="E238" s="120" t="str">
        <f t="shared" si="66"/>
        <v/>
      </c>
      <c r="F238" s="120" t="str">
        <f t="shared" si="66"/>
        <v/>
      </c>
      <c r="G238" s="120" t="str">
        <f t="shared" si="66"/>
        <v/>
      </c>
      <c r="H238" s="120" t="str">
        <f t="shared" si="66"/>
        <v/>
      </c>
      <c r="I238" s="120" t="str">
        <f t="shared" si="66"/>
        <v/>
      </c>
      <c r="J238" s="120" t="str">
        <f t="shared" si="66"/>
        <v/>
      </c>
      <c r="K238" s="120" t="str">
        <f t="shared" si="66"/>
        <v/>
      </c>
      <c r="L238" s="120" t="str">
        <f t="shared" si="66"/>
        <v/>
      </c>
      <c r="M238" s="120" t="str">
        <f t="shared" si="66"/>
        <v/>
      </c>
      <c r="N238" s="120" t="str">
        <f t="shared" si="66"/>
        <v/>
      </c>
      <c r="O238" s="120" t="str">
        <f t="shared" si="66"/>
        <v/>
      </c>
      <c r="P238" s="120" t="str">
        <f t="shared" si="66"/>
        <v/>
      </c>
      <c r="Q238" s="120" t="str">
        <f t="shared" si="66"/>
        <v/>
      </c>
      <c r="R238" s="120" t="str">
        <f t="shared" si="66"/>
        <v/>
      </c>
      <c r="S238" s="120" t="str">
        <f t="shared" si="66"/>
        <v/>
      </c>
      <c r="T238" s="120" t="str">
        <f t="shared" si="66"/>
        <v/>
      </c>
      <c r="U238" s="120" t="str">
        <f t="shared" si="66"/>
        <v/>
      </c>
      <c r="V238" s="120" t="str">
        <f t="shared" si="66"/>
        <v/>
      </c>
      <c r="W238" s="120" t="str">
        <f t="shared" si="66"/>
        <v/>
      </c>
      <c r="X238" s="120" t="str">
        <f t="shared" si="66"/>
        <v/>
      </c>
      <c r="Y238" s="120" t="str">
        <f t="shared" si="66"/>
        <v/>
      </c>
      <c r="Z238" s="120" t="str">
        <f t="shared" si="66"/>
        <v/>
      </c>
      <c r="AA238" s="120" t="str">
        <f t="shared" si="66"/>
        <v/>
      </c>
      <c r="AB238" s="120" t="str">
        <f t="shared" si="66"/>
        <v/>
      </c>
      <c r="AC238" s="120" t="str">
        <f t="shared" si="66"/>
        <v/>
      </c>
      <c r="AD238" s="120" t="str">
        <f t="shared" si="66"/>
        <v/>
      </c>
      <c r="AE238" s="120" t="str">
        <f t="shared" si="66"/>
        <v/>
      </c>
      <c r="AF238" s="120" t="str">
        <f t="shared" si="66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P39:R39 E61:N61 O61:O67 P40:Q42 P60:R67 R40:T41 Y85:AA91 AB81:AF81 B81:R81 C56:AF56 B82:AF83 D193:AF199 B193:B199 C68:AF72 B9:AF10 B191:AF191 AF57:AF67 B53:B72 AG73 U212:AF212 C57:D67 B84:D91 B94:D99 E62:L67 B36:L36 M39:O42 N37:R37 R42:S42 N11:Y11 M58:X59 Q12:Y12 U40:Y42 AE14 Z40:AE43 AB84:AF91 AB94:AF99 Z11:AE12 S62:AE67 AF12 AB36:AF36 N45:AF48 M53:AF55 B73:AF80">
    <cfRule type="expression" dxfId="3412" priority="274">
      <formula>B$9&gt;=20/24</formula>
    </cfRule>
    <cfRule type="expression" dxfId="3411" priority="275">
      <formula>AND(B$9&gt;=14/24,B$9&lt;20/24)</formula>
    </cfRule>
    <cfRule type="expression" dxfId="3410" priority="276">
      <formula>AND(B$9&gt;=8/24,B$9&lt;14/24)</formula>
    </cfRule>
    <cfRule type="expression" dxfId="3409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408" priority="269">
      <formula>M$9&gt;=20/24</formula>
    </cfRule>
    <cfRule type="expression" dxfId="3407" priority="270">
      <formula>AND(M$9&gt;=14/24,M$9&lt;20/24)</formula>
    </cfRule>
    <cfRule type="expression" dxfId="3406" priority="271">
      <formula>AND(M$9&gt;=8/24,M$9&lt;14/24)</formula>
    </cfRule>
    <cfRule type="expression" dxfId="3405" priority="272">
      <formula>M$9&lt;8/24</formula>
    </cfRule>
  </conditionalFormatting>
  <conditionalFormatting sqref="M43:U43">
    <cfRule type="expression" dxfId="3404" priority="265">
      <formula>M$9&gt;=20/24</formula>
    </cfRule>
    <cfRule type="expression" dxfId="3403" priority="266">
      <formula>AND(M$9&gt;=14/24,M$9&lt;20/24)</formula>
    </cfRule>
    <cfRule type="expression" dxfId="3402" priority="267">
      <formula>AND(M$9&gt;=8/24,M$9&lt;14/24)</formula>
    </cfRule>
    <cfRule type="expression" dxfId="3401" priority="268">
      <formula>M$9&lt;8/24</formula>
    </cfRule>
  </conditionalFormatting>
  <conditionalFormatting sqref="S39:AE39">
    <cfRule type="expression" dxfId="3400" priority="257">
      <formula>S$9&gt;=20/24</formula>
    </cfRule>
    <cfRule type="expression" dxfId="3399" priority="258">
      <formula>AND(S$9&gt;=14/24,S$9&lt;20/24)</formula>
    </cfRule>
    <cfRule type="expression" dxfId="3398" priority="259">
      <formula>AND(S$9&gt;=8/24,S$9&lt;14/24)</formula>
    </cfRule>
    <cfRule type="expression" dxfId="3397" priority="260">
      <formula>S$9&lt;8/24</formula>
    </cfRule>
  </conditionalFormatting>
  <conditionalFormatting sqref="S57:AE57">
    <cfRule type="expression" dxfId="3396" priority="253">
      <formula>S$9&gt;=20/24</formula>
    </cfRule>
    <cfRule type="expression" dxfId="3395" priority="254">
      <formula>AND(S$9&gt;=14/24,S$9&lt;20/24)</formula>
    </cfRule>
    <cfRule type="expression" dxfId="3394" priority="255">
      <formula>AND(S$9&gt;=8/24,S$9&lt;14/24)</formula>
    </cfRule>
    <cfRule type="expression" dxfId="3393" priority="256">
      <formula>S$9&lt;8/24</formula>
    </cfRule>
  </conditionalFormatting>
  <conditionalFormatting sqref="S81:AA81">
    <cfRule type="expression" dxfId="3392" priority="249">
      <formula>S$9&gt;=20/24</formula>
    </cfRule>
    <cfRule type="expression" dxfId="3391" priority="250">
      <formula>AND(S$9&gt;=14/24,S$9&lt;20/24)</formula>
    </cfRule>
    <cfRule type="expression" dxfId="3390" priority="251">
      <formula>AND(S$9&gt;=8/24,S$9&lt;14/24)</formula>
    </cfRule>
    <cfRule type="expression" dxfId="3389" priority="252">
      <formula>S$9&lt;8/24</formula>
    </cfRule>
  </conditionalFormatting>
  <conditionalFormatting sqref="U84:AA84">
    <cfRule type="expression" dxfId="3388" priority="245">
      <formula>U$9&gt;=20/24</formula>
    </cfRule>
    <cfRule type="expression" dxfId="3387" priority="246">
      <formula>AND(U$9&gt;=14/24,U$9&lt;20/24)</formula>
    </cfRule>
    <cfRule type="expression" dxfId="3386" priority="247">
      <formula>AND(U$9&gt;=8/24,U$9&lt;14/24)</formula>
    </cfRule>
    <cfRule type="expression" dxfId="3385" priority="248">
      <formula>U$9&lt;8/24</formula>
    </cfRule>
  </conditionalFormatting>
  <conditionalFormatting sqref="M49:AF49">
    <cfRule type="expression" dxfId="3384" priority="237">
      <formula>M$9&gt;=20/24</formula>
    </cfRule>
    <cfRule type="expression" dxfId="3383" priority="238">
      <formula>AND(M$9&gt;=14/24,M$9&lt;20/24)</formula>
    </cfRule>
    <cfRule type="expression" dxfId="3382" priority="239">
      <formula>AND(M$9&gt;=8/24,M$9&lt;14/24)</formula>
    </cfRule>
    <cfRule type="expression" dxfId="3381" priority="240">
      <formula>M$9&lt;8/24</formula>
    </cfRule>
  </conditionalFormatting>
  <conditionalFormatting sqref="M50:AE50">
    <cfRule type="expression" dxfId="3380" priority="233">
      <formula>M$9&gt;=20/24</formula>
    </cfRule>
    <cfRule type="expression" dxfId="3379" priority="234">
      <formula>AND(M$9&gt;=14/24,M$9&lt;20/24)</formula>
    </cfRule>
    <cfRule type="expression" dxfId="3378" priority="235">
      <formula>AND(M$9&gt;=8/24,M$9&lt;14/24)</formula>
    </cfRule>
    <cfRule type="expression" dxfId="3377" priority="236">
      <formula>M$9&lt;8/24</formula>
    </cfRule>
  </conditionalFormatting>
  <conditionalFormatting sqref="M45:AF48">
    <cfRule type="expression" dxfId="3376" priority="229">
      <formula>M$9&gt;=20/24</formula>
    </cfRule>
    <cfRule type="expression" dxfId="3375" priority="230">
      <formula>AND(M$9&gt;=14/24,M$9&lt;20/24)</formula>
    </cfRule>
    <cfRule type="expression" dxfId="3374" priority="231">
      <formula>AND(M$9&gt;=8/24,M$9&lt;14/24)</formula>
    </cfRule>
    <cfRule type="expression" dxfId="3373" priority="232">
      <formula>M$9&lt;8/24</formula>
    </cfRule>
  </conditionalFormatting>
  <conditionalFormatting sqref="S37:AF37">
    <cfRule type="expression" dxfId="3372" priority="225">
      <formula>S$9&gt;=20/24</formula>
    </cfRule>
    <cfRule type="expression" dxfId="3371" priority="226">
      <formula>AND(S$9&gt;=14/24,S$9&lt;20/24)</formula>
    </cfRule>
    <cfRule type="expression" dxfId="3370" priority="227">
      <formula>AND(S$9&gt;=8/24,S$9&lt;14/24)</formula>
    </cfRule>
    <cfRule type="expression" dxfId="3369" priority="228">
      <formula>S$9&lt;8/24</formula>
    </cfRule>
  </conditionalFormatting>
  <conditionalFormatting sqref="S42:U43 T43:Y43 S45:AF48">
    <cfRule type="expression" dxfId="3368" priority="217">
      <formula>S$9&gt;=20/24</formula>
    </cfRule>
    <cfRule type="expression" dxfId="3367" priority="218">
      <formula>AND(S$9&gt;=14/24,S$9&lt;20/24)</formula>
    </cfRule>
    <cfRule type="expression" dxfId="3366" priority="219">
      <formula>AND(S$9&gt;=8/24,S$9&lt;14/24)</formula>
    </cfRule>
    <cfRule type="expression" dxfId="3365" priority="220">
      <formula>S$9&lt;8/24</formula>
    </cfRule>
  </conditionalFormatting>
  <conditionalFormatting sqref="S49:AF49">
    <cfRule type="expression" dxfId="3364" priority="213">
      <formula>S$9&gt;=20/24</formula>
    </cfRule>
    <cfRule type="expression" dxfId="3363" priority="214">
      <formula>AND(S$9&gt;=14/24,S$9&lt;20/24)</formula>
    </cfRule>
    <cfRule type="expression" dxfId="3362" priority="215">
      <formula>AND(S$9&gt;=8/24,S$9&lt;14/24)</formula>
    </cfRule>
    <cfRule type="expression" dxfId="3361" priority="216">
      <formula>S$9&lt;8/24</formula>
    </cfRule>
  </conditionalFormatting>
  <conditionalFormatting sqref="S50:AE50">
    <cfRule type="expression" dxfId="3360" priority="209">
      <formula>S$9&gt;=20/24</formula>
    </cfRule>
    <cfRule type="expression" dxfId="3359" priority="210">
      <formula>AND(S$9&gt;=14/24,S$9&lt;20/24)</formula>
    </cfRule>
    <cfRule type="expression" dxfId="3358" priority="211">
      <formula>AND(S$9&gt;=8/24,S$9&lt;14/24)</formula>
    </cfRule>
    <cfRule type="expression" dxfId="3357" priority="212">
      <formula>S$9&lt;8/24</formula>
    </cfRule>
  </conditionalFormatting>
  <conditionalFormatting sqref="S60:T61 Y60:AE61">
    <cfRule type="expression" dxfId="3356" priority="205">
      <formula>S$9&gt;=20/24</formula>
    </cfRule>
    <cfRule type="expression" dxfId="3355" priority="206">
      <formula>AND(S$9&gt;=14/24,S$9&lt;20/24)</formula>
    </cfRule>
    <cfRule type="expression" dxfId="3354" priority="207">
      <formula>AND(S$9&gt;=8/24,S$9&lt;14/24)</formula>
    </cfRule>
    <cfRule type="expression" dxfId="3353" priority="208">
      <formula>S$9&lt;8/24</formula>
    </cfRule>
  </conditionalFormatting>
  <conditionalFormatting sqref="U94:AA97">
    <cfRule type="expression" dxfId="3352" priority="197">
      <formula>U$9&gt;=20/24</formula>
    </cfRule>
    <cfRule type="expression" dxfId="3351" priority="198">
      <formula>AND(U$9&gt;=14/24,U$9&lt;20/24)</formula>
    </cfRule>
    <cfRule type="expression" dxfId="3350" priority="199">
      <formula>AND(U$9&gt;=8/24,U$9&lt;14/24)</formula>
    </cfRule>
    <cfRule type="expression" dxfId="3349" priority="200">
      <formula>U$9&lt;8/24</formula>
    </cfRule>
  </conditionalFormatting>
  <conditionalFormatting sqref="AG51 B11:L32 B34:L37 N11:Y11 N37:AB37 Q12:Y12 AB36 AE14:AF14 AF15 Z11:AF12 AC36:AF37 B38:AF56">
    <cfRule type="expression" dxfId="3348" priority="196">
      <formula>B11&gt;$AG11</formula>
    </cfRule>
  </conditionalFormatting>
  <conditionalFormatting sqref="A100:A156 A84:A97 A11:A14 A16:A32 A45:A72 A80:A82 A74:A78 A35:A43 A169:A199">
    <cfRule type="expression" dxfId="3347" priority="195">
      <formula>$AH11=0</formula>
    </cfRule>
  </conditionalFormatting>
  <conditionalFormatting sqref="U98:AA98">
    <cfRule type="expression" dxfId="3346" priority="191">
      <formula>U$9&gt;=20/24</formula>
    </cfRule>
    <cfRule type="expression" dxfId="3345" priority="192">
      <formula>AND(U$9&gt;=14/24,U$9&lt;20/24)</formula>
    </cfRule>
    <cfRule type="expression" dxfId="3344" priority="193">
      <formula>AND(U$9&gt;=8/24,U$9&lt;14/24)</formula>
    </cfRule>
    <cfRule type="expression" dxfId="3343" priority="194">
      <formula>U$9&lt;8/24</formula>
    </cfRule>
  </conditionalFormatting>
  <conditionalFormatting sqref="A98">
    <cfRule type="expression" dxfId="3342" priority="190">
      <formula>$AH98=0</formula>
    </cfRule>
  </conditionalFormatting>
  <conditionalFormatting sqref="M62:M67">
    <cfRule type="expression" dxfId="3341" priority="178">
      <formula>M$9&gt;=20/24</formula>
    </cfRule>
    <cfRule type="expression" dxfId="3340" priority="179">
      <formula>AND(M$9&gt;=14/24,M$9&lt;20/24)</formula>
    </cfRule>
    <cfRule type="expression" dxfId="3339" priority="180">
      <formula>AND(M$9&gt;=8/24,M$9&lt;14/24)</formula>
    </cfRule>
    <cfRule type="expression" dxfId="3338" priority="181">
      <formula>M$9&lt;8/24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337" priority="164">
      <formula>$AH34=0</formula>
    </cfRule>
  </conditionalFormatting>
  <conditionalFormatting sqref="A83">
    <cfRule type="expression" dxfId="3336" priority="163">
      <formula>$AH83=0</formula>
    </cfRule>
  </conditionalFormatting>
  <conditionalFormatting sqref="A15">
    <cfRule type="expression" dxfId="3335" priority="153">
      <formula>$AH15=0</formula>
    </cfRule>
  </conditionalFormatting>
  <conditionalFormatting sqref="A163:A168">
    <cfRule type="expression" dxfId="3334" priority="152">
      <formula>$AH163=0</formula>
    </cfRule>
  </conditionalFormatting>
  <conditionalFormatting sqref="A157:A162">
    <cfRule type="expression" dxfId="3333" priority="151">
      <formula>$AH157=0</formula>
    </cfRule>
  </conditionalFormatting>
  <conditionalFormatting sqref="Z44:AF44">
    <cfRule type="expression" dxfId="3332" priority="147">
      <formula>Z$9&gt;=20/24</formula>
    </cfRule>
    <cfRule type="expression" dxfId="3331" priority="148">
      <formula>AND(Z$9&gt;=14/24,Z$9&lt;20/24)</formula>
    </cfRule>
    <cfRule type="expression" dxfId="3330" priority="149">
      <formula>AND(Z$9&gt;=8/24,Z$9&lt;14/24)</formula>
    </cfRule>
    <cfRule type="expression" dxfId="3329" priority="150">
      <formula>Z$9&lt;8/24</formula>
    </cfRule>
  </conditionalFormatting>
  <conditionalFormatting sqref="M44:AB44">
    <cfRule type="expression" dxfId="3328" priority="143">
      <formula>M$9&gt;=20/24</formula>
    </cfRule>
    <cfRule type="expression" dxfId="3327" priority="144">
      <formula>AND(M$9&gt;=14/24,M$9&lt;20/24)</formula>
    </cfRule>
    <cfRule type="expression" dxfId="3326" priority="145">
      <formula>AND(M$9&gt;=8/24,M$9&lt;14/24)</formula>
    </cfRule>
    <cfRule type="expression" dxfId="3325" priority="146">
      <formula>M$9&lt;8/24</formula>
    </cfRule>
  </conditionalFormatting>
  <conditionalFormatting sqref="S44:AB44">
    <cfRule type="expression" dxfId="3324" priority="139">
      <formula>S$9&gt;=20/24</formula>
    </cfRule>
    <cfRule type="expression" dxfId="3323" priority="140">
      <formula>AND(S$9&gt;=14/24,S$9&lt;20/24)</formula>
    </cfRule>
    <cfRule type="expression" dxfId="3322" priority="141">
      <formula>AND(S$9&gt;=8/24,S$9&lt;14/24)</formula>
    </cfRule>
    <cfRule type="expression" dxfId="3321" priority="142">
      <formula>S$9&lt;8/24</formula>
    </cfRule>
  </conditionalFormatting>
  <conditionalFormatting sqref="A44">
    <cfRule type="expression" dxfId="3320" priority="138">
      <formula>$AH44=0</formula>
    </cfRule>
  </conditionalFormatting>
  <conditionalFormatting sqref="A79">
    <cfRule type="expression" dxfId="3319" priority="137">
      <formula>$AH79=0</formula>
    </cfRule>
  </conditionalFormatting>
  <conditionalFormatting sqref="A73">
    <cfRule type="expression" dxfId="3318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X61">
    <cfRule type="expression" dxfId="3317" priority="132">
      <formula>U$9&gt;=20/24</formula>
    </cfRule>
    <cfRule type="expression" dxfId="3316" priority="133">
      <formula>AND(U$9&gt;=14/24,U$9&lt;20/24)</formula>
    </cfRule>
    <cfRule type="expression" dxfId="3315" priority="134">
      <formula>AND(U$9&gt;=8/24,U$9&lt;14/24)</formula>
    </cfRule>
    <cfRule type="expression" dxfId="3314" priority="135">
      <formula>U$9&lt;8/24</formula>
    </cfRule>
  </conditionalFormatting>
  <conditionalFormatting sqref="U85:X91">
    <cfRule type="expression" dxfId="3313" priority="128">
      <formula>U$9&gt;=20/24</formula>
    </cfRule>
    <cfRule type="expression" dxfId="3312" priority="129">
      <formula>AND(U$9&gt;=14/24,U$9&lt;20/24)</formula>
    </cfRule>
    <cfRule type="expression" dxfId="3311" priority="130">
      <formula>AND(U$9&gt;=8/24,U$9&lt;14/24)</formula>
    </cfRule>
    <cfRule type="expression" dxfId="3310" priority="131">
      <formula>U$9&lt;8/24</formula>
    </cfRule>
  </conditionalFormatting>
  <conditionalFormatting sqref="E84:R91 S85:T91">
    <cfRule type="expression" dxfId="3309" priority="124">
      <formula>E$9&gt;=20/24</formula>
    </cfRule>
    <cfRule type="expression" dxfId="3308" priority="125">
      <formula>AND(E$9&gt;=14/24,E$9&lt;20/24)</formula>
    </cfRule>
    <cfRule type="expression" dxfId="3307" priority="126">
      <formula>AND(E$9&gt;=8/24,E$9&lt;14/24)</formula>
    </cfRule>
    <cfRule type="expression" dxfId="3306" priority="127">
      <formula>E$9&lt;8/24</formula>
    </cfRule>
  </conditionalFormatting>
  <conditionalFormatting sqref="S84:T84">
    <cfRule type="expression" dxfId="3305" priority="120">
      <formula>S$9&gt;=20/24</formula>
    </cfRule>
    <cfRule type="expression" dxfId="3304" priority="121">
      <formula>AND(S$9&gt;=14/24,S$9&lt;20/24)</formula>
    </cfRule>
    <cfRule type="expression" dxfId="3303" priority="122">
      <formula>AND(S$9&gt;=8/24,S$9&lt;14/24)</formula>
    </cfRule>
    <cfRule type="expression" dxfId="3302" priority="123">
      <formula>S$9&lt;8/24</formula>
    </cfRule>
  </conditionalFormatting>
  <conditionalFormatting sqref="E95:M97 E94:F94">
    <cfRule type="expression" dxfId="3301" priority="116">
      <formula>E$9&gt;=20/24</formula>
    </cfRule>
    <cfRule type="expression" dxfId="3300" priority="117">
      <formula>AND(E$9&gt;=14/24,E$9&lt;20/24)</formula>
    </cfRule>
    <cfRule type="expression" dxfId="3299" priority="118">
      <formula>AND(E$9&gt;=8/24,E$9&lt;14/24)</formula>
    </cfRule>
    <cfRule type="expression" dxfId="3298" priority="119">
      <formula>E$9&lt;8/24</formula>
    </cfRule>
  </conditionalFormatting>
  <conditionalFormatting sqref="N95:R97 O94:R94">
    <cfRule type="expression" dxfId="3297" priority="112">
      <formula>N$9&gt;=20/24</formula>
    </cfRule>
    <cfRule type="expression" dxfId="3296" priority="113">
      <formula>AND(N$9&gt;=14/24,N$9&lt;20/24)</formula>
    </cfRule>
    <cfRule type="expression" dxfId="3295" priority="114">
      <formula>AND(N$9&gt;=8/24,N$9&lt;14/24)</formula>
    </cfRule>
    <cfRule type="expression" dxfId="3294" priority="115">
      <formula>N$9&lt;8/24</formula>
    </cfRule>
  </conditionalFormatting>
  <conditionalFormatting sqref="S94:T97">
    <cfRule type="expression" dxfId="3293" priority="108">
      <formula>S$9&gt;=20/24</formula>
    </cfRule>
    <cfRule type="expression" dxfId="3292" priority="109">
      <formula>AND(S$9&gt;=14/24,S$9&lt;20/24)</formula>
    </cfRule>
    <cfRule type="expression" dxfId="3291" priority="110">
      <formula>AND(S$9&gt;=8/24,S$9&lt;14/24)</formula>
    </cfRule>
    <cfRule type="expression" dxfId="3290" priority="111">
      <formula>S$9&lt;8/24</formula>
    </cfRule>
  </conditionalFormatting>
  <conditionalFormatting sqref="E98:M98">
    <cfRule type="expression" dxfId="3289" priority="104">
      <formula>E$9&gt;=20/24</formula>
    </cfRule>
    <cfRule type="expression" dxfId="3288" priority="105">
      <formula>AND(E$9&gt;=14/24,E$9&lt;20/24)</formula>
    </cfRule>
    <cfRule type="expression" dxfId="3287" priority="106">
      <formula>AND(E$9&gt;=8/24,E$9&lt;14/24)</formula>
    </cfRule>
    <cfRule type="expression" dxfId="3286" priority="107">
      <formula>E$9&lt;8/24</formula>
    </cfRule>
  </conditionalFormatting>
  <conditionalFormatting sqref="N98:R98">
    <cfRule type="expression" dxfId="3285" priority="100">
      <formula>N$9&gt;=20/24</formula>
    </cfRule>
    <cfRule type="expression" dxfId="3284" priority="101">
      <formula>AND(N$9&gt;=14/24,N$9&lt;20/24)</formula>
    </cfRule>
    <cfRule type="expression" dxfId="3283" priority="102">
      <formula>AND(N$9&gt;=8/24,N$9&lt;14/24)</formula>
    </cfRule>
    <cfRule type="expression" dxfId="3282" priority="103">
      <formula>N$9&lt;8/24</formula>
    </cfRule>
  </conditionalFormatting>
  <conditionalFormatting sqref="S98:T98">
    <cfRule type="expression" dxfId="3281" priority="96">
      <formula>S$9&gt;=20/24</formula>
    </cfRule>
    <cfRule type="expression" dxfId="3280" priority="97">
      <formula>AND(S$9&gt;=14/24,S$9&lt;20/24)</formula>
    </cfRule>
    <cfRule type="expression" dxfId="3279" priority="98">
      <formula>AND(S$9&gt;=8/24,S$9&lt;14/24)</formula>
    </cfRule>
    <cfRule type="expression" dxfId="3278" priority="99">
      <formula>S$9&lt;8/24</formula>
    </cfRule>
  </conditionalFormatting>
  <conditionalFormatting sqref="M94:N94">
    <cfRule type="expression" dxfId="3277" priority="92">
      <formula>M$9&gt;=20/24</formula>
    </cfRule>
    <cfRule type="expression" dxfId="3276" priority="93">
      <formula>AND(M$9&gt;=14/24,M$9&lt;20/24)</formula>
    </cfRule>
    <cfRule type="expression" dxfId="3275" priority="94">
      <formula>AND(M$9&gt;=8/24,M$9&lt;14/24)</formula>
    </cfRule>
    <cfRule type="expression" dxfId="3274" priority="95">
      <formula>M$9&lt;8/24</formula>
    </cfRule>
  </conditionalFormatting>
  <conditionalFormatting sqref="G94:L94">
    <cfRule type="expression" dxfId="3273" priority="88">
      <formula>G$9&gt;=20/24</formula>
    </cfRule>
    <cfRule type="expression" dxfId="3272" priority="89">
      <formula>AND(G$9&gt;=14/24,G$9&lt;20/24)</formula>
    </cfRule>
    <cfRule type="expression" dxfId="3271" priority="90">
      <formula>AND(G$9&gt;=8/24,G$9&lt;14/24)</formula>
    </cfRule>
    <cfRule type="expression" dxfId="3270" priority="91">
      <formula>G$9&lt;8/24</formula>
    </cfRule>
  </conditionalFormatting>
  <conditionalFormatting sqref="U94:X94">
    <cfRule type="expression" dxfId="3269" priority="84">
      <formula>U$9&gt;=20/24</formula>
    </cfRule>
    <cfRule type="expression" dxfId="3268" priority="85">
      <formula>AND(U$9&gt;=14/24,U$9&lt;20/24)</formula>
    </cfRule>
    <cfRule type="expression" dxfId="3267" priority="86">
      <formula>AND(U$9&gt;=8/24,U$9&lt;14/24)</formula>
    </cfRule>
    <cfRule type="expression" dxfId="3266" priority="87">
      <formula>U$9&lt;8/24</formula>
    </cfRule>
  </conditionalFormatting>
  <conditionalFormatting sqref="N94:T94">
    <cfRule type="expression" dxfId="3265" priority="80">
      <formula>N$9&gt;=20/24</formula>
    </cfRule>
    <cfRule type="expression" dxfId="3264" priority="81">
      <formula>AND(N$9&gt;=14/24,N$9&lt;20/24)</formula>
    </cfRule>
    <cfRule type="expression" dxfId="3263" priority="82">
      <formula>AND(N$9&gt;=8/24,N$9&lt;14/24)</formula>
    </cfRule>
    <cfRule type="expression" dxfId="3262" priority="83">
      <formula>N$9&lt;8/24</formula>
    </cfRule>
  </conditionalFormatting>
  <conditionalFormatting sqref="U99:AA99">
    <cfRule type="expression" dxfId="3261" priority="76">
      <formula>U$9&gt;=20/24</formula>
    </cfRule>
    <cfRule type="expression" dxfId="3260" priority="77">
      <formula>AND(U$9&gt;=14/24,U$9&lt;20/24)</formula>
    </cfRule>
    <cfRule type="expression" dxfId="3259" priority="78">
      <formula>AND(U$9&gt;=8/24,U$9&lt;14/24)</formula>
    </cfRule>
    <cfRule type="expression" dxfId="3258" priority="79">
      <formula>U$9&lt;8/24</formula>
    </cfRule>
  </conditionalFormatting>
  <conditionalFormatting sqref="E99:M99">
    <cfRule type="expression" dxfId="3257" priority="72">
      <formula>E$9&gt;=20/24</formula>
    </cfRule>
    <cfRule type="expression" dxfId="3256" priority="73">
      <formula>AND(E$9&gt;=14/24,E$9&lt;20/24)</formula>
    </cfRule>
    <cfRule type="expression" dxfId="3255" priority="74">
      <formula>AND(E$9&gt;=8/24,E$9&lt;14/24)</formula>
    </cfRule>
    <cfRule type="expression" dxfId="3254" priority="75">
      <formula>E$9&lt;8/24</formula>
    </cfRule>
  </conditionalFormatting>
  <conditionalFormatting sqref="N99:R99">
    <cfRule type="expression" dxfId="3253" priority="68">
      <formula>N$9&gt;=20/24</formula>
    </cfRule>
    <cfRule type="expression" dxfId="3252" priority="69">
      <formula>AND(N$9&gt;=14/24,N$9&lt;20/24)</formula>
    </cfRule>
    <cfRule type="expression" dxfId="3251" priority="70">
      <formula>AND(N$9&gt;=8/24,N$9&lt;14/24)</formula>
    </cfRule>
    <cfRule type="expression" dxfId="3250" priority="71">
      <formula>N$9&lt;8/24</formula>
    </cfRule>
  </conditionalFormatting>
  <conditionalFormatting sqref="S99:T99">
    <cfRule type="expression" dxfId="3249" priority="64">
      <formula>S$9&gt;=20/24</formula>
    </cfRule>
    <cfRule type="expression" dxfId="3248" priority="65">
      <formula>AND(S$9&gt;=14/24,S$9&lt;20/24)</formula>
    </cfRule>
    <cfRule type="expression" dxfId="3247" priority="66">
      <formula>AND(S$9&gt;=8/24,S$9&lt;14/24)</formula>
    </cfRule>
    <cfRule type="expression" dxfId="3246" priority="67">
      <formula>S$9&lt;8/24</formula>
    </cfRule>
  </conditionalFormatting>
  <conditionalFormatting sqref="AB58:AE59">
    <cfRule type="expression" dxfId="3245" priority="48">
      <formula>AB$9&gt;=20/24</formula>
    </cfRule>
    <cfRule type="expression" dxfId="3244" priority="49">
      <formula>AND(AB$9&gt;=14/24,AB$9&lt;20/24)</formula>
    </cfRule>
    <cfRule type="expression" dxfId="3243" priority="50">
      <formula>AND(AB$9&gt;=8/24,AB$9&lt;14/24)</formula>
    </cfRule>
    <cfRule type="expression" dxfId="3242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41" priority="281">
      <formula>C$9&gt;=20/24</formula>
    </cfRule>
    <cfRule type="expression" dxfId="3240" priority="282">
      <formula>AND(C$9&gt;=14/24,C$9&lt;20/24)</formula>
    </cfRule>
    <cfRule type="expression" dxfId="3239" priority="283">
      <formula>AND(C$9&gt;=8/24,C$9&lt;14/24)</formula>
    </cfRule>
    <cfRule type="expression" dxfId="3238" priority="284">
      <formula>C$9&lt;8/24</formula>
    </cfRule>
  </conditionalFormatting>
  <conditionalFormatting sqref="A200">
    <cfRule type="expression" dxfId="3237" priority="285">
      <formula>$AH200=0</formula>
    </cfRule>
  </conditionalFormatting>
  <conditionalFormatting sqref="AG212">
    <cfRule type="expression" dxfId="3236" priority="286">
      <formula>B$9&gt;=20/24</formula>
    </cfRule>
    <cfRule type="expression" dxfId="3235" priority="287">
      <formula>AND(B$9&gt;=14/24,B$9&lt;20/24)</formula>
    </cfRule>
    <cfRule type="expression" dxfId="3234" priority="288">
      <formula>AND(B$9&gt;=8/24,B$9&lt;14/24)</formula>
    </cfRule>
    <cfRule type="expression" dxfId="3233" priority="289">
      <formula>B$9&lt;8/24</formula>
    </cfRule>
  </conditionalFormatting>
  <conditionalFormatting sqref="S8">
    <cfRule type="expression" dxfId="3232" priority="42">
      <formula>U$9&gt;=20/24</formula>
    </cfRule>
    <cfRule type="expression" dxfId="3231" priority="43">
      <formula>AND(U$9&gt;=14/24,U$9&lt;20/24)</formula>
    </cfRule>
    <cfRule type="expression" dxfId="3230" priority="44">
      <formula>AND(U$9&gt;=8/24,U$9&lt;14/24)</formula>
    </cfRule>
    <cfRule type="expression" dxfId="3229" priority="45">
      <formula>U$9&lt;8/24</formula>
    </cfRule>
  </conditionalFormatting>
  <conditionalFormatting sqref="AB8">
    <cfRule type="expression" dxfId="3228" priority="38">
      <formula>AD$9&gt;=20/24</formula>
    </cfRule>
    <cfRule type="expression" dxfId="3227" priority="39">
      <formula>AND(AD$9&gt;=14/24,AD$9&lt;20/24)</formula>
    </cfRule>
    <cfRule type="expression" dxfId="3226" priority="40">
      <formula>AND(AD$9&gt;=8/24,AD$9&lt;14/24)</formula>
    </cfRule>
    <cfRule type="expression" dxfId="3225" priority="41">
      <formula>AD$9&lt;8/24</formula>
    </cfRule>
  </conditionalFormatting>
  <conditionalFormatting sqref="AH212:AX212">
    <cfRule type="expression" dxfId="3224" priority="290">
      <formula>AG$9&gt;=20/24</formula>
    </cfRule>
    <cfRule type="expression" dxfId="3223" priority="291">
      <formula>AND(AG$9&gt;=14/24,AG$9&lt;20/24)</formula>
    </cfRule>
    <cfRule type="expression" dxfId="3222" priority="292">
      <formula>AND(AG$9&gt;=8/24,AG$9&lt;14/24)</formula>
    </cfRule>
    <cfRule type="expression" dxfId="3221" priority="293">
      <formula>AG$9&lt;8/24</formula>
    </cfRule>
  </conditionalFormatting>
  <conditionalFormatting sqref="T212">
    <cfRule type="expression" dxfId="3220" priority="294">
      <formula>AX$9&gt;=20/24</formula>
    </cfRule>
    <cfRule type="expression" dxfId="3219" priority="295">
      <formula>AND(AX$9&gt;=14/24,AX$9&lt;20/24)</formula>
    </cfRule>
    <cfRule type="expression" dxfId="3218" priority="296">
      <formula>AND(AX$9&gt;=8/24,AX$9&lt;14/24)</formula>
    </cfRule>
    <cfRule type="expression" dxfId="3217" priority="297">
      <formula>AX$9&lt;8/24</formula>
    </cfRule>
  </conditionalFormatting>
  <conditionalFormatting sqref="A99">
    <cfRule type="expression" dxfId="3216" priority="37">
      <formula>$AH99=0</formula>
    </cfRule>
  </conditionalFormatting>
  <conditionalFormatting sqref="B33:L33">
    <cfRule type="expression" dxfId="3215" priority="24">
      <formula>B33&gt;$AG33</formula>
    </cfRule>
  </conditionalFormatting>
  <conditionalFormatting sqref="M11:M14 M36:M37 N12:P14 N36:AA36 Q13:AD14 AE13:AF13 M16:AF32">
    <cfRule type="expression" dxfId="3214" priority="20">
      <formula>M$9&gt;=20/24</formula>
    </cfRule>
    <cfRule type="expression" dxfId="3213" priority="21">
      <formula>AND(M$9&gt;=14/24,M$9&lt;20/24)</formula>
    </cfRule>
    <cfRule type="expression" dxfId="3212" priority="22">
      <formula>AND(M$9&gt;=8/24,M$9&lt;14/24)</formula>
    </cfRule>
    <cfRule type="expression" dxfId="3211" priority="23">
      <formula>M$9&lt;8/24</formula>
    </cfRule>
  </conditionalFormatting>
  <conditionalFormatting sqref="M35:AF35">
    <cfRule type="expression" dxfId="3210" priority="16">
      <formula>M$9&gt;=20/24</formula>
    </cfRule>
    <cfRule type="expression" dxfId="3209" priority="17">
      <formula>AND(M$9&gt;=14/24,M$9&lt;20/24)</formula>
    </cfRule>
    <cfRule type="expression" dxfId="3208" priority="18">
      <formula>AND(M$9&gt;=8/24,M$9&lt;14/24)</formula>
    </cfRule>
    <cfRule type="expression" dxfId="3207" priority="19">
      <formula>M$9&lt;8/24</formula>
    </cfRule>
  </conditionalFormatting>
  <conditionalFormatting sqref="M11:M14 M34:M37 N12:P14 N34:AA36 Q13:AD14 AE13:AF13 AB34:AF35 M16:AF32">
    <cfRule type="expression" dxfId="3206" priority="15">
      <formula>M11&gt;$AG11</formula>
    </cfRule>
  </conditionalFormatting>
  <conditionalFormatting sqref="M34:AF34">
    <cfRule type="expression" dxfId="3205" priority="11">
      <formula>M$9&gt;=20/24</formula>
    </cfRule>
    <cfRule type="expression" dxfId="3204" priority="12">
      <formula>AND(M$9&gt;=14/24,M$9&lt;20/24)</formula>
    </cfRule>
    <cfRule type="expression" dxfId="3203" priority="13">
      <formula>AND(M$9&gt;=8/24,M$9&lt;14/24)</formula>
    </cfRule>
    <cfRule type="expression" dxfId="3202" priority="14">
      <formula>M$9&lt;8/24</formula>
    </cfRule>
  </conditionalFormatting>
  <conditionalFormatting sqref="M15:AE15">
    <cfRule type="expression" dxfId="3201" priority="7">
      <formula>M$9&gt;=20/24</formula>
    </cfRule>
    <cfRule type="expression" dxfId="3200" priority="8">
      <formula>AND(M$9&gt;=14/24,M$9&lt;20/24)</formula>
    </cfRule>
    <cfRule type="expression" dxfId="3199" priority="9">
      <formula>AND(M$9&gt;=8/24,M$9&lt;14/24)</formula>
    </cfRule>
    <cfRule type="expression" dxfId="3198" priority="10">
      <formula>M$9&lt;8/24</formula>
    </cfRule>
  </conditionalFormatting>
  <conditionalFormatting sqref="M15:AE15">
    <cfRule type="expression" dxfId="3197" priority="6">
      <formula>M15&gt;$AG15</formula>
    </cfRule>
  </conditionalFormatting>
  <conditionalFormatting sqref="M33:AF33">
    <cfRule type="expression" dxfId="3196" priority="2">
      <formula>M$9&gt;=20/24</formula>
    </cfRule>
    <cfRule type="expression" dxfId="3195" priority="3">
      <formula>AND(M$9&gt;=14/24,M$9&lt;20/24)</formula>
    </cfRule>
    <cfRule type="expression" dxfId="3194" priority="4">
      <formula>AND(M$9&gt;=8/24,M$9&lt;14/24)</formula>
    </cfRule>
    <cfRule type="expression" dxfId="3193" priority="5">
      <formula>M$9&lt;8/24</formula>
    </cfRule>
  </conditionalFormatting>
  <conditionalFormatting sqref="M33:AF33">
    <cfRule type="expression" dxfId="3192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EA29E471-ECBC-4476-8BAB-B47A76B430D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7" sqref="W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2078/11/21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427.59999999999997</v>
      </c>
      <c r="C5" s="32">
        <f t="shared" si="0"/>
        <v>458.8</v>
      </c>
      <c r="D5" s="32">
        <f t="shared" si="0"/>
        <v>452.20000000000005</v>
      </c>
      <c r="E5" s="32">
        <f t="shared" si="0"/>
        <v>450.70000000000005</v>
      </c>
      <c r="F5" s="32">
        <f t="shared" si="0"/>
        <v>472.7</v>
      </c>
      <c r="G5" s="32">
        <f t="shared" si="0"/>
        <v>472.7</v>
      </c>
      <c r="H5" s="32">
        <f t="shared" si="0"/>
        <v>222.2</v>
      </c>
      <c r="I5" s="32">
        <f t="shared" si="0"/>
        <v>271.60000000000002</v>
      </c>
      <c r="J5" s="32">
        <f t="shared" si="0"/>
        <v>232.3</v>
      </c>
      <c r="K5" s="32">
        <f t="shared" si="0"/>
        <v>207.09999999999997</v>
      </c>
      <c r="L5" s="32">
        <f t="shared" si="0"/>
        <v>165.8</v>
      </c>
      <c r="M5" s="32">
        <f t="shared" si="0"/>
        <v>226.39999999999998</v>
      </c>
      <c r="N5" s="32">
        <f t="shared" si="0"/>
        <v>431.40000000000003</v>
      </c>
      <c r="O5" s="32">
        <f t="shared" si="0"/>
        <v>447.2</v>
      </c>
      <c r="P5" s="32">
        <f t="shared" si="0"/>
        <v>333.7</v>
      </c>
      <c r="Q5" s="32">
        <f t="shared" si="0"/>
        <v>345.70000000000005</v>
      </c>
      <c r="R5" s="32">
        <f t="shared" si="0"/>
        <v>418.7</v>
      </c>
      <c r="S5" s="32">
        <f t="shared" si="0"/>
        <v>426.1</v>
      </c>
      <c r="T5" s="32">
        <f t="shared" si="0"/>
        <v>428.90000000000003</v>
      </c>
      <c r="U5" s="32">
        <f t="shared" si="0"/>
        <v>183.9</v>
      </c>
      <c r="V5" s="32">
        <f t="shared" si="0"/>
        <v>122</v>
      </c>
      <c r="W5" s="32">
        <f t="shared" si="0"/>
        <v>128.80000000000001</v>
      </c>
      <c r="X5" s="32">
        <f t="shared" si="0"/>
        <v>252.9</v>
      </c>
      <c r="Y5" s="32">
        <f t="shared" si="0"/>
        <v>242.7</v>
      </c>
      <c r="Z5" s="32">
        <f t="shared" si="0"/>
        <v>241.89999999999998</v>
      </c>
      <c r="AA5" s="32">
        <f t="shared" si="0"/>
        <v>425.1</v>
      </c>
      <c r="AB5" s="32">
        <f t="shared" si="0"/>
        <v>426</v>
      </c>
      <c r="AC5" s="32">
        <f t="shared" si="0"/>
        <v>528</v>
      </c>
      <c r="AD5" s="32">
        <f t="shared" si="0"/>
        <v>458</v>
      </c>
      <c r="AE5" s="32">
        <f t="shared" si="0"/>
        <v>439</v>
      </c>
      <c r="AF5" s="32">
        <f>B68</f>
        <v>423.4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1321MW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Load=917</v>
      </c>
      <c r="B7" s="37">
        <f t="shared" ref="B7:AF7" si="1">B75</f>
        <v>940.93999999999994</v>
      </c>
      <c r="C7" s="37">
        <f t="shared" si="1"/>
        <v>935.63999999999987</v>
      </c>
      <c r="D7" s="37">
        <f t="shared" si="1"/>
        <v>927.84</v>
      </c>
      <c r="E7" s="37">
        <f t="shared" si="1"/>
        <v>918.44</v>
      </c>
      <c r="F7" s="37">
        <f t="shared" si="1"/>
        <v>916.94</v>
      </c>
      <c r="G7" s="37">
        <f t="shared" si="1"/>
        <v>956.94</v>
      </c>
      <c r="H7" s="37">
        <f t="shared" si="1"/>
        <v>956.94</v>
      </c>
      <c r="I7" s="37">
        <f t="shared" si="1"/>
        <v>1003.04</v>
      </c>
      <c r="J7" s="37">
        <f t="shared" si="1"/>
        <v>1147.44</v>
      </c>
      <c r="K7" s="37">
        <f t="shared" si="1"/>
        <v>1226.3400000000001</v>
      </c>
      <c r="L7" s="37">
        <f t="shared" si="1"/>
        <v>1314.3400000000001</v>
      </c>
      <c r="M7" s="37">
        <f t="shared" si="1"/>
        <v>1321.2400000000002</v>
      </c>
      <c r="N7" s="37">
        <f t="shared" si="1"/>
        <v>1312.04</v>
      </c>
      <c r="O7" s="37">
        <f t="shared" si="1"/>
        <v>1193.04</v>
      </c>
      <c r="P7" s="37">
        <f t="shared" si="1"/>
        <v>1167.3400000000001</v>
      </c>
      <c r="Q7" s="37">
        <f t="shared" si="1"/>
        <v>1094.8399999999999</v>
      </c>
      <c r="R7" s="37">
        <f t="shared" si="1"/>
        <v>1084.6400000000001</v>
      </c>
      <c r="S7" s="37">
        <f t="shared" si="1"/>
        <v>1024.54</v>
      </c>
      <c r="T7" s="37">
        <f t="shared" si="1"/>
        <v>1047.04</v>
      </c>
      <c r="U7" s="37">
        <f t="shared" si="1"/>
        <v>1049.8400000000001</v>
      </c>
      <c r="V7" s="37">
        <f t="shared" si="1"/>
        <v>1054.44</v>
      </c>
      <c r="W7" s="37">
        <f t="shared" si="1"/>
        <v>1088.3400000000001</v>
      </c>
      <c r="X7" s="37">
        <f t="shared" si="1"/>
        <v>1194.1400000000001</v>
      </c>
      <c r="Y7" s="37">
        <f t="shared" si="1"/>
        <v>1376.44</v>
      </c>
      <c r="Z7" s="37">
        <f t="shared" si="1"/>
        <v>1403.54</v>
      </c>
      <c r="AA7" s="37">
        <f t="shared" si="1"/>
        <v>1315.04</v>
      </c>
      <c r="AB7" s="37">
        <f t="shared" si="1"/>
        <v>1243.1400000000001</v>
      </c>
      <c r="AC7" s="37">
        <f t="shared" si="1"/>
        <v>1201.94</v>
      </c>
      <c r="AD7" s="37">
        <f t="shared" si="1"/>
        <v>1151.94</v>
      </c>
      <c r="AE7" s="37">
        <f t="shared" si="1"/>
        <v>1030.94</v>
      </c>
      <c r="AF7" s="37">
        <f t="shared" si="1"/>
        <v>968.34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40</v>
      </c>
      <c r="C11" s="49">
        <v>20</v>
      </c>
      <c r="D11" s="49">
        <v>10</v>
      </c>
      <c r="E11" s="49">
        <v>10</v>
      </c>
      <c r="F11" s="49">
        <v>10</v>
      </c>
      <c r="G11" s="49">
        <v>10</v>
      </c>
      <c r="H11" s="49">
        <v>10</v>
      </c>
      <c r="I11" s="49">
        <v>120</v>
      </c>
      <c r="J11" s="49">
        <v>195</v>
      </c>
      <c r="K11" s="49">
        <v>320</v>
      </c>
      <c r="L11" s="49">
        <v>345</v>
      </c>
      <c r="M11" s="50">
        <v>370</v>
      </c>
      <c r="N11" s="50">
        <v>370</v>
      </c>
      <c r="O11" s="50">
        <v>90</v>
      </c>
      <c r="P11" s="50">
        <v>85</v>
      </c>
      <c r="Q11" s="50">
        <v>60</v>
      </c>
      <c r="R11" s="51">
        <v>80</v>
      </c>
      <c r="S11" s="51">
        <v>12</v>
      </c>
      <c r="T11" s="51">
        <v>12</v>
      </c>
      <c r="U11" s="51">
        <v>12</v>
      </c>
      <c r="V11" s="50">
        <v>240</v>
      </c>
      <c r="W11" s="50">
        <v>240</v>
      </c>
      <c r="X11" s="50">
        <v>330</v>
      </c>
      <c r="Y11" s="50">
        <v>320</v>
      </c>
      <c r="Z11" s="50">
        <v>340</v>
      </c>
      <c r="AA11" s="50">
        <v>300</v>
      </c>
      <c r="AB11" s="50">
        <v>80</v>
      </c>
      <c r="AC11" s="50">
        <v>80</v>
      </c>
      <c r="AD11" s="50">
        <v>12</v>
      </c>
      <c r="AE11" s="50">
        <v>12</v>
      </c>
      <c r="AF11" s="50">
        <v>12</v>
      </c>
      <c r="AG11" s="53">
        <v>456</v>
      </c>
      <c r="AH11" s="54">
        <f>MAX(B11:AF11)</f>
        <v>370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16.8</v>
      </c>
      <c r="C13" s="49">
        <v>16.899999999999999</v>
      </c>
      <c r="D13" s="49">
        <v>16.8</v>
      </c>
      <c r="E13" s="49">
        <v>17.2</v>
      </c>
      <c r="F13" s="49">
        <v>17.2</v>
      </c>
      <c r="G13" s="49">
        <v>17.2</v>
      </c>
      <c r="H13" s="49">
        <v>17.2</v>
      </c>
      <c r="I13" s="49">
        <v>17.2</v>
      </c>
      <c r="J13" s="49">
        <v>17.2</v>
      </c>
      <c r="K13" s="49">
        <v>17.2</v>
      </c>
      <c r="L13" s="49">
        <v>17.5</v>
      </c>
      <c r="M13" s="49">
        <v>17.5</v>
      </c>
      <c r="N13" s="49">
        <v>17.5</v>
      </c>
      <c r="O13" s="49">
        <v>17.5</v>
      </c>
      <c r="P13" s="49">
        <v>16.100000000000001</v>
      </c>
      <c r="Q13" s="49">
        <v>16.100000000000001</v>
      </c>
      <c r="R13" s="49">
        <v>17.2</v>
      </c>
      <c r="S13" s="49">
        <v>17.2</v>
      </c>
      <c r="T13" s="49">
        <v>17.2</v>
      </c>
      <c r="U13" s="49">
        <v>17.2</v>
      </c>
      <c r="V13" s="49">
        <v>17.2</v>
      </c>
      <c r="W13" s="49">
        <v>17.2</v>
      </c>
      <c r="X13" s="49">
        <v>17.2</v>
      </c>
      <c r="Y13" s="49">
        <v>17.2</v>
      </c>
      <c r="Z13" s="49">
        <v>17.2</v>
      </c>
      <c r="AA13" s="49">
        <v>17.2</v>
      </c>
      <c r="AB13" s="49">
        <v>17.2</v>
      </c>
      <c r="AC13" s="49">
        <v>17.2</v>
      </c>
      <c r="AD13" s="49">
        <v>17.2</v>
      </c>
      <c r="AE13" s="49">
        <v>17.2</v>
      </c>
      <c r="AF13" s="49">
        <v>17.2</v>
      </c>
      <c r="AG13" s="59">
        <v>52.4</v>
      </c>
      <c r="AH13" s="54">
        <f t="shared" si="2"/>
        <v>17.5</v>
      </c>
      <c r="AI13" s="55">
        <f t="shared" si="3"/>
        <v>16.100000000000001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33.6</v>
      </c>
      <c r="C14" s="49">
        <v>33.6</v>
      </c>
      <c r="D14" s="49">
        <v>33.4</v>
      </c>
      <c r="E14" s="49">
        <v>33.5</v>
      </c>
      <c r="F14" s="49">
        <v>33.5</v>
      </c>
      <c r="G14" s="49">
        <v>33.5</v>
      </c>
      <c r="H14" s="49">
        <v>33.5</v>
      </c>
      <c r="I14" s="49">
        <v>33.5</v>
      </c>
      <c r="J14" s="49">
        <v>33.5</v>
      </c>
      <c r="K14" s="49">
        <v>34.700000000000003</v>
      </c>
      <c r="L14" s="49">
        <v>34.700000000000003</v>
      </c>
      <c r="M14" s="50">
        <v>34.700000000000003</v>
      </c>
      <c r="N14" s="50">
        <v>34.700000000000003</v>
      </c>
      <c r="O14" s="50">
        <v>34.700000000000003</v>
      </c>
      <c r="P14" s="50">
        <v>35</v>
      </c>
      <c r="Q14" s="50">
        <v>35</v>
      </c>
      <c r="R14" s="50">
        <v>35.200000000000003</v>
      </c>
      <c r="S14" s="50">
        <v>35.200000000000003</v>
      </c>
      <c r="T14" s="50">
        <v>35.200000000000003</v>
      </c>
      <c r="U14" s="50">
        <v>35.200000000000003</v>
      </c>
      <c r="V14" s="50">
        <v>35.200000000000003</v>
      </c>
      <c r="W14" s="50">
        <v>35.200000000000003</v>
      </c>
      <c r="X14" s="50">
        <v>35.200000000000003</v>
      </c>
      <c r="Y14" s="50">
        <v>35.200000000000003</v>
      </c>
      <c r="Z14" s="50">
        <v>35.200000000000003</v>
      </c>
      <c r="AA14" s="50">
        <v>35.200000000000003</v>
      </c>
      <c r="AB14" s="50">
        <v>35.200000000000003</v>
      </c>
      <c r="AC14" s="50">
        <v>35.200000000000003</v>
      </c>
      <c r="AD14" s="50">
        <v>35.200000000000003</v>
      </c>
      <c r="AE14" s="50">
        <v>35.200000000000003</v>
      </c>
      <c r="AF14" s="50">
        <v>35.200000000000003</v>
      </c>
      <c r="AG14" s="59">
        <v>50</v>
      </c>
      <c r="AH14" s="54">
        <f t="shared" si="2"/>
        <v>35.200000000000003</v>
      </c>
      <c r="AI14" s="55">
        <f t="shared" si="3"/>
        <v>33.4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20.399999999999999</v>
      </c>
      <c r="C15" s="61">
        <v>20.9</v>
      </c>
      <c r="D15" s="61">
        <v>20.8</v>
      </c>
      <c r="E15" s="61">
        <v>20.8</v>
      </c>
      <c r="F15" s="61">
        <v>20.8</v>
      </c>
      <c r="G15" s="61">
        <v>20.8</v>
      </c>
      <c r="H15" s="61">
        <v>20.8</v>
      </c>
      <c r="I15" s="61">
        <v>20.8</v>
      </c>
      <c r="J15" s="61">
        <v>20.8</v>
      </c>
      <c r="K15" s="61">
        <v>20.8</v>
      </c>
      <c r="L15" s="61">
        <v>20.100000000000001</v>
      </c>
      <c r="M15" s="50">
        <v>20.100000000000001</v>
      </c>
      <c r="N15" s="50">
        <v>20.100000000000001</v>
      </c>
      <c r="O15" s="50">
        <v>20.100000000000001</v>
      </c>
      <c r="P15" s="50">
        <v>17.899999999999999</v>
      </c>
      <c r="Q15" s="50">
        <v>17.899999999999999</v>
      </c>
      <c r="R15" s="50">
        <v>18.3</v>
      </c>
      <c r="S15" s="50">
        <v>18.3</v>
      </c>
      <c r="T15" s="50">
        <v>18.3</v>
      </c>
      <c r="U15" s="50">
        <v>18.3</v>
      </c>
      <c r="V15" s="50">
        <v>18.3</v>
      </c>
      <c r="W15" s="50">
        <v>18.3</v>
      </c>
      <c r="X15" s="50">
        <v>18.3</v>
      </c>
      <c r="Y15" s="50">
        <v>18.3</v>
      </c>
      <c r="Z15" s="50">
        <v>18.3</v>
      </c>
      <c r="AA15" s="50">
        <v>18.3</v>
      </c>
      <c r="AB15" s="50">
        <v>18.3</v>
      </c>
      <c r="AC15" s="50">
        <v>18.3</v>
      </c>
      <c r="AD15" s="50">
        <v>18.3</v>
      </c>
      <c r="AE15" s="50">
        <v>18.3</v>
      </c>
      <c r="AF15" s="50">
        <v>18.3</v>
      </c>
      <c r="AG15" s="62">
        <v>45</v>
      </c>
      <c r="AH15" s="54">
        <f t="shared" si="2"/>
        <v>20.9</v>
      </c>
      <c r="AI15" s="55">
        <f t="shared" si="3"/>
        <v>17.899999999999999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10</v>
      </c>
      <c r="C19" s="49">
        <v>10.5</v>
      </c>
      <c r="D19" s="49">
        <v>9.8000000000000007</v>
      </c>
      <c r="E19" s="49">
        <v>9.6</v>
      </c>
      <c r="F19" s="49">
        <v>9.6</v>
      </c>
      <c r="G19" s="49">
        <v>9.9</v>
      </c>
      <c r="H19" s="49">
        <v>9.9</v>
      </c>
      <c r="I19" s="49">
        <v>9.9</v>
      </c>
      <c r="J19" s="49">
        <v>9.9</v>
      </c>
      <c r="K19" s="49">
        <v>9.8000000000000007</v>
      </c>
      <c r="L19" s="49">
        <v>9.9</v>
      </c>
      <c r="M19" s="50">
        <v>9.9</v>
      </c>
      <c r="N19" s="50">
        <v>9.9</v>
      </c>
      <c r="O19" s="50">
        <v>9.9</v>
      </c>
      <c r="P19" s="50">
        <v>9.3000000000000007</v>
      </c>
      <c r="Q19" s="50">
        <v>9.3000000000000007</v>
      </c>
      <c r="R19" s="50">
        <v>9.3000000000000007</v>
      </c>
      <c r="S19" s="50">
        <v>9.3000000000000007</v>
      </c>
      <c r="T19" s="50">
        <v>9.3000000000000007</v>
      </c>
      <c r="U19" s="50">
        <v>9.3000000000000007</v>
      </c>
      <c r="V19" s="50">
        <v>9.3000000000000007</v>
      </c>
      <c r="W19" s="50">
        <v>9.3000000000000007</v>
      </c>
      <c r="X19" s="50">
        <v>9.3000000000000007</v>
      </c>
      <c r="Y19" s="50">
        <v>9.3000000000000007</v>
      </c>
      <c r="Z19" s="50">
        <v>9.3000000000000007</v>
      </c>
      <c r="AA19" s="50">
        <v>9.3000000000000007</v>
      </c>
      <c r="AB19" s="50">
        <v>9.3000000000000007</v>
      </c>
      <c r="AC19" s="50">
        <v>9.3000000000000007</v>
      </c>
      <c r="AD19" s="50">
        <v>9.3000000000000007</v>
      </c>
      <c r="AE19" s="50">
        <v>9.3000000000000007</v>
      </c>
      <c r="AF19" s="50">
        <v>9.3000000000000007</v>
      </c>
      <c r="AG19" s="59">
        <v>30</v>
      </c>
      <c r="AH19" s="54">
        <f t="shared" si="2"/>
        <v>10.5</v>
      </c>
      <c r="AI19" s="55">
        <f t="shared" si="3"/>
        <v>9.3000000000000007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10</v>
      </c>
      <c r="C22" s="50">
        <v>19</v>
      </c>
      <c r="D22" s="50">
        <v>19</v>
      </c>
      <c r="E22" s="50">
        <v>19</v>
      </c>
      <c r="F22" s="50">
        <v>19</v>
      </c>
      <c r="G22" s="50">
        <v>19</v>
      </c>
      <c r="H22" s="50">
        <v>19</v>
      </c>
      <c r="I22" s="50">
        <v>19</v>
      </c>
      <c r="J22" s="50">
        <v>19</v>
      </c>
      <c r="K22" s="50">
        <v>19</v>
      </c>
      <c r="L22" s="50">
        <v>19</v>
      </c>
      <c r="M22" s="50">
        <v>10.1</v>
      </c>
      <c r="N22" s="50">
        <v>10.1</v>
      </c>
      <c r="O22" s="50">
        <v>10.1</v>
      </c>
      <c r="P22" s="50">
        <v>10.1</v>
      </c>
      <c r="Q22" s="50">
        <v>10.1</v>
      </c>
      <c r="R22" s="50">
        <v>9.1999999999999993</v>
      </c>
      <c r="S22" s="50">
        <v>9.1999999999999993</v>
      </c>
      <c r="T22" s="50">
        <v>9.1999999999999993</v>
      </c>
      <c r="U22" s="50">
        <v>9.1999999999999993</v>
      </c>
      <c r="V22" s="50">
        <v>9.1999999999999993</v>
      </c>
      <c r="W22" s="50">
        <v>9.1999999999999993</v>
      </c>
      <c r="X22" s="50">
        <v>9.1999999999999993</v>
      </c>
      <c r="Y22" s="50">
        <v>19.2</v>
      </c>
      <c r="Z22" s="50">
        <v>19.399999999999999</v>
      </c>
      <c r="AA22" s="50">
        <v>19.399999999999999</v>
      </c>
      <c r="AB22" s="50">
        <v>19.399999999999999</v>
      </c>
      <c r="AC22" s="50">
        <v>19.399999999999999</v>
      </c>
      <c r="AD22" s="50">
        <v>19.399999999999999</v>
      </c>
      <c r="AE22" s="50">
        <v>19.399999999999999</v>
      </c>
      <c r="AF22" s="50">
        <v>19.399999999999999</v>
      </c>
      <c r="AG22" s="59">
        <v>25</v>
      </c>
      <c r="AH22" s="54">
        <f t="shared" si="2"/>
        <v>19.399999999999999</v>
      </c>
      <c r="AI22" s="55">
        <f t="shared" si="3"/>
        <v>9.1999999999999993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10.5</v>
      </c>
      <c r="C24" s="49">
        <v>10.199999999999999</v>
      </c>
      <c r="D24" s="49">
        <v>9.6</v>
      </c>
      <c r="E24" s="49">
        <v>6.5</v>
      </c>
      <c r="F24" s="49">
        <v>6.5</v>
      </c>
      <c r="G24" s="49">
        <v>7</v>
      </c>
      <c r="H24" s="49">
        <v>7</v>
      </c>
      <c r="I24" s="49">
        <v>7</v>
      </c>
      <c r="J24" s="49">
        <v>7</v>
      </c>
      <c r="K24" s="49">
        <v>7</v>
      </c>
      <c r="L24" s="49">
        <v>7</v>
      </c>
      <c r="M24" s="50">
        <v>7</v>
      </c>
      <c r="N24" s="50">
        <v>7</v>
      </c>
      <c r="O24" s="50">
        <v>7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9">
        <v>25</v>
      </c>
      <c r="AH24" s="54">
        <f t="shared" si="2"/>
        <v>10.5</v>
      </c>
      <c r="AI24" s="55">
        <f t="shared" si="3"/>
        <v>6.5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140</v>
      </c>
      <c r="C36" s="61">
        <v>140</v>
      </c>
      <c r="D36" s="61">
        <v>140</v>
      </c>
      <c r="E36" s="61">
        <v>140</v>
      </c>
      <c r="F36" s="61">
        <v>140</v>
      </c>
      <c r="G36" s="61">
        <v>140</v>
      </c>
      <c r="H36" s="61">
        <v>140</v>
      </c>
      <c r="I36" s="61">
        <v>140</v>
      </c>
      <c r="J36" s="61">
        <v>140</v>
      </c>
      <c r="K36" s="61">
        <v>140</v>
      </c>
      <c r="L36" s="61">
        <v>140</v>
      </c>
      <c r="M36" s="61">
        <v>140</v>
      </c>
      <c r="N36" s="61">
        <v>140</v>
      </c>
      <c r="O36" s="61">
        <v>140</v>
      </c>
      <c r="P36" s="61">
        <v>140</v>
      </c>
      <c r="Q36" s="61">
        <v>140</v>
      </c>
      <c r="R36" s="61">
        <v>140</v>
      </c>
      <c r="S36" s="61">
        <v>140</v>
      </c>
      <c r="T36" s="61">
        <v>140</v>
      </c>
      <c r="U36" s="61">
        <v>140</v>
      </c>
      <c r="V36" s="61">
        <v>140</v>
      </c>
      <c r="W36" s="61">
        <v>140</v>
      </c>
      <c r="X36" s="61">
        <v>140</v>
      </c>
      <c r="Y36" s="61">
        <v>140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140</v>
      </c>
      <c r="AK36" s="56"/>
    </row>
    <row r="37" spans="1:88" ht="15.75" thickBot="1" x14ac:dyDescent="0.3">
      <c r="A37" s="69" t="s">
        <v>45</v>
      </c>
      <c r="B37" s="70">
        <v>33.5</v>
      </c>
      <c r="C37" s="61">
        <v>34.799999999999997</v>
      </c>
      <c r="D37" s="61">
        <v>35.4</v>
      </c>
      <c r="E37" s="61">
        <v>33.200000000000003</v>
      </c>
      <c r="F37" s="61">
        <v>35.200000000000003</v>
      </c>
      <c r="G37" s="61">
        <v>35</v>
      </c>
      <c r="H37" s="61">
        <v>34</v>
      </c>
      <c r="I37" s="61">
        <v>34.200000000000003</v>
      </c>
      <c r="J37" s="61">
        <v>33.9</v>
      </c>
      <c r="K37" s="61">
        <v>34.700000000000003</v>
      </c>
      <c r="L37" s="61">
        <v>32.700000000000003</v>
      </c>
      <c r="M37" s="70">
        <f>11.2+21.1</f>
        <v>32.299999999999997</v>
      </c>
      <c r="N37" s="70">
        <f>11.2+21.6</f>
        <v>32.799999999999997</v>
      </c>
      <c r="O37" s="70">
        <v>32.5</v>
      </c>
      <c r="P37" s="70">
        <f>12.5+23.5</f>
        <v>36</v>
      </c>
      <c r="Q37" s="70">
        <f>12.7+23.8</f>
        <v>36.5</v>
      </c>
      <c r="R37" s="70">
        <f>12.5+23.5</f>
        <v>36</v>
      </c>
      <c r="S37" s="70">
        <v>35.5</v>
      </c>
      <c r="T37" s="70">
        <v>34.799999999999997</v>
      </c>
      <c r="U37" s="70">
        <v>34.4</v>
      </c>
      <c r="V37" s="70">
        <v>34.5</v>
      </c>
      <c r="W37" s="70">
        <v>32.799999999999997</v>
      </c>
      <c r="X37" s="70">
        <v>31</v>
      </c>
      <c r="Y37" s="70">
        <v>30.1</v>
      </c>
      <c r="Z37" s="70">
        <v>30</v>
      </c>
      <c r="AA37" s="70">
        <v>30.5</v>
      </c>
      <c r="AB37" s="70">
        <v>30.5</v>
      </c>
      <c r="AC37" s="70">
        <v>30.5</v>
      </c>
      <c r="AD37" s="70">
        <v>30.5</v>
      </c>
      <c r="AE37" s="70">
        <v>30.5</v>
      </c>
      <c r="AF37" s="70">
        <v>30.5</v>
      </c>
      <c r="AG37" s="67">
        <v>240</v>
      </c>
      <c r="AH37" s="54">
        <f t="shared" si="2"/>
        <v>36.5</v>
      </c>
      <c r="AI37" s="55">
        <f t="shared" si="3"/>
        <v>30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396.5</v>
      </c>
      <c r="C38" s="72">
        <f t="shared" ref="C38:AF38" si="5">SUM(C11:C36)</f>
        <v>386.29999999999995</v>
      </c>
      <c r="D38" s="72">
        <f t="shared" si="5"/>
        <v>374.6</v>
      </c>
      <c r="E38" s="72">
        <f t="shared" si="5"/>
        <v>371.79999999999995</v>
      </c>
      <c r="F38" s="72">
        <f t="shared" si="5"/>
        <v>371.79999999999995</v>
      </c>
      <c r="G38" s="72">
        <f t="shared" si="5"/>
        <v>372.6</v>
      </c>
      <c r="H38" s="72">
        <f t="shared" si="5"/>
        <v>372.6</v>
      </c>
      <c r="I38" s="72">
        <f t="shared" si="5"/>
        <v>482.59999999999997</v>
      </c>
      <c r="J38" s="72">
        <f t="shared" si="5"/>
        <v>557.59999999999991</v>
      </c>
      <c r="K38" s="72">
        <f t="shared" si="5"/>
        <v>683.7</v>
      </c>
      <c r="L38" s="72">
        <f t="shared" si="5"/>
        <v>708.40000000000009</v>
      </c>
      <c r="M38" s="72">
        <f t="shared" si="5"/>
        <v>724.50000000000011</v>
      </c>
      <c r="N38" s="72">
        <f t="shared" si="5"/>
        <v>724.50000000000011</v>
      </c>
      <c r="O38" s="72">
        <f t="shared" si="5"/>
        <v>444.5</v>
      </c>
      <c r="P38" s="72">
        <f t="shared" si="5"/>
        <v>435.6</v>
      </c>
      <c r="Q38" s="72">
        <f t="shared" si="5"/>
        <v>410.59999999999997</v>
      </c>
      <c r="R38" s="72">
        <f t="shared" si="5"/>
        <v>431.4</v>
      </c>
      <c r="S38" s="72">
        <f t="shared" si="5"/>
        <v>363.4</v>
      </c>
      <c r="T38" s="72">
        <f t="shared" si="5"/>
        <v>363.4</v>
      </c>
      <c r="U38" s="72">
        <f t="shared" si="5"/>
        <v>363.4</v>
      </c>
      <c r="V38" s="72">
        <f t="shared" si="5"/>
        <v>591.4</v>
      </c>
      <c r="W38" s="72">
        <f t="shared" si="5"/>
        <v>591.4</v>
      </c>
      <c r="X38" s="72">
        <f t="shared" si="5"/>
        <v>681.40000000000009</v>
      </c>
      <c r="Y38" s="72">
        <f t="shared" si="5"/>
        <v>681.40000000000009</v>
      </c>
      <c r="Z38" s="72">
        <f t="shared" si="5"/>
        <v>721.6</v>
      </c>
      <c r="AA38" s="72">
        <f t="shared" si="5"/>
        <v>681.6</v>
      </c>
      <c r="AB38" s="72">
        <f t="shared" si="5"/>
        <v>461.6</v>
      </c>
      <c r="AC38" s="72">
        <f t="shared" si="5"/>
        <v>461.6</v>
      </c>
      <c r="AD38" s="72">
        <f t="shared" si="5"/>
        <v>393.6</v>
      </c>
      <c r="AE38" s="72">
        <f t="shared" si="5"/>
        <v>393.6</v>
      </c>
      <c r="AF38" s="72">
        <f t="shared" si="5"/>
        <v>393.6</v>
      </c>
      <c r="AG38" s="67">
        <f>SUM(AG11:AG37)</f>
        <v>1492.8299999999997</v>
      </c>
      <c r="AH38" s="54">
        <f t="shared" si="2"/>
        <v>724.50000000000011</v>
      </c>
      <c r="AI38" s="55">
        <f t="shared" si="3"/>
        <v>363.4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49">
        <v>90</v>
      </c>
      <c r="J39" s="49">
        <v>110</v>
      </c>
      <c r="K39" s="61">
        <v>90.9</v>
      </c>
      <c r="L39" s="61">
        <v>132</v>
      </c>
      <c r="M39" s="50">
        <v>145.69999999999999</v>
      </c>
      <c r="N39" s="50">
        <v>71</v>
      </c>
      <c r="O39" s="50">
        <v>63.8</v>
      </c>
      <c r="P39" s="50">
        <v>62.5</v>
      </c>
      <c r="Q39" s="50">
        <v>121.8</v>
      </c>
      <c r="R39" s="50">
        <v>111.6</v>
      </c>
      <c r="S39" s="50">
        <v>110</v>
      </c>
      <c r="T39" s="50">
        <v>121.3</v>
      </c>
      <c r="U39" s="50">
        <v>121.3</v>
      </c>
      <c r="V39" s="50">
        <v>121.3</v>
      </c>
      <c r="W39" s="50">
        <v>141.4</v>
      </c>
      <c r="X39" s="50">
        <v>141.4</v>
      </c>
      <c r="Y39" s="50">
        <v>141.4</v>
      </c>
      <c r="Z39" s="50">
        <v>141.4</v>
      </c>
      <c r="AA39" s="50">
        <v>127.6</v>
      </c>
      <c r="AB39" s="50">
        <v>115</v>
      </c>
      <c r="AC39" s="50">
        <v>101</v>
      </c>
      <c r="AD39" s="50">
        <v>45</v>
      </c>
      <c r="AE39" s="50">
        <v>0</v>
      </c>
      <c r="AF39" s="49">
        <v>0</v>
      </c>
      <c r="AG39" s="62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68.5</v>
      </c>
      <c r="J40" s="61">
        <v>68.5</v>
      </c>
      <c r="K40" s="61">
        <v>70</v>
      </c>
      <c r="L40" s="61">
        <v>70.2</v>
      </c>
      <c r="M40" s="73">
        <v>69.5</v>
      </c>
      <c r="N40" s="73">
        <v>69.7</v>
      </c>
      <c r="O40" s="73">
        <v>52.9</v>
      </c>
      <c r="P40" s="73">
        <v>46.9</v>
      </c>
      <c r="Q40" s="73">
        <v>46.4</v>
      </c>
      <c r="R40" s="73">
        <v>34.5</v>
      </c>
      <c r="S40" s="73">
        <v>24.8</v>
      </c>
      <c r="T40" s="73">
        <v>24.8</v>
      </c>
      <c r="U40" s="73">
        <v>24.8</v>
      </c>
      <c r="V40" s="73">
        <v>34.799999999999997</v>
      </c>
      <c r="W40" s="73">
        <v>70.900000000000006</v>
      </c>
      <c r="X40" s="73">
        <v>70.900000000000006</v>
      </c>
      <c r="Y40" s="73">
        <v>70.900000000000006</v>
      </c>
      <c r="Z40" s="73">
        <v>70.900000000000006</v>
      </c>
      <c r="AA40" s="73">
        <v>70.099999999999994</v>
      </c>
      <c r="AB40" s="73">
        <v>70</v>
      </c>
      <c r="AC40" s="73">
        <v>48</v>
      </c>
      <c r="AD40" s="73">
        <v>35</v>
      </c>
      <c r="AE40" s="73">
        <v>35</v>
      </c>
      <c r="AF40" s="61">
        <v>0</v>
      </c>
      <c r="AG40" s="67">
        <v>70</v>
      </c>
      <c r="AH40" s="54">
        <f t="shared" si="2"/>
        <v>70.900000000000006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17.3</v>
      </c>
      <c r="C41" s="61">
        <v>17.3</v>
      </c>
      <c r="D41" s="61">
        <v>0</v>
      </c>
      <c r="E41" s="61">
        <v>0</v>
      </c>
      <c r="F41" s="61">
        <v>0</v>
      </c>
      <c r="G41" s="61">
        <v>17.2</v>
      </c>
      <c r="H41" s="61">
        <v>17.2</v>
      </c>
      <c r="I41" s="61">
        <v>45.5</v>
      </c>
      <c r="J41" s="61">
        <v>45.5</v>
      </c>
      <c r="K41" s="61">
        <v>55.2</v>
      </c>
      <c r="L41" s="61">
        <v>69.3</v>
      </c>
      <c r="M41" s="73">
        <v>68.8</v>
      </c>
      <c r="N41" s="73">
        <v>56.8</v>
      </c>
      <c r="O41" s="73">
        <v>49.2</v>
      </c>
      <c r="P41" s="73">
        <v>48.9</v>
      </c>
      <c r="Q41" s="73">
        <v>64.5</v>
      </c>
      <c r="R41" s="73">
        <v>41.2</v>
      </c>
      <c r="S41" s="73">
        <v>17</v>
      </c>
      <c r="T41" s="73">
        <v>22.3</v>
      </c>
      <c r="U41" s="73">
        <v>22.3</v>
      </c>
      <c r="V41" s="73">
        <v>33.9</v>
      </c>
      <c r="W41" s="73">
        <v>68.2</v>
      </c>
      <c r="X41" s="73">
        <v>68.2</v>
      </c>
      <c r="Y41" s="73">
        <v>68.2</v>
      </c>
      <c r="Z41" s="73">
        <v>68.2</v>
      </c>
      <c r="AA41" s="73">
        <v>68.2</v>
      </c>
      <c r="AB41" s="73">
        <v>67</v>
      </c>
      <c r="AC41" s="73">
        <v>67</v>
      </c>
      <c r="AD41" s="73">
        <v>52</v>
      </c>
      <c r="AE41" s="73">
        <v>46</v>
      </c>
      <c r="AF41" s="61">
        <v>32</v>
      </c>
      <c r="AG41" s="67">
        <v>69</v>
      </c>
      <c r="AH41" s="54">
        <f t="shared" si="2"/>
        <v>69.3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45.9</v>
      </c>
      <c r="C42" s="61">
        <v>45.9</v>
      </c>
      <c r="D42" s="61">
        <v>46.1</v>
      </c>
      <c r="E42" s="61">
        <v>46.1</v>
      </c>
      <c r="F42" s="61">
        <v>46.1</v>
      </c>
      <c r="G42" s="61">
        <v>46.1</v>
      </c>
      <c r="H42" s="61">
        <v>46.1</v>
      </c>
      <c r="I42" s="61">
        <v>45.9</v>
      </c>
      <c r="J42" s="61">
        <v>45.9</v>
      </c>
      <c r="K42" s="61">
        <v>45.9</v>
      </c>
      <c r="L42" s="61">
        <v>46.1</v>
      </c>
      <c r="M42" s="73">
        <v>45.6</v>
      </c>
      <c r="N42" s="73">
        <v>45.6</v>
      </c>
      <c r="O42" s="73">
        <v>42.3</v>
      </c>
      <c r="P42" s="73">
        <v>42.3</v>
      </c>
      <c r="Q42" s="73">
        <v>42.6</v>
      </c>
      <c r="R42" s="73">
        <v>45.3</v>
      </c>
      <c r="S42" s="73">
        <v>45.3</v>
      </c>
      <c r="T42" s="73">
        <v>43.8</v>
      </c>
      <c r="U42" s="73">
        <v>43.8</v>
      </c>
      <c r="V42" s="73">
        <v>43.8</v>
      </c>
      <c r="W42" s="73">
        <v>43.1</v>
      </c>
      <c r="X42" s="73">
        <v>43.1</v>
      </c>
      <c r="Y42" s="73">
        <v>43.1</v>
      </c>
      <c r="Z42" s="73">
        <v>43.1</v>
      </c>
      <c r="AA42" s="73">
        <v>43.1</v>
      </c>
      <c r="AB42" s="73">
        <v>43</v>
      </c>
      <c r="AC42" s="73">
        <v>43</v>
      </c>
      <c r="AD42" s="73">
        <v>43</v>
      </c>
      <c r="AE42" s="73">
        <v>43</v>
      </c>
      <c r="AF42" s="61">
        <v>48.4</v>
      </c>
      <c r="AG42" s="67">
        <v>60</v>
      </c>
      <c r="AH42" s="54">
        <f t="shared" si="2"/>
        <v>48.4</v>
      </c>
      <c r="AI42" s="55">
        <f t="shared" si="3"/>
        <v>42.3</v>
      </c>
      <c r="AK42" s="56"/>
    </row>
    <row r="43" spans="1:88" x14ac:dyDescent="0.25">
      <c r="A43" s="66" t="s">
        <v>51</v>
      </c>
      <c r="B43" s="61">
        <v>9.5</v>
      </c>
      <c r="C43" s="61">
        <v>10.199999999999999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13.2</v>
      </c>
      <c r="M43" s="50">
        <v>13.1</v>
      </c>
      <c r="N43" s="50">
        <v>13.4</v>
      </c>
      <c r="O43" s="50">
        <v>10.5</v>
      </c>
      <c r="P43" s="50">
        <v>10</v>
      </c>
      <c r="Q43" s="50">
        <v>9.9</v>
      </c>
      <c r="R43" s="50">
        <v>9.6</v>
      </c>
      <c r="S43" s="50">
        <v>0</v>
      </c>
      <c r="T43" s="50">
        <v>0</v>
      </c>
      <c r="U43" s="50">
        <v>0</v>
      </c>
      <c r="V43" s="50">
        <v>0</v>
      </c>
      <c r="W43" s="50">
        <v>6</v>
      </c>
      <c r="X43" s="50">
        <v>15</v>
      </c>
      <c r="Y43" s="50">
        <v>15</v>
      </c>
      <c r="Z43" s="73">
        <v>6</v>
      </c>
      <c r="AA43" s="73">
        <v>10.7</v>
      </c>
      <c r="AB43" s="73">
        <v>10</v>
      </c>
      <c r="AC43" s="73">
        <v>10</v>
      </c>
      <c r="AD43" s="73">
        <v>10</v>
      </c>
      <c r="AE43" s="73">
        <v>10</v>
      </c>
      <c r="AF43" s="73">
        <v>10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50">
        <v>0</v>
      </c>
      <c r="C44" s="50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16</v>
      </c>
      <c r="C45" s="61">
        <v>16</v>
      </c>
      <c r="D45" s="61">
        <v>16</v>
      </c>
      <c r="E45" s="61">
        <v>16</v>
      </c>
      <c r="F45" s="61">
        <v>16</v>
      </c>
      <c r="G45" s="61">
        <v>16</v>
      </c>
      <c r="H45" s="61">
        <v>16</v>
      </c>
      <c r="I45" s="61">
        <v>16</v>
      </c>
      <c r="J45" s="61">
        <v>16</v>
      </c>
      <c r="K45" s="61">
        <v>16</v>
      </c>
      <c r="L45" s="61">
        <v>13</v>
      </c>
      <c r="M45" s="61">
        <v>13</v>
      </c>
      <c r="N45" s="61">
        <v>13</v>
      </c>
      <c r="O45" s="61">
        <v>13</v>
      </c>
      <c r="P45" s="61">
        <v>13</v>
      </c>
      <c r="Q45" s="61">
        <v>13</v>
      </c>
      <c r="R45" s="61">
        <v>13</v>
      </c>
      <c r="S45" s="61">
        <v>13</v>
      </c>
      <c r="T45" s="61">
        <v>13</v>
      </c>
      <c r="U45" s="61">
        <v>13</v>
      </c>
      <c r="V45" s="61">
        <v>13</v>
      </c>
      <c r="W45" s="61">
        <v>13</v>
      </c>
      <c r="X45" s="61">
        <v>13</v>
      </c>
      <c r="Y45" s="61">
        <v>13</v>
      </c>
      <c r="Z45" s="61">
        <v>13</v>
      </c>
      <c r="AA45" s="61">
        <v>13</v>
      </c>
      <c r="AB45" s="61">
        <v>13</v>
      </c>
      <c r="AC45" s="61">
        <v>13</v>
      </c>
      <c r="AD45" s="61">
        <v>13</v>
      </c>
      <c r="AE45" s="61">
        <v>13</v>
      </c>
      <c r="AF45" s="61">
        <v>13</v>
      </c>
      <c r="AG45" s="67">
        <v>24</v>
      </c>
      <c r="AH45" s="54">
        <f t="shared" si="2"/>
        <v>16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61">
        <v>5.5</v>
      </c>
      <c r="P46" s="61">
        <v>5.5</v>
      </c>
      <c r="Q46" s="61">
        <v>5.5</v>
      </c>
      <c r="R46" s="61">
        <v>5.5</v>
      </c>
      <c r="S46" s="61">
        <v>5.5</v>
      </c>
      <c r="T46" s="61">
        <v>5.5</v>
      </c>
      <c r="U46" s="61">
        <v>5.5</v>
      </c>
      <c r="V46" s="61">
        <v>5.5</v>
      </c>
      <c r="W46" s="61">
        <v>5.5</v>
      </c>
      <c r="X46" s="61">
        <v>5.5</v>
      </c>
      <c r="Y46" s="61">
        <v>5.5</v>
      </c>
      <c r="Z46" s="61">
        <v>5.5</v>
      </c>
      <c r="AA46" s="61">
        <v>5.5</v>
      </c>
      <c r="AB46" s="61">
        <v>5.5</v>
      </c>
      <c r="AC46" s="61">
        <v>5.5</v>
      </c>
      <c r="AD46" s="61">
        <v>5.5</v>
      </c>
      <c r="AE46" s="61">
        <v>5.5</v>
      </c>
      <c r="AF46" s="61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11</v>
      </c>
      <c r="N47" s="61">
        <v>11</v>
      </c>
      <c r="O47" s="61">
        <v>11</v>
      </c>
      <c r="P47" s="61">
        <v>11</v>
      </c>
      <c r="Q47" s="61">
        <v>11</v>
      </c>
      <c r="R47" s="61">
        <v>11</v>
      </c>
      <c r="S47" s="61">
        <v>11</v>
      </c>
      <c r="T47" s="61">
        <v>11</v>
      </c>
      <c r="U47" s="61">
        <v>11</v>
      </c>
      <c r="V47" s="61">
        <v>11</v>
      </c>
      <c r="W47" s="61">
        <v>11</v>
      </c>
      <c r="X47" s="61">
        <v>11</v>
      </c>
      <c r="Y47" s="61">
        <v>11</v>
      </c>
      <c r="Z47" s="61">
        <v>11</v>
      </c>
      <c r="AA47" s="61">
        <v>11</v>
      </c>
      <c r="AB47" s="61">
        <v>11</v>
      </c>
      <c r="AC47" s="61">
        <v>11</v>
      </c>
      <c r="AD47" s="61">
        <v>11</v>
      </c>
      <c r="AE47" s="61">
        <v>11</v>
      </c>
      <c r="AF47" s="61">
        <v>11</v>
      </c>
      <c r="AG47" s="67">
        <v>14.1</v>
      </c>
      <c r="AH47" s="54">
        <f t="shared" si="2"/>
        <v>11</v>
      </c>
      <c r="AI47" s="55">
        <f t="shared" si="3"/>
        <v>11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61">
        <v>5</v>
      </c>
      <c r="AA48" s="61">
        <v>5</v>
      </c>
      <c r="AB48" s="61">
        <v>5</v>
      </c>
      <c r="AC48" s="61">
        <v>5</v>
      </c>
      <c r="AD48" s="61">
        <v>5</v>
      </c>
      <c r="AE48" s="61">
        <v>5</v>
      </c>
      <c r="AF48" s="61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61">
        <v>4.8</v>
      </c>
      <c r="S49" s="61">
        <v>4.8</v>
      </c>
      <c r="T49" s="61">
        <v>4.8</v>
      </c>
      <c r="U49" s="61">
        <v>4.8</v>
      </c>
      <c r="V49" s="61">
        <v>4.8</v>
      </c>
      <c r="W49" s="61">
        <v>4.8</v>
      </c>
      <c r="X49" s="61">
        <v>4.8</v>
      </c>
      <c r="Y49" s="61">
        <v>4.8</v>
      </c>
      <c r="Z49" s="61">
        <v>4.8</v>
      </c>
      <c r="AA49" s="61">
        <v>4.8</v>
      </c>
      <c r="AB49" s="61">
        <v>4.8</v>
      </c>
      <c r="AC49" s="61">
        <v>4.8</v>
      </c>
      <c r="AD49" s="61">
        <v>4.8</v>
      </c>
      <c r="AE49" s="61">
        <v>4.8</v>
      </c>
      <c r="AF49" s="61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61">
        <v>2.5</v>
      </c>
      <c r="AA50" s="61">
        <v>2.5</v>
      </c>
      <c r="AB50" s="61">
        <v>2.5</v>
      </c>
      <c r="AC50" s="61">
        <v>2.5</v>
      </c>
      <c r="AD50" s="61">
        <v>2.5</v>
      </c>
      <c r="AE50" s="61">
        <v>2.5</v>
      </c>
      <c r="AF50" s="61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U199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121.04</v>
      </c>
      <c r="C52" s="72">
        <f t="shared" ref="C52:AF52" si="9">SUM(C39:C51)</f>
        <v>121.74000000000001</v>
      </c>
      <c r="D52" s="72">
        <f t="shared" si="9"/>
        <v>94.44</v>
      </c>
      <c r="E52" s="72">
        <f t="shared" si="9"/>
        <v>94.44</v>
      </c>
      <c r="F52" s="72">
        <f t="shared" si="9"/>
        <v>94.44</v>
      </c>
      <c r="G52" s="72">
        <f t="shared" si="9"/>
        <v>111.64</v>
      </c>
      <c r="H52" s="72">
        <f t="shared" si="9"/>
        <v>111.64</v>
      </c>
      <c r="I52" s="72">
        <f t="shared" si="9"/>
        <v>298.24</v>
      </c>
      <c r="J52" s="72">
        <f t="shared" si="9"/>
        <v>318.24</v>
      </c>
      <c r="K52" s="72">
        <f t="shared" si="9"/>
        <v>310.34000000000003</v>
      </c>
      <c r="L52" s="72">
        <f t="shared" si="9"/>
        <v>376.14000000000004</v>
      </c>
      <c r="M52" s="72">
        <f t="shared" si="9"/>
        <v>388.04000000000008</v>
      </c>
      <c r="N52" s="72">
        <f t="shared" si="9"/>
        <v>301.84000000000003</v>
      </c>
      <c r="O52" s="72">
        <f t="shared" si="9"/>
        <v>264.04000000000002</v>
      </c>
      <c r="P52" s="72">
        <f t="shared" si="9"/>
        <v>255.94000000000003</v>
      </c>
      <c r="Q52" s="72">
        <f t="shared" si="9"/>
        <v>330.54</v>
      </c>
      <c r="R52" s="72">
        <f t="shared" si="9"/>
        <v>287.54000000000008</v>
      </c>
      <c r="S52" s="72">
        <f t="shared" si="9"/>
        <v>242.44000000000003</v>
      </c>
      <c r="T52" s="72">
        <f t="shared" si="9"/>
        <v>257.54000000000002</v>
      </c>
      <c r="U52" s="72">
        <f t="shared" si="9"/>
        <v>257.54000000000002</v>
      </c>
      <c r="V52" s="72">
        <f t="shared" si="9"/>
        <v>279.14000000000004</v>
      </c>
      <c r="W52" s="72">
        <f t="shared" si="9"/>
        <v>374.94000000000005</v>
      </c>
      <c r="X52" s="72">
        <f t="shared" si="9"/>
        <v>383.94000000000005</v>
      </c>
      <c r="Y52" s="72">
        <f t="shared" si="9"/>
        <v>383.94000000000005</v>
      </c>
      <c r="Z52" s="72">
        <f t="shared" si="9"/>
        <v>374.94000000000005</v>
      </c>
      <c r="AA52" s="72">
        <f t="shared" si="9"/>
        <v>365.04</v>
      </c>
      <c r="AB52" s="72">
        <f t="shared" si="9"/>
        <v>350.34000000000003</v>
      </c>
      <c r="AC52" s="72">
        <f t="shared" si="9"/>
        <v>314.34000000000003</v>
      </c>
      <c r="AD52" s="72">
        <f t="shared" si="9"/>
        <v>230.34</v>
      </c>
      <c r="AE52" s="72">
        <f t="shared" si="9"/>
        <v>179.34</v>
      </c>
      <c r="AF52" s="72">
        <f t="shared" si="9"/>
        <v>135.74</v>
      </c>
      <c r="AG52" s="78">
        <f>SUM(AG39:AG51)</f>
        <v>489.91</v>
      </c>
      <c r="AH52" s="54">
        <f t="shared" si="2"/>
        <v>388.04000000000008</v>
      </c>
      <c r="AI52" s="55">
        <f t="shared" si="3"/>
        <v>94.44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14.6</v>
      </c>
      <c r="M53" s="79">
        <v>14.6</v>
      </c>
      <c r="N53" s="79">
        <v>29.6</v>
      </c>
      <c r="O53" s="79">
        <v>24.6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0</v>
      </c>
      <c r="Y53" s="50">
        <v>41.3</v>
      </c>
      <c r="Z53" s="50">
        <v>41</v>
      </c>
      <c r="AA53" s="50">
        <v>10.7</v>
      </c>
      <c r="AB53" s="50">
        <v>0</v>
      </c>
      <c r="AC53" s="50">
        <v>0</v>
      </c>
      <c r="AD53" s="50">
        <v>0</v>
      </c>
      <c r="AE53" s="50">
        <v>0</v>
      </c>
      <c r="AF53" s="50">
        <v>0</v>
      </c>
      <c r="AG53" s="62">
        <v>60</v>
      </c>
      <c r="AH53" s="54">
        <f t="shared" si="2"/>
        <v>41.3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5.9</v>
      </c>
      <c r="M54" s="79">
        <v>6.1</v>
      </c>
      <c r="N54" s="79">
        <v>7.1</v>
      </c>
      <c r="O54" s="79">
        <v>6.2</v>
      </c>
      <c r="P54" s="79">
        <v>6.3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0</v>
      </c>
      <c r="Y54" s="73">
        <v>12.4</v>
      </c>
      <c r="Z54" s="73">
        <v>17</v>
      </c>
      <c r="AA54" s="73">
        <v>11.6</v>
      </c>
      <c r="AB54" s="73">
        <v>4.5</v>
      </c>
      <c r="AC54" s="73">
        <v>0</v>
      </c>
      <c r="AD54" s="50">
        <v>0</v>
      </c>
      <c r="AE54" s="73">
        <v>0</v>
      </c>
      <c r="AF54" s="73">
        <v>0</v>
      </c>
      <c r="AG54" s="67">
        <v>32</v>
      </c>
      <c r="AH54" s="54">
        <f t="shared" si="2"/>
        <v>17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2.2000000000000002</v>
      </c>
      <c r="M55" s="81">
        <v>2.2000000000000002</v>
      </c>
      <c r="N55" s="81">
        <v>2.6</v>
      </c>
      <c r="O55" s="81">
        <v>2.2999999999999998</v>
      </c>
      <c r="P55" s="81">
        <v>2.2999999999999998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0</v>
      </c>
      <c r="Y55" s="80">
        <v>4.5</v>
      </c>
      <c r="Z55" s="80">
        <v>6.3</v>
      </c>
      <c r="AA55" s="80">
        <v>4.2</v>
      </c>
      <c r="AB55" s="80">
        <v>1.6</v>
      </c>
      <c r="AC55" s="80">
        <v>0</v>
      </c>
      <c r="AD55" s="50">
        <v>0</v>
      </c>
      <c r="AE55" s="80">
        <v>0</v>
      </c>
      <c r="AF55" s="80">
        <v>0</v>
      </c>
      <c r="AG55" s="82">
        <v>14</v>
      </c>
      <c r="AH55" s="54">
        <f t="shared" si="2"/>
        <v>6.3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0</v>
      </c>
      <c r="K56" s="72">
        <f t="shared" si="11"/>
        <v>0</v>
      </c>
      <c r="L56" s="72">
        <f t="shared" si="11"/>
        <v>22.7</v>
      </c>
      <c r="M56" s="72">
        <f t="shared" si="11"/>
        <v>22.9</v>
      </c>
      <c r="N56" s="72">
        <f t="shared" si="11"/>
        <v>39.300000000000004</v>
      </c>
      <c r="O56" s="72">
        <f t="shared" si="11"/>
        <v>33.1</v>
      </c>
      <c r="P56" s="72">
        <f t="shared" si="11"/>
        <v>8.6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2">
        <f t="shared" si="11"/>
        <v>0</v>
      </c>
      <c r="U56" s="72">
        <f t="shared" si="11"/>
        <v>0</v>
      </c>
      <c r="V56" s="72">
        <f t="shared" si="11"/>
        <v>0</v>
      </c>
      <c r="W56" s="72">
        <f t="shared" si="11"/>
        <v>0</v>
      </c>
      <c r="X56" s="72">
        <f t="shared" si="11"/>
        <v>0</v>
      </c>
      <c r="Y56" s="72">
        <f t="shared" si="11"/>
        <v>58.199999999999996</v>
      </c>
      <c r="Z56" s="72">
        <f t="shared" si="11"/>
        <v>64.3</v>
      </c>
      <c r="AA56" s="72">
        <f t="shared" si="11"/>
        <v>26.499999999999996</v>
      </c>
      <c r="AB56" s="72">
        <f t="shared" si="11"/>
        <v>6.1</v>
      </c>
      <c r="AC56" s="72">
        <f t="shared" si="11"/>
        <v>0</v>
      </c>
      <c r="AD56" s="72">
        <f t="shared" si="11"/>
        <v>0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64.3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63.4</v>
      </c>
      <c r="C57" s="50">
        <v>60.4</v>
      </c>
      <c r="D57" s="50">
        <v>70.8</v>
      </c>
      <c r="E57" s="50">
        <v>69.400000000000006</v>
      </c>
      <c r="F57" s="50">
        <v>69.900000000000006</v>
      </c>
      <c r="G57" s="50">
        <v>72.7</v>
      </c>
      <c r="H57" s="50">
        <v>72.7</v>
      </c>
      <c r="I57" s="50">
        <v>69.5</v>
      </c>
      <c r="J57" s="50">
        <v>55.3</v>
      </c>
      <c r="K57" s="50">
        <v>18.600000000000001</v>
      </c>
      <c r="L57" s="50">
        <v>16.100000000000001</v>
      </c>
      <c r="M57" s="50">
        <v>17.8</v>
      </c>
      <c r="N57" s="50">
        <v>62</v>
      </c>
      <c r="O57" s="50">
        <v>70.5</v>
      </c>
      <c r="P57" s="50">
        <v>74</v>
      </c>
      <c r="Q57" s="50">
        <v>70.8</v>
      </c>
      <c r="R57" s="50">
        <v>69.400000000000006</v>
      </c>
      <c r="S57" s="50">
        <v>73.7</v>
      </c>
      <c r="T57" s="50">
        <v>77.099999999999994</v>
      </c>
      <c r="U57" s="50">
        <v>75.8</v>
      </c>
      <c r="V57" s="50">
        <v>65.900000000000006</v>
      </c>
      <c r="W57" s="50">
        <v>60.9</v>
      </c>
      <c r="X57" s="50">
        <v>61.1</v>
      </c>
      <c r="Y57" s="50">
        <v>54.6</v>
      </c>
      <c r="Z57" s="50">
        <v>35.6</v>
      </c>
      <c r="AA57" s="50">
        <v>53.8</v>
      </c>
      <c r="AB57" s="50">
        <v>61.5</v>
      </c>
      <c r="AC57" s="50">
        <v>58</v>
      </c>
      <c r="AD57" s="50">
        <v>67</v>
      </c>
      <c r="AE57" s="50">
        <v>69</v>
      </c>
      <c r="AF57" s="50">
        <v>67</v>
      </c>
      <c r="AG57" s="62"/>
      <c r="AH57" s="54">
        <f t="shared" si="2"/>
        <v>77.099999999999994</v>
      </c>
      <c r="AI57" s="55">
        <f t="shared" si="3"/>
        <v>16.100000000000001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83">
        <v>0</v>
      </c>
      <c r="Z58" s="83">
        <v>0</v>
      </c>
      <c r="AA58" s="83">
        <v>0</v>
      </c>
      <c r="AB58" s="73">
        <v>71</v>
      </c>
      <c r="AC58" s="73">
        <v>71</v>
      </c>
      <c r="AD58" s="73">
        <v>0</v>
      </c>
      <c r="AE58" s="73">
        <v>0</v>
      </c>
      <c r="AF58" s="73">
        <v>0</v>
      </c>
      <c r="AG58" s="67"/>
      <c r="AH58" s="54">
        <f t="shared" si="2"/>
        <v>71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360</v>
      </c>
      <c r="C59" s="73">
        <v>367.2</v>
      </c>
      <c r="D59" s="73">
        <v>388</v>
      </c>
      <c r="E59" s="73">
        <v>382.8</v>
      </c>
      <c r="F59" s="73">
        <v>380.8</v>
      </c>
      <c r="G59" s="73">
        <v>352</v>
      </c>
      <c r="H59" s="73">
        <v>352</v>
      </c>
      <c r="I59" s="73">
        <v>100</v>
      </c>
      <c r="J59" s="73">
        <v>75</v>
      </c>
      <c r="K59" s="50">
        <v>84.5</v>
      </c>
      <c r="L59" s="50">
        <v>55.5</v>
      </c>
      <c r="M59" s="73">
        <v>49.6</v>
      </c>
      <c r="N59" s="73">
        <v>57.6</v>
      </c>
      <c r="O59" s="73">
        <v>274.10000000000002</v>
      </c>
      <c r="P59" s="73">
        <v>272</v>
      </c>
      <c r="Q59" s="73">
        <v>262.89999999999998</v>
      </c>
      <c r="R59" s="73">
        <v>276.3</v>
      </c>
      <c r="S59" s="73">
        <v>345</v>
      </c>
      <c r="T59" s="73">
        <v>349</v>
      </c>
      <c r="U59" s="73">
        <v>353.1</v>
      </c>
      <c r="V59" s="73">
        <v>118</v>
      </c>
      <c r="W59" s="73">
        <v>61.1</v>
      </c>
      <c r="X59" s="73">
        <v>67.7</v>
      </c>
      <c r="Y59" s="84">
        <v>81.3</v>
      </c>
      <c r="Z59" s="84">
        <v>81</v>
      </c>
      <c r="AA59" s="84">
        <v>75.8</v>
      </c>
      <c r="AB59" s="73">
        <v>175</v>
      </c>
      <c r="AC59" s="73">
        <v>189</v>
      </c>
      <c r="AD59" s="73">
        <v>340</v>
      </c>
      <c r="AE59" s="73">
        <v>343</v>
      </c>
      <c r="AF59" s="73">
        <v>334</v>
      </c>
      <c r="AG59" s="85"/>
      <c r="AH59" s="54">
        <f t="shared" si="2"/>
        <v>388</v>
      </c>
      <c r="AI59" s="55">
        <f t="shared" si="3"/>
        <v>49.6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0</v>
      </c>
      <c r="G60" s="58">
        <v>48</v>
      </c>
      <c r="H60" s="58">
        <v>48</v>
      </c>
      <c r="I60" s="58">
        <v>52.7</v>
      </c>
      <c r="J60" s="58">
        <v>52.7</v>
      </c>
      <c r="K60" s="58">
        <v>52.5</v>
      </c>
      <c r="L60" s="58">
        <v>58.8</v>
      </c>
      <c r="M60" s="73">
        <v>49.8</v>
      </c>
      <c r="N60" s="73">
        <v>50.8</v>
      </c>
      <c r="O60" s="73">
        <v>44.2</v>
      </c>
      <c r="P60" s="73">
        <v>46.2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49.4</v>
      </c>
      <c r="Z60" s="73">
        <v>59.1</v>
      </c>
      <c r="AA60" s="73">
        <v>54.5</v>
      </c>
      <c r="AB60" s="73">
        <v>50.6</v>
      </c>
      <c r="AC60" s="73">
        <v>40</v>
      </c>
      <c r="AD60" s="73">
        <v>42</v>
      </c>
      <c r="AE60" s="73">
        <v>46</v>
      </c>
      <c r="AF60" s="58">
        <v>38</v>
      </c>
      <c r="AG60" s="85"/>
      <c r="AH60" s="54">
        <f t="shared" si="2"/>
        <v>59.1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88.6</v>
      </c>
      <c r="K61" s="50">
        <v>76.7</v>
      </c>
      <c r="L61" s="50">
        <v>76.7</v>
      </c>
      <c r="M61" s="50">
        <v>48.6</v>
      </c>
      <c r="N61" s="50">
        <v>56</v>
      </c>
      <c r="O61" s="50">
        <v>42.6</v>
      </c>
      <c r="P61" s="50">
        <v>55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67.599999999999994</v>
      </c>
      <c r="Z61" s="50">
        <v>67</v>
      </c>
      <c r="AA61" s="50">
        <v>57.8</v>
      </c>
      <c r="AB61" s="50">
        <v>67</v>
      </c>
      <c r="AC61" s="50">
        <v>68</v>
      </c>
      <c r="AD61" s="50">
        <v>79</v>
      </c>
      <c r="AE61" s="50">
        <v>0</v>
      </c>
      <c r="AF61" s="50">
        <v>0</v>
      </c>
      <c r="AG61" s="85"/>
      <c r="AH61" s="54">
        <f t="shared" si="2"/>
        <v>88.6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73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73">
        <v>0</v>
      </c>
      <c r="N64" s="58">
        <v>0</v>
      </c>
      <c r="O64" s="58">
        <v>0</v>
      </c>
      <c r="P64" s="60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73">
        <v>0</v>
      </c>
      <c r="N65" s="58">
        <v>0</v>
      </c>
      <c r="O65" s="58">
        <v>0</v>
      </c>
      <c r="P65" s="60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73">
        <v>0</v>
      </c>
      <c r="N66" s="63">
        <v>0</v>
      </c>
      <c r="O66" s="63">
        <v>0</v>
      </c>
      <c r="P66" s="60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73">
        <v>0</v>
      </c>
      <c r="N67" s="63">
        <v>0</v>
      </c>
      <c r="O67" s="63">
        <v>0</v>
      </c>
      <c r="P67" s="60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423.4</v>
      </c>
      <c r="C68" s="72">
        <f>SUM(C57:C67)</f>
        <v>427.59999999999997</v>
      </c>
      <c r="D68" s="72">
        <f t="shared" ref="D68:AF68" si="13">SUM(D57:D67)</f>
        <v>458.8</v>
      </c>
      <c r="E68" s="72">
        <f t="shared" si="13"/>
        <v>452.20000000000005</v>
      </c>
      <c r="F68" s="72">
        <f t="shared" si="13"/>
        <v>450.70000000000005</v>
      </c>
      <c r="G68" s="72">
        <f t="shared" si="13"/>
        <v>472.7</v>
      </c>
      <c r="H68" s="72">
        <f t="shared" si="13"/>
        <v>472.7</v>
      </c>
      <c r="I68" s="72">
        <f t="shared" si="13"/>
        <v>222.2</v>
      </c>
      <c r="J68" s="72">
        <f t="shared" si="13"/>
        <v>271.60000000000002</v>
      </c>
      <c r="K68" s="72">
        <f t="shared" si="13"/>
        <v>232.3</v>
      </c>
      <c r="L68" s="72">
        <f t="shared" si="13"/>
        <v>207.09999999999997</v>
      </c>
      <c r="M68" s="72">
        <f t="shared" si="13"/>
        <v>165.8</v>
      </c>
      <c r="N68" s="72">
        <f t="shared" si="13"/>
        <v>226.39999999999998</v>
      </c>
      <c r="O68" s="72">
        <f t="shared" si="13"/>
        <v>431.40000000000003</v>
      </c>
      <c r="P68" s="72">
        <f t="shared" si="13"/>
        <v>447.2</v>
      </c>
      <c r="Q68" s="72">
        <f t="shared" si="13"/>
        <v>333.7</v>
      </c>
      <c r="R68" s="72">
        <f t="shared" si="13"/>
        <v>345.70000000000005</v>
      </c>
      <c r="S68" s="72">
        <f t="shared" si="13"/>
        <v>418.7</v>
      </c>
      <c r="T68" s="72">
        <f t="shared" si="13"/>
        <v>426.1</v>
      </c>
      <c r="U68" s="72">
        <f t="shared" si="13"/>
        <v>428.90000000000003</v>
      </c>
      <c r="V68" s="72">
        <f t="shared" si="13"/>
        <v>183.9</v>
      </c>
      <c r="W68" s="72">
        <f t="shared" si="13"/>
        <v>122</v>
      </c>
      <c r="X68" s="72">
        <f t="shared" si="13"/>
        <v>128.80000000000001</v>
      </c>
      <c r="Y68" s="72">
        <f t="shared" si="13"/>
        <v>252.9</v>
      </c>
      <c r="Z68" s="72">
        <f t="shared" si="13"/>
        <v>242.7</v>
      </c>
      <c r="AA68" s="72">
        <f t="shared" si="13"/>
        <v>241.89999999999998</v>
      </c>
      <c r="AB68" s="72">
        <f t="shared" si="13"/>
        <v>425.1</v>
      </c>
      <c r="AC68" s="72">
        <f t="shared" si="13"/>
        <v>426</v>
      </c>
      <c r="AD68" s="72">
        <f t="shared" si="13"/>
        <v>528</v>
      </c>
      <c r="AE68" s="72">
        <f t="shared" si="13"/>
        <v>458</v>
      </c>
      <c r="AF68" s="72">
        <f t="shared" si="13"/>
        <v>439</v>
      </c>
      <c r="AG68" s="78">
        <f>SUM(AG57:AG67)</f>
        <v>0</v>
      </c>
      <c r="AH68" s="54">
        <f t="shared" si="2"/>
        <v>528</v>
      </c>
      <c r="AI68" s="55">
        <f t="shared" si="3"/>
        <v>122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940.93999999999994</v>
      </c>
      <c r="C73" s="89">
        <f t="shared" ref="C73:AG73" si="17">C68+C56+C52+C38+C72</f>
        <v>935.63999999999987</v>
      </c>
      <c r="D73" s="89">
        <f t="shared" si="17"/>
        <v>927.84</v>
      </c>
      <c r="E73" s="89">
        <f t="shared" si="17"/>
        <v>918.44</v>
      </c>
      <c r="F73" s="89">
        <f t="shared" si="17"/>
        <v>916.94</v>
      </c>
      <c r="G73" s="89">
        <f t="shared" si="17"/>
        <v>956.94</v>
      </c>
      <c r="H73" s="89">
        <f t="shared" si="17"/>
        <v>956.94</v>
      </c>
      <c r="I73" s="89">
        <f t="shared" si="17"/>
        <v>1003.04</v>
      </c>
      <c r="J73" s="89">
        <f t="shared" si="17"/>
        <v>1147.44</v>
      </c>
      <c r="K73" s="89">
        <f t="shared" si="17"/>
        <v>1226.3400000000001</v>
      </c>
      <c r="L73" s="89">
        <f t="shared" si="17"/>
        <v>1314.3400000000001</v>
      </c>
      <c r="M73" s="89">
        <f t="shared" si="17"/>
        <v>1301.2400000000002</v>
      </c>
      <c r="N73" s="89">
        <f t="shared" si="17"/>
        <v>1292.04</v>
      </c>
      <c r="O73" s="89">
        <f t="shared" si="17"/>
        <v>1173.04</v>
      </c>
      <c r="P73" s="89">
        <f t="shared" si="17"/>
        <v>1147.3400000000001</v>
      </c>
      <c r="Q73" s="89">
        <f t="shared" si="17"/>
        <v>1074.8399999999999</v>
      </c>
      <c r="R73" s="89">
        <f t="shared" si="17"/>
        <v>1064.6400000000001</v>
      </c>
      <c r="S73" s="89">
        <f t="shared" si="17"/>
        <v>1024.54</v>
      </c>
      <c r="T73" s="89">
        <f t="shared" si="17"/>
        <v>1047.04</v>
      </c>
      <c r="U73" s="89">
        <f t="shared" si="17"/>
        <v>1049.8400000000001</v>
      </c>
      <c r="V73" s="89">
        <f t="shared" si="17"/>
        <v>1054.44</v>
      </c>
      <c r="W73" s="89">
        <f t="shared" si="17"/>
        <v>1088.3400000000001</v>
      </c>
      <c r="X73" s="89">
        <f t="shared" si="17"/>
        <v>1194.1400000000001</v>
      </c>
      <c r="Y73" s="89">
        <f t="shared" si="17"/>
        <v>1376.44</v>
      </c>
      <c r="Z73" s="89">
        <f t="shared" si="17"/>
        <v>1403.54</v>
      </c>
      <c r="AA73" s="89">
        <f t="shared" si="17"/>
        <v>1315.04</v>
      </c>
      <c r="AB73" s="89">
        <f t="shared" si="17"/>
        <v>1243.1400000000001</v>
      </c>
      <c r="AC73" s="89">
        <f t="shared" si="17"/>
        <v>1201.94</v>
      </c>
      <c r="AD73" s="89">
        <f t="shared" si="17"/>
        <v>1151.94</v>
      </c>
      <c r="AE73" s="89">
        <f t="shared" si="17"/>
        <v>1030.94</v>
      </c>
      <c r="AF73" s="89">
        <f t="shared" si="17"/>
        <v>968.34</v>
      </c>
      <c r="AG73" s="89">
        <f t="shared" si="17"/>
        <v>2144.14</v>
      </c>
      <c r="AH73" s="54">
        <f t="shared" si="2"/>
        <v>1403.54</v>
      </c>
      <c r="AI73" s="55">
        <f t="shared" si="3"/>
        <v>916.94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>
        <v>20</v>
      </c>
      <c r="N74" s="91">
        <v>20</v>
      </c>
      <c r="O74" s="91">
        <v>20</v>
      </c>
      <c r="P74" s="91">
        <v>20</v>
      </c>
      <c r="Q74" s="91">
        <v>20</v>
      </c>
      <c r="R74" s="91">
        <v>20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20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940.93999999999994</v>
      </c>
      <c r="C75" s="89">
        <f t="shared" ref="C75:AF75" si="19">C72+C68+C56+C52+C38+C74</f>
        <v>935.63999999999987</v>
      </c>
      <c r="D75" s="89">
        <f t="shared" si="19"/>
        <v>927.84</v>
      </c>
      <c r="E75" s="89">
        <f t="shared" si="19"/>
        <v>918.44</v>
      </c>
      <c r="F75" s="89">
        <f t="shared" si="19"/>
        <v>916.94</v>
      </c>
      <c r="G75" s="89">
        <f t="shared" si="19"/>
        <v>956.94</v>
      </c>
      <c r="H75" s="89">
        <f t="shared" si="19"/>
        <v>956.94</v>
      </c>
      <c r="I75" s="89">
        <f t="shared" si="19"/>
        <v>1003.04</v>
      </c>
      <c r="J75" s="89">
        <f t="shared" si="19"/>
        <v>1147.44</v>
      </c>
      <c r="K75" s="89">
        <f t="shared" si="19"/>
        <v>1226.3400000000001</v>
      </c>
      <c r="L75" s="89">
        <f t="shared" si="19"/>
        <v>1314.3400000000001</v>
      </c>
      <c r="M75" s="89">
        <f t="shared" si="19"/>
        <v>1321.2400000000002</v>
      </c>
      <c r="N75" s="89">
        <f t="shared" si="19"/>
        <v>1312.04</v>
      </c>
      <c r="O75" s="89">
        <f t="shared" si="19"/>
        <v>1193.04</v>
      </c>
      <c r="P75" s="89">
        <f t="shared" si="19"/>
        <v>1167.3400000000001</v>
      </c>
      <c r="Q75" s="89">
        <f t="shared" si="19"/>
        <v>1094.8399999999999</v>
      </c>
      <c r="R75" s="89">
        <f t="shared" si="19"/>
        <v>1084.6400000000001</v>
      </c>
      <c r="S75" s="89">
        <f t="shared" si="19"/>
        <v>1024.54</v>
      </c>
      <c r="T75" s="89">
        <f t="shared" si="19"/>
        <v>1047.04</v>
      </c>
      <c r="U75" s="89">
        <f t="shared" si="19"/>
        <v>1049.8400000000001</v>
      </c>
      <c r="V75" s="89">
        <f t="shared" si="19"/>
        <v>1054.44</v>
      </c>
      <c r="W75" s="89">
        <f t="shared" si="19"/>
        <v>1088.3400000000001</v>
      </c>
      <c r="X75" s="89">
        <f t="shared" si="19"/>
        <v>1194.1400000000001</v>
      </c>
      <c r="Y75" s="89">
        <f t="shared" si="19"/>
        <v>1376.44</v>
      </c>
      <c r="Z75" s="89">
        <f t="shared" si="19"/>
        <v>1403.54</v>
      </c>
      <c r="AA75" s="89">
        <f t="shared" si="19"/>
        <v>1315.04</v>
      </c>
      <c r="AB75" s="89">
        <f t="shared" si="19"/>
        <v>1243.1400000000001</v>
      </c>
      <c r="AC75" s="89">
        <f t="shared" si="19"/>
        <v>1201.94</v>
      </c>
      <c r="AD75" s="89">
        <f t="shared" si="19"/>
        <v>1151.94</v>
      </c>
      <c r="AE75" s="89">
        <f t="shared" si="19"/>
        <v>1030.94</v>
      </c>
      <c r="AF75" s="89">
        <f t="shared" si="19"/>
        <v>968.34</v>
      </c>
      <c r="AG75" s="78">
        <f>AG72+AG68+AG56+AG52+AG38+AG74</f>
        <v>2144.14</v>
      </c>
      <c r="AH75" s="54">
        <f t="shared" si="2"/>
        <v>1403.54</v>
      </c>
      <c r="AI75" s="55">
        <f t="shared" si="3"/>
        <v>916.94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1881.8799999999999</v>
      </c>
      <c r="C83" s="72">
        <f t="shared" ref="C83:AG83" si="35">SUM(C70:C82)</f>
        <v>1871.2799999999997</v>
      </c>
      <c r="D83" s="72">
        <f t="shared" si="35"/>
        <v>1855.68</v>
      </c>
      <c r="E83" s="72">
        <f t="shared" si="35"/>
        <v>1836.88</v>
      </c>
      <c r="F83" s="72">
        <f t="shared" si="35"/>
        <v>1833.88</v>
      </c>
      <c r="G83" s="72">
        <f t="shared" si="35"/>
        <v>1913.88</v>
      </c>
      <c r="H83" s="72">
        <f t="shared" si="35"/>
        <v>1913.88</v>
      </c>
      <c r="I83" s="72">
        <f t="shared" si="35"/>
        <v>2006.08</v>
      </c>
      <c r="J83" s="72">
        <f t="shared" si="35"/>
        <v>2294.88</v>
      </c>
      <c r="K83" s="72">
        <f t="shared" si="35"/>
        <v>2452.6800000000003</v>
      </c>
      <c r="L83" s="72">
        <f t="shared" si="35"/>
        <v>2628.6800000000003</v>
      </c>
      <c r="M83" s="72">
        <f t="shared" si="35"/>
        <v>2642.4800000000005</v>
      </c>
      <c r="N83" s="72">
        <f t="shared" si="35"/>
        <v>2624.08</v>
      </c>
      <c r="O83" s="72">
        <f t="shared" si="35"/>
        <v>2386.08</v>
      </c>
      <c r="P83" s="72">
        <f t="shared" si="35"/>
        <v>2334.6800000000003</v>
      </c>
      <c r="Q83" s="72">
        <f t="shared" si="35"/>
        <v>2189.6799999999998</v>
      </c>
      <c r="R83" s="72">
        <f t="shared" si="35"/>
        <v>2169.2800000000002</v>
      </c>
      <c r="S83" s="72">
        <f t="shared" si="35"/>
        <v>2049.08</v>
      </c>
      <c r="T83" s="72">
        <f t="shared" si="35"/>
        <v>2094.08</v>
      </c>
      <c r="U83" s="72">
        <f t="shared" si="35"/>
        <v>2099.6800000000003</v>
      </c>
      <c r="V83" s="72">
        <f t="shared" si="35"/>
        <v>2108.88</v>
      </c>
      <c r="W83" s="72">
        <f t="shared" si="35"/>
        <v>2176.6800000000003</v>
      </c>
      <c r="X83" s="72">
        <f t="shared" si="35"/>
        <v>2388.2800000000002</v>
      </c>
      <c r="Y83" s="72">
        <f t="shared" si="35"/>
        <v>2752.88</v>
      </c>
      <c r="Z83" s="72">
        <f t="shared" si="35"/>
        <v>2807.08</v>
      </c>
      <c r="AA83" s="72">
        <f t="shared" si="35"/>
        <v>2630.08</v>
      </c>
      <c r="AB83" s="72">
        <f t="shared" si="35"/>
        <v>2486.2800000000002</v>
      </c>
      <c r="AC83" s="72">
        <f t="shared" si="35"/>
        <v>2403.88</v>
      </c>
      <c r="AD83" s="72">
        <f t="shared" si="35"/>
        <v>2303.88</v>
      </c>
      <c r="AE83" s="72">
        <f t="shared" si="35"/>
        <v>2061.88</v>
      </c>
      <c r="AF83" s="72">
        <f t="shared" si="35"/>
        <v>1936.68</v>
      </c>
      <c r="AG83" s="78">
        <f t="shared" si="35"/>
        <v>4360.08</v>
      </c>
      <c r="AH83" s="54">
        <f t="shared" si="22"/>
        <v>2807.08</v>
      </c>
      <c r="AI83" s="55">
        <f t="shared" si="23"/>
        <v>1833.88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49.991</v>
      </c>
      <c r="C84" s="95">
        <v>50.006</v>
      </c>
      <c r="D84" s="95">
        <v>49.99</v>
      </c>
      <c r="E84" s="96">
        <v>50.000999999999998</v>
      </c>
      <c r="F84" s="96">
        <v>50.000999999999998</v>
      </c>
      <c r="G84" s="96">
        <v>49.984000000000002</v>
      </c>
      <c r="H84" s="96">
        <v>49.98</v>
      </c>
      <c r="I84" s="96">
        <v>50.1</v>
      </c>
      <c r="J84" s="96">
        <v>50.2</v>
      </c>
      <c r="K84" s="96">
        <v>50.024999999999999</v>
      </c>
      <c r="L84" s="96">
        <v>50.021000000000001</v>
      </c>
      <c r="M84" s="96">
        <v>50.046999999999997</v>
      </c>
      <c r="N84" s="96">
        <v>50.058999999999997</v>
      </c>
      <c r="O84" s="96">
        <v>50.030999999999999</v>
      </c>
      <c r="P84" s="96">
        <v>50.02</v>
      </c>
      <c r="Q84" s="96">
        <v>49.935000000000002</v>
      </c>
      <c r="R84" s="96">
        <v>50.003</v>
      </c>
      <c r="S84" s="96">
        <v>50</v>
      </c>
      <c r="T84" s="96">
        <v>50.021000000000001</v>
      </c>
      <c r="U84" s="96">
        <v>49.968000000000004</v>
      </c>
      <c r="V84" s="96">
        <v>49.813000000000002</v>
      </c>
      <c r="W84" s="96">
        <v>49.911999999999999</v>
      </c>
      <c r="X84" s="96">
        <v>49.951000000000001</v>
      </c>
      <c r="Y84" s="96">
        <v>50.037999999999997</v>
      </c>
      <c r="Z84" s="96">
        <v>49.987000000000002</v>
      </c>
      <c r="AA84" s="96">
        <v>49.972000000000001</v>
      </c>
      <c r="AB84" s="96">
        <v>50.02</v>
      </c>
      <c r="AC84" s="96">
        <v>49.94</v>
      </c>
      <c r="AD84" s="96">
        <v>49.97</v>
      </c>
      <c r="AE84" s="96">
        <v>50</v>
      </c>
      <c r="AF84" s="96">
        <v>50</v>
      </c>
      <c r="AG84" s="97"/>
      <c r="AH84" s="54">
        <f t="shared" si="22"/>
        <v>50.2</v>
      </c>
      <c r="AI84" s="55">
        <f t="shared" si="23"/>
        <v>49.813000000000002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126.1</v>
      </c>
      <c r="C85" s="99">
        <v>124.9</v>
      </c>
      <c r="D85" s="99">
        <v>124.9</v>
      </c>
      <c r="E85" s="73">
        <v>123.4</v>
      </c>
      <c r="F85" s="73">
        <v>125.3</v>
      </c>
      <c r="G85" s="73">
        <v>127.4</v>
      </c>
      <c r="H85" s="73">
        <v>128.6</v>
      </c>
      <c r="I85" s="73">
        <v>128.1</v>
      </c>
      <c r="J85" s="73">
        <v>125.8</v>
      </c>
      <c r="K85" s="73">
        <v>126.4</v>
      </c>
      <c r="L85" s="73">
        <v>127</v>
      </c>
      <c r="M85" s="73">
        <v>125.6</v>
      </c>
      <c r="N85" s="73">
        <v>125.1</v>
      </c>
      <c r="O85" s="73">
        <v>125.9</v>
      </c>
      <c r="P85" s="73">
        <v>125.7</v>
      </c>
      <c r="Q85" s="73">
        <v>123.9</v>
      </c>
      <c r="R85" s="73">
        <v>124</v>
      </c>
      <c r="S85" s="73">
        <v>124.7</v>
      </c>
      <c r="T85" s="73">
        <v>125.1</v>
      </c>
      <c r="U85" s="100">
        <v>125.5</v>
      </c>
      <c r="V85" s="100">
        <v>126.6</v>
      </c>
      <c r="W85" s="100">
        <v>126.7</v>
      </c>
      <c r="X85" s="100">
        <v>124.9</v>
      </c>
      <c r="Y85" s="100">
        <v>127.1</v>
      </c>
      <c r="Z85" s="100">
        <v>127.8</v>
      </c>
      <c r="AA85" s="100">
        <v>128.69999999999999</v>
      </c>
      <c r="AB85" s="73">
        <v>127</v>
      </c>
      <c r="AC85" s="73">
        <v>128</v>
      </c>
      <c r="AD85" s="73">
        <v>127</v>
      </c>
      <c r="AE85" s="73">
        <v>125</v>
      </c>
      <c r="AF85" s="73">
        <v>126</v>
      </c>
      <c r="AG85" s="101"/>
      <c r="AH85" s="54">
        <f t="shared" si="22"/>
        <v>128.69999999999999</v>
      </c>
      <c r="AI85" s="55">
        <f t="shared" si="23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130</v>
      </c>
      <c r="C86" s="99">
        <v>130</v>
      </c>
      <c r="D86" s="99">
        <v>129.6</v>
      </c>
      <c r="E86" s="73">
        <v>128.30000000000001</v>
      </c>
      <c r="F86" s="73">
        <v>129.5</v>
      </c>
      <c r="G86" s="73">
        <v>131.19999999999999</v>
      </c>
      <c r="H86" s="73">
        <v>131.6</v>
      </c>
      <c r="I86" s="73">
        <v>131.6</v>
      </c>
      <c r="J86" s="73">
        <v>128.5</v>
      </c>
      <c r="K86" s="73">
        <v>128.9</v>
      </c>
      <c r="L86" s="73">
        <v>130.30000000000001</v>
      </c>
      <c r="M86" s="73">
        <v>128.5</v>
      </c>
      <c r="N86" s="73">
        <v>127.3</v>
      </c>
      <c r="O86" s="73">
        <v>128.4</v>
      </c>
      <c r="P86" s="73">
        <v>127.8</v>
      </c>
      <c r="Q86" s="73">
        <v>127.2</v>
      </c>
      <c r="R86" s="73">
        <v>64.3</v>
      </c>
      <c r="S86" s="73">
        <v>128.5</v>
      </c>
      <c r="T86" s="73">
        <v>128.1</v>
      </c>
      <c r="U86" s="100">
        <v>128.69999999999999</v>
      </c>
      <c r="V86" s="100">
        <v>129.9</v>
      </c>
      <c r="W86" s="100">
        <v>130</v>
      </c>
      <c r="X86" s="100">
        <v>128</v>
      </c>
      <c r="Y86" s="100">
        <v>129.69999999999999</v>
      </c>
      <c r="Z86" s="100">
        <v>130.30000000000001</v>
      </c>
      <c r="AA86" s="100">
        <v>131.1</v>
      </c>
      <c r="AB86" s="73">
        <v>130</v>
      </c>
      <c r="AC86" s="73">
        <v>131</v>
      </c>
      <c r="AD86" s="73">
        <v>130.5</v>
      </c>
      <c r="AE86" s="73">
        <v>129.5</v>
      </c>
      <c r="AF86" s="73">
        <v>130</v>
      </c>
      <c r="AG86" s="101"/>
      <c r="AH86" s="54">
        <f t="shared" si="22"/>
        <v>131.6</v>
      </c>
      <c r="AI86" s="55">
        <f t="shared" si="23"/>
        <v>64.3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132.6</v>
      </c>
      <c r="C87" s="99">
        <v>131.80000000000001</v>
      </c>
      <c r="D87" s="99">
        <v>131.1</v>
      </c>
      <c r="E87" s="73">
        <v>131.4</v>
      </c>
      <c r="F87" s="73">
        <v>131.4</v>
      </c>
      <c r="G87" s="73">
        <v>129.9</v>
      </c>
      <c r="H87" s="73">
        <v>131.4</v>
      </c>
      <c r="I87" s="73">
        <v>131.4</v>
      </c>
      <c r="J87" s="73">
        <v>127.8</v>
      </c>
      <c r="K87" s="73">
        <v>128</v>
      </c>
      <c r="L87" s="73">
        <v>128.1</v>
      </c>
      <c r="M87" s="73">
        <v>126.6</v>
      </c>
      <c r="N87" s="73">
        <v>125.8</v>
      </c>
      <c r="O87" s="73">
        <v>129.9</v>
      </c>
      <c r="P87" s="73">
        <v>126.4</v>
      </c>
      <c r="Q87" s="73">
        <v>129.1</v>
      </c>
      <c r="R87" s="73">
        <v>128.80000000000001</v>
      </c>
      <c r="S87" s="73">
        <v>129.19999999999999</v>
      </c>
      <c r="T87" s="73">
        <v>129.30000000000001</v>
      </c>
      <c r="U87" s="73">
        <v>129</v>
      </c>
      <c r="V87" s="73">
        <v>129.80000000000001</v>
      </c>
      <c r="W87" s="73">
        <v>128</v>
      </c>
      <c r="X87" s="73">
        <v>126.4</v>
      </c>
      <c r="Y87" s="100">
        <v>129</v>
      </c>
      <c r="Z87" s="100">
        <v>128.19999999999999</v>
      </c>
      <c r="AA87" s="100">
        <v>130.4</v>
      </c>
      <c r="AB87" s="73">
        <v>130</v>
      </c>
      <c r="AC87" s="73">
        <v>131</v>
      </c>
      <c r="AD87" s="73">
        <v>130</v>
      </c>
      <c r="AE87" s="73">
        <v>129</v>
      </c>
      <c r="AF87" s="73">
        <v>129</v>
      </c>
      <c r="AG87" s="101"/>
      <c r="AH87" s="54">
        <f t="shared" si="22"/>
        <v>132.6</v>
      </c>
      <c r="AI87" s="55">
        <f t="shared" si="23"/>
        <v>125.8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134.6</v>
      </c>
      <c r="C88" s="99">
        <v>134.6</v>
      </c>
      <c r="D88" s="99">
        <v>134</v>
      </c>
      <c r="E88" s="73">
        <v>133.69999999999999</v>
      </c>
      <c r="F88" s="73">
        <v>133.69999999999999</v>
      </c>
      <c r="G88" s="73">
        <v>132.1</v>
      </c>
      <c r="H88" s="73">
        <v>133.69999999999999</v>
      </c>
      <c r="I88" s="73">
        <v>133.69999999999999</v>
      </c>
      <c r="J88" s="73">
        <v>130.4</v>
      </c>
      <c r="K88" s="73">
        <v>129.69999999999999</v>
      </c>
      <c r="L88" s="73">
        <v>131</v>
      </c>
      <c r="M88" s="73">
        <v>129.69999999999999</v>
      </c>
      <c r="N88" s="73">
        <v>129.6</v>
      </c>
      <c r="O88" s="73">
        <v>133</v>
      </c>
      <c r="P88" s="73">
        <v>130.4</v>
      </c>
      <c r="Q88" s="73">
        <v>132.9</v>
      </c>
      <c r="R88" s="73">
        <v>133.30000000000001</v>
      </c>
      <c r="S88" s="73">
        <v>133.30000000000001</v>
      </c>
      <c r="T88" s="73">
        <v>133.6</v>
      </c>
      <c r="U88" s="73">
        <v>132.80000000000001</v>
      </c>
      <c r="V88" s="73">
        <v>133.5</v>
      </c>
      <c r="W88" s="73">
        <v>132</v>
      </c>
      <c r="X88" s="73">
        <v>130.6</v>
      </c>
      <c r="Y88" s="100">
        <v>132.80000000000001</v>
      </c>
      <c r="Z88" s="100">
        <v>132.4</v>
      </c>
      <c r="AA88" s="100">
        <v>134.80000000000001</v>
      </c>
      <c r="AB88" s="73">
        <v>133.69999999999999</v>
      </c>
      <c r="AC88" s="73">
        <v>135</v>
      </c>
      <c r="AD88" s="73">
        <v>132</v>
      </c>
      <c r="AE88" s="73">
        <v>130.5</v>
      </c>
      <c r="AF88" s="73">
        <v>130.80000000000001</v>
      </c>
      <c r="AG88" s="101"/>
      <c r="AH88" s="54">
        <f t="shared" si="22"/>
        <v>135</v>
      </c>
      <c r="AI88" s="55">
        <f t="shared" si="23"/>
        <v>129.6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130.6</v>
      </c>
      <c r="C89" s="103">
        <v>129.69999999999999</v>
      </c>
      <c r="D89" s="103">
        <v>126.6</v>
      </c>
      <c r="E89" s="104">
        <v>126.8</v>
      </c>
      <c r="F89" s="104">
        <v>127.3</v>
      </c>
      <c r="G89" s="104">
        <v>134.1</v>
      </c>
      <c r="H89" s="104">
        <v>127.3</v>
      </c>
      <c r="I89" s="104">
        <v>127.3</v>
      </c>
      <c r="J89" s="104">
        <v>132.80000000000001</v>
      </c>
      <c r="K89" s="104">
        <v>135.19999999999999</v>
      </c>
      <c r="L89" s="104">
        <v>136.5</v>
      </c>
      <c r="M89" s="104">
        <v>133.6</v>
      </c>
      <c r="N89" s="104">
        <v>133.30000000000001</v>
      </c>
      <c r="O89" s="104">
        <v>133.6</v>
      </c>
      <c r="P89" s="104">
        <v>134.6</v>
      </c>
      <c r="Q89" s="104">
        <v>135.9</v>
      </c>
      <c r="R89" s="104">
        <v>134.9</v>
      </c>
      <c r="S89" s="104">
        <v>135.69999999999999</v>
      </c>
      <c r="T89" s="104">
        <v>132.80000000000001</v>
      </c>
      <c r="U89" s="104">
        <v>134.19999999999999</v>
      </c>
      <c r="V89" s="104">
        <v>135.4</v>
      </c>
      <c r="W89" s="104">
        <v>136</v>
      </c>
      <c r="X89" s="104">
        <v>134.69999999999999</v>
      </c>
      <c r="Y89" s="100">
        <v>132.80000000000001</v>
      </c>
      <c r="Z89" s="100">
        <v>133.19999999999999</v>
      </c>
      <c r="AA89" s="100">
        <v>134.1</v>
      </c>
      <c r="AB89" s="104">
        <v>133.19999999999999</v>
      </c>
      <c r="AC89" s="104">
        <v>133</v>
      </c>
      <c r="AD89" s="104">
        <v>129</v>
      </c>
      <c r="AE89" s="104">
        <v>132.6</v>
      </c>
      <c r="AF89" s="104">
        <v>133</v>
      </c>
      <c r="AG89" s="105"/>
      <c r="AH89" s="54">
        <f t="shared" si="22"/>
        <v>136.5</v>
      </c>
      <c r="AI89" s="55">
        <f t="shared" si="23"/>
        <v>126.6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136.19999999999999</v>
      </c>
      <c r="C90" s="99">
        <v>137.1</v>
      </c>
      <c r="D90" s="99">
        <v>137</v>
      </c>
      <c r="E90" s="73">
        <v>138.19999999999999</v>
      </c>
      <c r="F90" s="73">
        <v>138.5</v>
      </c>
      <c r="G90" s="73">
        <v>137.5</v>
      </c>
      <c r="H90" s="73">
        <v>138.5</v>
      </c>
      <c r="I90" s="73">
        <v>137.30000000000001</v>
      </c>
      <c r="J90" s="73">
        <v>132.4</v>
      </c>
      <c r="K90" s="73">
        <v>134</v>
      </c>
      <c r="L90" s="73">
        <v>133.69999999999999</v>
      </c>
      <c r="M90" s="73">
        <v>129.1</v>
      </c>
      <c r="N90" s="73">
        <v>131.19999999999999</v>
      </c>
      <c r="O90" s="73">
        <v>128.69999999999999</v>
      </c>
      <c r="P90" s="73">
        <v>134</v>
      </c>
      <c r="Q90" s="73">
        <v>135.5</v>
      </c>
      <c r="R90" s="73">
        <v>135.80000000000001</v>
      </c>
      <c r="S90" s="73">
        <v>132.4</v>
      </c>
      <c r="T90" s="73">
        <v>131.30000000000001</v>
      </c>
      <c r="U90" s="73">
        <v>131.9</v>
      </c>
      <c r="V90" s="73">
        <v>135.1</v>
      </c>
      <c r="W90" s="73">
        <v>130.4</v>
      </c>
      <c r="X90" s="73">
        <v>128.5</v>
      </c>
      <c r="Y90" s="100">
        <v>127</v>
      </c>
      <c r="Z90" s="100">
        <v>129.80000000000001</v>
      </c>
      <c r="AA90" s="100">
        <v>132.69999999999999</v>
      </c>
      <c r="AB90" s="73">
        <v>133.69999999999999</v>
      </c>
      <c r="AC90" s="73">
        <v>134.69999999999999</v>
      </c>
      <c r="AD90" s="73">
        <v>136</v>
      </c>
      <c r="AE90" s="73">
        <v>135</v>
      </c>
      <c r="AF90" s="73">
        <v>135</v>
      </c>
      <c r="AG90" s="101"/>
      <c r="AH90" s="54">
        <f t="shared" si="22"/>
        <v>138.5</v>
      </c>
      <c r="AI90" s="55">
        <f t="shared" si="23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66.099999999999994</v>
      </c>
      <c r="C91" s="106">
        <v>65.900000000000006</v>
      </c>
      <c r="D91" s="106">
        <v>65.400000000000006</v>
      </c>
      <c r="E91" s="107">
        <v>65</v>
      </c>
      <c r="F91" s="107">
        <v>65.599999999999994</v>
      </c>
      <c r="G91" s="107">
        <v>66.5</v>
      </c>
      <c r="H91" s="107">
        <v>65.599999999999994</v>
      </c>
      <c r="I91" s="107">
        <v>66.099999999999994</v>
      </c>
      <c r="J91" s="107">
        <v>64.599999999999994</v>
      </c>
      <c r="K91" s="107">
        <v>65.2</v>
      </c>
      <c r="L91" s="107">
        <v>65.900000000000006</v>
      </c>
      <c r="M91" s="107">
        <v>65.099999999999994</v>
      </c>
      <c r="N91" s="107">
        <v>64.599999999999994</v>
      </c>
      <c r="O91" s="107">
        <v>65</v>
      </c>
      <c r="P91" s="107">
        <v>64.2</v>
      </c>
      <c r="Q91" s="107">
        <v>64.099999999999994</v>
      </c>
      <c r="R91" s="107">
        <v>64.3</v>
      </c>
      <c r="S91" s="107">
        <v>64.8</v>
      </c>
      <c r="T91" s="107">
        <v>64.3</v>
      </c>
      <c r="U91" s="107">
        <v>64.8</v>
      </c>
      <c r="V91" s="107">
        <v>65.400000000000006</v>
      </c>
      <c r="W91" s="107">
        <v>65.400000000000006</v>
      </c>
      <c r="X91" s="107">
        <v>64.599999999999994</v>
      </c>
      <c r="Y91" s="107">
        <v>65.900000000000006</v>
      </c>
      <c r="Z91" s="107">
        <v>66.099999999999994</v>
      </c>
      <c r="AA91" s="107">
        <v>66.3</v>
      </c>
      <c r="AB91" s="107">
        <v>65.599999999999994</v>
      </c>
      <c r="AC91" s="107">
        <v>66.3</v>
      </c>
      <c r="AD91" s="107">
        <v>66.099999999999994</v>
      </c>
      <c r="AE91" s="107">
        <v>65.8</v>
      </c>
      <c r="AF91" s="107">
        <v>66.400000000000006</v>
      </c>
      <c r="AG91" s="108"/>
      <c r="AH91" s="54">
        <f t="shared" si="22"/>
        <v>66.5</v>
      </c>
      <c r="AI91" s="55">
        <f t="shared" si="23"/>
        <v>64.099999999999994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6">SUM(B15,B18,B21:B22,B42,B44:B45,B47,B49,B94:B97,B102,B108,B114,B123,B125,B137,B144,B147:B148,B155,B157,B159,B163:B165,B167:B169,B174,B180:B181,B183:B185,B193,B198)</f>
        <v>180.03999999999996</v>
      </c>
      <c r="C93" s="114">
        <f>SUM(C15,C18,C21:C22,C42,C44:C45,C47,C49,C94:C97,C102,C108,C114,C123,C125,C137,C144,C147:C148,C155,C157,C159,C163:C165,C167:C169,C174,C180:C181,C183:C185,C193,C198)</f>
        <v>177.83999999999997</v>
      </c>
      <c r="D93" s="114">
        <f t="shared" ref="D93:AF93" si="37">SUM(D15,D18,D21:D22,D42,D44:D45,D47,D49,D94:D97,D102,D108,D114,D123,D125,D137,D144,D147:D148,D155,D157,D159,D163:D165,D167:D169,D174,D180:D181,D183:D185,D193,D198)</f>
        <v>176.14</v>
      </c>
      <c r="E93" s="114">
        <f t="shared" si="37"/>
        <v>178.83999999999997</v>
      </c>
      <c r="F93" s="114">
        <f t="shared" si="37"/>
        <v>181.24</v>
      </c>
      <c r="G93" s="113">
        <f t="shared" si="37"/>
        <v>205.04000000000002</v>
      </c>
      <c r="H93" s="113">
        <f t="shared" si="37"/>
        <v>238.24</v>
      </c>
      <c r="I93" s="113">
        <f t="shared" si="37"/>
        <v>357.04</v>
      </c>
      <c r="J93" s="113">
        <f t="shared" si="37"/>
        <v>311.74</v>
      </c>
      <c r="K93" s="113">
        <f t="shared" si="37"/>
        <v>324.04000000000002</v>
      </c>
      <c r="L93" s="113">
        <f t="shared" si="37"/>
        <v>342.44000000000005</v>
      </c>
      <c r="M93" s="113">
        <f t="shared" si="37"/>
        <v>348.84000000000009</v>
      </c>
      <c r="N93" s="113">
        <f t="shared" si="37"/>
        <v>357.24000000000007</v>
      </c>
      <c r="O93" s="113">
        <f t="shared" si="37"/>
        <v>334.54</v>
      </c>
      <c r="P93" s="113">
        <f t="shared" si="37"/>
        <v>310.14</v>
      </c>
      <c r="Q93" s="113">
        <f t="shared" si="37"/>
        <v>284.84000000000003</v>
      </c>
      <c r="R93" s="113">
        <f t="shared" si="37"/>
        <v>273.94</v>
      </c>
      <c r="S93" s="113">
        <f t="shared" si="37"/>
        <v>258.84000000000003</v>
      </c>
      <c r="T93" s="113">
        <f t="shared" si="37"/>
        <v>247.73999999999998</v>
      </c>
      <c r="U93" s="113">
        <f t="shared" si="37"/>
        <v>257.64000000000004</v>
      </c>
      <c r="V93" s="113">
        <f t="shared" si="37"/>
        <v>258.94000000000005</v>
      </c>
      <c r="W93" s="113">
        <f t="shared" si="37"/>
        <v>264.44000000000005</v>
      </c>
      <c r="X93" s="113">
        <f t="shared" si="37"/>
        <v>301.14</v>
      </c>
      <c r="Y93" s="113">
        <f t="shared" si="37"/>
        <v>371.44000000000005</v>
      </c>
      <c r="Z93" s="113">
        <f t="shared" si="37"/>
        <v>384.24000000000007</v>
      </c>
      <c r="AA93" s="113">
        <f t="shared" si="37"/>
        <v>363.54000000000008</v>
      </c>
      <c r="AB93" s="113">
        <f t="shared" si="37"/>
        <v>342.84000000000003</v>
      </c>
      <c r="AC93" s="113">
        <f>SUM(AC15,AC18,AC21:AC22,AC42,AC44:AC45,AC47,AC49,AC94:AC97,AC102,AC108,AC114,AC123,AC125,AC137,AC144,AC147:AC148,AC155,AC157,AC159,AC163:AC165,AC167:AC169,AC174,AC180:AC181,AC183:AC185,AC193,AC198)</f>
        <v>324.34000000000003</v>
      </c>
      <c r="AD93" s="113">
        <f>SUM(AD15,AD18,AD21:AD22,AD42,AD44:AD45,AD47,AD49,AD94:AD97,AD102,AD108,AD114,AD123,AD125,AD137,AD144,AD147:AD148,AD155,AD157,AD159,AD163:AD165,AD167:AD169,AD174,AD180:AD181,AD183:AD185,AD193,AD198)</f>
        <v>262.34000000000003</v>
      </c>
      <c r="AE93" s="113">
        <f t="shared" si="37"/>
        <v>224.33999999999997</v>
      </c>
      <c r="AF93" s="113">
        <f t="shared" si="37"/>
        <v>196.73999999999995</v>
      </c>
      <c r="AG93" s="115"/>
      <c r="AH93" s="54">
        <f>MAX(C93:AF93)</f>
        <v>384.24000000000007</v>
      </c>
      <c r="AI93" s="55">
        <f>MIN(C93:AF93)</f>
        <v>176.14</v>
      </c>
    </row>
    <row r="94" spans="1:88" x14ac:dyDescent="0.25">
      <c r="A94" s="116" t="s">
        <v>98</v>
      </c>
      <c r="B94" s="119">
        <v>-28.9</v>
      </c>
      <c r="C94" s="117">
        <v>-29.1</v>
      </c>
      <c r="D94" s="117">
        <v>-40.1</v>
      </c>
      <c r="E94" s="58">
        <v>-39.9</v>
      </c>
      <c r="F94" s="58">
        <v>-41.8</v>
      </c>
      <c r="G94" s="118">
        <v>-13.8</v>
      </c>
      <c r="H94" s="118">
        <v>-6.3</v>
      </c>
      <c r="I94" s="118">
        <v>56.4</v>
      </c>
      <c r="J94" s="118">
        <v>28</v>
      </c>
      <c r="K94" s="118">
        <v>25.5</v>
      </c>
      <c r="L94" s="118">
        <v>42.8</v>
      </c>
      <c r="M94" s="119">
        <v>50</v>
      </c>
      <c r="N94" s="118">
        <v>40</v>
      </c>
      <c r="O94" s="118">
        <v>47.9</v>
      </c>
      <c r="P94" s="118">
        <v>47.3</v>
      </c>
      <c r="Q94" s="118">
        <v>62.2</v>
      </c>
      <c r="R94" s="118">
        <v>42.6</v>
      </c>
      <c r="S94" s="118">
        <v>27.8</v>
      </c>
      <c r="T94" s="118">
        <v>23.9</v>
      </c>
      <c r="U94" s="119">
        <v>27</v>
      </c>
      <c r="V94" s="119">
        <v>32.1</v>
      </c>
      <c r="W94" s="119">
        <v>68.400000000000006</v>
      </c>
      <c r="X94" s="119">
        <v>59.4</v>
      </c>
      <c r="Y94" s="118">
        <v>58.7</v>
      </c>
      <c r="Z94" s="118">
        <v>38.6</v>
      </c>
      <c r="AA94" s="118">
        <v>54.7</v>
      </c>
      <c r="AB94" s="119">
        <v>64</v>
      </c>
      <c r="AC94" s="119">
        <v>46</v>
      </c>
      <c r="AD94" s="119">
        <v>6</v>
      </c>
      <c r="AE94" s="119">
        <v>13</v>
      </c>
      <c r="AF94" s="119">
        <v>-3</v>
      </c>
      <c r="AG94" s="120">
        <v>75</v>
      </c>
      <c r="AH94" s="54">
        <f t="shared" ref="AH94:AH99" si="38">IF(ABS(MAX(C94:AF94))&gt;ABS(MIN(C94:AF94)),MAX(C94:AF94),MIN(C94:AF94))</f>
        <v>68.400000000000006</v>
      </c>
      <c r="AI94" s="121">
        <f t="shared" ref="AI94:AI99" si="39">INDEX($C$9:$AF$9,1,MATCH(AH94,C94:AF94,0))</f>
        <v>0.72916666666666663</v>
      </c>
    </row>
    <row r="95" spans="1:88" x14ac:dyDescent="0.25">
      <c r="A95" s="122" t="s">
        <v>99</v>
      </c>
      <c r="B95" s="73">
        <v>-30</v>
      </c>
      <c r="C95" s="123">
        <v>-35</v>
      </c>
      <c r="D95" s="123">
        <v>-33</v>
      </c>
      <c r="E95" s="60">
        <v>-32.4</v>
      </c>
      <c r="F95" s="60">
        <v>-31.8</v>
      </c>
      <c r="G95" s="60">
        <v>-26.9</v>
      </c>
      <c r="H95" s="60">
        <v>-1.6</v>
      </c>
      <c r="I95" s="60">
        <v>25</v>
      </c>
      <c r="J95" s="60">
        <v>7.6</v>
      </c>
      <c r="K95" s="60">
        <v>12.6</v>
      </c>
      <c r="L95" s="60">
        <v>8.6999999999999993</v>
      </c>
      <c r="M95" s="60">
        <v>15.3</v>
      </c>
      <c r="N95" s="60">
        <v>26</v>
      </c>
      <c r="O95" s="60">
        <v>29</v>
      </c>
      <c r="P95" s="60">
        <f>11.7+11.4</f>
        <v>23.1</v>
      </c>
      <c r="Q95" s="60">
        <v>-4</v>
      </c>
      <c r="R95" s="60">
        <v>-8.5</v>
      </c>
      <c r="S95" s="60">
        <v>-9.6</v>
      </c>
      <c r="T95" s="60">
        <v>-9</v>
      </c>
      <c r="U95" s="60">
        <v>-4.5999999999999996</v>
      </c>
      <c r="V95" s="60">
        <v>-11</v>
      </c>
      <c r="W95" s="60">
        <v>-16.399999999999999</v>
      </c>
      <c r="X95" s="60">
        <v>-4</v>
      </c>
      <c r="Y95" s="60">
        <v>27</v>
      </c>
      <c r="Z95" s="60">
        <v>46</v>
      </c>
      <c r="AA95" s="60">
        <v>22</v>
      </c>
      <c r="AB95" s="73">
        <v>16</v>
      </c>
      <c r="AC95" s="73">
        <v>24</v>
      </c>
      <c r="AD95" s="73">
        <v>8</v>
      </c>
      <c r="AE95" s="73">
        <v>-23</v>
      </c>
      <c r="AF95" s="73">
        <v>-32</v>
      </c>
      <c r="AG95" s="120">
        <v>240</v>
      </c>
      <c r="AH95" s="54">
        <f t="shared" si="38"/>
        <v>46</v>
      </c>
      <c r="AI95" s="121">
        <f t="shared" si="39"/>
        <v>0.79166666666666663</v>
      </c>
    </row>
    <row r="96" spans="1:88" x14ac:dyDescent="0.25">
      <c r="A96" s="122" t="s">
        <v>100</v>
      </c>
      <c r="B96" s="73">
        <v>-9.9</v>
      </c>
      <c r="C96" s="123">
        <v>-9.4</v>
      </c>
      <c r="D96" s="123">
        <v>-10.9</v>
      </c>
      <c r="E96" s="60">
        <v>-12.2</v>
      </c>
      <c r="F96" s="60">
        <v>-6.7</v>
      </c>
      <c r="G96" s="60">
        <v>-4.8</v>
      </c>
      <c r="H96" s="60">
        <v>3.3</v>
      </c>
      <c r="I96" s="60">
        <v>12</v>
      </c>
      <c r="J96" s="60">
        <v>12.5</v>
      </c>
      <c r="K96" s="60">
        <v>12.6</v>
      </c>
      <c r="L96" s="60">
        <v>18.8</v>
      </c>
      <c r="M96" s="60">
        <v>18.3</v>
      </c>
      <c r="N96" s="60">
        <v>27</v>
      </c>
      <c r="O96" s="60">
        <v>18.600000000000001</v>
      </c>
      <c r="P96" s="60">
        <v>6.3</v>
      </c>
      <c r="Q96" s="60">
        <v>5</v>
      </c>
      <c r="R96" s="60">
        <v>5</v>
      </c>
      <c r="S96" s="60">
        <v>4.7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32</v>
      </c>
      <c r="Z96" s="60">
        <v>41.4</v>
      </c>
      <c r="AA96" s="60">
        <v>24</v>
      </c>
      <c r="AB96" s="73">
        <v>13.5</v>
      </c>
      <c r="AC96" s="73">
        <v>15</v>
      </c>
      <c r="AD96" s="73">
        <v>4</v>
      </c>
      <c r="AE96" s="73">
        <v>-3</v>
      </c>
      <c r="AF96" s="73">
        <v>-6</v>
      </c>
      <c r="AG96" s="120">
        <v>60</v>
      </c>
      <c r="AH96" s="54">
        <f t="shared" si="38"/>
        <v>41.4</v>
      </c>
      <c r="AI96" s="121">
        <f t="shared" si="39"/>
        <v>0.79166666666666663</v>
      </c>
    </row>
    <row r="97" spans="1:37" x14ac:dyDescent="0.25">
      <c r="A97" s="124" t="s">
        <v>101</v>
      </c>
      <c r="B97" s="126">
        <v>93.9</v>
      </c>
      <c r="C97" s="125">
        <v>86.9</v>
      </c>
      <c r="D97" s="125">
        <v>95.6</v>
      </c>
      <c r="E97" s="63">
        <v>98.8</v>
      </c>
      <c r="F97" s="63">
        <v>97</v>
      </c>
      <c r="G97" s="63">
        <v>86</v>
      </c>
      <c r="H97" s="63">
        <v>78.3</v>
      </c>
      <c r="I97" s="63">
        <v>99.3</v>
      </c>
      <c r="J97" s="63">
        <v>99.3</v>
      </c>
      <c r="K97" s="63">
        <v>109</v>
      </c>
      <c r="L97" s="63">
        <v>111.3</v>
      </c>
      <c r="M97" s="63">
        <v>113.8</v>
      </c>
      <c r="N97" s="63">
        <v>112.8</v>
      </c>
      <c r="O97" s="63">
        <v>90.9</v>
      </c>
      <c r="P97" s="63">
        <v>87.5</v>
      </c>
      <c r="Q97" s="63">
        <v>75.400000000000006</v>
      </c>
      <c r="R97" s="63">
        <v>86.4</v>
      </c>
      <c r="S97" s="63">
        <v>87.5</v>
      </c>
      <c r="T97" s="63">
        <v>85.9</v>
      </c>
      <c r="U97" s="63">
        <v>88.3</v>
      </c>
      <c r="V97" s="63">
        <v>90.9</v>
      </c>
      <c r="W97" s="63">
        <v>66.2</v>
      </c>
      <c r="X97" s="63">
        <v>99.5</v>
      </c>
      <c r="Y97" s="63">
        <v>97.5</v>
      </c>
      <c r="Z97" s="63">
        <v>101.8</v>
      </c>
      <c r="AA97" s="63">
        <v>106.4</v>
      </c>
      <c r="AB97" s="126">
        <v>93</v>
      </c>
      <c r="AC97" s="126">
        <v>83</v>
      </c>
      <c r="AD97" s="126">
        <v>88</v>
      </c>
      <c r="AE97" s="126">
        <v>81</v>
      </c>
      <c r="AF97" s="126">
        <v>76</v>
      </c>
      <c r="AG97" s="127">
        <v>120</v>
      </c>
      <c r="AH97" s="54">
        <f t="shared" si="38"/>
        <v>113.8</v>
      </c>
      <c r="AI97" s="121">
        <f t="shared" si="39"/>
        <v>0.33333333333333331</v>
      </c>
    </row>
    <row r="98" spans="1:37" x14ac:dyDescent="0.25">
      <c r="A98" s="124" t="s">
        <v>102</v>
      </c>
      <c r="B98" s="126">
        <v>101.3</v>
      </c>
      <c r="C98" s="125">
        <v>94.7</v>
      </c>
      <c r="D98" s="125">
        <v>102.7</v>
      </c>
      <c r="E98" s="63">
        <v>105.3</v>
      </c>
      <c r="F98" s="63">
        <v>103.1</v>
      </c>
      <c r="G98" s="63">
        <v>90.3</v>
      </c>
      <c r="H98" s="63">
        <v>66.599999999999994</v>
      </c>
      <c r="I98" s="63">
        <v>65.099999999999994</v>
      </c>
      <c r="J98" s="63">
        <v>60.9</v>
      </c>
      <c r="K98" s="63">
        <v>68.400000000000006</v>
      </c>
      <c r="L98" s="63">
        <v>51.3</v>
      </c>
      <c r="M98" s="63">
        <v>55.7</v>
      </c>
      <c r="N98" s="63">
        <v>69.400000000000006</v>
      </c>
      <c r="O98" s="63">
        <v>64.599999999999994</v>
      </c>
      <c r="P98" s="63">
        <v>62.1</v>
      </c>
      <c r="Q98" s="63">
        <v>65</v>
      </c>
      <c r="R98" s="63">
        <v>76.599999999999994</v>
      </c>
      <c r="S98" s="63">
        <v>82.8</v>
      </c>
      <c r="T98" s="63">
        <v>80.8</v>
      </c>
      <c r="U98" s="63">
        <v>81.400000000000006</v>
      </c>
      <c r="V98" s="63">
        <v>71.099999999999994</v>
      </c>
      <c r="W98" s="63">
        <v>49.2</v>
      </c>
      <c r="X98" s="63">
        <v>70.8</v>
      </c>
      <c r="Y98" s="63">
        <v>52.9</v>
      </c>
      <c r="Z98" s="63">
        <v>72.7</v>
      </c>
      <c r="AA98" s="63">
        <v>51.8</v>
      </c>
      <c r="AB98" s="126">
        <v>46</v>
      </c>
      <c r="AC98" s="126">
        <v>61</v>
      </c>
      <c r="AD98" s="126">
        <v>78</v>
      </c>
      <c r="AE98" s="126">
        <v>86</v>
      </c>
      <c r="AF98" s="126">
        <v>87</v>
      </c>
      <c r="AG98" s="127"/>
      <c r="AH98" s="54">
        <f t="shared" si="38"/>
        <v>105.3</v>
      </c>
      <c r="AI98" s="121">
        <f t="shared" si="39"/>
        <v>0.125</v>
      </c>
    </row>
    <row r="99" spans="1:37" ht="15.75" thickBot="1" x14ac:dyDescent="0.3">
      <c r="A99" s="124" t="s">
        <v>103</v>
      </c>
      <c r="B99" s="126">
        <v>72</v>
      </c>
      <c r="C99" s="125">
        <v>68.099999999999994</v>
      </c>
      <c r="D99" s="125">
        <v>72.400000000000006</v>
      </c>
      <c r="E99" s="63">
        <v>73.099999999999994</v>
      </c>
      <c r="F99" s="63">
        <v>76.3</v>
      </c>
      <c r="G99" s="63">
        <v>43.9</v>
      </c>
      <c r="H99" s="63">
        <v>46.1</v>
      </c>
      <c r="I99" s="63">
        <v>21</v>
      </c>
      <c r="J99" s="63">
        <v>52.2</v>
      </c>
      <c r="K99" s="63">
        <v>54.9</v>
      </c>
      <c r="L99" s="63">
        <v>37.340000000000003</v>
      </c>
      <c r="M99" s="63">
        <v>30.9</v>
      </c>
      <c r="N99" s="63">
        <v>39.6</v>
      </c>
      <c r="O99" s="63">
        <v>19</v>
      </c>
      <c r="P99" s="63">
        <v>17.399999999999999</v>
      </c>
      <c r="Q99" s="63">
        <v>14.9</v>
      </c>
      <c r="R99" s="63">
        <v>15.2</v>
      </c>
      <c r="S99" s="63">
        <v>6.6</v>
      </c>
      <c r="T99" s="63">
        <v>13.3</v>
      </c>
      <c r="U99" s="63">
        <v>16</v>
      </c>
      <c r="V99" s="63">
        <v>19.8</v>
      </c>
      <c r="W99" s="63">
        <v>12.3</v>
      </c>
      <c r="X99" s="63">
        <v>22.1</v>
      </c>
      <c r="Y99" s="63">
        <v>17.399999999999999</v>
      </c>
      <c r="Z99" s="63">
        <v>45</v>
      </c>
      <c r="AA99" s="63">
        <v>25.6</v>
      </c>
      <c r="AB99" s="126">
        <v>16</v>
      </c>
      <c r="AC99" s="126">
        <v>24</v>
      </c>
      <c r="AD99" s="126">
        <v>52</v>
      </c>
      <c r="AE99" s="126">
        <v>45</v>
      </c>
      <c r="AF99" s="126">
        <v>38</v>
      </c>
      <c r="AG99" s="128"/>
      <c r="AH99" s="54">
        <f t="shared" si="38"/>
        <v>76.3</v>
      </c>
      <c r="AI99" s="121">
        <f t="shared" si="39"/>
        <v>0.16666666666666699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40">AF101</f>
        <v>9.9</v>
      </c>
      <c r="C101" s="53">
        <v>9.9</v>
      </c>
      <c r="D101" s="134">
        <f t="shared" ref="D101:S106" si="41">C101</f>
        <v>9.9</v>
      </c>
      <c r="E101" s="134">
        <f t="shared" si="41"/>
        <v>9.9</v>
      </c>
      <c r="F101" s="134">
        <f t="shared" si="41"/>
        <v>9.9</v>
      </c>
      <c r="G101" s="134">
        <f t="shared" si="41"/>
        <v>9.9</v>
      </c>
      <c r="H101" s="134">
        <f t="shared" si="41"/>
        <v>9.9</v>
      </c>
      <c r="I101" s="134">
        <f t="shared" si="41"/>
        <v>9.9</v>
      </c>
      <c r="J101" s="134">
        <f t="shared" si="41"/>
        <v>9.9</v>
      </c>
      <c r="K101" s="134">
        <f t="shared" si="41"/>
        <v>9.9</v>
      </c>
      <c r="L101" s="134">
        <f t="shared" si="41"/>
        <v>9.9</v>
      </c>
      <c r="M101" s="134">
        <f t="shared" si="41"/>
        <v>9.9</v>
      </c>
      <c r="N101" s="134">
        <f t="shared" si="41"/>
        <v>9.9</v>
      </c>
      <c r="O101" s="134">
        <f t="shared" si="41"/>
        <v>9.9</v>
      </c>
      <c r="P101" s="134">
        <f t="shared" si="41"/>
        <v>9.9</v>
      </c>
      <c r="Q101" s="134">
        <f t="shared" si="41"/>
        <v>9.9</v>
      </c>
      <c r="R101" s="134">
        <f t="shared" si="41"/>
        <v>9.9</v>
      </c>
      <c r="S101" s="134">
        <f t="shared" si="41"/>
        <v>9.9</v>
      </c>
      <c r="T101" s="134">
        <f t="shared" ref="T101:AF106" si="42">S101</f>
        <v>9.9</v>
      </c>
      <c r="U101" s="134">
        <f t="shared" si="42"/>
        <v>9.9</v>
      </c>
      <c r="V101" s="134">
        <f t="shared" si="42"/>
        <v>9.9</v>
      </c>
      <c r="W101" s="134">
        <f t="shared" si="42"/>
        <v>9.9</v>
      </c>
      <c r="X101" s="134">
        <f t="shared" si="42"/>
        <v>9.9</v>
      </c>
      <c r="Y101" s="134">
        <f t="shared" si="42"/>
        <v>9.9</v>
      </c>
      <c r="Z101" s="134">
        <f t="shared" si="42"/>
        <v>9.9</v>
      </c>
      <c r="AA101" s="134">
        <f t="shared" si="42"/>
        <v>9.9</v>
      </c>
      <c r="AB101" s="134">
        <f t="shared" si="42"/>
        <v>9.9</v>
      </c>
      <c r="AC101" s="134">
        <f t="shared" si="42"/>
        <v>9.9</v>
      </c>
      <c r="AD101" s="134">
        <f t="shared" si="42"/>
        <v>9.9</v>
      </c>
      <c r="AE101" s="134">
        <f t="shared" si="42"/>
        <v>9.9</v>
      </c>
      <c r="AF101" s="134">
        <f t="shared" si="42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40"/>
        <v>9.6</v>
      </c>
      <c r="C102" s="137">
        <v>9.6</v>
      </c>
      <c r="D102" s="136">
        <f t="shared" si="41"/>
        <v>9.6</v>
      </c>
      <c r="E102" s="136">
        <f t="shared" si="41"/>
        <v>9.6</v>
      </c>
      <c r="F102" s="136">
        <f t="shared" si="41"/>
        <v>9.6</v>
      </c>
      <c r="G102" s="136">
        <f t="shared" si="41"/>
        <v>9.6</v>
      </c>
      <c r="H102" s="136">
        <f t="shared" si="41"/>
        <v>9.6</v>
      </c>
      <c r="I102" s="136">
        <f t="shared" si="41"/>
        <v>9.6</v>
      </c>
      <c r="J102" s="136">
        <f t="shared" si="41"/>
        <v>9.6</v>
      </c>
      <c r="K102" s="136">
        <f t="shared" si="41"/>
        <v>9.6</v>
      </c>
      <c r="L102" s="136">
        <f t="shared" si="41"/>
        <v>9.6</v>
      </c>
      <c r="M102" s="136">
        <f t="shared" si="41"/>
        <v>9.6</v>
      </c>
      <c r="N102" s="136">
        <f t="shared" si="41"/>
        <v>9.6</v>
      </c>
      <c r="O102" s="136">
        <f t="shared" si="41"/>
        <v>9.6</v>
      </c>
      <c r="P102" s="136">
        <f t="shared" si="41"/>
        <v>9.6</v>
      </c>
      <c r="Q102" s="136">
        <f t="shared" si="41"/>
        <v>9.6</v>
      </c>
      <c r="R102" s="136">
        <f t="shared" si="41"/>
        <v>9.6</v>
      </c>
      <c r="S102" s="136">
        <f t="shared" si="41"/>
        <v>9.6</v>
      </c>
      <c r="T102" s="136">
        <f t="shared" si="42"/>
        <v>9.6</v>
      </c>
      <c r="U102" s="136">
        <f t="shared" si="42"/>
        <v>9.6</v>
      </c>
      <c r="V102" s="136">
        <f t="shared" si="42"/>
        <v>9.6</v>
      </c>
      <c r="W102" s="136">
        <f t="shared" si="42"/>
        <v>9.6</v>
      </c>
      <c r="X102" s="136">
        <f t="shared" si="42"/>
        <v>9.6</v>
      </c>
      <c r="Y102" s="136">
        <f t="shared" si="42"/>
        <v>9.6</v>
      </c>
      <c r="Z102" s="136">
        <f t="shared" si="42"/>
        <v>9.6</v>
      </c>
      <c r="AA102" s="136">
        <f t="shared" si="42"/>
        <v>9.6</v>
      </c>
      <c r="AB102" s="136">
        <f t="shared" si="42"/>
        <v>9.6</v>
      </c>
      <c r="AC102" s="136">
        <f t="shared" si="42"/>
        <v>9.6</v>
      </c>
      <c r="AD102" s="136">
        <f t="shared" si="42"/>
        <v>9.6</v>
      </c>
      <c r="AE102" s="136">
        <f t="shared" si="42"/>
        <v>9.6</v>
      </c>
      <c r="AF102" s="136">
        <f t="shared" si="42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40"/>
        <v>9.98</v>
      </c>
      <c r="C103" s="137">
        <v>9.98</v>
      </c>
      <c r="D103" s="136">
        <f t="shared" si="41"/>
        <v>9.98</v>
      </c>
      <c r="E103" s="136">
        <f t="shared" si="41"/>
        <v>9.98</v>
      </c>
      <c r="F103" s="136">
        <f t="shared" si="41"/>
        <v>9.98</v>
      </c>
      <c r="G103" s="136">
        <f t="shared" si="41"/>
        <v>9.98</v>
      </c>
      <c r="H103" s="136">
        <f t="shared" si="41"/>
        <v>9.98</v>
      </c>
      <c r="I103" s="136">
        <f t="shared" si="41"/>
        <v>9.98</v>
      </c>
      <c r="J103" s="136">
        <f t="shared" si="41"/>
        <v>9.98</v>
      </c>
      <c r="K103" s="136">
        <f t="shared" si="41"/>
        <v>9.98</v>
      </c>
      <c r="L103" s="136">
        <f t="shared" si="41"/>
        <v>9.98</v>
      </c>
      <c r="M103" s="136">
        <f t="shared" si="41"/>
        <v>9.98</v>
      </c>
      <c r="N103" s="136">
        <f t="shared" si="41"/>
        <v>9.98</v>
      </c>
      <c r="O103" s="136">
        <f t="shared" si="41"/>
        <v>9.98</v>
      </c>
      <c r="P103" s="136">
        <f t="shared" si="41"/>
        <v>9.98</v>
      </c>
      <c r="Q103" s="136">
        <f t="shared" si="41"/>
        <v>9.98</v>
      </c>
      <c r="R103" s="136">
        <f t="shared" si="41"/>
        <v>9.98</v>
      </c>
      <c r="S103" s="136">
        <f t="shared" si="41"/>
        <v>9.98</v>
      </c>
      <c r="T103" s="136">
        <f t="shared" si="42"/>
        <v>9.98</v>
      </c>
      <c r="U103" s="136">
        <f t="shared" si="42"/>
        <v>9.98</v>
      </c>
      <c r="V103" s="136">
        <f t="shared" si="42"/>
        <v>9.98</v>
      </c>
      <c r="W103" s="136">
        <f t="shared" si="42"/>
        <v>9.98</v>
      </c>
      <c r="X103" s="136">
        <f t="shared" si="42"/>
        <v>9.98</v>
      </c>
      <c r="Y103" s="136">
        <f t="shared" si="42"/>
        <v>9.98</v>
      </c>
      <c r="Z103" s="136">
        <f t="shared" si="42"/>
        <v>9.98</v>
      </c>
      <c r="AA103" s="136">
        <f t="shared" si="42"/>
        <v>9.98</v>
      </c>
      <c r="AB103" s="136">
        <f t="shared" si="42"/>
        <v>9.98</v>
      </c>
      <c r="AC103" s="136">
        <f t="shared" si="42"/>
        <v>9.98</v>
      </c>
      <c r="AD103" s="136">
        <f t="shared" si="42"/>
        <v>9.98</v>
      </c>
      <c r="AE103" s="136">
        <f t="shared" si="42"/>
        <v>9.98</v>
      </c>
      <c r="AF103" s="136">
        <f t="shared" si="42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40"/>
        <v>9.1</v>
      </c>
      <c r="C104" s="137">
        <v>9.1</v>
      </c>
      <c r="D104" s="136">
        <f t="shared" si="41"/>
        <v>9.1</v>
      </c>
      <c r="E104" s="136">
        <f t="shared" si="41"/>
        <v>9.1</v>
      </c>
      <c r="F104" s="136">
        <f t="shared" si="41"/>
        <v>9.1</v>
      </c>
      <c r="G104" s="136">
        <f t="shared" si="41"/>
        <v>9.1</v>
      </c>
      <c r="H104" s="136">
        <f t="shared" si="41"/>
        <v>9.1</v>
      </c>
      <c r="I104" s="136">
        <f t="shared" si="41"/>
        <v>9.1</v>
      </c>
      <c r="J104" s="136">
        <f t="shared" si="41"/>
        <v>9.1</v>
      </c>
      <c r="K104" s="136">
        <f t="shared" si="41"/>
        <v>9.1</v>
      </c>
      <c r="L104" s="136">
        <f t="shared" si="41"/>
        <v>9.1</v>
      </c>
      <c r="M104" s="136">
        <f t="shared" si="41"/>
        <v>9.1</v>
      </c>
      <c r="N104" s="136">
        <f t="shared" si="41"/>
        <v>9.1</v>
      </c>
      <c r="O104" s="136">
        <f t="shared" si="41"/>
        <v>9.1</v>
      </c>
      <c r="P104" s="136">
        <f t="shared" si="41"/>
        <v>9.1</v>
      </c>
      <c r="Q104" s="136">
        <f t="shared" si="41"/>
        <v>9.1</v>
      </c>
      <c r="R104" s="136">
        <f t="shared" si="41"/>
        <v>9.1</v>
      </c>
      <c r="S104" s="136">
        <f t="shared" si="41"/>
        <v>9.1</v>
      </c>
      <c r="T104" s="136">
        <f t="shared" si="42"/>
        <v>9.1</v>
      </c>
      <c r="U104" s="136">
        <f t="shared" si="42"/>
        <v>9.1</v>
      </c>
      <c r="V104" s="136">
        <f t="shared" si="42"/>
        <v>9.1</v>
      </c>
      <c r="W104" s="136">
        <f t="shared" si="42"/>
        <v>9.1</v>
      </c>
      <c r="X104" s="136">
        <f t="shared" si="42"/>
        <v>9.1</v>
      </c>
      <c r="Y104" s="136">
        <f t="shared" si="42"/>
        <v>9.1</v>
      </c>
      <c r="Z104" s="136">
        <f t="shared" si="42"/>
        <v>9.1</v>
      </c>
      <c r="AA104" s="136">
        <f t="shared" si="42"/>
        <v>9.1</v>
      </c>
      <c r="AB104" s="136">
        <f t="shared" si="42"/>
        <v>9.1</v>
      </c>
      <c r="AC104" s="136">
        <f t="shared" si="42"/>
        <v>9.1</v>
      </c>
      <c r="AD104" s="136">
        <f t="shared" si="42"/>
        <v>9.1</v>
      </c>
      <c r="AE104" s="136">
        <f t="shared" si="42"/>
        <v>9.1</v>
      </c>
      <c r="AF104" s="136">
        <f t="shared" si="42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40"/>
        <v>9.18</v>
      </c>
      <c r="C105" s="137">
        <v>9.18</v>
      </c>
      <c r="D105" s="136">
        <f t="shared" si="41"/>
        <v>9.18</v>
      </c>
      <c r="E105" s="136">
        <f t="shared" si="41"/>
        <v>9.18</v>
      </c>
      <c r="F105" s="136">
        <f t="shared" si="41"/>
        <v>9.18</v>
      </c>
      <c r="G105" s="136">
        <f t="shared" si="41"/>
        <v>9.18</v>
      </c>
      <c r="H105" s="136">
        <f t="shared" si="41"/>
        <v>9.18</v>
      </c>
      <c r="I105" s="136">
        <f t="shared" si="41"/>
        <v>9.18</v>
      </c>
      <c r="J105" s="136">
        <f t="shared" si="41"/>
        <v>9.18</v>
      </c>
      <c r="K105" s="136">
        <f t="shared" si="41"/>
        <v>9.18</v>
      </c>
      <c r="L105" s="136">
        <f t="shared" si="41"/>
        <v>9.18</v>
      </c>
      <c r="M105" s="136">
        <f t="shared" si="41"/>
        <v>9.18</v>
      </c>
      <c r="N105" s="136">
        <f t="shared" si="41"/>
        <v>9.18</v>
      </c>
      <c r="O105" s="136">
        <f t="shared" si="41"/>
        <v>9.18</v>
      </c>
      <c r="P105" s="136">
        <f t="shared" si="41"/>
        <v>9.18</v>
      </c>
      <c r="Q105" s="136">
        <f t="shared" si="41"/>
        <v>9.18</v>
      </c>
      <c r="R105" s="136">
        <f t="shared" si="41"/>
        <v>9.18</v>
      </c>
      <c r="S105" s="136">
        <f t="shared" si="41"/>
        <v>9.18</v>
      </c>
      <c r="T105" s="136">
        <f t="shared" si="42"/>
        <v>9.18</v>
      </c>
      <c r="U105" s="136">
        <f t="shared" si="42"/>
        <v>9.18</v>
      </c>
      <c r="V105" s="136">
        <f t="shared" si="42"/>
        <v>9.18</v>
      </c>
      <c r="W105" s="136">
        <f t="shared" si="42"/>
        <v>9.18</v>
      </c>
      <c r="X105" s="136">
        <f t="shared" si="42"/>
        <v>9.18</v>
      </c>
      <c r="Y105" s="136">
        <f t="shared" si="42"/>
        <v>9.18</v>
      </c>
      <c r="Z105" s="136">
        <f t="shared" si="42"/>
        <v>9.18</v>
      </c>
      <c r="AA105" s="136">
        <f t="shared" si="42"/>
        <v>9.18</v>
      </c>
      <c r="AB105" s="136">
        <f t="shared" si="42"/>
        <v>9.18</v>
      </c>
      <c r="AC105" s="136">
        <f t="shared" si="42"/>
        <v>9.18</v>
      </c>
      <c r="AD105" s="136">
        <f t="shared" si="42"/>
        <v>9.18</v>
      </c>
      <c r="AE105" s="136">
        <f t="shared" si="42"/>
        <v>9.18</v>
      </c>
      <c r="AF105" s="136">
        <f t="shared" si="42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40"/>
        <v>7</v>
      </c>
      <c r="C106" s="137">
        <v>7</v>
      </c>
      <c r="D106" s="136">
        <f t="shared" si="41"/>
        <v>7</v>
      </c>
      <c r="E106" s="136">
        <f t="shared" si="41"/>
        <v>7</v>
      </c>
      <c r="F106" s="136">
        <f t="shared" si="41"/>
        <v>7</v>
      </c>
      <c r="G106" s="136">
        <f t="shared" si="41"/>
        <v>7</v>
      </c>
      <c r="H106" s="136">
        <f t="shared" si="41"/>
        <v>7</v>
      </c>
      <c r="I106" s="136">
        <f t="shared" si="41"/>
        <v>7</v>
      </c>
      <c r="J106" s="136">
        <f t="shared" si="41"/>
        <v>7</v>
      </c>
      <c r="K106" s="136">
        <f t="shared" si="41"/>
        <v>7</v>
      </c>
      <c r="L106" s="136">
        <f t="shared" si="41"/>
        <v>7</v>
      </c>
      <c r="M106" s="136">
        <f t="shared" si="41"/>
        <v>7</v>
      </c>
      <c r="N106" s="136">
        <f t="shared" si="41"/>
        <v>7</v>
      </c>
      <c r="O106" s="136">
        <f t="shared" si="41"/>
        <v>7</v>
      </c>
      <c r="P106" s="136">
        <f t="shared" si="41"/>
        <v>7</v>
      </c>
      <c r="Q106" s="136">
        <f t="shared" si="41"/>
        <v>7</v>
      </c>
      <c r="R106" s="136">
        <f t="shared" si="41"/>
        <v>7</v>
      </c>
      <c r="S106" s="136">
        <f t="shared" si="41"/>
        <v>7</v>
      </c>
      <c r="T106" s="136">
        <f t="shared" si="42"/>
        <v>7</v>
      </c>
      <c r="U106" s="136">
        <f t="shared" si="42"/>
        <v>7</v>
      </c>
      <c r="V106" s="136">
        <f t="shared" si="42"/>
        <v>7</v>
      </c>
      <c r="W106" s="136">
        <f t="shared" si="42"/>
        <v>7</v>
      </c>
      <c r="X106" s="136">
        <f t="shared" si="42"/>
        <v>7</v>
      </c>
      <c r="Y106" s="136">
        <f t="shared" si="42"/>
        <v>7</v>
      </c>
      <c r="Z106" s="136">
        <f t="shared" si="42"/>
        <v>7</v>
      </c>
      <c r="AA106" s="136">
        <f t="shared" si="42"/>
        <v>7</v>
      </c>
      <c r="AB106" s="136">
        <f t="shared" si="42"/>
        <v>7</v>
      </c>
      <c r="AC106" s="136">
        <f t="shared" si="42"/>
        <v>7</v>
      </c>
      <c r="AD106" s="136">
        <f t="shared" si="42"/>
        <v>7</v>
      </c>
      <c r="AE106" s="136">
        <f t="shared" si="42"/>
        <v>7</v>
      </c>
      <c r="AF106" s="136">
        <f t="shared" si="42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43">C108</f>
        <v>2.25</v>
      </c>
      <c r="E108" s="136">
        <f t="shared" si="43"/>
        <v>2.25</v>
      </c>
      <c r="F108" s="136">
        <f t="shared" si="43"/>
        <v>2.25</v>
      </c>
      <c r="G108" s="136">
        <f t="shared" si="43"/>
        <v>2.25</v>
      </c>
      <c r="H108" s="136">
        <f t="shared" si="43"/>
        <v>2.25</v>
      </c>
      <c r="I108" s="136">
        <f t="shared" si="43"/>
        <v>2.25</v>
      </c>
      <c r="J108" s="136">
        <f t="shared" si="43"/>
        <v>2.25</v>
      </c>
      <c r="K108" s="136">
        <f t="shared" si="43"/>
        <v>2.25</v>
      </c>
      <c r="L108" s="136">
        <f t="shared" si="43"/>
        <v>2.25</v>
      </c>
      <c r="M108" s="136">
        <f t="shared" si="43"/>
        <v>2.25</v>
      </c>
      <c r="N108" s="136">
        <f t="shared" si="43"/>
        <v>2.25</v>
      </c>
      <c r="O108" s="136">
        <f t="shared" si="43"/>
        <v>2.25</v>
      </c>
      <c r="P108" s="136">
        <f t="shared" si="43"/>
        <v>2.25</v>
      </c>
      <c r="Q108" s="136">
        <f t="shared" si="43"/>
        <v>2.25</v>
      </c>
      <c r="R108" s="136">
        <f t="shared" si="43"/>
        <v>2.25</v>
      </c>
      <c r="S108" s="136">
        <f t="shared" si="43"/>
        <v>2.25</v>
      </c>
      <c r="T108" s="136">
        <f t="shared" ref="T108:AF109" si="44">S108</f>
        <v>2.25</v>
      </c>
      <c r="U108" s="136">
        <f t="shared" si="44"/>
        <v>2.25</v>
      </c>
      <c r="V108" s="136">
        <f t="shared" si="44"/>
        <v>2.25</v>
      </c>
      <c r="W108" s="136">
        <f t="shared" si="44"/>
        <v>2.25</v>
      </c>
      <c r="X108" s="136">
        <f t="shared" si="44"/>
        <v>2.25</v>
      </c>
      <c r="Y108" s="136">
        <f t="shared" si="44"/>
        <v>2.25</v>
      </c>
      <c r="Z108" s="136">
        <f t="shared" si="44"/>
        <v>2.25</v>
      </c>
      <c r="AA108" s="136">
        <f t="shared" si="44"/>
        <v>2.25</v>
      </c>
      <c r="AB108" s="136">
        <f t="shared" si="44"/>
        <v>2.25</v>
      </c>
      <c r="AC108" s="136">
        <f t="shared" si="44"/>
        <v>2.25</v>
      </c>
      <c r="AD108" s="136">
        <f t="shared" si="44"/>
        <v>2.25</v>
      </c>
      <c r="AE108" s="136">
        <f t="shared" si="44"/>
        <v>2.25</v>
      </c>
      <c r="AF108" s="136">
        <f t="shared" si="44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43"/>
        <v>1.64</v>
      </c>
      <c r="E109" s="136">
        <f t="shared" si="43"/>
        <v>1.64</v>
      </c>
      <c r="F109" s="136">
        <f t="shared" si="43"/>
        <v>1.64</v>
      </c>
      <c r="G109" s="136">
        <f t="shared" si="43"/>
        <v>1.64</v>
      </c>
      <c r="H109" s="136">
        <f t="shared" si="43"/>
        <v>1.64</v>
      </c>
      <c r="I109" s="136">
        <f t="shared" si="43"/>
        <v>1.64</v>
      </c>
      <c r="J109" s="136">
        <f t="shared" si="43"/>
        <v>1.64</v>
      </c>
      <c r="K109" s="136">
        <f t="shared" si="43"/>
        <v>1.64</v>
      </c>
      <c r="L109" s="136">
        <f t="shared" si="43"/>
        <v>1.64</v>
      </c>
      <c r="M109" s="136">
        <f t="shared" si="43"/>
        <v>1.64</v>
      </c>
      <c r="N109" s="136">
        <f t="shared" si="43"/>
        <v>1.64</v>
      </c>
      <c r="O109" s="136">
        <f t="shared" si="43"/>
        <v>1.64</v>
      </c>
      <c r="P109" s="136">
        <f t="shared" si="43"/>
        <v>1.64</v>
      </c>
      <c r="Q109" s="136">
        <f t="shared" si="43"/>
        <v>1.64</v>
      </c>
      <c r="R109" s="136">
        <f t="shared" si="43"/>
        <v>1.64</v>
      </c>
      <c r="S109" s="136">
        <f t="shared" si="43"/>
        <v>1.64</v>
      </c>
      <c r="T109" s="136">
        <f t="shared" si="44"/>
        <v>1.64</v>
      </c>
      <c r="U109" s="136">
        <f t="shared" si="44"/>
        <v>1.64</v>
      </c>
      <c r="V109" s="136">
        <f t="shared" si="44"/>
        <v>1.64</v>
      </c>
      <c r="W109" s="136">
        <f t="shared" si="44"/>
        <v>1.64</v>
      </c>
      <c r="X109" s="136">
        <f t="shared" si="44"/>
        <v>1.64</v>
      </c>
      <c r="Y109" s="136">
        <f t="shared" si="44"/>
        <v>1.64</v>
      </c>
      <c r="Z109" s="136">
        <f t="shared" si="44"/>
        <v>1.64</v>
      </c>
      <c r="AA109" s="136">
        <f t="shared" si="44"/>
        <v>1.64</v>
      </c>
      <c r="AB109" s="136">
        <f t="shared" si="44"/>
        <v>1.64</v>
      </c>
      <c r="AC109" s="136">
        <f t="shared" si="44"/>
        <v>1.64</v>
      </c>
      <c r="AD109" s="136">
        <f t="shared" si="44"/>
        <v>1.64</v>
      </c>
      <c r="AE109" s="136">
        <f t="shared" si="44"/>
        <v>1.64</v>
      </c>
      <c r="AF109" s="136">
        <f t="shared" si="44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45">AF111</f>
        <v>1.62</v>
      </c>
      <c r="C111" s="137">
        <v>1.62</v>
      </c>
      <c r="D111" s="136">
        <f t="shared" ref="D111:S118" si="46">C111</f>
        <v>1.62</v>
      </c>
      <c r="E111" s="136">
        <f t="shared" si="46"/>
        <v>1.62</v>
      </c>
      <c r="F111" s="136">
        <f t="shared" si="46"/>
        <v>1.62</v>
      </c>
      <c r="G111" s="136">
        <f t="shared" si="46"/>
        <v>1.62</v>
      </c>
      <c r="H111" s="136">
        <f t="shared" si="46"/>
        <v>1.62</v>
      </c>
      <c r="I111" s="136">
        <f t="shared" si="46"/>
        <v>1.62</v>
      </c>
      <c r="J111" s="136">
        <f t="shared" si="46"/>
        <v>1.62</v>
      </c>
      <c r="K111" s="136">
        <f t="shared" si="46"/>
        <v>1.62</v>
      </c>
      <c r="L111" s="136">
        <f t="shared" si="46"/>
        <v>1.62</v>
      </c>
      <c r="M111" s="136">
        <f t="shared" si="46"/>
        <v>1.62</v>
      </c>
      <c r="N111" s="136">
        <f t="shared" si="46"/>
        <v>1.62</v>
      </c>
      <c r="O111" s="136">
        <f t="shared" si="46"/>
        <v>1.62</v>
      </c>
      <c r="P111" s="136">
        <f t="shared" si="46"/>
        <v>1.62</v>
      </c>
      <c r="Q111" s="136">
        <f t="shared" si="46"/>
        <v>1.62</v>
      </c>
      <c r="R111" s="136">
        <f t="shared" si="46"/>
        <v>1.62</v>
      </c>
      <c r="S111" s="136">
        <f t="shared" si="46"/>
        <v>1.62</v>
      </c>
      <c r="T111" s="136">
        <f t="shared" ref="T111:AF126" si="47">S111</f>
        <v>1.62</v>
      </c>
      <c r="U111" s="136">
        <f t="shared" si="47"/>
        <v>1.62</v>
      </c>
      <c r="V111" s="136">
        <f t="shared" si="47"/>
        <v>1.62</v>
      </c>
      <c r="W111" s="136">
        <f t="shared" si="47"/>
        <v>1.62</v>
      </c>
      <c r="X111" s="136">
        <f t="shared" si="47"/>
        <v>1.62</v>
      </c>
      <c r="Y111" s="136">
        <f t="shared" si="47"/>
        <v>1.62</v>
      </c>
      <c r="Z111" s="136">
        <f t="shared" si="47"/>
        <v>1.62</v>
      </c>
      <c r="AA111" s="136">
        <f t="shared" si="47"/>
        <v>1.62</v>
      </c>
      <c r="AB111" s="136">
        <f t="shared" si="47"/>
        <v>1.62</v>
      </c>
      <c r="AC111" s="136">
        <f t="shared" si="47"/>
        <v>1.62</v>
      </c>
      <c r="AD111" s="136">
        <f t="shared" si="47"/>
        <v>1.62</v>
      </c>
      <c r="AE111" s="136">
        <f t="shared" si="47"/>
        <v>1.62</v>
      </c>
      <c r="AF111" s="136">
        <f t="shared" si="47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45"/>
        <v>8.36</v>
      </c>
      <c r="C112" s="137">
        <v>8.36</v>
      </c>
      <c r="D112" s="136">
        <f t="shared" si="46"/>
        <v>8.36</v>
      </c>
      <c r="E112" s="136">
        <f t="shared" si="46"/>
        <v>8.36</v>
      </c>
      <c r="F112" s="136">
        <f t="shared" si="46"/>
        <v>8.36</v>
      </c>
      <c r="G112" s="136">
        <f t="shared" si="46"/>
        <v>8.36</v>
      </c>
      <c r="H112" s="136">
        <f t="shared" si="46"/>
        <v>8.36</v>
      </c>
      <c r="I112" s="136">
        <f t="shared" si="46"/>
        <v>8.36</v>
      </c>
      <c r="J112" s="136">
        <f t="shared" si="46"/>
        <v>8.36</v>
      </c>
      <c r="K112" s="136">
        <f t="shared" si="46"/>
        <v>8.36</v>
      </c>
      <c r="L112" s="136">
        <f t="shared" si="46"/>
        <v>8.36</v>
      </c>
      <c r="M112" s="136">
        <f t="shared" si="46"/>
        <v>8.36</v>
      </c>
      <c r="N112" s="136">
        <f t="shared" si="46"/>
        <v>8.36</v>
      </c>
      <c r="O112" s="136">
        <f t="shared" si="46"/>
        <v>8.36</v>
      </c>
      <c r="P112" s="136">
        <f t="shared" si="46"/>
        <v>8.36</v>
      </c>
      <c r="Q112" s="136">
        <f t="shared" si="46"/>
        <v>8.36</v>
      </c>
      <c r="R112" s="136">
        <f t="shared" si="46"/>
        <v>8.36</v>
      </c>
      <c r="S112" s="136">
        <f t="shared" si="46"/>
        <v>8.36</v>
      </c>
      <c r="T112" s="136">
        <f t="shared" si="47"/>
        <v>8.36</v>
      </c>
      <c r="U112" s="136">
        <f t="shared" si="47"/>
        <v>8.36</v>
      </c>
      <c r="V112" s="136">
        <f t="shared" si="47"/>
        <v>8.36</v>
      </c>
      <c r="W112" s="136">
        <f t="shared" si="47"/>
        <v>8.36</v>
      </c>
      <c r="X112" s="136">
        <f t="shared" si="47"/>
        <v>8.36</v>
      </c>
      <c r="Y112" s="136">
        <f t="shared" si="47"/>
        <v>8.36</v>
      </c>
      <c r="Z112" s="136">
        <f t="shared" si="47"/>
        <v>8.36</v>
      </c>
      <c r="AA112" s="136">
        <f t="shared" si="47"/>
        <v>8.36</v>
      </c>
      <c r="AB112" s="136">
        <f t="shared" si="47"/>
        <v>8.36</v>
      </c>
      <c r="AC112" s="136">
        <f t="shared" si="47"/>
        <v>8.36</v>
      </c>
      <c r="AD112" s="136">
        <f t="shared" si="47"/>
        <v>8.36</v>
      </c>
      <c r="AE112" s="136">
        <f t="shared" si="47"/>
        <v>8.36</v>
      </c>
      <c r="AF112" s="136">
        <f t="shared" si="47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45"/>
        <v>5.4</v>
      </c>
      <c r="C113" s="137">
        <v>8</v>
      </c>
      <c r="D113" s="136">
        <f t="shared" si="46"/>
        <v>8</v>
      </c>
      <c r="E113" s="136">
        <f t="shared" si="46"/>
        <v>8</v>
      </c>
      <c r="F113" s="136">
        <f t="shared" si="46"/>
        <v>8</v>
      </c>
      <c r="G113" s="136">
        <f t="shared" si="46"/>
        <v>8</v>
      </c>
      <c r="H113" s="136">
        <f t="shared" si="46"/>
        <v>8</v>
      </c>
      <c r="I113" s="136">
        <f t="shared" si="46"/>
        <v>8</v>
      </c>
      <c r="J113" s="136">
        <v>5.4</v>
      </c>
      <c r="K113" s="136">
        <f t="shared" si="46"/>
        <v>5.4</v>
      </c>
      <c r="L113" s="136">
        <f t="shared" si="46"/>
        <v>5.4</v>
      </c>
      <c r="M113" s="136">
        <f t="shared" si="46"/>
        <v>5.4</v>
      </c>
      <c r="N113" s="136">
        <f t="shared" si="46"/>
        <v>5.4</v>
      </c>
      <c r="O113" s="136">
        <f t="shared" si="46"/>
        <v>5.4</v>
      </c>
      <c r="P113" s="136">
        <f t="shared" si="46"/>
        <v>5.4</v>
      </c>
      <c r="Q113" s="136">
        <f t="shared" si="46"/>
        <v>5.4</v>
      </c>
      <c r="R113" s="136">
        <f t="shared" si="46"/>
        <v>5.4</v>
      </c>
      <c r="S113" s="136">
        <f t="shared" si="46"/>
        <v>5.4</v>
      </c>
      <c r="T113" s="136">
        <f t="shared" si="47"/>
        <v>5.4</v>
      </c>
      <c r="U113" s="136">
        <f t="shared" si="47"/>
        <v>5.4</v>
      </c>
      <c r="V113" s="136">
        <f t="shared" si="47"/>
        <v>5.4</v>
      </c>
      <c r="W113" s="136">
        <f t="shared" si="47"/>
        <v>5.4</v>
      </c>
      <c r="X113" s="136">
        <f t="shared" si="47"/>
        <v>5.4</v>
      </c>
      <c r="Y113" s="136">
        <f t="shared" si="47"/>
        <v>5.4</v>
      </c>
      <c r="Z113" s="136">
        <f t="shared" si="47"/>
        <v>5.4</v>
      </c>
      <c r="AA113" s="136">
        <f t="shared" si="47"/>
        <v>5.4</v>
      </c>
      <c r="AB113" s="136">
        <f t="shared" si="47"/>
        <v>5.4</v>
      </c>
      <c r="AC113" s="136">
        <f t="shared" si="47"/>
        <v>5.4</v>
      </c>
      <c r="AD113" s="136">
        <f t="shared" si="47"/>
        <v>5.4</v>
      </c>
      <c r="AE113" s="136">
        <f t="shared" si="47"/>
        <v>5.4</v>
      </c>
      <c r="AF113" s="136">
        <f t="shared" si="47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45"/>
        <v>6.57</v>
      </c>
      <c r="C114" s="137">
        <v>6.57</v>
      </c>
      <c r="D114" s="136">
        <f t="shared" si="46"/>
        <v>6.57</v>
      </c>
      <c r="E114" s="136">
        <f t="shared" si="46"/>
        <v>6.57</v>
      </c>
      <c r="F114" s="136">
        <f t="shared" si="46"/>
        <v>6.57</v>
      </c>
      <c r="G114" s="136">
        <f t="shared" si="46"/>
        <v>6.57</v>
      </c>
      <c r="H114" s="136">
        <f t="shared" si="46"/>
        <v>6.57</v>
      </c>
      <c r="I114" s="136">
        <f t="shared" si="46"/>
        <v>6.57</v>
      </c>
      <c r="J114" s="136">
        <f t="shared" si="46"/>
        <v>6.57</v>
      </c>
      <c r="K114" s="136">
        <f t="shared" si="46"/>
        <v>6.57</v>
      </c>
      <c r="L114" s="136">
        <f t="shared" si="46"/>
        <v>6.57</v>
      </c>
      <c r="M114" s="136">
        <f t="shared" si="46"/>
        <v>6.57</v>
      </c>
      <c r="N114" s="136">
        <f t="shared" si="46"/>
        <v>6.57</v>
      </c>
      <c r="O114" s="136">
        <f t="shared" si="46"/>
        <v>6.57</v>
      </c>
      <c r="P114" s="136">
        <f t="shared" si="46"/>
        <v>6.57</v>
      </c>
      <c r="Q114" s="136">
        <f t="shared" si="46"/>
        <v>6.57</v>
      </c>
      <c r="R114" s="136">
        <f t="shared" si="46"/>
        <v>6.57</v>
      </c>
      <c r="S114" s="136">
        <f t="shared" si="46"/>
        <v>6.57</v>
      </c>
      <c r="T114" s="136">
        <f t="shared" si="47"/>
        <v>6.57</v>
      </c>
      <c r="U114" s="136">
        <f t="shared" si="47"/>
        <v>6.57</v>
      </c>
      <c r="V114" s="136">
        <f t="shared" si="47"/>
        <v>6.57</v>
      </c>
      <c r="W114" s="136">
        <f t="shared" si="47"/>
        <v>6.57</v>
      </c>
      <c r="X114" s="136">
        <f t="shared" si="47"/>
        <v>6.57</v>
      </c>
      <c r="Y114" s="136">
        <f t="shared" si="47"/>
        <v>6.57</v>
      </c>
      <c r="Z114" s="136">
        <f t="shared" si="47"/>
        <v>6.57</v>
      </c>
      <c r="AA114" s="136">
        <f t="shared" si="47"/>
        <v>6.57</v>
      </c>
      <c r="AB114" s="136">
        <f t="shared" si="47"/>
        <v>6.57</v>
      </c>
      <c r="AC114" s="136">
        <f t="shared" si="47"/>
        <v>6.57</v>
      </c>
      <c r="AD114" s="136">
        <f t="shared" si="47"/>
        <v>6.57</v>
      </c>
      <c r="AE114" s="136">
        <f t="shared" si="47"/>
        <v>6.57</v>
      </c>
      <c r="AF114" s="136">
        <f t="shared" si="47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45"/>
        <v>3.43</v>
      </c>
      <c r="C115" s="137">
        <v>3.43</v>
      </c>
      <c r="D115" s="136">
        <f t="shared" si="46"/>
        <v>3.43</v>
      </c>
      <c r="E115" s="136">
        <f t="shared" si="46"/>
        <v>3.43</v>
      </c>
      <c r="F115" s="136">
        <f t="shared" si="46"/>
        <v>3.43</v>
      </c>
      <c r="G115" s="136">
        <f t="shared" si="46"/>
        <v>3.43</v>
      </c>
      <c r="H115" s="136">
        <f t="shared" si="46"/>
        <v>3.43</v>
      </c>
      <c r="I115" s="136">
        <f t="shared" si="46"/>
        <v>3.43</v>
      </c>
      <c r="J115" s="136">
        <f t="shared" si="46"/>
        <v>3.43</v>
      </c>
      <c r="K115" s="136">
        <f t="shared" si="46"/>
        <v>3.43</v>
      </c>
      <c r="L115" s="136">
        <f t="shared" si="46"/>
        <v>3.43</v>
      </c>
      <c r="M115" s="136">
        <f t="shared" si="46"/>
        <v>3.43</v>
      </c>
      <c r="N115" s="136">
        <f t="shared" si="46"/>
        <v>3.43</v>
      </c>
      <c r="O115" s="136">
        <f t="shared" si="46"/>
        <v>3.43</v>
      </c>
      <c r="P115" s="136">
        <f t="shared" si="46"/>
        <v>3.43</v>
      </c>
      <c r="Q115" s="136">
        <f t="shared" si="46"/>
        <v>3.43</v>
      </c>
      <c r="R115" s="136">
        <f t="shared" si="46"/>
        <v>3.43</v>
      </c>
      <c r="S115" s="136">
        <f t="shared" si="46"/>
        <v>3.43</v>
      </c>
      <c r="T115" s="136">
        <f t="shared" si="47"/>
        <v>3.43</v>
      </c>
      <c r="U115" s="136">
        <f t="shared" si="47"/>
        <v>3.43</v>
      </c>
      <c r="V115" s="136">
        <f t="shared" si="47"/>
        <v>3.43</v>
      </c>
      <c r="W115" s="136">
        <f t="shared" si="47"/>
        <v>3.43</v>
      </c>
      <c r="X115" s="136">
        <f t="shared" si="47"/>
        <v>3.43</v>
      </c>
      <c r="Y115" s="136">
        <f t="shared" si="47"/>
        <v>3.43</v>
      </c>
      <c r="Z115" s="136">
        <f t="shared" si="47"/>
        <v>3.43</v>
      </c>
      <c r="AA115" s="136">
        <f t="shared" si="47"/>
        <v>3.43</v>
      </c>
      <c r="AB115" s="136">
        <f t="shared" si="47"/>
        <v>3.43</v>
      </c>
      <c r="AC115" s="136">
        <f t="shared" si="47"/>
        <v>3.43</v>
      </c>
      <c r="AD115" s="136">
        <f t="shared" si="47"/>
        <v>3.43</v>
      </c>
      <c r="AE115" s="136">
        <f t="shared" si="47"/>
        <v>3.43</v>
      </c>
      <c r="AF115" s="136">
        <f t="shared" si="47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45"/>
        <v>2.96</v>
      </c>
      <c r="C116" s="137">
        <v>2.96</v>
      </c>
      <c r="D116" s="136">
        <f t="shared" si="46"/>
        <v>2.96</v>
      </c>
      <c r="E116" s="136">
        <f t="shared" si="46"/>
        <v>2.96</v>
      </c>
      <c r="F116" s="136">
        <f t="shared" si="46"/>
        <v>2.96</v>
      </c>
      <c r="G116" s="136">
        <f t="shared" si="46"/>
        <v>2.96</v>
      </c>
      <c r="H116" s="136">
        <f t="shared" si="46"/>
        <v>2.96</v>
      </c>
      <c r="I116" s="136">
        <f t="shared" si="46"/>
        <v>2.96</v>
      </c>
      <c r="J116" s="136">
        <f t="shared" si="46"/>
        <v>2.96</v>
      </c>
      <c r="K116" s="136">
        <f t="shared" si="46"/>
        <v>2.96</v>
      </c>
      <c r="L116" s="136">
        <f t="shared" si="46"/>
        <v>2.96</v>
      </c>
      <c r="M116" s="136">
        <f t="shared" si="46"/>
        <v>2.96</v>
      </c>
      <c r="N116" s="136">
        <f t="shared" si="46"/>
        <v>2.96</v>
      </c>
      <c r="O116" s="136">
        <f t="shared" si="46"/>
        <v>2.96</v>
      </c>
      <c r="P116" s="136">
        <f t="shared" si="46"/>
        <v>2.96</v>
      </c>
      <c r="Q116" s="136">
        <f t="shared" si="46"/>
        <v>2.96</v>
      </c>
      <c r="R116" s="136">
        <f t="shared" si="46"/>
        <v>2.96</v>
      </c>
      <c r="S116" s="136">
        <f t="shared" si="46"/>
        <v>2.96</v>
      </c>
      <c r="T116" s="136">
        <f t="shared" si="47"/>
        <v>2.96</v>
      </c>
      <c r="U116" s="136">
        <f t="shared" si="47"/>
        <v>2.96</v>
      </c>
      <c r="V116" s="136">
        <f t="shared" si="47"/>
        <v>2.96</v>
      </c>
      <c r="W116" s="136">
        <f t="shared" si="47"/>
        <v>2.96</v>
      </c>
      <c r="X116" s="136">
        <f t="shared" si="47"/>
        <v>2.96</v>
      </c>
      <c r="Y116" s="136">
        <f t="shared" si="47"/>
        <v>2.96</v>
      </c>
      <c r="Z116" s="136">
        <f t="shared" si="47"/>
        <v>2.96</v>
      </c>
      <c r="AA116" s="136">
        <f t="shared" si="47"/>
        <v>2.96</v>
      </c>
      <c r="AB116" s="136">
        <f t="shared" si="47"/>
        <v>2.96</v>
      </c>
      <c r="AC116" s="136">
        <f t="shared" si="47"/>
        <v>2.96</v>
      </c>
      <c r="AD116" s="136">
        <f t="shared" si="47"/>
        <v>2.96</v>
      </c>
      <c r="AE116" s="136">
        <f t="shared" si="47"/>
        <v>2.96</v>
      </c>
      <c r="AF116" s="136">
        <f t="shared" si="47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45"/>
        <v>8</v>
      </c>
      <c r="C117" s="137">
        <v>8</v>
      </c>
      <c r="D117" s="136">
        <f t="shared" si="46"/>
        <v>8</v>
      </c>
      <c r="E117" s="136">
        <f t="shared" si="46"/>
        <v>8</v>
      </c>
      <c r="F117" s="136">
        <f t="shared" si="46"/>
        <v>8</v>
      </c>
      <c r="G117" s="136">
        <f t="shared" si="46"/>
        <v>8</v>
      </c>
      <c r="H117" s="136">
        <f t="shared" si="46"/>
        <v>8</v>
      </c>
      <c r="I117" s="136">
        <f t="shared" si="46"/>
        <v>8</v>
      </c>
      <c r="J117" s="136">
        <f t="shared" si="46"/>
        <v>8</v>
      </c>
      <c r="K117" s="136">
        <f t="shared" si="46"/>
        <v>8</v>
      </c>
      <c r="L117" s="136">
        <f t="shared" si="46"/>
        <v>8</v>
      </c>
      <c r="M117" s="136">
        <f t="shared" si="46"/>
        <v>8</v>
      </c>
      <c r="N117" s="136">
        <f t="shared" si="46"/>
        <v>8</v>
      </c>
      <c r="O117" s="136">
        <f t="shared" si="46"/>
        <v>8</v>
      </c>
      <c r="P117" s="136">
        <f t="shared" si="46"/>
        <v>8</v>
      </c>
      <c r="Q117" s="136">
        <f t="shared" si="46"/>
        <v>8</v>
      </c>
      <c r="R117" s="136">
        <f t="shared" si="46"/>
        <v>8</v>
      </c>
      <c r="S117" s="136">
        <f t="shared" si="46"/>
        <v>8</v>
      </c>
      <c r="T117" s="136">
        <f t="shared" si="47"/>
        <v>8</v>
      </c>
      <c r="U117" s="136">
        <f t="shared" si="47"/>
        <v>8</v>
      </c>
      <c r="V117" s="136">
        <f t="shared" si="47"/>
        <v>8</v>
      </c>
      <c r="W117" s="136">
        <f t="shared" si="47"/>
        <v>8</v>
      </c>
      <c r="X117" s="136">
        <f t="shared" si="47"/>
        <v>8</v>
      </c>
      <c r="Y117" s="136">
        <f t="shared" si="47"/>
        <v>8</v>
      </c>
      <c r="Z117" s="136">
        <f t="shared" si="47"/>
        <v>8</v>
      </c>
      <c r="AA117" s="136">
        <f t="shared" si="47"/>
        <v>8</v>
      </c>
      <c r="AB117" s="136">
        <f t="shared" si="47"/>
        <v>8</v>
      </c>
      <c r="AC117" s="136">
        <f t="shared" si="47"/>
        <v>8</v>
      </c>
      <c r="AD117" s="136">
        <f t="shared" si="47"/>
        <v>8</v>
      </c>
      <c r="AE117" s="136">
        <f t="shared" si="47"/>
        <v>8</v>
      </c>
      <c r="AF117" s="136">
        <f t="shared" si="47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45"/>
        <v>7</v>
      </c>
      <c r="C118" s="137">
        <v>7</v>
      </c>
      <c r="D118" s="136">
        <f>C118</f>
        <v>7</v>
      </c>
      <c r="E118" s="136">
        <f t="shared" si="46"/>
        <v>7</v>
      </c>
      <c r="F118" s="136">
        <f t="shared" si="46"/>
        <v>7</v>
      </c>
      <c r="G118" s="136">
        <f t="shared" si="46"/>
        <v>7</v>
      </c>
      <c r="H118" s="136">
        <f t="shared" si="46"/>
        <v>7</v>
      </c>
      <c r="I118" s="136">
        <f t="shared" si="46"/>
        <v>7</v>
      </c>
      <c r="J118" s="136">
        <f t="shared" si="46"/>
        <v>7</v>
      </c>
      <c r="K118" s="136">
        <f t="shared" si="46"/>
        <v>7</v>
      </c>
      <c r="L118" s="136">
        <f t="shared" si="46"/>
        <v>7</v>
      </c>
      <c r="M118" s="136">
        <f t="shared" si="46"/>
        <v>7</v>
      </c>
      <c r="N118" s="136">
        <f t="shared" si="46"/>
        <v>7</v>
      </c>
      <c r="O118" s="136">
        <f t="shared" si="46"/>
        <v>7</v>
      </c>
      <c r="P118" s="136">
        <f t="shared" si="46"/>
        <v>7</v>
      </c>
      <c r="Q118" s="136">
        <f t="shared" si="46"/>
        <v>7</v>
      </c>
      <c r="R118" s="136">
        <f t="shared" si="46"/>
        <v>7</v>
      </c>
      <c r="S118" s="136">
        <f t="shared" si="46"/>
        <v>7</v>
      </c>
      <c r="T118" s="136">
        <f t="shared" si="47"/>
        <v>7</v>
      </c>
      <c r="U118" s="136">
        <f t="shared" si="47"/>
        <v>7</v>
      </c>
      <c r="V118" s="136">
        <f t="shared" si="47"/>
        <v>7</v>
      </c>
      <c r="W118" s="136">
        <f t="shared" si="47"/>
        <v>7</v>
      </c>
      <c r="X118" s="136">
        <f t="shared" si="47"/>
        <v>7</v>
      </c>
      <c r="Y118" s="136">
        <f t="shared" si="47"/>
        <v>7</v>
      </c>
      <c r="Z118" s="136">
        <f t="shared" si="47"/>
        <v>7</v>
      </c>
      <c r="AA118" s="136">
        <f t="shared" si="47"/>
        <v>7</v>
      </c>
      <c r="AB118" s="136">
        <f t="shared" si="47"/>
        <v>7</v>
      </c>
      <c r="AC118" s="136">
        <f t="shared" si="47"/>
        <v>7</v>
      </c>
      <c r="AD118" s="136">
        <f t="shared" si="47"/>
        <v>7</v>
      </c>
      <c r="AE118" s="136">
        <f t="shared" si="47"/>
        <v>7</v>
      </c>
      <c r="AF118" s="136">
        <f t="shared" si="47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45"/>
        <v>3.47</v>
      </c>
      <c r="C119" s="137">
        <v>3.47</v>
      </c>
      <c r="D119" s="136">
        <f t="shared" ref="D119:S128" si="48">C119</f>
        <v>3.47</v>
      </c>
      <c r="E119" s="136">
        <f t="shared" si="48"/>
        <v>3.47</v>
      </c>
      <c r="F119" s="136">
        <f t="shared" si="48"/>
        <v>3.47</v>
      </c>
      <c r="G119" s="136">
        <f t="shared" si="48"/>
        <v>3.47</v>
      </c>
      <c r="H119" s="136">
        <f t="shared" si="48"/>
        <v>3.47</v>
      </c>
      <c r="I119" s="136">
        <f t="shared" si="48"/>
        <v>3.47</v>
      </c>
      <c r="J119" s="136">
        <f t="shared" si="48"/>
        <v>3.47</v>
      </c>
      <c r="K119" s="136">
        <f t="shared" si="48"/>
        <v>3.47</v>
      </c>
      <c r="L119" s="136">
        <f t="shared" si="48"/>
        <v>3.47</v>
      </c>
      <c r="M119" s="136">
        <f t="shared" si="48"/>
        <v>3.47</v>
      </c>
      <c r="N119" s="136">
        <f t="shared" si="48"/>
        <v>3.47</v>
      </c>
      <c r="O119" s="136">
        <f t="shared" si="48"/>
        <v>3.47</v>
      </c>
      <c r="P119" s="136">
        <f t="shared" si="48"/>
        <v>3.47</v>
      </c>
      <c r="Q119" s="136">
        <f t="shared" si="48"/>
        <v>3.47</v>
      </c>
      <c r="R119" s="136">
        <f t="shared" si="48"/>
        <v>3.47</v>
      </c>
      <c r="S119" s="136">
        <f t="shared" si="48"/>
        <v>3.47</v>
      </c>
      <c r="T119" s="136">
        <f t="shared" si="47"/>
        <v>3.47</v>
      </c>
      <c r="U119" s="136">
        <f t="shared" si="47"/>
        <v>3.47</v>
      </c>
      <c r="V119" s="136">
        <f t="shared" si="47"/>
        <v>3.47</v>
      </c>
      <c r="W119" s="136">
        <f t="shared" si="47"/>
        <v>3.47</v>
      </c>
      <c r="X119" s="136">
        <f t="shared" si="47"/>
        <v>3.47</v>
      </c>
      <c r="Y119" s="136">
        <f t="shared" si="47"/>
        <v>3.47</v>
      </c>
      <c r="Z119" s="136">
        <f t="shared" si="47"/>
        <v>3.47</v>
      </c>
      <c r="AA119" s="136">
        <f t="shared" si="47"/>
        <v>3.47</v>
      </c>
      <c r="AB119" s="136">
        <f t="shared" si="47"/>
        <v>3.47</v>
      </c>
      <c r="AC119" s="136">
        <f t="shared" si="47"/>
        <v>3.47</v>
      </c>
      <c r="AD119" s="136">
        <f t="shared" si="47"/>
        <v>3.47</v>
      </c>
      <c r="AE119" s="136">
        <f t="shared" si="47"/>
        <v>3.47</v>
      </c>
      <c r="AF119" s="136">
        <f t="shared" si="47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45"/>
        <v>2.1</v>
      </c>
      <c r="C120" s="137">
        <v>2.1</v>
      </c>
      <c r="D120" s="136">
        <f t="shared" si="48"/>
        <v>2.1</v>
      </c>
      <c r="E120" s="136">
        <f t="shared" si="48"/>
        <v>2.1</v>
      </c>
      <c r="F120" s="136">
        <f t="shared" si="48"/>
        <v>2.1</v>
      </c>
      <c r="G120" s="136">
        <f t="shared" si="48"/>
        <v>2.1</v>
      </c>
      <c r="H120" s="136">
        <f t="shared" si="48"/>
        <v>2.1</v>
      </c>
      <c r="I120" s="136">
        <f t="shared" si="48"/>
        <v>2.1</v>
      </c>
      <c r="J120" s="136">
        <f t="shared" si="48"/>
        <v>2.1</v>
      </c>
      <c r="K120" s="136">
        <f t="shared" si="48"/>
        <v>2.1</v>
      </c>
      <c r="L120" s="136">
        <f t="shared" si="48"/>
        <v>2.1</v>
      </c>
      <c r="M120" s="136">
        <f t="shared" si="48"/>
        <v>2.1</v>
      </c>
      <c r="N120" s="136">
        <f t="shared" si="48"/>
        <v>2.1</v>
      </c>
      <c r="O120" s="136">
        <f t="shared" si="48"/>
        <v>2.1</v>
      </c>
      <c r="P120" s="136">
        <f t="shared" si="48"/>
        <v>2.1</v>
      </c>
      <c r="Q120" s="136">
        <f t="shared" si="48"/>
        <v>2.1</v>
      </c>
      <c r="R120" s="136">
        <f t="shared" si="48"/>
        <v>2.1</v>
      </c>
      <c r="S120" s="136">
        <f t="shared" si="48"/>
        <v>2.1</v>
      </c>
      <c r="T120" s="136">
        <f t="shared" si="47"/>
        <v>2.1</v>
      </c>
      <c r="U120" s="136">
        <f t="shared" si="47"/>
        <v>2.1</v>
      </c>
      <c r="V120" s="136">
        <f t="shared" si="47"/>
        <v>2.1</v>
      </c>
      <c r="W120" s="136">
        <f t="shared" si="47"/>
        <v>2.1</v>
      </c>
      <c r="X120" s="136">
        <f t="shared" si="47"/>
        <v>2.1</v>
      </c>
      <c r="Y120" s="136">
        <f t="shared" si="47"/>
        <v>2.1</v>
      </c>
      <c r="Z120" s="136">
        <f t="shared" si="47"/>
        <v>2.1</v>
      </c>
      <c r="AA120" s="136">
        <f t="shared" si="47"/>
        <v>2.1</v>
      </c>
      <c r="AB120" s="136">
        <f t="shared" si="47"/>
        <v>2.1</v>
      </c>
      <c r="AC120" s="136">
        <f t="shared" si="47"/>
        <v>2.1</v>
      </c>
      <c r="AD120" s="136">
        <f t="shared" si="47"/>
        <v>2.1</v>
      </c>
      <c r="AE120" s="136">
        <f t="shared" si="47"/>
        <v>2.1</v>
      </c>
      <c r="AF120" s="136">
        <f t="shared" si="47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45"/>
        <v>9.3000000000000007</v>
      </c>
      <c r="C121" s="137">
        <v>9.3000000000000007</v>
      </c>
      <c r="D121" s="136">
        <f t="shared" si="48"/>
        <v>9.3000000000000007</v>
      </c>
      <c r="E121" s="136">
        <f t="shared" si="48"/>
        <v>9.3000000000000007</v>
      </c>
      <c r="F121" s="136">
        <f t="shared" si="48"/>
        <v>9.3000000000000007</v>
      </c>
      <c r="G121" s="136">
        <f t="shared" si="48"/>
        <v>9.3000000000000007</v>
      </c>
      <c r="H121" s="136">
        <f t="shared" si="48"/>
        <v>9.3000000000000007</v>
      </c>
      <c r="I121" s="136">
        <f t="shared" si="48"/>
        <v>9.3000000000000007</v>
      </c>
      <c r="J121" s="136">
        <f t="shared" si="48"/>
        <v>9.3000000000000007</v>
      </c>
      <c r="K121" s="136">
        <f t="shared" si="48"/>
        <v>9.3000000000000007</v>
      </c>
      <c r="L121" s="136">
        <f t="shared" si="48"/>
        <v>9.3000000000000007</v>
      </c>
      <c r="M121" s="136">
        <f t="shared" si="48"/>
        <v>9.3000000000000007</v>
      </c>
      <c r="N121" s="136">
        <f t="shared" si="48"/>
        <v>9.3000000000000007</v>
      </c>
      <c r="O121" s="136">
        <f t="shared" si="48"/>
        <v>9.3000000000000007</v>
      </c>
      <c r="P121" s="136">
        <f t="shared" si="48"/>
        <v>9.3000000000000007</v>
      </c>
      <c r="Q121" s="136">
        <f t="shared" si="48"/>
        <v>9.3000000000000007</v>
      </c>
      <c r="R121" s="136">
        <f t="shared" si="48"/>
        <v>9.3000000000000007</v>
      </c>
      <c r="S121" s="136">
        <f t="shared" si="48"/>
        <v>9.3000000000000007</v>
      </c>
      <c r="T121" s="136">
        <f t="shared" si="47"/>
        <v>9.3000000000000007</v>
      </c>
      <c r="U121" s="136">
        <f t="shared" si="47"/>
        <v>9.3000000000000007</v>
      </c>
      <c r="V121" s="136">
        <f t="shared" si="47"/>
        <v>9.3000000000000007</v>
      </c>
      <c r="W121" s="136">
        <f t="shared" si="47"/>
        <v>9.3000000000000007</v>
      </c>
      <c r="X121" s="136">
        <f t="shared" si="47"/>
        <v>9.3000000000000007</v>
      </c>
      <c r="Y121" s="136">
        <f t="shared" si="47"/>
        <v>9.3000000000000007</v>
      </c>
      <c r="Z121" s="136">
        <f t="shared" si="47"/>
        <v>9.3000000000000007</v>
      </c>
      <c r="AA121" s="136">
        <f t="shared" si="47"/>
        <v>9.3000000000000007</v>
      </c>
      <c r="AB121" s="136">
        <f t="shared" si="47"/>
        <v>9.3000000000000007</v>
      </c>
      <c r="AC121" s="136">
        <f t="shared" si="47"/>
        <v>9.3000000000000007</v>
      </c>
      <c r="AD121" s="136">
        <f t="shared" si="47"/>
        <v>9.3000000000000007</v>
      </c>
      <c r="AE121" s="136">
        <f t="shared" si="47"/>
        <v>9.3000000000000007</v>
      </c>
      <c r="AF121" s="136">
        <f t="shared" si="47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45"/>
        <v>0</v>
      </c>
      <c r="C122" s="137">
        <v>0</v>
      </c>
      <c r="D122" s="136">
        <f t="shared" si="48"/>
        <v>0</v>
      </c>
      <c r="E122" s="136">
        <f t="shared" si="48"/>
        <v>0</v>
      </c>
      <c r="F122" s="136">
        <f t="shared" si="48"/>
        <v>0</v>
      </c>
      <c r="G122" s="136">
        <f t="shared" si="48"/>
        <v>0</v>
      </c>
      <c r="H122" s="136">
        <f t="shared" si="48"/>
        <v>0</v>
      </c>
      <c r="I122" s="136">
        <f t="shared" si="48"/>
        <v>0</v>
      </c>
      <c r="J122" s="136">
        <f t="shared" si="48"/>
        <v>0</v>
      </c>
      <c r="K122" s="136">
        <f t="shared" si="48"/>
        <v>0</v>
      </c>
      <c r="L122" s="136">
        <f t="shared" si="48"/>
        <v>0</v>
      </c>
      <c r="M122" s="136">
        <f t="shared" si="48"/>
        <v>0</v>
      </c>
      <c r="N122" s="136">
        <f t="shared" si="48"/>
        <v>0</v>
      </c>
      <c r="O122" s="136">
        <f t="shared" si="48"/>
        <v>0</v>
      </c>
      <c r="P122" s="136">
        <f t="shared" si="48"/>
        <v>0</v>
      </c>
      <c r="Q122" s="136">
        <f t="shared" si="48"/>
        <v>0</v>
      </c>
      <c r="R122" s="136">
        <f t="shared" si="48"/>
        <v>0</v>
      </c>
      <c r="S122" s="136">
        <f t="shared" si="48"/>
        <v>0</v>
      </c>
      <c r="T122" s="136">
        <f t="shared" si="47"/>
        <v>0</v>
      </c>
      <c r="U122" s="136">
        <f t="shared" si="47"/>
        <v>0</v>
      </c>
      <c r="V122" s="136">
        <f t="shared" si="47"/>
        <v>0</v>
      </c>
      <c r="W122" s="136">
        <f t="shared" si="47"/>
        <v>0</v>
      </c>
      <c r="X122" s="136">
        <f t="shared" si="47"/>
        <v>0</v>
      </c>
      <c r="Y122" s="136">
        <f t="shared" si="47"/>
        <v>0</v>
      </c>
      <c r="Z122" s="136">
        <f t="shared" si="47"/>
        <v>0</v>
      </c>
      <c r="AA122" s="136">
        <f t="shared" si="47"/>
        <v>0</v>
      </c>
      <c r="AB122" s="136">
        <f t="shared" si="47"/>
        <v>0</v>
      </c>
      <c r="AC122" s="136">
        <f t="shared" si="47"/>
        <v>0</v>
      </c>
      <c r="AD122" s="136">
        <f t="shared" si="47"/>
        <v>0</v>
      </c>
      <c r="AE122" s="136">
        <f t="shared" si="47"/>
        <v>0</v>
      </c>
      <c r="AF122" s="136">
        <f t="shared" si="47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45"/>
        <v>0</v>
      </c>
      <c r="C123" s="137">
        <v>0</v>
      </c>
      <c r="D123" s="136">
        <f t="shared" si="48"/>
        <v>0</v>
      </c>
      <c r="E123" s="136">
        <f t="shared" si="48"/>
        <v>0</v>
      </c>
      <c r="F123" s="136">
        <f t="shared" si="48"/>
        <v>0</v>
      </c>
      <c r="G123" s="136">
        <f t="shared" si="48"/>
        <v>0</v>
      </c>
      <c r="H123" s="136">
        <f t="shared" si="48"/>
        <v>0</v>
      </c>
      <c r="I123" s="136">
        <f t="shared" si="48"/>
        <v>0</v>
      </c>
      <c r="J123" s="136">
        <f t="shared" si="48"/>
        <v>0</v>
      </c>
      <c r="K123" s="136">
        <f t="shared" si="48"/>
        <v>0</v>
      </c>
      <c r="L123" s="136">
        <f t="shared" si="48"/>
        <v>0</v>
      </c>
      <c r="M123" s="136">
        <f t="shared" si="48"/>
        <v>0</v>
      </c>
      <c r="N123" s="136">
        <f t="shared" si="48"/>
        <v>0</v>
      </c>
      <c r="O123" s="136">
        <f t="shared" si="48"/>
        <v>0</v>
      </c>
      <c r="P123" s="136">
        <f t="shared" si="48"/>
        <v>0</v>
      </c>
      <c r="Q123" s="136">
        <f t="shared" si="48"/>
        <v>0</v>
      </c>
      <c r="R123" s="136">
        <f t="shared" si="48"/>
        <v>0</v>
      </c>
      <c r="S123" s="136">
        <f t="shared" si="48"/>
        <v>0</v>
      </c>
      <c r="T123" s="136">
        <f t="shared" si="47"/>
        <v>0</v>
      </c>
      <c r="U123" s="136">
        <f t="shared" si="47"/>
        <v>0</v>
      </c>
      <c r="V123" s="136">
        <f t="shared" si="47"/>
        <v>0</v>
      </c>
      <c r="W123" s="136">
        <f t="shared" si="47"/>
        <v>0</v>
      </c>
      <c r="X123" s="136">
        <f t="shared" si="47"/>
        <v>0</v>
      </c>
      <c r="Y123" s="136">
        <f t="shared" si="47"/>
        <v>0</v>
      </c>
      <c r="Z123" s="136">
        <f t="shared" si="47"/>
        <v>0</v>
      </c>
      <c r="AA123" s="136">
        <f t="shared" si="47"/>
        <v>0</v>
      </c>
      <c r="AB123" s="136">
        <f t="shared" si="47"/>
        <v>0</v>
      </c>
      <c r="AC123" s="136">
        <f t="shared" si="47"/>
        <v>0</v>
      </c>
      <c r="AD123" s="136">
        <f t="shared" si="47"/>
        <v>0</v>
      </c>
      <c r="AE123" s="136">
        <f t="shared" si="47"/>
        <v>0</v>
      </c>
      <c r="AF123" s="136">
        <f t="shared" si="47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45"/>
        <v>5</v>
      </c>
      <c r="C124" s="137">
        <v>5</v>
      </c>
      <c r="D124" s="136">
        <f t="shared" si="48"/>
        <v>5</v>
      </c>
      <c r="E124" s="136">
        <f t="shared" si="48"/>
        <v>5</v>
      </c>
      <c r="F124" s="136">
        <f t="shared" si="48"/>
        <v>5</v>
      </c>
      <c r="G124" s="136">
        <f t="shared" si="48"/>
        <v>5</v>
      </c>
      <c r="H124" s="136">
        <f t="shared" si="48"/>
        <v>5</v>
      </c>
      <c r="I124" s="136">
        <f t="shared" si="48"/>
        <v>5</v>
      </c>
      <c r="J124" s="136">
        <f t="shared" si="48"/>
        <v>5</v>
      </c>
      <c r="K124" s="136">
        <f t="shared" si="48"/>
        <v>5</v>
      </c>
      <c r="L124" s="136">
        <f t="shared" si="48"/>
        <v>5</v>
      </c>
      <c r="M124" s="136">
        <f t="shared" si="48"/>
        <v>5</v>
      </c>
      <c r="N124" s="136">
        <f t="shared" si="48"/>
        <v>5</v>
      </c>
      <c r="O124" s="136">
        <f t="shared" si="48"/>
        <v>5</v>
      </c>
      <c r="P124" s="136">
        <f t="shared" si="48"/>
        <v>5</v>
      </c>
      <c r="Q124" s="136">
        <f t="shared" si="48"/>
        <v>5</v>
      </c>
      <c r="R124" s="136">
        <f t="shared" si="48"/>
        <v>5</v>
      </c>
      <c r="S124" s="136">
        <f t="shared" si="48"/>
        <v>5</v>
      </c>
      <c r="T124" s="136">
        <f t="shared" si="47"/>
        <v>5</v>
      </c>
      <c r="U124" s="136">
        <f t="shared" si="47"/>
        <v>5</v>
      </c>
      <c r="V124" s="136">
        <f t="shared" si="47"/>
        <v>5</v>
      </c>
      <c r="W124" s="136">
        <f t="shared" si="47"/>
        <v>5</v>
      </c>
      <c r="X124" s="136">
        <f t="shared" si="47"/>
        <v>5</v>
      </c>
      <c r="Y124" s="136">
        <f t="shared" si="47"/>
        <v>5</v>
      </c>
      <c r="Z124" s="136">
        <f t="shared" si="47"/>
        <v>5</v>
      </c>
      <c r="AA124" s="136">
        <f t="shared" si="47"/>
        <v>5</v>
      </c>
      <c r="AB124" s="136">
        <f t="shared" si="47"/>
        <v>5</v>
      </c>
      <c r="AC124" s="136">
        <f t="shared" si="47"/>
        <v>5</v>
      </c>
      <c r="AD124" s="136">
        <f t="shared" si="47"/>
        <v>5</v>
      </c>
      <c r="AE124" s="136">
        <f t="shared" si="47"/>
        <v>5</v>
      </c>
      <c r="AF124" s="136">
        <f t="shared" si="47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45"/>
        <v>1</v>
      </c>
      <c r="C125" s="137">
        <v>1</v>
      </c>
      <c r="D125" s="136">
        <f t="shared" si="48"/>
        <v>1</v>
      </c>
      <c r="E125" s="136">
        <f t="shared" si="48"/>
        <v>1</v>
      </c>
      <c r="F125" s="136">
        <f t="shared" si="48"/>
        <v>1</v>
      </c>
      <c r="G125" s="136">
        <f t="shared" si="48"/>
        <v>1</v>
      </c>
      <c r="H125" s="136">
        <f t="shared" si="48"/>
        <v>1</v>
      </c>
      <c r="I125" s="136">
        <f t="shared" si="48"/>
        <v>1</v>
      </c>
      <c r="J125" s="136">
        <f t="shared" si="48"/>
        <v>1</v>
      </c>
      <c r="K125" s="136">
        <f t="shared" si="48"/>
        <v>1</v>
      </c>
      <c r="L125" s="136">
        <f t="shared" si="48"/>
        <v>1</v>
      </c>
      <c r="M125" s="136">
        <f t="shared" si="48"/>
        <v>1</v>
      </c>
      <c r="N125" s="136">
        <f t="shared" si="48"/>
        <v>1</v>
      </c>
      <c r="O125" s="136">
        <f t="shared" si="48"/>
        <v>1</v>
      </c>
      <c r="P125" s="136">
        <f t="shared" si="48"/>
        <v>1</v>
      </c>
      <c r="Q125" s="136">
        <f t="shared" si="48"/>
        <v>1</v>
      </c>
      <c r="R125" s="136">
        <f t="shared" si="48"/>
        <v>1</v>
      </c>
      <c r="S125" s="136">
        <f t="shared" si="48"/>
        <v>1</v>
      </c>
      <c r="T125" s="136">
        <f t="shared" si="47"/>
        <v>1</v>
      </c>
      <c r="U125" s="136">
        <f t="shared" si="47"/>
        <v>1</v>
      </c>
      <c r="V125" s="136">
        <f t="shared" si="47"/>
        <v>1</v>
      </c>
      <c r="W125" s="136">
        <f t="shared" si="47"/>
        <v>1</v>
      </c>
      <c r="X125" s="136">
        <f t="shared" si="47"/>
        <v>1</v>
      </c>
      <c r="Y125" s="136">
        <f t="shared" si="47"/>
        <v>1</v>
      </c>
      <c r="Z125" s="136">
        <f t="shared" si="47"/>
        <v>1</v>
      </c>
      <c r="AA125" s="136">
        <f t="shared" si="47"/>
        <v>1</v>
      </c>
      <c r="AB125" s="136">
        <f t="shared" si="47"/>
        <v>1</v>
      </c>
      <c r="AC125" s="136">
        <f t="shared" si="47"/>
        <v>1</v>
      </c>
      <c r="AD125" s="136">
        <f t="shared" si="47"/>
        <v>1</v>
      </c>
      <c r="AE125" s="136">
        <f t="shared" si="47"/>
        <v>1</v>
      </c>
      <c r="AF125" s="136">
        <f t="shared" si="47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45"/>
        <v>1.58</v>
      </c>
      <c r="C126" s="137">
        <v>1.58</v>
      </c>
      <c r="D126" s="136">
        <f t="shared" si="48"/>
        <v>1.58</v>
      </c>
      <c r="E126" s="136">
        <f t="shared" si="48"/>
        <v>1.58</v>
      </c>
      <c r="F126" s="136">
        <f t="shared" si="48"/>
        <v>1.58</v>
      </c>
      <c r="G126" s="136">
        <f t="shared" si="48"/>
        <v>1.58</v>
      </c>
      <c r="H126" s="136">
        <f t="shared" si="48"/>
        <v>1.58</v>
      </c>
      <c r="I126" s="136">
        <f t="shared" si="48"/>
        <v>1.58</v>
      </c>
      <c r="J126" s="136">
        <f t="shared" si="48"/>
        <v>1.58</v>
      </c>
      <c r="K126" s="136">
        <f t="shared" si="48"/>
        <v>1.58</v>
      </c>
      <c r="L126" s="136">
        <f t="shared" si="48"/>
        <v>1.58</v>
      </c>
      <c r="M126" s="136">
        <f t="shared" si="48"/>
        <v>1.58</v>
      </c>
      <c r="N126" s="136">
        <f t="shared" si="48"/>
        <v>1.58</v>
      </c>
      <c r="O126" s="136">
        <f t="shared" si="48"/>
        <v>1.58</v>
      </c>
      <c r="P126" s="136">
        <f t="shared" si="48"/>
        <v>1.58</v>
      </c>
      <c r="Q126" s="136">
        <f t="shared" si="48"/>
        <v>1.58</v>
      </c>
      <c r="R126" s="136">
        <f t="shared" si="48"/>
        <v>1.58</v>
      </c>
      <c r="S126" s="136">
        <f t="shared" si="48"/>
        <v>1.58</v>
      </c>
      <c r="T126" s="136">
        <f t="shared" si="47"/>
        <v>1.58</v>
      </c>
      <c r="U126" s="136">
        <f t="shared" si="47"/>
        <v>1.58</v>
      </c>
      <c r="V126" s="136">
        <f t="shared" si="47"/>
        <v>1.58</v>
      </c>
      <c r="W126" s="136">
        <f t="shared" si="47"/>
        <v>1.58</v>
      </c>
      <c r="X126" s="136">
        <f t="shared" si="47"/>
        <v>1.58</v>
      </c>
      <c r="Y126" s="136">
        <f t="shared" si="47"/>
        <v>1.58</v>
      </c>
      <c r="Z126" s="136">
        <f t="shared" si="47"/>
        <v>1.58</v>
      </c>
      <c r="AA126" s="136">
        <f t="shared" si="47"/>
        <v>1.58</v>
      </c>
      <c r="AB126" s="136">
        <f t="shared" si="47"/>
        <v>1.58</v>
      </c>
      <c r="AC126" s="136">
        <f t="shared" si="47"/>
        <v>1.58</v>
      </c>
      <c r="AD126" s="136">
        <f t="shared" si="47"/>
        <v>1.58</v>
      </c>
      <c r="AE126" s="136">
        <f t="shared" si="47"/>
        <v>1.58</v>
      </c>
      <c r="AF126" s="136">
        <f t="shared" si="47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45"/>
        <v>1.46</v>
      </c>
      <c r="C127" s="137">
        <v>1.46</v>
      </c>
      <c r="D127" s="136">
        <f t="shared" si="48"/>
        <v>1.46</v>
      </c>
      <c r="E127" s="136">
        <f t="shared" si="48"/>
        <v>1.46</v>
      </c>
      <c r="F127" s="136">
        <f t="shared" si="48"/>
        <v>1.46</v>
      </c>
      <c r="G127" s="136">
        <f t="shared" si="48"/>
        <v>1.46</v>
      </c>
      <c r="H127" s="136">
        <f t="shared" si="48"/>
        <v>1.46</v>
      </c>
      <c r="I127" s="136">
        <f t="shared" si="48"/>
        <v>1.46</v>
      </c>
      <c r="J127" s="136">
        <f t="shared" si="48"/>
        <v>1.46</v>
      </c>
      <c r="K127" s="136">
        <f t="shared" si="48"/>
        <v>1.46</v>
      </c>
      <c r="L127" s="136">
        <f t="shared" si="48"/>
        <v>1.46</v>
      </c>
      <c r="M127" s="136">
        <f t="shared" si="48"/>
        <v>1.46</v>
      </c>
      <c r="N127" s="136">
        <f t="shared" si="48"/>
        <v>1.46</v>
      </c>
      <c r="O127" s="136">
        <f t="shared" si="48"/>
        <v>1.46</v>
      </c>
      <c r="P127" s="136">
        <f t="shared" si="48"/>
        <v>1.46</v>
      </c>
      <c r="Q127" s="136">
        <f t="shared" si="48"/>
        <v>1.46</v>
      </c>
      <c r="R127" s="136">
        <f t="shared" si="48"/>
        <v>1.46</v>
      </c>
      <c r="S127" s="136">
        <f t="shared" si="48"/>
        <v>1.46</v>
      </c>
      <c r="T127" s="136">
        <f t="shared" ref="T127:AF128" si="49">S127</f>
        <v>1.46</v>
      </c>
      <c r="U127" s="136">
        <f t="shared" si="49"/>
        <v>1.46</v>
      </c>
      <c r="V127" s="136">
        <f t="shared" si="49"/>
        <v>1.46</v>
      </c>
      <c r="W127" s="136">
        <f t="shared" si="49"/>
        <v>1.46</v>
      </c>
      <c r="X127" s="136">
        <f t="shared" si="49"/>
        <v>1.46</v>
      </c>
      <c r="Y127" s="136">
        <f t="shared" si="49"/>
        <v>1.46</v>
      </c>
      <c r="Z127" s="136">
        <f t="shared" si="49"/>
        <v>1.46</v>
      </c>
      <c r="AA127" s="136">
        <f t="shared" si="49"/>
        <v>1.46</v>
      </c>
      <c r="AB127" s="136">
        <f t="shared" si="49"/>
        <v>1.46</v>
      </c>
      <c r="AC127" s="136">
        <f t="shared" si="49"/>
        <v>1.46</v>
      </c>
      <c r="AD127" s="136">
        <f t="shared" si="49"/>
        <v>1.46</v>
      </c>
      <c r="AE127" s="136">
        <f t="shared" si="49"/>
        <v>1.46</v>
      </c>
      <c r="AF127" s="136">
        <f t="shared" si="49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45"/>
        <v>1.48</v>
      </c>
      <c r="C128" s="137">
        <v>1.48</v>
      </c>
      <c r="D128" s="136">
        <f t="shared" si="48"/>
        <v>1.48</v>
      </c>
      <c r="E128" s="136">
        <f t="shared" si="48"/>
        <v>1.48</v>
      </c>
      <c r="F128" s="136">
        <f t="shared" si="48"/>
        <v>1.48</v>
      </c>
      <c r="G128" s="136">
        <f t="shared" si="48"/>
        <v>1.48</v>
      </c>
      <c r="H128" s="136">
        <f t="shared" si="48"/>
        <v>1.48</v>
      </c>
      <c r="I128" s="136">
        <f t="shared" si="48"/>
        <v>1.48</v>
      </c>
      <c r="J128" s="136">
        <f t="shared" si="48"/>
        <v>1.48</v>
      </c>
      <c r="K128" s="136">
        <f t="shared" si="48"/>
        <v>1.48</v>
      </c>
      <c r="L128" s="136">
        <f t="shared" si="48"/>
        <v>1.48</v>
      </c>
      <c r="M128" s="136">
        <f t="shared" si="48"/>
        <v>1.48</v>
      </c>
      <c r="N128" s="136">
        <f t="shared" si="48"/>
        <v>1.48</v>
      </c>
      <c r="O128" s="136">
        <f t="shared" si="48"/>
        <v>1.48</v>
      </c>
      <c r="P128" s="136">
        <f t="shared" si="48"/>
        <v>1.48</v>
      </c>
      <c r="Q128" s="136">
        <f t="shared" si="48"/>
        <v>1.48</v>
      </c>
      <c r="R128" s="136">
        <f t="shared" si="48"/>
        <v>1.48</v>
      </c>
      <c r="S128" s="136">
        <f t="shared" si="48"/>
        <v>1.48</v>
      </c>
      <c r="T128" s="136">
        <f t="shared" si="49"/>
        <v>1.48</v>
      </c>
      <c r="U128" s="136">
        <f t="shared" si="49"/>
        <v>1.48</v>
      </c>
      <c r="V128" s="136">
        <f t="shared" si="49"/>
        <v>1.48</v>
      </c>
      <c r="W128" s="136">
        <f t="shared" si="49"/>
        <v>1.48</v>
      </c>
      <c r="X128" s="136">
        <f t="shared" si="49"/>
        <v>1.48</v>
      </c>
      <c r="Y128" s="136">
        <f t="shared" si="49"/>
        <v>1.48</v>
      </c>
      <c r="Z128" s="136">
        <f t="shared" si="49"/>
        <v>1.48</v>
      </c>
      <c r="AA128" s="136">
        <f t="shared" si="49"/>
        <v>1.48</v>
      </c>
      <c r="AB128" s="136">
        <f t="shared" si="49"/>
        <v>1.48</v>
      </c>
      <c r="AC128" s="136">
        <f t="shared" si="49"/>
        <v>1.48</v>
      </c>
      <c r="AD128" s="136">
        <f t="shared" si="49"/>
        <v>1.48</v>
      </c>
      <c r="AE128" s="136">
        <f t="shared" si="49"/>
        <v>1.48</v>
      </c>
      <c r="AF128" s="136">
        <f t="shared" si="49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50">AF130</f>
        <v>2.2000000000000002</v>
      </c>
      <c r="C130" s="137">
        <v>2.2000000000000002</v>
      </c>
      <c r="D130" s="136">
        <f t="shared" ref="D130:S137" si="51">C130</f>
        <v>2.2000000000000002</v>
      </c>
      <c r="E130" s="136">
        <f t="shared" si="51"/>
        <v>2.2000000000000002</v>
      </c>
      <c r="F130" s="136">
        <f t="shared" si="51"/>
        <v>2.2000000000000002</v>
      </c>
      <c r="G130" s="136">
        <f t="shared" si="51"/>
        <v>2.2000000000000002</v>
      </c>
      <c r="H130" s="136">
        <f t="shared" si="51"/>
        <v>2.2000000000000002</v>
      </c>
      <c r="I130" s="136">
        <f t="shared" si="51"/>
        <v>2.2000000000000002</v>
      </c>
      <c r="J130" s="136">
        <f t="shared" si="51"/>
        <v>2.2000000000000002</v>
      </c>
      <c r="K130" s="136">
        <f t="shared" si="51"/>
        <v>2.2000000000000002</v>
      </c>
      <c r="L130" s="136">
        <f t="shared" si="51"/>
        <v>2.2000000000000002</v>
      </c>
      <c r="M130" s="136">
        <f t="shared" si="51"/>
        <v>2.2000000000000002</v>
      </c>
      <c r="N130" s="136">
        <f t="shared" si="51"/>
        <v>2.2000000000000002</v>
      </c>
      <c r="O130" s="136">
        <f t="shared" si="51"/>
        <v>2.2000000000000002</v>
      </c>
      <c r="P130" s="136">
        <f t="shared" si="51"/>
        <v>2.2000000000000002</v>
      </c>
      <c r="Q130" s="136">
        <f t="shared" si="51"/>
        <v>2.2000000000000002</v>
      </c>
      <c r="R130" s="136">
        <f t="shared" si="51"/>
        <v>2.2000000000000002</v>
      </c>
      <c r="S130" s="136">
        <f t="shared" si="51"/>
        <v>2.2000000000000002</v>
      </c>
      <c r="T130" s="136">
        <f t="shared" ref="T130:AF137" si="52">S130</f>
        <v>2.2000000000000002</v>
      </c>
      <c r="U130" s="136">
        <f t="shared" si="52"/>
        <v>2.2000000000000002</v>
      </c>
      <c r="V130" s="136">
        <f t="shared" si="52"/>
        <v>2.2000000000000002</v>
      </c>
      <c r="W130" s="136">
        <f t="shared" si="52"/>
        <v>2.2000000000000002</v>
      </c>
      <c r="X130" s="136">
        <f t="shared" si="52"/>
        <v>2.2000000000000002</v>
      </c>
      <c r="Y130" s="136">
        <f t="shared" si="52"/>
        <v>2.2000000000000002</v>
      </c>
      <c r="Z130" s="136">
        <f t="shared" si="52"/>
        <v>2.2000000000000002</v>
      </c>
      <c r="AA130" s="136">
        <f t="shared" si="52"/>
        <v>2.2000000000000002</v>
      </c>
      <c r="AB130" s="136">
        <f t="shared" si="52"/>
        <v>2.2000000000000002</v>
      </c>
      <c r="AC130" s="136">
        <f t="shared" si="52"/>
        <v>2.2000000000000002</v>
      </c>
      <c r="AD130" s="136">
        <f t="shared" si="52"/>
        <v>2.2000000000000002</v>
      </c>
      <c r="AE130" s="136">
        <f t="shared" si="52"/>
        <v>2.2000000000000002</v>
      </c>
      <c r="AF130" s="136">
        <f t="shared" si="52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50"/>
        <v>2</v>
      </c>
      <c r="C131" s="137">
        <v>2</v>
      </c>
      <c r="D131" s="136">
        <f t="shared" si="51"/>
        <v>2</v>
      </c>
      <c r="E131" s="136">
        <f t="shared" si="51"/>
        <v>2</v>
      </c>
      <c r="F131" s="136">
        <f t="shared" si="51"/>
        <v>2</v>
      </c>
      <c r="G131" s="136">
        <f t="shared" si="51"/>
        <v>2</v>
      </c>
      <c r="H131" s="136">
        <f t="shared" si="51"/>
        <v>2</v>
      </c>
      <c r="I131" s="136">
        <f t="shared" si="51"/>
        <v>2</v>
      </c>
      <c r="J131" s="136">
        <f t="shared" si="51"/>
        <v>2</v>
      </c>
      <c r="K131" s="136">
        <f t="shared" si="51"/>
        <v>2</v>
      </c>
      <c r="L131" s="136">
        <f t="shared" si="51"/>
        <v>2</v>
      </c>
      <c r="M131" s="136">
        <f t="shared" si="51"/>
        <v>2</v>
      </c>
      <c r="N131" s="136">
        <f t="shared" si="51"/>
        <v>2</v>
      </c>
      <c r="O131" s="136">
        <f t="shared" si="51"/>
        <v>2</v>
      </c>
      <c r="P131" s="136">
        <f t="shared" si="51"/>
        <v>2</v>
      </c>
      <c r="Q131" s="136">
        <f t="shared" si="51"/>
        <v>2</v>
      </c>
      <c r="R131" s="136">
        <f t="shared" si="51"/>
        <v>2</v>
      </c>
      <c r="S131" s="136">
        <f t="shared" si="51"/>
        <v>2</v>
      </c>
      <c r="T131" s="136">
        <f t="shared" si="52"/>
        <v>2</v>
      </c>
      <c r="U131" s="136">
        <f t="shared" si="52"/>
        <v>2</v>
      </c>
      <c r="V131" s="136">
        <f t="shared" si="52"/>
        <v>2</v>
      </c>
      <c r="W131" s="136">
        <f t="shared" si="52"/>
        <v>2</v>
      </c>
      <c r="X131" s="136">
        <f t="shared" si="52"/>
        <v>2</v>
      </c>
      <c r="Y131" s="136">
        <f t="shared" si="52"/>
        <v>2</v>
      </c>
      <c r="Z131" s="136">
        <f t="shared" si="52"/>
        <v>2</v>
      </c>
      <c r="AA131" s="136">
        <f t="shared" si="52"/>
        <v>2</v>
      </c>
      <c r="AB131" s="136">
        <f t="shared" si="52"/>
        <v>2</v>
      </c>
      <c r="AC131" s="136">
        <f t="shared" si="52"/>
        <v>2</v>
      </c>
      <c r="AD131" s="136">
        <f t="shared" si="52"/>
        <v>2</v>
      </c>
      <c r="AE131" s="136">
        <f t="shared" si="52"/>
        <v>2</v>
      </c>
      <c r="AF131" s="136">
        <f t="shared" si="52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50"/>
        <v>1.25</v>
      </c>
      <c r="C132" s="137">
        <v>1.25</v>
      </c>
      <c r="D132" s="136">
        <f t="shared" si="51"/>
        <v>1.25</v>
      </c>
      <c r="E132" s="136">
        <f t="shared" si="51"/>
        <v>1.25</v>
      </c>
      <c r="F132" s="136">
        <f t="shared" si="51"/>
        <v>1.25</v>
      </c>
      <c r="G132" s="136">
        <f t="shared" si="51"/>
        <v>1.25</v>
      </c>
      <c r="H132" s="136">
        <f t="shared" si="51"/>
        <v>1.25</v>
      </c>
      <c r="I132" s="136">
        <f t="shared" si="51"/>
        <v>1.25</v>
      </c>
      <c r="J132" s="136">
        <f t="shared" si="51"/>
        <v>1.25</v>
      </c>
      <c r="K132" s="136">
        <f t="shared" si="51"/>
        <v>1.25</v>
      </c>
      <c r="L132" s="136">
        <f t="shared" si="51"/>
        <v>1.25</v>
      </c>
      <c r="M132" s="136">
        <f t="shared" si="51"/>
        <v>1.25</v>
      </c>
      <c r="N132" s="136">
        <f t="shared" si="51"/>
        <v>1.25</v>
      </c>
      <c r="O132" s="136">
        <f t="shared" si="51"/>
        <v>1.25</v>
      </c>
      <c r="P132" s="136">
        <f t="shared" si="51"/>
        <v>1.25</v>
      </c>
      <c r="Q132" s="136">
        <f t="shared" si="51"/>
        <v>1.25</v>
      </c>
      <c r="R132" s="136">
        <f t="shared" si="51"/>
        <v>1.25</v>
      </c>
      <c r="S132" s="136">
        <f t="shared" si="51"/>
        <v>1.25</v>
      </c>
      <c r="T132" s="136">
        <f t="shared" si="52"/>
        <v>1.25</v>
      </c>
      <c r="U132" s="136">
        <f t="shared" si="52"/>
        <v>1.25</v>
      </c>
      <c r="V132" s="136">
        <f t="shared" si="52"/>
        <v>1.25</v>
      </c>
      <c r="W132" s="136">
        <f t="shared" si="52"/>
        <v>1.25</v>
      </c>
      <c r="X132" s="136">
        <f t="shared" si="52"/>
        <v>1.25</v>
      </c>
      <c r="Y132" s="136">
        <f t="shared" si="52"/>
        <v>1.25</v>
      </c>
      <c r="Z132" s="136">
        <f t="shared" si="52"/>
        <v>1.25</v>
      </c>
      <c r="AA132" s="136">
        <f t="shared" si="52"/>
        <v>1.25</v>
      </c>
      <c r="AB132" s="136">
        <f t="shared" si="52"/>
        <v>1.25</v>
      </c>
      <c r="AC132" s="136">
        <f t="shared" si="52"/>
        <v>1.25</v>
      </c>
      <c r="AD132" s="136">
        <f t="shared" si="52"/>
        <v>1.25</v>
      </c>
      <c r="AE132" s="136">
        <f t="shared" si="52"/>
        <v>1.25</v>
      </c>
      <c r="AF132" s="136">
        <f t="shared" si="52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50"/>
        <v>1.1499999999999999</v>
      </c>
      <c r="C133" s="137">
        <v>1.1499999999999999</v>
      </c>
      <c r="D133" s="136">
        <f t="shared" si="51"/>
        <v>1.1499999999999999</v>
      </c>
      <c r="E133" s="136">
        <f t="shared" si="51"/>
        <v>1.1499999999999999</v>
      </c>
      <c r="F133" s="136">
        <f t="shared" si="51"/>
        <v>1.1499999999999999</v>
      </c>
      <c r="G133" s="136">
        <f t="shared" si="51"/>
        <v>1.1499999999999999</v>
      </c>
      <c r="H133" s="136">
        <f t="shared" si="51"/>
        <v>1.1499999999999999</v>
      </c>
      <c r="I133" s="136">
        <f t="shared" si="51"/>
        <v>1.1499999999999999</v>
      </c>
      <c r="J133" s="136">
        <f t="shared" si="51"/>
        <v>1.1499999999999999</v>
      </c>
      <c r="K133" s="136">
        <f t="shared" si="51"/>
        <v>1.1499999999999999</v>
      </c>
      <c r="L133" s="136">
        <f t="shared" si="51"/>
        <v>1.1499999999999999</v>
      </c>
      <c r="M133" s="136">
        <f t="shared" si="51"/>
        <v>1.1499999999999999</v>
      </c>
      <c r="N133" s="136">
        <f t="shared" si="51"/>
        <v>1.1499999999999999</v>
      </c>
      <c r="O133" s="136">
        <f t="shared" si="51"/>
        <v>1.1499999999999999</v>
      </c>
      <c r="P133" s="136">
        <f t="shared" si="51"/>
        <v>1.1499999999999999</v>
      </c>
      <c r="Q133" s="136">
        <f t="shared" si="51"/>
        <v>1.1499999999999999</v>
      </c>
      <c r="R133" s="136">
        <f t="shared" si="51"/>
        <v>1.1499999999999999</v>
      </c>
      <c r="S133" s="136">
        <f t="shared" si="51"/>
        <v>1.1499999999999999</v>
      </c>
      <c r="T133" s="136">
        <f t="shared" si="52"/>
        <v>1.1499999999999999</v>
      </c>
      <c r="U133" s="136">
        <f t="shared" si="52"/>
        <v>1.1499999999999999</v>
      </c>
      <c r="V133" s="136">
        <f t="shared" si="52"/>
        <v>1.1499999999999999</v>
      </c>
      <c r="W133" s="136">
        <f t="shared" si="52"/>
        <v>1.1499999999999999</v>
      </c>
      <c r="X133" s="136">
        <f t="shared" si="52"/>
        <v>1.1499999999999999</v>
      </c>
      <c r="Y133" s="136">
        <f t="shared" si="52"/>
        <v>1.1499999999999999</v>
      </c>
      <c r="Z133" s="136">
        <f t="shared" si="52"/>
        <v>1.1499999999999999</v>
      </c>
      <c r="AA133" s="136">
        <f t="shared" si="52"/>
        <v>1.1499999999999999</v>
      </c>
      <c r="AB133" s="136">
        <f t="shared" si="52"/>
        <v>1.1499999999999999</v>
      </c>
      <c r="AC133" s="136">
        <f t="shared" si="52"/>
        <v>1.1499999999999999</v>
      </c>
      <c r="AD133" s="136">
        <f t="shared" si="52"/>
        <v>1.1499999999999999</v>
      </c>
      <c r="AE133" s="136">
        <f t="shared" si="52"/>
        <v>1.1499999999999999</v>
      </c>
      <c r="AF133" s="136">
        <f t="shared" si="52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50"/>
        <v>2.133</v>
      </c>
      <c r="C134" s="137">
        <v>2.133</v>
      </c>
      <c r="D134" s="136">
        <f t="shared" si="51"/>
        <v>2.133</v>
      </c>
      <c r="E134" s="136">
        <f t="shared" si="51"/>
        <v>2.133</v>
      </c>
      <c r="F134" s="136">
        <f t="shared" si="51"/>
        <v>2.133</v>
      </c>
      <c r="G134" s="136">
        <f t="shared" si="51"/>
        <v>2.133</v>
      </c>
      <c r="H134" s="136">
        <f t="shared" si="51"/>
        <v>2.133</v>
      </c>
      <c r="I134" s="136">
        <f t="shared" si="51"/>
        <v>2.133</v>
      </c>
      <c r="J134" s="136">
        <f t="shared" si="51"/>
        <v>2.133</v>
      </c>
      <c r="K134" s="136">
        <f t="shared" si="51"/>
        <v>2.133</v>
      </c>
      <c r="L134" s="136">
        <f t="shared" si="51"/>
        <v>2.133</v>
      </c>
      <c r="M134" s="136">
        <f t="shared" si="51"/>
        <v>2.133</v>
      </c>
      <c r="N134" s="136">
        <f t="shared" si="51"/>
        <v>2.133</v>
      </c>
      <c r="O134" s="136">
        <f t="shared" si="51"/>
        <v>2.133</v>
      </c>
      <c r="P134" s="136">
        <f t="shared" si="51"/>
        <v>2.133</v>
      </c>
      <c r="Q134" s="136">
        <f t="shared" si="51"/>
        <v>2.133</v>
      </c>
      <c r="R134" s="136">
        <f t="shared" si="51"/>
        <v>2.133</v>
      </c>
      <c r="S134" s="136">
        <f t="shared" si="51"/>
        <v>2.133</v>
      </c>
      <c r="T134" s="136">
        <f t="shared" si="52"/>
        <v>2.133</v>
      </c>
      <c r="U134" s="136">
        <f t="shared" si="52"/>
        <v>2.133</v>
      </c>
      <c r="V134" s="136">
        <f t="shared" si="52"/>
        <v>2.133</v>
      </c>
      <c r="W134" s="136">
        <f t="shared" si="52"/>
        <v>2.133</v>
      </c>
      <c r="X134" s="136">
        <f t="shared" si="52"/>
        <v>2.133</v>
      </c>
      <c r="Y134" s="136">
        <f t="shared" si="52"/>
        <v>2.133</v>
      </c>
      <c r="Z134" s="136">
        <f t="shared" si="52"/>
        <v>2.133</v>
      </c>
      <c r="AA134" s="136">
        <f t="shared" si="52"/>
        <v>2.133</v>
      </c>
      <c r="AB134" s="136">
        <f t="shared" si="52"/>
        <v>2.133</v>
      </c>
      <c r="AC134" s="136">
        <f t="shared" si="52"/>
        <v>2.133</v>
      </c>
      <c r="AD134" s="136">
        <f t="shared" si="52"/>
        <v>2.133</v>
      </c>
      <c r="AE134" s="136">
        <f t="shared" si="52"/>
        <v>2.133</v>
      </c>
      <c r="AF134" s="136">
        <f t="shared" si="52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50"/>
        <v>2.09</v>
      </c>
      <c r="C135" s="137">
        <v>2.09</v>
      </c>
      <c r="D135" s="136">
        <f t="shared" si="51"/>
        <v>2.09</v>
      </c>
      <c r="E135" s="136">
        <f t="shared" si="51"/>
        <v>2.09</v>
      </c>
      <c r="F135" s="136">
        <f t="shared" si="51"/>
        <v>2.09</v>
      </c>
      <c r="G135" s="136">
        <f t="shared" si="51"/>
        <v>2.09</v>
      </c>
      <c r="H135" s="136">
        <f t="shared" si="51"/>
        <v>2.09</v>
      </c>
      <c r="I135" s="136">
        <f t="shared" si="51"/>
        <v>2.09</v>
      </c>
      <c r="J135" s="136">
        <f t="shared" si="51"/>
        <v>2.09</v>
      </c>
      <c r="K135" s="136">
        <f t="shared" si="51"/>
        <v>2.09</v>
      </c>
      <c r="L135" s="136">
        <f t="shared" si="51"/>
        <v>2.09</v>
      </c>
      <c r="M135" s="136">
        <f t="shared" si="51"/>
        <v>2.09</v>
      </c>
      <c r="N135" s="136">
        <f t="shared" si="51"/>
        <v>2.09</v>
      </c>
      <c r="O135" s="136">
        <f t="shared" si="51"/>
        <v>2.09</v>
      </c>
      <c r="P135" s="136">
        <f t="shared" si="51"/>
        <v>2.09</v>
      </c>
      <c r="Q135" s="136">
        <f t="shared" si="51"/>
        <v>2.09</v>
      </c>
      <c r="R135" s="136">
        <f t="shared" si="51"/>
        <v>2.09</v>
      </c>
      <c r="S135" s="136">
        <f t="shared" si="51"/>
        <v>2.09</v>
      </c>
      <c r="T135" s="136">
        <f t="shared" si="52"/>
        <v>2.09</v>
      </c>
      <c r="U135" s="136">
        <f t="shared" si="52"/>
        <v>2.09</v>
      </c>
      <c r="V135" s="136">
        <f t="shared" si="52"/>
        <v>2.09</v>
      </c>
      <c r="W135" s="136">
        <f t="shared" si="52"/>
        <v>2.09</v>
      </c>
      <c r="X135" s="136">
        <f t="shared" si="52"/>
        <v>2.09</v>
      </c>
      <c r="Y135" s="136">
        <f t="shared" si="52"/>
        <v>2.09</v>
      </c>
      <c r="Z135" s="136">
        <f t="shared" si="52"/>
        <v>2.09</v>
      </c>
      <c r="AA135" s="136">
        <f t="shared" si="52"/>
        <v>2.09</v>
      </c>
      <c r="AB135" s="136">
        <f t="shared" si="52"/>
        <v>2.09</v>
      </c>
      <c r="AC135" s="136">
        <f t="shared" si="52"/>
        <v>2.09</v>
      </c>
      <c r="AD135" s="136">
        <f t="shared" si="52"/>
        <v>2.09</v>
      </c>
      <c r="AE135" s="136">
        <f t="shared" si="52"/>
        <v>2.09</v>
      </c>
      <c r="AF135" s="136">
        <f t="shared" si="52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50"/>
        <v>1.1399999999999999</v>
      </c>
      <c r="C136" s="137">
        <v>1.1399999999999999</v>
      </c>
      <c r="D136" s="136">
        <f t="shared" si="51"/>
        <v>1.1399999999999999</v>
      </c>
      <c r="E136" s="136">
        <f t="shared" si="51"/>
        <v>1.1399999999999999</v>
      </c>
      <c r="F136" s="136">
        <f t="shared" si="51"/>
        <v>1.1399999999999999</v>
      </c>
      <c r="G136" s="136">
        <f t="shared" si="51"/>
        <v>1.1399999999999999</v>
      </c>
      <c r="H136" s="136">
        <f t="shared" si="51"/>
        <v>1.1399999999999999</v>
      </c>
      <c r="I136" s="136">
        <f t="shared" si="51"/>
        <v>1.1399999999999999</v>
      </c>
      <c r="J136" s="136">
        <f t="shared" si="51"/>
        <v>1.1399999999999999</v>
      </c>
      <c r="K136" s="136">
        <f t="shared" si="51"/>
        <v>1.1399999999999999</v>
      </c>
      <c r="L136" s="136">
        <f t="shared" si="51"/>
        <v>1.1399999999999999</v>
      </c>
      <c r="M136" s="136">
        <f t="shared" si="51"/>
        <v>1.1399999999999999</v>
      </c>
      <c r="N136" s="136">
        <f t="shared" si="51"/>
        <v>1.1399999999999999</v>
      </c>
      <c r="O136" s="136">
        <f t="shared" si="51"/>
        <v>1.1399999999999999</v>
      </c>
      <c r="P136" s="136">
        <f t="shared" si="51"/>
        <v>1.1399999999999999</v>
      </c>
      <c r="Q136" s="136">
        <f t="shared" si="51"/>
        <v>1.1399999999999999</v>
      </c>
      <c r="R136" s="136">
        <f t="shared" si="51"/>
        <v>1.1399999999999999</v>
      </c>
      <c r="S136" s="136">
        <f t="shared" si="51"/>
        <v>1.1399999999999999</v>
      </c>
      <c r="T136" s="136">
        <f t="shared" si="52"/>
        <v>1.1399999999999999</v>
      </c>
      <c r="U136" s="136">
        <f t="shared" si="52"/>
        <v>1.1399999999999999</v>
      </c>
      <c r="V136" s="136">
        <f t="shared" si="52"/>
        <v>1.1399999999999999</v>
      </c>
      <c r="W136" s="136">
        <f t="shared" si="52"/>
        <v>1.1399999999999999</v>
      </c>
      <c r="X136" s="136">
        <f t="shared" si="52"/>
        <v>1.1399999999999999</v>
      </c>
      <c r="Y136" s="136">
        <f t="shared" si="52"/>
        <v>1.1399999999999999</v>
      </c>
      <c r="Z136" s="136">
        <f t="shared" si="52"/>
        <v>1.1399999999999999</v>
      </c>
      <c r="AA136" s="136">
        <f t="shared" si="52"/>
        <v>1.1399999999999999</v>
      </c>
      <c r="AB136" s="136">
        <f t="shared" si="52"/>
        <v>1.1399999999999999</v>
      </c>
      <c r="AC136" s="136">
        <f t="shared" si="52"/>
        <v>1.1399999999999999</v>
      </c>
      <c r="AD136" s="136">
        <f t="shared" si="52"/>
        <v>1.1399999999999999</v>
      </c>
      <c r="AE136" s="136">
        <f t="shared" si="52"/>
        <v>1.1399999999999999</v>
      </c>
      <c r="AF136" s="136">
        <f t="shared" si="52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50"/>
        <v>0.82</v>
      </c>
      <c r="C137" s="137">
        <v>0.82</v>
      </c>
      <c r="D137" s="136">
        <f t="shared" si="51"/>
        <v>0.82</v>
      </c>
      <c r="E137" s="136">
        <f t="shared" si="51"/>
        <v>0.82</v>
      </c>
      <c r="F137" s="136">
        <f t="shared" si="51"/>
        <v>0.82</v>
      </c>
      <c r="G137" s="136">
        <f t="shared" si="51"/>
        <v>0.82</v>
      </c>
      <c r="H137" s="136">
        <f t="shared" si="51"/>
        <v>0.82</v>
      </c>
      <c r="I137" s="136">
        <f t="shared" si="51"/>
        <v>0.82</v>
      </c>
      <c r="J137" s="136">
        <f t="shared" si="51"/>
        <v>0.82</v>
      </c>
      <c r="K137" s="136">
        <f t="shared" si="51"/>
        <v>0.82</v>
      </c>
      <c r="L137" s="136">
        <f t="shared" si="51"/>
        <v>0.82</v>
      </c>
      <c r="M137" s="136">
        <f t="shared" si="51"/>
        <v>0.82</v>
      </c>
      <c r="N137" s="136">
        <f t="shared" si="51"/>
        <v>0.82</v>
      </c>
      <c r="O137" s="136">
        <f t="shared" si="51"/>
        <v>0.82</v>
      </c>
      <c r="P137" s="136">
        <f t="shared" si="51"/>
        <v>0.82</v>
      </c>
      <c r="Q137" s="136">
        <f t="shared" si="51"/>
        <v>0.82</v>
      </c>
      <c r="R137" s="136">
        <f t="shared" si="51"/>
        <v>0.82</v>
      </c>
      <c r="S137" s="136">
        <f t="shared" si="51"/>
        <v>0.82</v>
      </c>
      <c r="T137" s="136">
        <f t="shared" si="52"/>
        <v>0.82</v>
      </c>
      <c r="U137" s="136">
        <f t="shared" si="52"/>
        <v>0.82</v>
      </c>
      <c r="V137" s="136">
        <f t="shared" si="52"/>
        <v>0.82</v>
      </c>
      <c r="W137" s="136">
        <f t="shared" si="52"/>
        <v>0.82</v>
      </c>
      <c r="X137" s="136">
        <f t="shared" si="52"/>
        <v>0.82</v>
      </c>
      <c r="Y137" s="136">
        <f t="shared" si="52"/>
        <v>0.82</v>
      </c>
      <c r="Z137" s="136">
        <f t="shared" si="52"/>
        <v>0.82</v>
      </c>
      <c r="AA137" s="136">
        <f t="shared" si="52"/>
        <v>0.82</v>
      </c>
      <c r="AB137" s="136">
        <f t="shared" si="52"/>
        <v>0.82</v>
      </c>
      <c r="AC137" s="136">
        <f t="shared" si="52"/>
        <v>0.82</v>
      </c>
      <c r="AD137" s="136">
        <f t="shared" si="52"/>
        <v>0.82</v>
      </c>
      <c r="AE137" s="136">
        <f t="shared" si="52"/>
        <v>0.82</v>
      </c>
      <c r="AF137" s="136">
        <f t="shared" si="52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53">AF139</f>
        <v>2</v>
      </c>
      <c r="C139" s="137">
        <v>2</v>
      </c>
      <c r="D139" s="136">
        <f t="shared" ref="D139:S145" si="54">C139</f>
        <v>2</v>
      </c>
      <c r="E139" s="136">
        <f t="shared" si="54"/>
        <v>2</v>
      </c>
      <c r="F139" s="136">
        <f t="shared" si="54"/>
        <v>2</v>
      </c>
      <c r="G139" s="136">
        <f t="shared" si="54"/>
        <v>2</v>
      </c>
      <c r="H139" s="136">
        <f t="shared" si="54"/>
        <v>2</v>
      </c>
      <c r="I139" s="136">
        <f t="shared" si="54"/>
        <v>2</v>
      </c>
      <c r="J139" s="136">
        <f t="shared" si="54"/>
        <v>2</v>
      </c>
      <c r="K139" s="136">
        <f t="shared" si="54"/>
        <v>2</v>
      </c>
      <c r="L139" s="136">
        <f t="shared" si="54"/>
        <v>2</v>
      </c>
      <c r="M139" s="136">
        <f t="shared" si="54"/>
        <v>2</v>
      </c>
      <c r="N139" s="136">
        <f t="shared" si="54"/>
        <v>2</v>
      </c>
      <c r="O139" s="136">
        <f t="shared" si="54"/>
        <v>2</v>
      </c>
      <c r="P139" s="136">
        <f t="shared" si="54"/>
        <v>2</v>
      </c>
      <c r="Q139" s="136">
        <f t="shared" si="54"/>
        <v>2</v>
      </c>
      <c r="R139" s="136">
        <f t="shared" si="54"/>
        <v>2</v>
      </c>
      <c r="S139" s="136">
        <f t="shared" si="54"/>
        <v>2</v>
      </c>
      <c r="T139" s="136">
        <f t="shared" ref="T139:AF145" si="55">S139</f>
        <v>2</v>
      </c>
      <c r="U139" s="136">
        <f t="shared" si="55"/>
        <v>2</v>
      </c>
      <c r="V139" s="136">
        <f t="shared" si="55"/>
        <v>2</v>
      </c>
      <c r="W139" s="136">
        <f t="shared" si="55"/>
        <v>2</v>
      </c>
      <c r="X139" s="136">
        <f t="shared" si="55"/>
        <v>2</v>
      </c>
      <c r="Y139" s="136">
        <f t="shared" si="55"/>
        <v>2</v>
      </c>
      <c r="Z139" s="136">
        <f t="shared" si="55"/>
        <v>2</v>
      </c>
      <c r="AA139" s="136">
        <f t="shared" si="55"/>
        <v>2</v>
      </c>
      <c r="AB139" s="136">
        <f t="shared" si="55"/>
        <v>2</v>
      </c>
      <c r="AC139" s="136">
        <f t="shared" si="55"/>
        <v>2</v>
      </c>
      <c r="AD139" s="136">
        <f t="shared" si="55"/>
        <v>2</v>
      </c>
      <c r="AE139" s="136">
        <f t="shared" si="55"/>
        <v>2</v>
      </c>
      <c r="AF139" s="136">
        <f t="shared" si="55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53"/>
        <v>5.61</v>
      </c>
      <c r="C140" s="137">
        <v>5.61</v>
      </c>
      <c r="D140" s="136">
        <f t="shared" si="54"/>
        <v>5.61</v>
      </c>
      <c r="E140" s="136">
        <f t="shared" si="54"/>
        <v>5.61</v>
      </c>
      <c r="F140" s="136">
        <f t="shared" si="54"/>
        <v>5.61</v>
      </c>
      <c r="G140" s="136">
        <f t="shared" si="54"/>
        <v>5.61</v>
      </c>
      <c r="H140" s="136">
        <f t="shared" si="54"/>
        <v>5.61</v>
      </c>
      <c r="I140" s="136">
        <f t="shared" si="54"/>
        <v>5.61</v>
      </c>
      <c r="J140" s="136">
        <f t="shared" si="54"/>
        <v>5.61</v>
      </c>
      <c r="K140" s="136">
        <f t="shared" si="54"/>
        <v>5.61</v>
      </c>
      <c r="L140" s="136">
        <f t="shared" si="54"/>
        <v>5.61</v>
      </c>
      <c r="M140" s="136">
        <f t="shared" si="54"/>
        <v>5.61</v>
      </c>
      <c r="N140" s="136">
        <f t="shared" si="54"/>
        <v>5.61</v>
      </c>
      <c r="O140" s="136">
        <f t="shared" si="54"/>
        <v>5.61</v>
      </c>
      <c r="P140" s="136">
        <f t="shared" si="54"/>
        <v>5.61</v>
      </c>
      <c r="Q140" s="136">
        <f t="shared" si="54"/>
        <v>5.61</v>
      </c>
      <c r="R140" s="136">
        <f t="shared" si="54"/>
        <v>5.61</v>
      </c>
      <c r="S140" s="136">
        <f t="shared" si="54"/>
        <v>5.61</v>
      </c>
      <c r="T140" s="136">
        <f t="shared" si="55"/>
        <v>5.61</v>
      </c>
      <c r="U140" s="136">
        <f t="shared" si="55"/>
        <v>5.61</v>
      </c>
      <c r="V140" s="136">
        <f t="shared" si="55"/>
        <v>5.61</v>
      </c>
      <c r="W140" s="136">
        <f t="shared" si="55"/>
        <v>5.61</v>
      </c>
      <c r="X140" s="136">
        <f t="shared" si="55"/>
        <v>5.61</v>
      </c>
      <c r="Y140" s="136">
        <f t="shared" si="55"/>
        <v>5.61</v>
      </c>
      <c r="Z140" s="136">
        <f t="shared" si="55"/>
        <v>5.61</v>
      </c>
      <c r="AA140" s="136">
        <f t="shared" si="55"/>
        <v>5.61</v>
      </c>
      <c r="AB140" s="136">
        <f t="shared" si="55"/>
        <v>5.61</v>
      </c>
      <c r="AC140" s="136">
        <f t="shared" si="55"/>
        <v>5.61</v>
      </c>
      <c r="AD140" s="136">
        <f t="shared" si="55"/>
        <v>5.61</v>
      </c>
      <c r="AE140" s="136">
        <f t="shared" si="55"/>
        <v>5.61</v>
      </c>
      <c r="AF140" s="136">
        <f t="shared" si="55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53"/>
        <v>1.25</v>
      </c>
      <c r="C141" s="137">
        <v>1.25</v>
      </c>
      <c r="D141" s="136">
        <f t="shared" si="54"/>
        <v>1.25</v>
      </c>
      <c r="E141" s="136">
        <f t="shared" si="54"/>
        <v>1.25</v>
      </c>
      <c r="F141" s="136">
        <f t="shared" si="54"/>
        <v>1.25</v>
      </c>
      <c r="G141" s="136">
        <f t="shared" si="54"/>
        <v>1.25</v>
      </c>
      <c r="H141" s="136">
        <f t="shared" si="54"/>
        <v>1.25</v>
      </c>
      <c r="I141" s="136">
        <f t="shared" si="54"/>
        <v>1.25</v>
      </c>
      <c r="J141" s="136">
        <f t="shared" si="54"/>
        <v>1.25</v>
      </c>
      <c r="K141" s="136">
        <f t="shared" si="54"/>
        <v>1.25</v>
      </c>
      <c r="L141" s="136">
        <f t="shared" si="54"/>
        <v>1.25</v>
      </c>
      <c r="M141" s="136">
        <f t="shared" si="54"/>
        <v>1.25</v>
      </c>
      <c r="N141" s="136">
        <f t="shared" si="54"/>
        <v>1.25</v>
      </c>
      <c r="O141" s="136">
        <f t="shared" si="54"/>
        <v>1.25</v>
      </c>
      <c r="P141" s="136">
        <f t="shared" si="54"/>
        <v>1.25</v>
      </c>
      <c r="Q141" s="136">
        <f t="shared" si="54"/>
        <v>1.25</v>
      </c>
      <c r="R141" s="136">
        <f t="shared" si="54"/>
        <v>1.25</v>
      </c>
      <c r="S141" s="136">
        <f t="shared" si="54"/>
        <v>1.25</v>
      </c>
      <c r="T141" s="136">
        <f t="shared" si="55"/>
        <v>1.25</v>
      </c>
      <c r="U141" s="136">
        <f t="shared" si="55"/>
        <v>1.25</v>
      </c>
      <c r="V141" s="136">
        <f t="shared" si="55"/>
        <v>1.25</v>
      </c>
      <c r="W141" s="136">
        <f t="shared" si="55"/>
        <v>1.25</v>
      </c>
      <c r="X141" s="136">
        <f t="shared" si="55"/>
        <v>1.25</v>
      </c>
      <c r="Y141" s="136">
        <f t="shared" si="55"/>
        <v>1.25</v>
      </c>
      <c r="Z141" s="136">
        <f t="shared" si="55"/>
        <v>1.25</v>
      </c>
      <c r="AA141" s="136">
        <f t="shared" si="55"/>
        <v>1.25</v>
      </c>
      <c r="AB141" s="136">
        <f t="shared" si="55"/>
        <v>1.25</v>
      </c>
      <c r="AC141" s="136">
        <f t="shared" si="55"/>
        <v>1.25</v>
      </c>
      <c r="AD141" s="136">
        <f t="shared" si="55"/>
        <v>1.25</v>
      </c>
      <c r="AE141" s="136">
        <f t="shared" si="55"/>
        <v>1.25</v>
      </c>
      <c r="AF141" s="136">
        <f t="shared" si="55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53"/>
        <v>1.25</v>
      </c>
      <c r="C142" s="137">
        <v>1.25</v>
      </c>
      <c r="D142" s="136">
        <f t="shared" si="54"/>
        <v>1.25</v>
      </c>
      <c r="E142" s="136">
        <f t="shared" si="54"/>
        <v>1.25</v>
      </c>
      <c r="F142" s="136">
        <f t="shared" si="54"/>
        <v>1.25</v>
      </c>
      <c r="G142" s="136">
        <f t="shared" si="54"/>
        <v>1.25</v>
      </c>
      <c r="H142" s="136">
        <f t="shared" si="54"/>
        <v>1.25</v>
      </c>
      <c r="I142" s="136">
        <f t="shared" si="54"/>
        <v>1.25</v>
      </c>
      <c r="J142" s="136">
        <f t="shared" si="54"/>
        <v>1.25</v>
      </c>
      <c r="K142" s="136">
        <f t="shared" si="54"/>
        <v>1.25</v>
      </c>
      <c r="L142" s="136">
        <f t="shared" si="54"/>
        <v>1.25</v>
      </c>
      <c r="M142" s="136">
        <f t="shared" si="54"/>
        <v>1.25</v>
      </c>
      <c r="N142" s="136">
        <f t="shared" si="54"/>
        <v>1.25</v>
      </c>
      <c r="O142" s="136">
        <f t="shared" si="54"/>
        <v>1.25</v>
      </c>
      <c r="P142" s="136">
        <f t="shared" si="54"/>
        <v>1.25</v>
      </c>
      <c r="Q142" s="136">
        <f t="shared" si="54"/>
        <v>1.25</v>
      </c>
      <c r="R142" s="136">
        <f t="shared" si="54"/>
        <v>1.25</v>
      </c>
      <c r="S142" s="136">
        <f t="shared" si="54"/>
        <v>1.25</v>
      </c>
      <c r="T142" s="136">
        <f t="shared" si="55"/>
        <v>1.25</v>
      </c>
      <c r="U142" s="136">
        <f t="shared" si="55"/>
        <v>1.25</v>
      </c>
      <c r="V142" s="136">
        <f t="shared" si="55"/>
        <v>1.25</v>
      </c>
      <c r="W142" s="136">
        <f t="shared" si="55"/>
        <v>1.25</v>
      </c>
      <c r="X142" s="136">
        <f t="shared" si="55"/>
        <v>1.25</v>
      </c>
      <c r="Y142" s="136">
        <f t="shared" si="55"/>
        <v>1.25</v>
      </c>
      <c r="Z142" s="136">
        <f t="shared" si="55"/>
        <v>1.25</v>
      </c>
      <c r="AA142" s="136">
        <f t="shared" si="55"/>
        <v>1.25</v>
      </c>
      <c r="AB142" s="136">
        <f t="shared" si="55"/>
        <v>1.25</v>
      </c>
      <c r="AC142" s="136">
        <f t="shared" si="55"/>
        <v>1.25</v>
      </c>
      <c r="AD142" s="136">
        <f t="shared" si="55"/>
        <v>1.25</v>
      </c>
      <c r="AE142" s="136">
        <f t="shared" si="55"/>
        <v>1.25</v>
      </c>
      <c r="AF142" s="136">
        <f t="shared" si="55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53"/>
        <v>1.46</v>
      </c>
      <c r="C143" s="137">
        <v>1.46</v>
      </c>
      <c r="D143" s="136">
        <f t="shared" si="54"/>
        <v>1.46</v>
      </c>
      <c r="E143" s="136">
        <f t="shared" si="54"/>
        <v>1.46</v>
      </c>
      <c r="F143" s="136">
        <f t="shared" si="54"/>
        <v>1.46</v>
      </c>
      <c r="G143" s="136">
        <f t="shared" si="54"/>
        <v>1.46</v>
      </c>
      <c r="H143" s="136">
        <f t="shared" si="54"/>
        <v>1.46</v>
      </c>
      <c r="I143" s="136">
        <f t="shared" si="54"/>
        <v>1.46</v>
      </c>
      <c r="J143" s="136">
        <f t="shared" si="54"/>
        <v>1.46</v>
      </c>
      <c r="K143" s="136">
        <f t="shared" si="54"/>
        <v>1.46</v>
      </c>
      <c r="L143" s="136">
        <f t="shared" si="54"/>
        <v>1.46</v>
      </c>
      <c r="M143" s="136">
        <f t="shared" si="54"/>
        <v>1.46</v>
      </c>
      <c r="N143" s="136">
        <f t="shared" si="54"/>
        <v>1.46</v>
      </c>
      <c r="O143" s="136">
        <f t="shared" si="54"/>
        <v>1.46</v>
      </c>
      <c r="P143" s="136">
        <f t="shared" si="54"/>
        <v>1.46</v>
      </c>
      <c r="Q143" s="136">
        <f t="shared" si="54"/>
        <v>1.46</v>
      </c>
      <c r="R143" s="136">
        <f t="shared" si="54"/>
        <v>1.46</v>
      </c>
      <c r="S143" s="136">
        <f t="shared" si="54"/>
        <v>1.46</v>
      </c>
      <c r="T143" s="136">
        <f t="shared" si="55"/>
        <v>1.46</v>
      </c>
      <c r="U143" s="136">
        <f t="shared" si="55"/>
        <v>1.46</v>
      </c>
      <c r="V143" s="136">
        <f t="shared" si="55"/>
        <v>1.46</v>
      </c>
      <c r="W143" s="136">
        <f t="shared" si="55"/>
        <v>1.46</v>
      </c>
      <c r="X143" s="136">
        <f t="shared" si="55"/>
        <v>1.46</v>
      </c>
      <c r="Y143" s="136">
        <f t="shared" si="55"/>
        <v>1.46</v>
      </c>
      <c r="Z143" s="136">
        <f t="shared" si="55"/>
        <v>1.46</v>
      </c>
      <c r="AA143" s="136">
        <f t="shared" si="55"/>
        <v>1.46</v>
      </c>
      <c r="AB143" s="136">
        <f t="shared" si="55"/>
        <v>1.46</v>
      </c>
      <c r="AC143" s="136">
        <f t="shared" si="55"/>
        <v>1.46</v>
      </c>
      <c r="AD143" s="136">
        <f t="shared" si="55"/>
        <v>1.46</v>
      </c>
      <c r="AE143" s="136">
        <f t="shared" si="55"/>
        <v>1.46</v>
      </c>
      <c r="AF143" s="136">
        <f t="shared" si="55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53"/>
        <v>3</v>
      </c>
      <c r="C144" s="137">
        <v>3</v>
      </c>
      <c r="D144" s="136">
        <f t="shared" si="54"/>
        <v>3</v>
      </c>
      <c r="E144" s="136">
        <f t="shared" si="54"/>
        <v>3</v>
      </c>
      <c r="F144" s="136">
        <f t="shared" si="54"/>
        <v>3</v>
      </c>
      <c r="G144" s="136">
        <f t="shared" si="54"/>
        <v>3</v>
      </c>
      <c r="H144" s="136">
        <f t="shared" si="54"/>
        <v>3</v>
      </c>
      <c r="I144" s="136">
        <f t="shared" si="54"/>
        <v>3</v>
      </c>
      <c r="J144" s="136">
        <f t="shared" si="54"/>
        <v>3</v>
      </c>
      <c r="K144" s="136">
        <f t="shared" si="54"/>
        <v>3</v>
      </c>
      <c r="L144" s="136">
        <f t="shared" si="54"/>
        <v>3</v>
      </c>
      <c r="M144" s="136">
        <f t="shared" si="54"/>
        <v>3</v>
      </c>
      <c r="N144" s="136">
        <f t="shared" si="54"/>
        <v>3</v>
      </c>
      <c r="O144" s="136">
        <f t="shared" si="54"/>
        <v>3</v>
      </c>
      <c r="P144" s="136">
        <f t="shared" si="54"/>
        <v>3</v>
      </c>
      <c r="Q144" s="136">
        <f t="shared" si="54"/>
        <v>3</v>
      </c>
      <c r="R144" s="136">
        <f t="shared" si="54"/>
        <v>3</v>
      </c>
      <c r="S144" s="136">
        <f t="shared" si="54"/>
        <v>3</v>
      </c>
      <c r="T144" s="136">
        <f t="shared" si="55"/>
        <v>3</v>
      </c>
      <c r="U144" s="136">
        <f t="shared" si="55"/>
        <v>3</v>
      </c>
      <c r="V144" s="136">
        <f t="shared" si="55"/>
        <v>3</v>
      </c>
      <c r="W144" s="136">
        <f t="shared" si="55"/>
        <v>3</v>
      </c>
      <c r="X144" s="136">
        <f t="shared" si="55"/>
        <v>3</v>
      </c>
      <c r="Y144" s="136">
        <f t="shared" si="55"/>
        <v>3</v>
      </c>
      <c r="Z144" s="136">
        <f t="shared" si="55"/>
        <v>3</v>
      </c>
      <c r="AA144" s="136">
        <f t="shared" si="55"/>
        <v>3</v>
      </c>
      <c r="AB144" s="136">
        <f t="shared" si="55"/>
        <v>3</v>
      </c>
      <c r="AC144" s="136">
        <f t="shared" si="55"/>
        <v>3</v>
      </c>
      <c r="AD144" s="136">
        <f t="shared" si="55"/>
        <v>3</v>
      </c>
      <c r="AE144" s="136">
        <f t="shared" si="55"/>
        <v>3</v>
      </c>
      <c r="AF144" s="136">
        <f t="shared" si="55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53"/>
        <v>3.3</v>
      </c>
      <c r="C145" s="137">
        <v>3.3</v>
      </c>
      <c r="D145" s="136">
        <f t="shared" si="54"/>
        <v>3.3</v>
      </c>
      <c r="E145" s="136">
        <f t="shared" si="54"/>
        <v>3.3</v>
      </c>
      <c r="F145" s="136">
        <f t="shared" si="54"/>
        <v>3.3</v>
      </c>
      <c r="G145" s="136">
        <f t="shared" si="54"/>
        <v>3.3</v>
      </c>
      <c r="H145" s="136">
        <f t="shared" si="54"/>
        <v>3.3</v>
      </c>
      <c r="I145" s="136">
        <f t="shared" si="54"/>
        <v>3.3</v>
      </c>
      <c r="J145" s="136">
        <f t="shared" si="54"/>
        <v>3.3</v>
      </c>
      <c r="K145" s="136">
        <f t="shared" si="54"/>
        <v>3.3</v>
      </c>
      <c r="L145" s="136">
        <f t="shared" si="54"/>
        <v>3.3</v>
      </c>
      <c r="M145" s="136">
        <f t="shared" si="54"/>
        <v>3.3</v>
      </c>
      <c r="N145" s="136">
        <f t="shared" si="54"/>
        <v>3.3</v>
      </c>
      <c r="O145" s="136">
        <f t="shared" si="54"/>
        <v>3.3</v>
      </c>
      <c r="P145" s="136">
        <f t="shared" si="54"/>
        <v>3.3</v>
      </c>
      <c r="Q145" s="136">
        <f t="shared" si="54"/>
        <v>3.3</v>
      </c>
      <c r="R145" s="136">
        <f t="shared" si="54"/>
        <v>3.3</v>
      </c>
      <c r="S145" s="136">
        <f t="shared" si="54"/>
        <v>3.3</v>
      </c>
      <c r="T145" s="136">
        <f t="shared" si="55"/>
        <v>3.3</v>
      </c>
      <c r="U145" s="136">
        <f t="shared" si="55"/>
        <v>3.3</v>
      </c>
      <c r="V145" s="136">
        <f t="shared" si="55"/>
        <v>3.3</v>
      </c>
      <c r="W145" s="136">
        <f t="shared" si="55"/>
        <v>3.3</v>
      </c>
      <c r="X145" s="136">
        <f t="shared" si="55"/>
        <v>3.3</v>
      </c>
      <c r="Y145" s="136">
        <f t="shared" si="55"/>
        <v>3.3</v>
      </c>
      <c r="Z145" s="136">
        <f t="shared" si="55"/>
        <v>3.3</v>
      </c>
      <c r="AA145" s="136">
        <f t="shared" si="55"/>
        <v>3.3</v>
      </c>
      <c r="AB145" s="136">
        <f t="shared" si="55"/>
        <v>3.3</v>
      </c>
      <c r="AC145" s="136">
        <f t="shared" si="55"/>
        <v>3.3</v>
      </c>
      <c r="AD145" s="136">
        <f t="shared" si="55"/>
        <v>3.3</v>
      </c>
      <c r="AE145" s="136">
        <f t="shared" si="55"/>
        <v>3.3</v>
      </c>
      <c r="AF145" s="136">
        <f t="shared" si="55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56">C147</f>
        <v>1.76</v>
      </c>
      <c r="E147" s="136">
        <f t="shared" si="56"/>
        <v>1.76</v>
      </c>
      <c r="F147" s="136">
        <f t="shared" si="56"/>
        <v>1.76</v>
      </c>
      <c r="G147" s="136">
        <f t="shared" si="56"/>
        <v>1.76</v>
      </c>
      <c r="H147" s="136">
        <f t="shared" si="56"/>
        <v>1.76</v>
      </c>
      <c r="I147" s="136">
        <f t="shared" si="56"/>
        <v>1.76</v>
      </c>
      <c r="J147" s="136">
        <f t="shared" si="56"/>
        <v>1.76</v>
      </c>
      <c r="K147" s="136">
        <f t="shared" si="56"/>
        <v>1.76</v>
      </c>
      <c r="L147" s="136">
        <f t="shared" si="56"/>
        <v>1.76</v>
      </c>
      <c r="M147" s="136">
        <f t="shared" si="56"/>
        <v>1.76</v>
      </c>
      <c r="N147" s="136">
        <f t="shared" si="56"/>
        <v>1.76</v>
      </c>
      <c r="O147" s="136">
        <f t="shared" si="56"/>
        <v>1.76</v>
      </c>
      <c r="P147" s="136">
        <f t="shared" si="56"/>
        <v>1.76</v>
      </c>
      <c r="Q147" s="136">
        <f t="shared" si="56"/>
        <v>1.76</v>
      </c>
      <c r="R147" s="136">
        <f t="shared" si="56"/>
        <v>1.76</v>
      </c>
      <c r="S147" s="136">
        <f t="shared" si="56"/>
        <v>1.76</v>
      </c>
      <c r="T147" s="136">
        <f t="shared" ref="T147:AF148" si="57">S147</f>
        <v>1.76</v>
      </c>
      <c r="U147" s="136">
        <f t="shared" si="57"/>
        <v>1.76</v>
      </c>
      <c r="V147" s="136">
        <f t="shared" si="57"/>
        <v>1.76</v>
      </c>
      <c r="W147" s="136">
        <f t="shared" si="57"/>
        <v>1.76</v>
      </c>
      <c r="X147" s="136">
        <f t="shared" si="57"/>
        <v>1.76</v>
      </c>
      <c r="Y147" s="136">
        <f t="shared" si="57"/>
        <v>1.76</v>
      </c>
      <c r="Z147" s="136">
        <f t="shared" si="57"/>
        <v>1.76</v>
      </c>
      <c r="AA147" s="136">
        <f t="shared" si="57"/>
        <v>1.76</v>
      </c>
      <c r="AB147" s="136">
        <f t="shared" si="57"/>
        <v>1.76</v>
      </c>
      <c r="AC147" s="136">
        <f t="shared" si="57"/>
        <v>1.76</v>
      </c>
      <c r="AD147" s="136">
        <f t="shared" si="57"/>
        <v>1.76</v>
      </c>
      <c r="AE147" s="136">
        <f t="shared" si="57"/>
        <v>1.76</v>
      </c>
      <c r="AF147" s="136">
        <f t="shared" si="57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56"/>
        <v>0</v>
      </c>
      <c r="E148" s="136">
        <f t="shared" si="56"/>
        <v>0</v>
      </c>
      <c r="F148" s="136">
        <f t="shared" si="56"/>
        <v>0</v>
      </c>
      <c r="G148" s="136">
        <f t="shared" si="56"/>
        <v>0</v>
      </c>
      <c r="H148" s="136">
        <f t="shared" si="56"/>
        <v>0</v>
      </c>
      <c r="I148" s="136">
        <f t="shared" si="56"/>
        <v>0</v>
      </c>
      <c r="J148" s="136">
        <f t="shared" si="56"/>
        <v>0</v>
      </c>
      <c r="K148" s="136">
        <f t="shared" si="56"/>
        <v>0</v>
      </c>
      <c r="L148" s="136">
        <f t="shared" si="56"/>
        <v>0</v>
      </c>
      <c r="M148" s="136">
        <f t="shared" si="56"/>
        <v>0</v>
      </c>
      <c r="N148" s="136">
        <f t="shared" si="56"/>
        <v>0</v>
      </c>
      <c r="O148" s="136">
        <f t="shared" si="56"/>
        <v>0</v>
      </c>
      <c r="P148" s="136">
        <f t="shared" si="56"/>
        <v>0</v>
      </c>
      <c r="Q148" s="136">
        <f t="shared" si="56"/>
        <v>0</v>
      </c>
      <c r="R148" s="136">
        <f t="shared" si="56"/>
        <v>0</v>
      </c>
      <c r="S148" s="136">
        <f t="shared" si="56"/>
        <v>0</v>
      </c>
      <c r="T148" s="136">
        <f t="shared" si="57"/>
        <v>0</v>
      </c>
      <c r="U148" s="136">
        <f t="shared" si="57"/>
        <v>0</v>
      </c>
      <c r="V148" s="136">
        <f t="shared" si="57"/>
        <v>0</v>
      </c>
      <c r="W148" s="136">
        <f t="shared" si="57"/>
        <v>0</v>
      </c>
      <c r="X148" s="136">
        <f t="shared" si="57"/>
        <v>0</v>
      </c>
      <c r="Y148" s="136">
        <f t="shared" si="57"/>
        <v>0</v>
      </c>
      <c r="Z148" s="136">
        <f t="shared" si="57"/>
        <v>0</v>
      </c>
      <c r="AA148" s="136">
        <f t="shared" si="57"/>
        <v>0</v>
      </c>
      <c r="AB148" s="136">
        <f t="shared" si="57"/>
        <v>0</v>
      </c>
      <c r="AC148" s="136">
        <f t="shared" si="57"/>
        <v>0</v>
      </c>
      <c r="AD148" s="136">
        <f t="shared" si="57"/>
        <v>0</v>
      </c>
      <c r="AE148" s="136">
        <f t="shared" si="57"/>
        <v>0</v>
      </c>
      <c r="AF148" s="136">
        <f t="shared" si="57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58">C150</f>
        <v>0.1</v>
      </c>
      <c r="E150" s="136">
        <f t="shared" si="58"/>
        <v>0.1</v>
      </c>
      <c r="F150" s="136">
        <f t="shared" si="58"/>
        <v>0.1</v>
      </c>
      <c r="G150" s="136">
        <f t="shared" si="58"/>
        <v>0.1</v>
      </c>
      <c r="H150" s="136">
        <f t="shared" si="58"/>
        <v>0.1</v>
      </c>
      <c r="I150" s="136">
        <f t="shared" si="58"/>
        <v>0.1</v>
      </c>
      <c r="J150" s="136">
        <f t="shared" si="58"/>
        <v>0.1</v>
      </c>
      <c r="K150" s="136">
        <f t="shared" si="58"/>
        <v>0.1</v>
      </c>
      <c r="L150" s="136">
        <f t="shared" si="58"/>
        <v>0.1</v>
      </c>
      <c r="M150" s="136">
        <f t="shared" si="58"/>
        <v>0.1</v>
      </c>
      <c r="N150" s="136">
        <f t="shared" si="58"/>
        <v>0.1</v>
      </c>
      <c r="O150" s="136">
        <f t="shared" si="58"/>
        <v>0.1</v>
      </c>
      <c r="P150" s="136">
        <f t="shared" si="58"/>
        <v>0.1</v>
      </c>
      <c r="Q150" s="136">
        <f t="shared" si="58"/>
        <v>0.1</v>
      </c>
      <c r="R150" s="136">
        <f t="shared" si="58"/>
        <v>0.1</v>
      </c>
      <c r="S150" s="136">
        <f t="shared" si="58"/>
        <v>0.1</v>
      </c>
      <c r="T150" s="136">
        <f t="shared" ref="T150:AF153" si="59">S150</f>
        <v>0.1</v>
      </c>
      <c r="U150" s="136">
        <f t="shared" si="59"/>
        <v>0.1</v>
      </c>
      <c r="V150" s="136">
        <f t="shared" si="59"/>
        <v>0.1</v>
      </c>
      <c r="W150" s="136">
        <f t="shared" si="59"/>
        <v>0.1</v>
      </c>
      <c r="X150" s="136">
        <f t="shared" si="59"/>
        <v>0.1</v>
      </c>
      <c r="Y150" s="136">
        <f t="shared" si="59"/>
        <v>0.1</v>
      </c>
      <c r="Z150" s="136">
        <f t="shared" si="59"/>
        <v>0.1</v>
      </c>
      <c r="AA150" s="136">
        <f t="shared" si="59"/>
        <v>0.1</v>
      </c>
      <c r="AB150" s="136">
        <f t="shared" si="59"/>
        <v>0.1</v>
      </c>
      <c r="AC150" s="136">
        <f t="shared" si="59"/>
        <v>0.1</v>
      </c>
      <c r="AD150" s="136">
        <f t="shared" si="59"/>
        <v>0.1</v>
      </c>
      <c r="AE150" s="136">
        <f t="shared" si="59"/>
        <v>0.1</v>
      </c>
      <c r="AF150" s="136">
        <f t="shared" si="59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58"/>
        <v>2.0499999999999998</v>
      </c>
      <c r="E151" s="136">
        <f t="shared" si="58"/>
        <v>2.0499999999999998</v>
      </c>
      <c r="F151" s="136">
        <f t="shared" si="58"/>
        <v>2.0499999999999998</v>
      </c>
      <c r="G151" s="136">
        <f t="shared" si="58"/>
        <v>2.0499999999999998</v>
      </c>
      <c r="H151" s="136">
        <f t="shared" si="58"/>
        <v>2.0499999999999998</v>
      </c>
      <c r="I151" s="136">
        <f t="shared" si="58"/>
        <v>2.0499999999999998</v>
      </c>
      <c r="J151" s="136">
        <f t="shared" si="58"/>
        <v>2.0499999999999998</v>
      </c>
      <c r="K151" s="136">
        <f t="shared" si="58"/>
        <v>2.0499999999999998</v>
      </c>
      <c r="L151" s="136">
        <f t="shared" si="58"/>
        <v>2.0499999999999998</v>
      </c>
      <c r="M151" s="136">
        <f t="shared" si="58"/>
        <v>2.0499999999999998</v>
      </c>
      <c r="N151" s="136">
        <f t="shared" si="58"/>
        <v>2.0499999999999998</v>
      </c>
      <c r="O151" s="136">
        <f t="shared" si="58"/>
        <v>2.0499999999999998</v>
      </c>
      <c r="P151" s="136">
        <f t="shared" si="58"/>
        <v>2.0499999999999998</v>
      </c>
      <c r="Q151" s="136">
        <f t="shared" si="58"/>
        <v>2.0499999999999998</v>
      </c>
      <c r="R151" s="136">
        <f t="shared" si="58"/>
        <v>2.0499999999999998</v>
      </c>
      <c r="S151" s="136">
        <f t="shared" si="58"/>
        <v>2.0499999999999998</v>
      </c>
      <c r="T151" s="136">
        <f t="shared" si="59"/>
        <v>2.0499999999999998</v>
      </c>
      <c r="U151" s="136">
        <f t="shared" si="59"/>
        <v>2.0499999999999998</v>
      </c>
      <c r="V151" s="136">
        <f t="shared" si="59"/>
        <v>2.0499999999999998</v>
      </c>
      <c r="W151" s="136">
        <f t="shared" si="59"/>
        <v>2.0499999999999998</v>
      </c>
      <c r="X151" s="136">
        <f t="shared" si="59"/>
        <v>2.0499999999999998</v>
      </c>
      <c r="Y151" s="136">
        <f t="shared" si="59"/>
        <v>2.0499999999999998</v>
      </c>
      <c r="Z151" s="136">
        <f t="shared" si="59"/>
        <v>2.0499999999999998</v>
      </c>
      <c r="AA151" s="136">
        <f t="shared" si="59"/>
        <v>2.0499999999999998</v>
      </c>
      <c r="AB151" s="136">
        <f t="shared" si="59"/>
        <v>2.0499999999999998</v>
      </c>
      <c r="AC151" s="136">
        <f t="shared" si="59"/>
        <v>2.0499999999999998</v>
      </c>
      <c r="AD151" s="136">
        <f t="shared" si="59"/>
        <v>2.0499999999999998</v>
      </c>
      <c r="AE151" s="136">
        <f t="shared" si="59"/>
        <v>2.0499999999999998</v>
      </c>
      <c r="AF151" s="136">
        <f t="shared" si="59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58"/>
        <v>2.7</v>
      </c>
      <c r="E152" s="136">
        <f t="shared" si="58"/>
        <v>2.7</v>
      </c>
      <c r="F152" s="136">
        <f t="shared" si="58"/>
        <v>2.7</v>
      </c>
      <c r="G152" s="136">
        <f t="shared" si="58"/>
        <v>2.7</v>
      </c>
      <c r="H152" s="136">
        <f t="shared" si="58"/>
        <v>2.7</v>
      </c>
      <c r="I152" s="136">
        <f t="shared" si="58"/>
        <v>2.7</v>
      </c>
      <c r="J152" s="136">
        <f t="shared" si="58"/>
        <v>2.7</v>
      </c>
      <c r="K152" s="136">
        <f t="shared" si="58"/>
        <v>2.7</v>
      </c>
      <c r="L152" s="136">
        <f t="shared" si="58"/>
        <v>2.7</v>
      </c>
      <c r="M152" s="136">
        <f t="shared" si="58"/>
        <v>2.7</v>
      </c>
      <c r="N152" s="136">
        <f t="shared" si="58"/>
        <v>2.7</v>
      </c>
      <c r="O152" s="136">
        <f t="shared" si="58"/>
        <v>2.7</v>
      </c>
      <c r="P152" s="136">
        <f t="shared" si="58"/>
        <v>2.7</v>
      </c>
      <c r="Q152" s="136">
        <f t="shared" si="58"/>
        <v>2.7</v>
      </c>
      <c r="R152" s="136">
        <f t="shared" si="58"/>
        <v>2.7</v>
      </c>
      <c r="S152" s="136">
        <f t="shared" si="58"/>
        <v>2.7</v>
      </c>
      <c r="T152" s="136">
        <f t="shared" si="59"/>
        <v>2.7</v>
      </c>
      <c r="U152" s="136">
        <f t="shared" si="59"/>
        <v>2.7</v>
      </c>
      <c r="V152" s="136">
        <f t="shared" si="59"/>
        <v>2.7</v>
      </c>
      <c r="W152" s="136">
        <f t="shared" si="59"/>
        <v>2.7</v>
      </c>
      <c r="X152" s="136">
        <f t="shared" si="59"/>
        <v>2.7</v>
      </c>
      <c r="Y152" s="136">
        <f t="shared" si="59"/>
        <v>2.7</v>
      </c>
      <c r="Z152" s="136">
        <f t="shared" si="59"/>
        <v>2.7</v>
      </c>
      <c r="AA152" s="136">
        <f t="shared" si="59"/>
        <v>2.7</v>
      </c>
      <c r="AB152" s="136">
        <f t="shared" si="59"/>
        <v>2.7</v>
      </c>
      <c r="AC152" s="136">
        <f t="shared" si="59"/>
        <v>2.7</v>
      </c>
      <c r="AD152" s="136">
        <f t="shared" si="59"/>
        <v>2.7</v>
      </c>
      <c r="AE152" s="136">
        <f t="shared" si="59"/>
        <v>2.7</v>
      </c>
      <c r="AF152" s="136">
        <f t="shared" si="59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58"/>
        <v>2.15</v>
      </c>
      <c r="E153" s="136">
        <f t="shared" si="58"/>
        <v>2.15</v>
      </c>
      <c r="F153" s="136">
        <f t="shared" si="58"/>
        <v>2.15</v>
      </c>
      <c r="G153" s="136">
        <f t="shared" si="58"/>
        <v>2.15</v>
      </c>
      <c r="H153" s="136">
        <f t="shared" si="58"/>
        <v>2.15</v>
      </c>
      <c r="I153" s="136">
        <f t="shared" si="58"/>
        <v>2.15</v>
      </c>
      <c r="J153" s="136">
        <f t="shared" si="58"/>
        <v>2.15</v>
      </c>
      <c r="K153" s="136">
        <f t="shared" si="58"/>
        <v>2.15</v>
      </c>
      <c r="L153" s="136">
        <f t="shared" si="58"/>
        <v>2.15</v>
      </c>
      <c r="M153" s="136">
        <f t="shared" si="58"/>
        <v>2.15</v>
      </c>
      <c r="N153" s="136">
        <f t="shared" si="58"/>
        <v>2.15</v>
      </c>
      <c r="O153" s="136">
        <f t="shared" si="58"/>
        <v>2.15</v>
      </c>
      <c r="P153" s="136">
        <f t="shared" si="58"/>
        <v>2.15</v>
      </c>
      <c r="Q153" s="136">
        <f t="shared" si="58"/>
        <v>2.15</v>
      </c>
      <c r="R153" s="136">
        <f t="shared" si="58"/>
        <v>2.15</v>
      </c>
      <c r="S153" s="136">
        <f t="shared" si="58"/>
        <v>2.15</v>
      </c>
      <c r="T153" s="136">
        <f t="shared" si="59"/>
        <v>2.15</v>
      </c>
      <c r="U153" s="136">
        <f t="shared" si="59"/>
        <v>2.15</v>
      </c>
      <c r="V153" s="136">
        <f t="shared" si="59"/>
        <v>2.15</v>
      </c>
      <c r="W153" s="136">
        <f t="shared" si="59"/>
        <v>2.15</v>
      </c>
      <c r="X153" s="136">
        <f t="shared" si="59"/>
        <v>2.15</v>
      </c>
      <c r="Y153" s="136">
        <f t="shared" si="59"/>
        <v>2.15</v>
      </c>
      <c r="Z153" s="136">
        <f t="shared" si="59"/>
        <v>2.15</v>
      </c>
      <c r="AA153" s="136">
        <f t="shared" si="59"/>
        <v>2.15</v>
      </c>
      <c r="AB153" s="136">
        <f t="shared" si="59"/>
        <v>2.15</v>
      </c>
      <c r="AC153" s="136">
        <f t="shared" si="59"/>
        <v>2.15</v>
      </c>
      <c r="AD153" s="136">
        <f t="shared" si="59"/>
        <v>2.15</v>
      </c>
      <c r="AE153" s="136">
        <f t="shared" si="59"/>
        <v>2.15</v>
      </c>
      <c r="AF153" s="136">
        <f t="shared" si="59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60">AF155</f>
        <v>0.9</v>
      </c>
      <c r="C155" s="137">
        <v>0.9</v>
      </c>
      <c r="D155" s="136">
        <f t="shared" ref="D155:S167" si="61">C155</f>
        <v>0.9</v>
      </c>
      <c r="E155" s="136">
        <f t="shared" si="61"/>
        <v>0.9</v>
      </c>
      <c r="F155" s="136">
        <f t="shared" si="61"/>
        <v>0.9</v>
      </c>
      <c r="G155" s="136">
        <f t="shared" si="61"/>
        <v>0.9</v>
      </c>
      <c r="H155" s="136">
        <f t="shared" si="61"/>
        <v>0.9</v>
      </c>
      <c r="I155" s="136">
        <f t="shared" si="61"/>
        <v>0.9</v>
      </c>
      <c r="J155" s="136">
        <f t="shared" si="61"/>
        <v>0.9</v>
      </c>
      <c r="K155" s="136">
        <f t="shared" si="61"/>
        <v>0.9</v>
      </c>
      <c r="L155" s="136">
        <f t="shared" si="61"/>
        <v>0.9</v>
      </c>
      <c r="M155" s="136">
        <f t="shared" si="61"/>
        <v>0.9</v>
      </c>
      <c r="N155" s="136">
        <f t="shared" si="61"/>
        <v>0.9</v>
      </c>
      <c r="O155" s="136">
        <f t="shared" si="61"/>
        <v>0.9</v>
      </c>
      <c r="P155" s="136">
        <f t="shared" si="61"/>
        <v>0.9</v>
      </c>
      <c r="Q155" s="136">
        <f t="shared" si="61"/>
        <v>0.9</v>
      </c>
      <c r="R155" s="136">
        <f t="shared" si="61"/>
        <v>0.9</v>
      </c>
      <c r="S155" s="136">
        <f t="shared" si="61"/>
        <v>0.9</v>
      </c>
      <c r="T155" s="136">
        <f t="shared" ref="S155:AF167" si="62">S155</f>
        <v>0.9</v>
      </c>
      <c r="U155" s="136">
        <f t="shared" si="62"/>
        <v>0.9</v>
      </c>
      <c r="V155" s="136">
        <f t="shared" si="62"/>
        <v>0.9</v>
      </c>
      <c r="W155" s="136">
        <f t="shared" si="62"/>
        <v>0.9</v>
      </c>
      <c r="X155" s="136">
        <f t="shared" si="62"/>
        <v>0.9</v>
      </c>
      <c r="Y155" s="136">
        <f t="shared" si="62"/>
        <v>0.9</v>
      </c>
      <c r="Z155" s="136">
        <f t="shared" si="62"/>
        <v>0.9</v>
      </c>
      <c r="AA155" s="136">
        <f t="shared" si="62"/>
        <v>0.9</v>
      </c>
      <c r="AB155" s="136">
        <f t="shared" si="62"/>
        <v>0.9</v>
      </c>
      <c r="AC155" s="136">
        <f t="shared" si="62"/>
        <v>0.9</v>
      </c>
      <c r="AD155" s="136">
        <f t="shared" si="62"/>
        <v>0.9</v>
      </c>
      <c r="AE155" s="136">
        <f t="shared" si="62"/>
        <v>0.9</v>
      </c>
      <c r="AF155" s="136">
        <f t="shared" si="62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60"/>
        <v>1.08</v>
      </c>
      <c r="C156" s="137">
        <v>1.08</v>
      </c>
      <c r="D156" s="136">
        <f t="shared" si="61"/>
        <v>1.08</v>
      </c>
      <c r="E156" s="136">
        <f t="shared" si="61"/>
        <v>1.08</v>
      </c>
      <c r="F156" s="136">
        <f t="shared" si="61"/>
        <v>1.08</v>
      </c>
      <c r="G156" s="136">
        <f t="shared" si="61"/>
        <v>1.08</v>
      </c>
      <c r="H156" s="136">
        <f t="shared" si="61"/>
        <v>1.08</v>
      </c>
      <c r="I156" s="136">
        <f t="shared" si="61"/>
        <v>1.08</v>
      </c>
      <c r="J156" s="136">
        <f t="shared" si="61"/>
        <v>1.08</v>
      </c>
      <c r="K156" s="136">
        <f t="shared" si="61"/>
        <v>1.08</v>
      </c>
      <c r="L156" s="136">
        <f t="shared" si="61"/>
        <v>1.08</v>
      </c>
      <c r="M156" s="136">
        <f t="shared" si="61"/>
        <v>1.08</v>
      </c>
      <c r="N156" s="136">
        <f t="shared" si="61"/>
        <v>1.08</v>
      </c>
      <c r="O156" s="136">
        <f t="shared" si="61"/>
        <v>1.08</v>
      </c>
      <c r="P156" s="136">
        <f t="shared" si="61"/>
        <v>1.08</v>
      </c>
      <c r="Q156" s="136">
        <f t="shared" si="61"/>
        <v>1.08</v>
      </c>
      <c r="R156" s="136">
        <f t="shared" si="61"/>
        <v>1.08</v>
      </c>
      <c r="S156" s="136">
        <f t="shared" si="61"/>
        <v>1.08</v>
      </c>
      <c r="T156" s="136">
        <f t="shared" si="62"/>
        <v>1.08</v>
      </c>
      <c r="U156" s="136">
        <f t="shared" si="62"/>
        <v>1.08</v>
      </c>
      <c r="V156" s="136">
        <f t="shared" si="62"/>
        <v>1.08</v>
      </c>
      <c r="W156" s="136">
        <f t="shared" si="62"/>
        <v>1.08</v>
      </c>
      <c r="X156" s="136">
        <f t="shared" si="62"/>
        <v>1.08</v>
      </c>
      <c r="Y156" s="136">
        <f t="shared" si="62"/>
        <v>1.08</v>
      </c>
      <c r="Z156" s="136">
        <f t="shared" si="62"/>
        <v>1.08</v>
      </c>
      <c r="AA156" s="136">
        <f t="shared" si="62"/>
        <v>1.08</v>
      </c>
      <c r="AB156" s="136">
        <f t="shared" si="62"/>
        <v>1.08</v>
      </c>
      <c r="AC156" s="136">
        <f t="shared" si="62"/>
        <v>1.08</v>
      </c>
      <c r="AD156" s="136">
        <f t="shared" si="62"/>
        <v>1.08</v>
      </c>
      <c r="AE156" s="136">
        <f t="shared" si="62"/>
        <v>1.08</v>
      </c>
      <c r="AF156" s="136">
        <f t="shared" si="62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60"/>
        <v>2.37</v>
      </c>
      <c r="C157" s="137">
        <v>2.37</v>
      </c>
      <c r="D157" s="136">
        <f t="shared" si="61"/>
        <v>2.37</v>
      </c>
      <c r="E157" s="136">
        <f t="shared" si="61"/>
        <v>2.37</v>
      </c>
      <c r="F157" s="136">
        <f t="shared" si="61"/>
        <v>2.37</v>
      </c>
      <c r="G157" s="136">
        <f t="shared" si="61"/>
        <v>2.37</v>
      </c>
      <c r="H157" s="136">
        <f t="shared" si="61"/>
        <v>2.37</v>
      </c>
      <c r="I157" s="136">
        <f t="shared" si="61"/>
        <v>2.37</v>
      </c>
      <c r="J157" s="136">
        <f t="shared" si="61"/>
        <v>2.37</v>
      </c>
      <c r="K157" s="136">
        <f t="shared" si="61"/>
        <v>2.37</v>
      </c>
      <c r="L157" s="136">
        <f t="shared" si="61"/>
        <v>2.37</v>
      </c>
      <c r="M157" s="136">
        <f t="shared" si="61"/>
        <v>2.37</v>
      </c>
      <c r="N157" s="136">
        <f t="shared" si="61"/>
        <v>2.37</v>
      </c>
      <c r="O157" s="136">
        <f t="shared" si="61"/>
        <v>2.37</v>
      </c>
      <c r="P157" s="136">
        <f t="shared" si="61"/>
        <v>2.37</v>
      </c>
      <c r="Q157" s="136">
        <f t="shared" si="61"/>
        <v>2.37</v>
      </c>
      <c r="R157" s="136">
        <f t="shared" si="61"/>
        <v>2.37</v>
      </c>
      <c r="S157" s="136">
        <f t="shared" si="61"/>
        <v>2.37</v>
      </c>
      <c r="T157" s="136">
        <f t="shared" si="62"/>
        <v>2.37</v>
      </c>
      <c r="U157" s="136">
        <f t="shared" si="62"/>
        <v>2.37</v>
      </c>
      <c r="V157" s="136">
        <f t="shared" si="62"/>
        <v>2.37</v>
      </c>
      <c r="W157" s="136">
        <f t="shared" si="62"/>
        <v>2.37</v>
      </c>
      <c r="X157" s="136">
        <f t="shared" si="62"/>
        <v>2.37</v>
      </c>
      <c r="Y157" s="136">
        <f t="shared" si="62"/>
        <v>2.37</v>
      </c>
      <c r="Z157" s="136">
        <f t="shared" si="62"/>
        <v>2.37</v>
      </c>
      <c r="AA157" s="136">
        <f t="shared" si="62"/>
        <v>2.37</v>
      </c>
      <c r="AB157" s="136">
        <f t="shared" si="62"/>
        <v>2.37</v>
      </c>
      <c r="AC157" s="136">
        <f t="shared" si="62"/>
        <v>2.37</v>
      </c>
      <c r="AD157" s="136">
        <f t="shared" si="62"/>
        <v>2.37</v>
      </c>
      <c r="AE157" s="136">
        <f t="shared" si="62"/>
        <v>2.37</v>
      </c>
      <c r="AF157" s="136">
        <f t="shared" si="62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60"/>
        <v>1.81</v>
      </c>
      <c r="C158" s="137">
        <v>1.81</v>
      </c>
      <c r="D158" s="136">
        <f t="shared" si="61"/>
        <v>1.81</v>
      </c>
      <c r="E158" s="136">
        <f t="shared" si="61"/>
        <v>1.81</v>
      </c>
      <c r="F158" s="136">
        <f t="shared" si="61"/>
        <v>1.81</v>
      </c>
      <c r="G158" s="136">
        <f t="shared" si="61"/>
        <v>1.81</v>
      </c>
      <c r="H158" s="136">
        <f t="shared" si="61"/>
        <v>1.81</v>
      </c>
      <c r="I158" s="136">
        <f t="shared" si="61"/>
        <v>1.81</v>
      </c>
      <c r="J158" s="136">
        <f t="shared" si="61"/>
        <v>1.81</v>
      </c>
      <c r="K158" s="136">
        <f t="shared" si="61"/>
        <v>1.81</v>
      </c>
      <c r="L158" s="136">
        <f t="shared" si="61"/>
        <v>1.81</v>
      </c>
      <c r="M158" s="136">
        <f t="shared" si="61"/>
        <v>1.81</v>
      </c>
      <c r="N158" s="136">
        <f t="shared" si="61"/>
        <v>1.81</v>
      </c>
      <c r="O158" s="136">
        <f t="shared" si="61"/>
        <v>1.81</v>
      </c>
      <c r="P158" s="136">
        <f t="shared" si="61"/>
        <v>1.81</v>
      </c>
      <c r="Q158" s="136">
        <f t="shared" si="61"/>
        <v>1.81</v>
      </c>
      <c r="R158" s="136">
        <f t="shared" si="61"/>
        <v>1.81</v>
      </c>
      <c r="S158" s="136">
        <f t="shared" si="61"/>
        <v>1.81</v>
      </c>
      <c r="T158" s="136">
        <f t="shared" si="62"/>
        <v>1.81</v>
      </c>
      <c r="U158" s="136">
        <f t="shared" si="62"/>
        <v>1.81</v>
      </c>
      <c r="V158" s="136">
        <f t="shared" si="62"/>
        <v>1.81</v>
      </c>
      <c r="W158" s="136">
        <f t="shared" si="62"/>
        <v>1.81</v>
      </c>
      <c r="X158" s="136">
        <f t="shared" si="62"/>
        <v>1.81</v>
      </c>
      <c r="Y158" s="136">
        <f t="shared" si="62"/>
        <v>1.81</v>
      </c>
      <c r="Z158" s="136">
        <f t="shared" si="62"/>
        <v>1.81</v>
      </c>
      <c r="AA158" s="136">
        <f t="shared" si="62"/>
        <v>1.81</v>
      </c>
      <c r="AB158" s="136">
        <f t="shared" si="62"/>
        <v>1.81</v>
      </c>
      <c r="AC158" s="136">
        <f t="shared" si="62"/>
        <v>1.81</v>
      </c>
      <c r="AD158" s="136">
        <f t="shared" si="62"/>
        <v>1.81</v>
      </c>
      <c r="AE158" s="136">
        <f t="shared" si="62"/>
        <v>1.81</v>
      </c>
      <c r="AF158" s="136">
        <f t="shared" si="62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60"/>
        <v>1.0900000000000001</v>
      </c>
      <c r="C159" s="137">
        <v>1.0900000000000001</v>
      </c>
      <c r="D159" s="136">
        <f t="shared" si="61"/>
        <v>1.0900000000000001</v>
      </c>
      <c r="E159" s="136">
        <f t="shared" si="61"/>
        <v>1.0900000000000001</v>
      </c>
      <c r="F159" s="136">
        <f t="shared" si="61"/>
        <v>1.0900000000000001</v>
      </c>
      <c r="G159" s="136">
        <f t="shared" si="61"/>
        <v>1.0900000000000001</v>
      </c>
      <c r="H159" s="136">
        <f t="shared" si="61"/>
        <v>1.0900000000000001</v>
      </c>
      <c r="I159" s="136">
        <f t="shared" si="61"/>
        <v>1.0900000000000001</v>
      </c>
      <c r="J159" s="136">
        <f t="shared" si="61"/>
        <v>1.0900000000000001</v>
      </c>
      <c r="K159" s="136">
        <f t="shared" si="61"/>
        <v>1.0900000000000001</v>
      </c>
      <c r="L159" s="136">
        <f t="shared" si="61"/>
        <v>1.0900000000000001</v>
      </c>
      <c r="M159" s="136">
        <f t="shared" si="61"/>
        <v>1.0900000000000001</v>
      </c>
      <c r="N159" s="136">
        <f t="shared" si="61"/>
        <v>1.0900000000000001</v>
      </c>
      <c r="O159" s="136">
        <f t="shared" si="61"/>
        <v>1.0900000000000001</v>
      </c>
      <c r="P159" s="136">
        <f t="shared" si="61"/>
        <v>1.0900000000000001</v>
      </c>
      <c r="Q159" s="136">
        <f t="shared" si="61"/>
        <v>1.0900000000000001</v>
      </c>
      <c r="R159" s="136">
        <f t="shared" si="61"/>
        <v>1.0900000000000001</v>
      </c>
      <c r="S159" s="136">
        <f t="shared" si="61"/>
        <v>1.0900000000000001</v>
      </c>
      <c r="T159" s="136">
        <f t="shared" si="62"/>
        <v>1.0900000000000001</v>
      </c>
      <c r="U159" s="136">
        <f t="shared" si="62"/>
        <v>1.0900000000000001</v>
      </c>
      <c r="V159" s="136">
        <f t="shared" si="62"/>
        <v>1.0900000000000001</v>
      </c>
      <c r="W159" s="136">
        <f t="shared" si="62"/>
        <v>1.0900000000000001</v>
      </c>
      <c r="X159" s="136">
        <f t="shared" si="62"/>
        <v>1.0900000000000001</v>
      </c>
      <c r="Y159" s="136">
        <f t="shared" si="62"/>
        <v>1.0900000000000001</v>
      </c>
      <c r="Z159" s="136">
        <f t="shared" si="62"/>
        <v>1.0900000000000001</v>
      </c>
      <c r="AA159" s="136">
        <f t="shared" si="62"/>
        <v>1.0900000000000001</v>
      </c>
      <c r="AB159" s="136">
        <f t="shared" si="62"/>
        <v>1.0900000000000001</v>
      </c>
      <c r="AC159" s="136">
        <f t="shared" si="62"/>
        <v>1.0900000000000001</v>
      </c>
      <c r="AD159" s="136">
        <f t="shared" si="62"/>
        <v>1.0900000000000001</v>
      </c>
      <c r="AE159" s="136">
        <f t="shared" si="62"/>
        <v>1.0900000000000001</v>
      </c>
      <c r="AF159" s="136">
        <f t="shared" si="62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60"/>
        <v>1.58</v>
      </c>
      <c r="C160" s="137">
        <v>1.58</v>
      </c>
      <c r="D160" s="136">
        <f t="shared" si="61"/>
        <v>1.58</v>
      </c>
      <c r="E160" s="136">
        <f t="shared" si="61"/>
        <v>1.58</v>
      </c>
      <c r="F160" s="136">
        <f t="shared" si="61"/>
        <v>1.58</v>
      </c>
      <c r="G160" s="136">
        <f t="shared" si="61"/>
        <v>1.58</v>
      </c>
      <c r="H160" s="136">
        <f t="shared" si="61"/>
        <v>1.58</v>
      </c>
      <c r="I160" s="136">
        <f t="shared" si="61"/>
        <v>1.58</v>
      </c>
      <c r="J160" s="136">
        <f t="shared" si="61"/>
        <v>1.58</v>
      </c>
      <c r="K160" s="136">
        <f t="shared" si="61"/>
        <v>1.58</v>
      </c>
      <c r="L160" s="136">
        <f t="shared" si="61"/>
        <v>1.58</v>
      </c>
      <c r="M160" s="136">
        <f t="shared" si="61"/>
        <v>1.58</v>
      </c>
      <c r="N160" s="136">
        <f t="shared" si="61"/>
        <v>1.58</v>
      </c>
      <c r="O160" s="136">
        <f t="shared" si="61"/>
        <v>1.58</v>
      </c>
      <c r="P160" s="136">
        <f t="shared" si="61"/>
        <v>1.58</v>
      </c>
      <c r="Q160" s="136">
        <f t="shared" si="61"/>
        <v>1.58</v>
      </c>
      <c r="R160" s="136">
        <f t="shared" si="61"/>
        <v>1.58</v>
      </c>
      <c r="S160" s="136">
        <f t="shared" si="61"/>
        <v>1.58</v>
      </c>
      <c r="T160" s="136">
        <f t="shared" si="62"/>
        <v>1.58</v>
      </c>
      <c r="U160" s="136">
        <f t="shared" si="62"/>
        <v>1.58</v>
      </c>
      <c r="V160" s="136">
        <f t="shared" si="62"/>
        <v>1.58</v>
      </c>
      <c r="W160" s="136">
        <f t="shared" si="62"/>
        <v>1.58</v>
      </c>
      <c r="X160" s="136">
        <f t="shared" si="62"/>
        <v>1.58</v>
      </c>
      <c r="Y160" s="136">
        <f t="shared" si="62"/>
        <v>1.58</v>
      </c>
      <c r="Z160" s="136">
        <f t="shared" si="62"/>
        <v>1.58</v>
      </c>
      <c r="AA160" s="136">
        <f t="shared" si="62"/>
        <v>1.58</v>
      </c>
      <c r="AB160" s="136">
        <f t="shared" si="62"/>
        <v>1.58</v>
      </c>
      <c r="AC160" s="136">
        <f t="shared" si="62"/>
        <v>1.58</v>
      </c>
      <c r="AD160" s="136">
        <f t="shared" si="62"/>
        <v>1.58</v>
      </c>
      <c r="AE160" s="136">
        <f t="shared" si="62"/>
        <v>1.58</v>
      </c>
      <c r="AF160" s="136">
        <f t="shared" si="62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60"/>
        <v>2</v>
      </c>
      <c r="C161" s="137">
        <v>2</v>
      </c>
      <c r="D161" s="136">
        <f t="shared" si="61"/>
        <v>2</v>
      </c>
      <c r="E161" s="136">
        <f t="shared" si="61"/>
        <v>2</v>
      </c>
      <c r="F161" s="136">
        <f t="shared" si="61"/>
        <v>2</v>
      </c>
      <c r="G161" s="136">
        <f t="shared" si="61"/>
        <v>2</v>
      </c>
      <c r="H161" s="136">
        <f t="shared" si="61"/>
        <v>2</v>
      </c>
      <c r="I161" s="136">
        <f t="shared" si="61"/>
        <v>2</v>
      </c>
      <c r="J161" s="136">
        <f t="shared" si="61"/>
        <v>2</v>
      </c>
      <c r="K161" s="136">
        <f t="shared" si="61"/>
        <v>2</v>
      </c>
      <c r="L161" s="136">
        <f t="shared" si="61"/>
        <v>2</v>
      </c>
      <c r="M161" s="136">
        <f t="shared" si="61"/>
        <v>2</v>
      </c>
      <c r="N161" s="136">
        <f t="shared" si="61"/>
        <v>2</v>
      </c>
      <c r="O161" s="136">
        <f t="shared" si="61"/>
        <v>2</v>
      </c>
      <c r="P161" s="136">
        <f t="shared" si="61"/>
        <v>2</v>
      </c>
      <c r="Q161" s="136">
        <f t="shared" si="61"/>
        <v>2</v>
      </c>
      <c r="R161" s="136">
        <f t="shared" si="61"/>
        <v>2</v>
      </c>
      <c r="S161" s="136">
        <f t="shared" si="61"/>
        <v>2</v>
      </c>
      <c r="T161" s="136">
        <f t="shared" si="62"/>
        <v>2</v>
      </c>
      <c r="U161" s="136">
        <f t="shared" si="62"/>
        <v>2</v>
      </c>
      <c r="V161" s="136">
        <f t="shared" si="62"/>
        <v>2</v>
      </c>
      <c r="W161" s="136">
        <f t="shared" si="62"/>
        <v>2</v>
      </c>
      <c r="X161" s="136">
        <f t="shared" si="62"/>
        <v>2</v>
      </c>
      <c r="Y161" s="136">
        <f t="shared" si="62"/>
        <v>2</v>
      </c>
      <c r="Z161" s="136">
        <f t="shared" si="62"/>
        <v>2</v>
      </c>
      <c r="AA161" s="136">
        <f t="shared" si="62"/>
        <v>2</v>
      </c>
      <c r="AB161" s="136">
        <f t="shared" si="62"/>
        <v>2</v>
      </c>
      <c r="AC161" s="136">
        <f t="shared" si="62"/>
        <v>2</v>
      </c>
      <c r="AD161" s="136">
        <f t="shared" si="62"/>
        <v>2</v>
      </c>
      <c r="AE161" s="136">
        <f t="shared" si="62"/>
        <v>2</v>
      </c>
      <c r="AF161" s="136">
        <f t="shared" si="62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60"/>
        <v>0.47</v>
      </c>
      <c r="C162" s="137">
        <v>0.47</v>
      </c>
      <c r="D162" s="136">
        <f t="shared" si="61"/>
        <v>0.47</v>
      </c>
      <c r="E162" s="136">
        <f t="shared" si="61"/>
        <v>0.47</v>
      </c>
      <c r="F162" s="136">
        <f t="shared" si="61"/>
        <v>0.47</v>
      </c>
      <c r="G162" s="136">
        <f t="shared" si="61"/>
        <v>0.47</v>
      </c>
      <c r="H162" s="136">
        <f t="shared" si="61"/>
        <v>0.47</v>
      </c>
      <c r="I162" s="136">
        <f t="shared" si="61"/>
        <v>0.47</v>
      </c>
      <c r="J162" s="136">
        <f t="shared" si="61"/>
        <v>0.47</v>
      </c>
      <c r="K162" s="136">
        <f t="shared" si="61"/>
        <v>0.47</v>
      </c>
      <c r="L162" s="136">
        <f t="shared" si="61"/>
        <v>0.47</v>
      </c>
      <c r="M162" s="136">
        <f t="shared" si="61"/>
        <v>0.47</v>
      </c>
      <c r="N162" s="136">
        <f t="shared" si="61"/>
        <v>0.47</v>
      </c>
      <c r="O162" s="136">
        <f t="shared" si="61"/>
        <v>0.47</v>
      </c>
      <c r="P162" s="136">
        <f t="shared" si="61"/>
        <v>0.47</v>
      </c>
      <c r="Q162" s="136">
        <f t="shared" si="61"/>
        <v>0.47</v>
      </c>
      <c r="R162" s="136">
        <f t="shared" si="61"/>
        <v>0.47</v>
      </c>
      <c r="S162" s="136">
        <f t="shared" si="61"/>
        <v>0.47</v>
      </c>
      <c r="T162" s="136">
        <f t="shared" si="62"/>
        <v>0.47</v>
      </c>
      <c r="U162" s="136">
        <f t="shared" si="62"/>
        <v>0.47</v>
      </c>
      <c r="V162" s="136">
        <f t="shared" si="62"/>
        <v>0.47</v>
      </c>
      <c r="W162" s="136">
        <f t="shared" si="62"/>
        <v>0.47</v>
      </c>
      <c r="X162" s="136">
        <f t="shared" si="62"/>
        <v>0.47</v>
      </c>
      <c r="Y162" s="136">
        <f t="shared" si="62"/>
        <v>0.47</v>
      </c>
      <c r="Z162" s="136">
        <f t="shared" si="62"/>
        <v>0.47</v>
      </c>
      <c r="AA162" s="136">
        <f t="shared" si="62"/>
        <v>0.47</v>
      </c>
      <c r="AB162" s="136">
        <f t="shared" si="62"/>
        <v>0.47</v>
      </c>
      <c r="AC162" s="136">
        <f t="shared" si="62"/>
        <v>0.47</v>
      </c>
      <c r="AD162" s="136">
        <f t="shared" si="62"/>
        <v>0.47</v>
      </c>
      <c r="AE162" s="136">
        <f t="shared" si="62"/>
        <v>0.47</v>
      </c>
      <c r="AF162" s="136">
        <f t="shared" si="62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60"/>
        <v>0</v>
      </c>
      <c r="C163" s="137">
        <v>0</v>
      </c>
      <c r="D163" s="136">
        <f t="shared" si="61"/>
        <v>0</v>
      </c>
      <c r="E163" s="136">
        <f t="shared" si="61"/>
        <v>0</v>
      </c>
      <c r="F163" s="136">
        <f t="shared" si="61"/>
        <v>0</v>
      </c>
      <c r="G163" s="136">
        <f t="shared" si="61"/>
        <v>0</v>
      </c>
      <c r="H163" s="136">
        <f t="shared" si="61"/>
        <v>0</v>
      </c>
      <c r="I163" s="136">
        <f t="shared" si="61"/>
        <v>0</v>
      </c>
      <c r="J163" s="136">
        <f t="shared" si="61"/>
        <v>0</v>
      </c>
      <c r="K163" s="136">
        <f t="shared" si="61"/>
        <v>0</v>
      </c>
      <c r="L163" s="136">
        <f t="shared" si="61"/>
        <v>0</v>
      </c>
      <c r="M163" s="136">
        <f t="shared" si="61"/>
        <v>0</v>
      </c>
      <c r="N163" s="136">
        <f t="shared" si="61"/>
        <v>0</v>
      </c>
      <c r="O163" s="136">
        <f t="shared" si="61"/>
        <v>0</v>
      </c>
      <c r="P163" s="136">
        <f t="shared" si="61"/>
        <v>0</v>
      </c>
      <c r="Q163" s="136">
        <f t="shared" si="61"/>
        <v>0</v>
      </c>
      <c r="R163" s="136">
        <f t="shared" si="61"/>
        <v>0</v>
      </c>
      <c r="S163" s="136">
        <f t="shared" si="61"/>
        <v>0</v>
      </c>
      <c r="T163" s="136">
        <f t="shared" si="62"/>
        <v>0</v>
      </c>
      <c r="U163" s="136">
        <f t="shared" si="62"/>
        <v>0</v>
      </c>
      <c r="V163" s="136">
        <f t="shared" si="62"/>
        <v>0</v>
      </c>
      <c r="W163" s="136">
        <f t="shared" si="62"/>
        <v>0</v>
      </c>
      <c r="X163" s="136">
        <f t="shared" si="62"/>
        <v>0</v>
      </c>
      <c r="Y163" s="136">
        <f t="shared" si="62"/>
        <v>0</v>
      </c>
      <c r="Z163" s="136">
        <f t="shared" si="62"/>
        <v>0</v>
      </c>
      <c r="AA163" s="136">
        <f t="shared" si="62"/>
        <v>0</v>
      </c>
      <c r="AB163" s="136">
        <f t="shared" si="62"/>
        <v>0</v>
      </c>
      <c r="AC163" s="136">
        <f t="shared" si="62"/>
        <v>0</v>
      </c>
      <c r="AD163" s="136">
        <f t="shared" si="62"/>
        <v>0</v>
      </c>
      <c r="AE163" s="136">
        <f t="shared" si="62"/>
        <v>0</v>
      </c>
      <c r="AF163" s="136">
        <f t="shared" si="62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60"/>
        <v>0</v>
      </c>
      <c r="C164" s="137">
        <v>0</v>
      </c>
      <c r="D164" s="136">
        <f t="shared" si="61"/>
        <v>0</v>
      </c>
      <c r="E164" s="136">
        <f t="shared" si="61"/>
        <v>0</v>
      </c>
      <c r="F164" s="136">
        <f t="shared" si="61"/>
        <v>0</v>
      </c>
      <c r="G164" s="136">
        <f t="shared" si="61"/>
        <v>0</v>
      </c>
      <c r="H164" s="136">
        <f t="shared" si="61"/>
        <v>0</v>
      </c>
      <c r="I164" s="136">
        <f t="shared" si="61"/>
        <v>0</v>
      </c>
      <c r="J164" s="136">
        <f t="shared" si="61"/>
        <v>0</v>
      </c>
      <c r="K164" s="136">
        <f t="shared" si="61"/>
        <v>0</v>
      </c>
      <c r="L164" s="136">
        <f t="shared" si="61"/>
        <v>0</v>
      </c>
      <c r="M164" s="136">
        <f t="shared" si="61"/>
        <v>0</v>
      </c>
      <c r="N164" s="136">
        <f t="shared" si="61"/>
        <v>0</v>
      </c>
      <c r="O164" s="136">
        <f t="shared" si="61"/>
        <v>0</v>
      </c>
      <c r="P164" s="136">
        <f t="shared" si="61"/>
        <v>0</v>
      </c>
      <c r="Q164" s="136">
        <f t="shared" si="61"/>
        <v>0</v>
      </c>
      <c r="R164" s="136">
        <f t="shared" si="61"/>
        <v>0</v>
      </c>
      <c r="S164" s="136">
        <f t="shared" si="62"/>
        <v>0</v>
      </c>
      <c r="T164" s="136">
        <f t="shared" si="62"/>
        <v>0</v>
      </c>
      <c r="U164" s="136">
        <f t="shared" si="62"/>
        <v>0</v>
      </c>
      <c r="V164" s="136">
        <f t="shared" si="62"/>
        <v>0</v>
      </c>
      <c r="W164" s="136">
        <f t="shared" si="62"/>
        <v>0</v>
      </c>
      <c r="X164" s="136">
        <f t="shared" si="62"/>
        <v>0</v>
      </c>
      <c r="Y164" s="136">
        <f t="shared" si="62"/>
        <v>0</v>
      </c>
      <c r="Z164" s="136">
        <f t="shared" si="62"/>
        <v>0</v>
      </c>
      <c r="AA164" s="136">
        <f t="shared" si="62"/>
        <v>0</v>
      </c>
      <c r="AB164" s="136">
        <f t="shared" si="62"/>
        <v>0</v>
      </c>
      <c r="AC164" s="136">
        <f t="shared" si="62"/>
        <v>0</v>
      </c>
      <c r="AD164" s="136">
        <f t="shared" si="62"/>
        <v>0</v>
      </c>
      <c r="AE164" s="136">
        <f t="shared" si="62"/>
        <v>0</v>
      </c>
      <c r="AF164" s="136">
        <f t="shared" si="62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60"/>
        <v>0.8</v>
      </c>
      <c r="C165" s="137">
        <v>0.8</v>
      </c>
      <c r="D165" s="136">
        <f t="shared" si="61"/>
        <v>0.8</v>
      </c>
      <c r="E165" s="136">
        <f t="shared" si="61"/>
        <v>0.8</v>
      </c>
      <c r="F165" s="136">
        <f t="shared" si="61"/>
        <v>0.8</v>
      </c>
      <c r="G165" s="136">
        <f t="shared" si="61"/>
        <v>0.8</v>
      </c>
      <c r="H165" s="136">
        <f t="shared" si="61"/>
        <v>0.8</v>
      </c>
      <c r="I165" s="136">
        <f t="shared" si="61"/>
        <v>0.8</v>
      </c>
      <c r="J165" s="136">
        <f t="shared" si="61"/>
        <v>0.8</v>
      </c>
      <c r="K165" s="136">
        <f t="shared" si="61"/>
        <v>0.8</v>
      </c>
      <c r="L165" s="136">
        <f t="shared" si="61"/>
        <v>0.8</v>
      </c>
      <c r="M165" s="136">
        <f t="shared" si="61"/>
        <v>0.8</v>
      </c>
      <c r="N165" s="136">
        <f t="shared" si="61"/>
        <v>0.8</v>
      </c>
      <c r="O165" s="136">
        <f t="shared" si="61"/>
        <v>0.8</v>
      </c>
      <c r="P165" s="136">
        <f t="shared" si="61"/>
        <v>0.8</v>
      </c>
      <c r="Q165" s="136">
        <f t="shared" si="61"/>
        <v>0.8</v>
      </c>
      <c r="R165" s="136">
        <f t="shared" si="61"/>
        <v>0.8</v>
      </c>
      <c r="S165" s="136">
        <f t="shared" si="62"/>
        <v>0.8</v>
      </c>
      <c r="T165" s="136">
        <f t="shared" si="62"/>
        <v>0.8</v>
      </c>
      <c r="U165" s="136">
        <f t="shared" si="62"/>
        <v>0.8</v>
      </c>
      <c r="V165" s="136">
        <f t="shared" si="62"/>
        <v>0.8</v>
      </c>
      <c r="W165" s="136">
        <f t="shared" si="62"/>
        <v>0.8</v>
      </c>
      <c r="X165" s="136">
        <f t="shared" si="62"/>
        <v>0.8</v>
      </c>
      <c r="Y165" s="136">
        <f t="shared" si="62"/>
        <v>0.8</v>
      </c>
      <c r="Z165" s="136">
        <f t="shared" si="62"/>
        <v>0.8</v>
      </c>
      <c r="AA165" s="136">
        <f t="shared" si="62"/>
        <v>0.8</v>
      </c>
      <c r="AB165" s="136">
        <f t="shared" si="62"/>
        <v>0.8</v>
      </c>
      <c r="AC165" s="136">
        <f t="shared" si="62"/>
        <v>0.8</v>
      </c>
      <c r="AD165" s="136">
        <f t="shared" si="62"/>
        <v>0.8</v>
      </c>
      <c r="AE165" s="136">
        <f t="shared" si="62"/>
        <v>0.8</v>
      </c>
      <c r="AF165" s="136">
        <f t="shared" si="62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60"/>
        <v>1.5</v>
      </c>
      <c r="C166" s="137">
        <v>1.5</v>
      </c>
      <c r="D166" s="136">
        <f t="shared" si="61"/>
        <v>1.5</v>
      </c>
      <c r="E166" s="136">
        <f t="shared" si="61"/>
        <v>1.5</v>
      </c>
      <c r="F166" s="136">
        <f t="shared" si="61"/>
        <v>1.5</v>
      </c>
      <c r="G166" s="136">
        <f t="shared" si="61"/>
        <v>1.5</v>
      </c>
      <c r="H166" s="136">
        <f t="shared" si="61"/>
        <v>1.5</v>
      </c>
      <c r="I166" s="136">
        <f t="shared" si="61"/>
        <v>1.5</v>
      </c>
      <c r="J166" s="136">
        <f t="shared" si="61"/>
        <v>1.5</v>
      </c>
      <c r="K166" s="136">
        <f t="shared" si="61"/>
        <v>1.5</v>
      </c>
      <c r="L166" s="136">
        <f t="shared" si="61"/>
        <v>1.5</v>
      </c>
      <c r="M166" s="136">
        <f t="shared" si="61"/>
        <v>1.5</v>
      </c>
      <c r="N166" s="136">
        <f t="shared" si="61"/>
        <v>1.5</v>
      </c>
      <c r="O166" s="136">
        <f t="shared" si="61"/>
        <v>1.5</v>
      </c>
      <c r="P166" s="136">
        <f t="shared" si="61"/>
        <v>1.5</v>
      </c>
      <c r="Q166" s="136">
        <f t="shared" si="61"/>
        <v>1.5</v>
      </c>
      <c r="R166" s="136">
        <f t="shared" si="61"/>
        <v>1.5</v>
      </c>
      <c r="S166" s="136">
        <f t="shared" si="62"/>
        <v>1.5</v>
      </c>
      <c r="T166" s="136">
        <f t="shared" si="62"/>
        <v>1.5</v>
      </c>
      <c r="U166" s="136">
        <f t="shared" si="62"/>
        <v>1.5</v>
      </c>
      <c r="V166" s="136">
        <f t="shared" si="62"/>
        <v>1.5</v>
      </c>
      <c r="W166" s="136">
        <f t="shared" si="62"/>
        <v>1.5</v>
      </c>
      <c r="X166" s="136">
        <f t="shared" si="62"/>
        <v>1.5</v>
      </c>
      <c r="Y166" s="136">
        <f t="shared" si="62"/>
        <v>1.5</v>
      </c>
      <c r="Z166" s="136">
        <f t="shared" si="62"/>
        <v>1.5</v>
      </c>
      <c r="AA166" s="136">
        <f t="shared" si="62"/>
        <v>1.5</v>
      </c>
      <c r="AB166" s="136">
        <f t="shared" si="62"/>
        <v>1.5</v>
      </c>
      <c r="AC166" s="136">
        <f t="shared" si="62"/>
        <v>1.5</v>
      </c>
      <c r="AD166" s="136">
        <f t="shared" si="62"/>
        <v>1.5</v>
      </c>
      <c r="AE166" s="136">
        <f t="shared" si="62"/>
        <v>1.5</v>
      </c>
      <c r="AF166" s="136">
        <f t="shared" si="62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60"/>
        <v>1</v>
      </c>
      <c r="C167" s="137">
        <v>1</v>
      </c>
      <c r="D167" s="136">
        <f t="shared" si="61"/>
        <v>1</v>
      </c>
      <c r="E167" s="136">
        <f t="shared" si="61"/>
        <v>1</v>
      </c>
      <c r="F167" s="136">
        <f t="shared" si="61"/>
        <v>1</v>
      </c>
      <c r="G167" s="136">
        <f t="shared" si="61"/>
        <v>1</v>
      </c>
      <c r="H167" s="136">
        <f t="shared" si="61"/>
        <v>1</v>
      </c>
      <c r="I167" s="136">
        <f t="shared" si="61"/>
        <v>1</v>
      </c>
      <c r="J167" s="136">
        <f t="shared" si="61"/>
        <v>1</v>
      </c>
      <c r="K167" s="136">
        <f t="shared" si="61"/>
        <v>1</v>
      </c>
      <c r="L167" s="136">
        <f t="shared" si="61"/>
        <v>1</v>
      </c>
      <c r="M167" s="136">
        <f t="shared" si="61"/>
        <v>1</v>
      </c>
      <c r="N167" s="136">
        <f t="shared" si="61"/>
        <v>1</v>
      </c>
      <c r="O167" s="136">
        <f t="shared" si="61"/>
        <v>1</v>
      </c>
      <c r="P167" s="136">
        <f t="shared" si="61"/>
        <v>1</v>
      </c>
      <c r="Q167" s="136">
        <f t="shared" si="61"/>
        <v>1</v>
      </c>
      <c r="R167" s="136">
        <f t="shared" si="61"/>
        <v>1</v>
      </c>
      <c r="S167" s="136">
        <f t="shared" si="62"/>
        <v>1</v>
      </c>
      <c r="T167" s="136">
        <f t="shared" si="62"/>
        <v>1</v>
      </c>
      <c r="U167" s="136">
        <f t="shared" si="62"/>
        <v>1</v>
      </c>
      <c r="V167" s="136">
        <f t="shared" si="62"/>
        <v>1</v>
      </c>
      <c r="W167" s="136">
        <f t="shared" si="62"/>
        <v>1</v>
      </c>
      <c r="X167" s="136">
        <f t="shared" si="62"/>
        <v>1</v>
      </c>
      <c r="Y167" s="136">
        <f t="shared" si="62"/>
        <v>1</v>
      </c>
      <c r="Z167" s="136">
        <f t="shared" si="62"/>
        <v>1</v>
      </c>
      <c r="AA167" s="136">
        <f t="shared" si="62"/>
        <v>1</v>
      </c>
      <c r="AB167" s="136">
        <f t="shared" si="62"/>
        <v>1</v>
      </c>
      <c r="AC167" s="136">
        <f t="shared" si="62"/>
        <v>1</v>
      </c>
      <c r="AD167" s="136">
        <f t="shared" si="62"/>
        <v>1</v>
      </c>
      <c r="AE167" s="136">
        <f t="shared" si="62"/>
        <v>1</v>
      </c>
      <c r="AF167" s="136">
        <f t="shared" si="62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63">AF169</f>
        <v>1</v>
      </c>
      <c r="C169" s="137">
        <v>1</v>
      </c>
      <c r="D169" s="136">
        <f t="shared" ref="D169:S176" si="64">C169</f>
        <v>1</v>
      </c>
      <c r="E169" s="136">
        <f t="shared" si="64"/>
        <v>1</v>
      </c>
      <c r="F169" s="136">
        <f t="shared" si="64"/>
        <v>1</v>
      </c>
      <c r="G169" s="136">
        <f t="shared" si="64"/>
        <v>1</v>
      </c>
      <c r="H169" s="136">
        <f t="shared" si="64"/>
        <v>1</v>
      </c>
      <c r="I169" s="136">
        <f t="shared" si="64"/>
        <v>1</v>
      </c>
      <c r="J169" s="136">
        <f t="shared" si="64"/>
        <v>1</v>
      </c>
      <c r="K169" s="136">
        <f t="shared" si="64"/>
        <v>1</v>
      </c>
      <c r="L169" s="136">
        <f t="shared" si="64"/>
        <v>1</v>
      </c>
      <c r="M169" s="136">
        <f t="shared" si="64"/>
        <v>1</v>
      </c>
      <c r="N169" s="136">
        <f t="shared" si="64"/>
        <v>1</v>
      </c>
      <c r="O169" s="136">
        <f t="shared" si="64"/>
        <v>1</v>
      </c>
      <c r="P169" s="136">
        <f t="shared" si="64"/>
        <v>1</v>
      </c>
      <c r="Q169" s="136">
        <f t="shared" si="64"/>
        <v>1</v>
      </c>
      <c r="R169" s="136">
        <f t="shared" si="64"/>
        <v>1</v>
      </c>
      <c r="S169" s="136">
        <f t="shared" si="64"/>
        <v>1</v>
      </c>
      <c r="T169" s="136">
        <f t="shared" ref="S169:AF176" si="65">S169</f>
        <v>1</v>
      </c>
      <c r="U169" s="136">
        <f t="shared" si="65"/>
        <v>1</v>
      </c>
      <c r="V169" s="136">
        <f t="shared" si="65"/>
        <v>1</v>
      </c>
      <c r="W169" s="136">
        <f t="shared" si="65"/>
        <v>1</v>
      </c>
      <c r="X169" s="136">
        <f t="shared" si="65"/>
        <v>1</v>
      </c>
      <c r="Y169" s="136">
        <f t="shared" si="65"/>
        <v>1</v>
      </c>
      <c r="Z169" s="136">
        <f t="shared" si="65"/>
        <v>1</v>
      </c>
      <c r="AA169" s="136">
        <f t="shared" si="65"/>
        <v>1</v>
      </c>
      <c r="AB169" s="136">
        <f t="shared" si="65"/>
        <v>1</v>
      </c>
      <c r="AC169" s="136">
        <f t="shared" si="65"/>
        <v>1</v>
      </c>
      <c r="AD169" s="136">
        <f t="shared" si="65"/>
        <v>1</v>
      </c>
      <c r="AE169" s="136">
        <f t="shared" si="65"/>
        <v>1</v>
      </c>
      <c r="AF169" s="136">
        <f t="shared" si="65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63"/>
        <v>0.42</v>
      </c>
      <c r="C170" s="137">
        <v>0.42</v>
      </c>
      <c r="D170" s="136">
        <f t="shared" si="64"/>
        <v>0.42</v>
      </c>
      <c r="E170" s="136">
        <f t="shared" si="64"/>
        <v>0.42</v>
      </c>
      <c r="F170" s="136">
        <f t="shared" si="64"/>
        <v>0.42</v>
      </c>
      <c r="G170" s="136">
        <f t="shared" si="64"/>
        <v>0.42</v>
      </c>
      <c r="H170" s="136">
        <f t="shared" si="64"/>
        <v>0.42</v>
      </c>
      <c r="I170" s="136">
        <f t="shared" si="64"/>
        <v>0.42</v>
      </c>
      <c r="J170" s="136">
        <f t="shared" si="64"/>
        <v>0.42</v>
      </c>
      <c r="K170" s="136">
        <f t="shared" si="64"/>
        <v>0.42</v>
      </c>
      <c r="L170" s="136">
        <f t="shared" si="64"/>
        <v>0.42</v>
      </c>
      <c r="M170" s="136">
        <f t="shared" si="64"/>
        <v>0.42</v>
      </c>
      <c r="N170" s="136">
        <f t="shared" si="64"/>
        <v>0.42</v>
      </c>
      <c r="O170" s="136">
        <f t="shared" si="64"/>
        <v>0.42</v>
      </c>
      <c r="P170" s="136">
        <f t="shared" si="64"/>
        <v>0.42</v>
      </c>
      <c r="Q170" s="136">
        <f t="shared" si="64"/>
        <v>0.42</v>
      </c>
      <c r="R170" s="136">
        <f t="shared" si="64"/>
        <v>0.42</v>
      </c>
      <c r="S170" s="136">
        <f t="shared" si="65"/>
        <v>0.42</v>
      </c>
      <c r="T170" s="136">
        <f t="shared" si="65"/>
        <v>0.42</v>
      </c>
      <c r="U170" s="136">
        <f t="shared" si="65"/>
        <v>0.42</v>
      </c>
      <c r="V170" s="136">
        <f t="shared" si="65"/>
        <v>0.42</v>
      </c>
      <c r="W170" s="136">
        <f t="shared" si="65"/>
        <v>0.42</v>
      </c>
      <c r="X170" s="136">
        <f t="shared" si="65"/>
        <v>0.42</v>
      </c>
      <c r="Y170" s="136">
        <f t="shared" si="65"/>
        <v>0.42</v>
      </c>
      <c r="Z170" s="136">
        <f t="shared" si="65"/>
        <v>0.42</v>
      </c>
      <c r="AA170" s="136">
        <f t="shared" si="65"/>
        <v>0.42</v>
      </c>
      <c r="AB170" s="136">
        <f t="shared" si="65"/>
        <v>0.42</v>
      </c>
      <c r="AC170" s="136">
        <f t="shared" si="65"/>
        <v>0.42</v>
      </c>
      <c r="AD170" s="136">
        <f t="shared" si="65"/>
        <v>0.42</v>
      </c>
      <c r="AE170" s="136">
        <f t="shared" si="65"/>
        <v>0.42</v>
      </c>
      <c r="AF170" s="136">
        <f t="shared" si="65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63"/>
        <v>0.46</v>
      </c>
      <c r="C171" s="137">
        <v>0.46</v>
      </c>
      <c r="D171" s="136">
        <f t="shared" si="64"/>
        <v>0.46</v>
      </c>
      <c r="E171" s="136">
        <f t="shared" si="64"/>
        <v>0.46</v>
      </c>
      <c r="F171" s="136">
        <f t="shared" si="64"/>
        <v>0.46</v>
      </c>
      <c r="G171" s="136">
        <f t="shared" si="64"/>
        <v>0.46</v>
      </c>
      <c r="H171" s="136">
        <f t="shared" si="64"/>
        <v>0.46</v>
      </c>
      <c r="I171" s="136">
        <f t="shared" si="64"/>
        <v>0.46</v>
      </c>
      <c r="J171" s="136">
        <f t="shared" si="64"/>
        <v>0.46</v>
      </c>
      <c r="K171" s="136">
        <f t="shared" si="64"/>
        <v>0.46</v>
      </c>
      <c r="L171" s="136">
        <f t="shared" si="64"/>
        <v>0.46</v>
      </c>
      <c r="M171" s="136">
        <f t="shared" si="64"/>
        <v>0.46</v>
      </c>
      <c r="N171" s="136">
        <f t="shared" si="64"/>
        <v>0.46</v>
      </c>
      <c r="O171" s="136">
        <f t="shared" si="64"/>
        <v>0.46</v>
      </c>
      <c r="P171" s="136">
        <f t="shared" si="64"/>
        <v>0.46</v>
      </c>
      <c r="Q171" s="136">
        <f t="shared" si="64"/>
        <v>0.46</v>
      </c>
      <c r="R171" s="136">
        <f t="shared" si="64"/>
        <v>0.46</v>
      </c>
      <c r="S171" s="136">
        <f t="shared" si="65"/>
        <v>0.46</v>
      </c>
      <c r="T171" s="136">
        <f t="shared" si="65"/>
        <v>0.46</v>
      </c>
      <c r="U171" s="136">
        <f t="shared" si="65"/>
        <v>0.46</v>
      </c>
      <c r="V171" s="136">
        <f t="shared" si="65"/>
        <v>0.46</v>
      </c>
      <c r="W171" s="136">
        <f t="shared" si="65"/>
        <v>0.46</v>
      </c>
      <c r="X171" s="136">
        <f t="shared" si="65"/>
        <v>0.46</v>
      </c>
      <c r="Y171" s="136">
        <f t="shared" si="65"/>
        <v>0.46</v>
      </c>
      <c r="Z171" s="136">
        <f t="shared" si="65"/>
        <v>0.46</v>
      </c>
      <c r="AA171" s="136">
        <f t="shared" si="65"/>
        <v>0.46</v>
      </c>
      <c r="AB171" s="136">
        <f t="shared" si="65"/>
        <v>0.46</v>
      </c>
      <c r="AC171" s="136">
        <f t="shared" si="65"/>
        <v>0.46</v>
      </c>
      <c r="AD171" s="136">
        <f t="shared" si="65"/>
        <v>0.46</v>
      </c>
      <c r="AE171" s="136">
        <f t="shared" si="65"/>
        <v>0.46</v>
      </c>
      <c r="AF171" s="136">
        <f t="shared" si="65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63"/>
        <v>0.85</v>
      </c>
      <c r="C172" s="137">
        <v>0.85</v>
      </c>
      <c r="D172" s="136">
        <f t="shared" si="64"/>
        <v>0.85</v>
      </c>
      <c r="E172" s="136">
        <f t="shared" si="64"/>
        <v>0.85</v>
      </c>
      <c r="F172" s="136">
        <f t="shared" si="64"/>
        <v>0.85</v>
      </c>
      <c r="G172" s="136">
        <f t="shared" si="64"/>
        <v>0.85</v>
      </c>
      <c r="H172" s="136">
        <f t="shared" si="64"/>
        <v>0.85</v>
      </c>
      <c r="I172" s="136">
        <f t="shared" si="64"/>
        <v>0.85</v>
      </c>
      <c r="J172" s="136">
        <f t="shared" si="64"/>
        <v>0.85</v>
      </c>
      <c r="K172" s="136">
        <f t="shared" si="64"/>
        <v>0.85</v>
      </c>
      <c r="L172" s="136">
        <f t="shared" si="64"/>
        <v>0.85</v>
      </c>
      <c r="M172" s="136">
        <f t="shared" si="64"/>
        <v>0.85</v>
      </c>
      <c r="N172" s="136">
        <f t="shared" si="64"/>
        <v>0.85</v>
      </c>
      <c r="O172" s="136">
        <f t="shared" si="64"/>
        <v>0.85</v>
      </c>
      <c r="P172" s="136">
        <f t="shared" si="64"/>
        <v>0.85</v>
      </c>
      <c r="Q172" s="136">
        <f t="shared" si="64"/>
        <v>0.85</v>
      </c>
      <c r="R172" s="136">
        <f t="shared" si="64"/>
        <v>0.85</v>
      </c>
      <c r="S172" s="136">
        <f t="shared" si="65"/>
        <v>0.85</v>
      </c>
      <c r="T172" s="136">
        <f t="shared" si="65"/>
        <v>0.85</v>
      </c>
      <c r="U172" s="136">
        <f t="shared" si="65"/>
        <v>0.85</v>
      </c>
      <c r="V172" s="136">
        <f t="shared" si="65"/>
        <v>0.85</v>
      </c>
      <c r="W172" s="136">
        <f t="shared" si="65"/>
        <v>0.85</v>
      </c>
      <c r="X172" s="136">
        <f t="shared" si="65"/>
        <v>0.85</v>
      </c>
      <c r="Y172" s="136">
        <f t="shared" si="65"/>
        <v>0.85</v>
      </c>
      <c r="Z172" s="136">
        <f t="shared" si="65"/>
        <v>0.85</v>
      </c>
      <c r="AA172" s="136">
        <f t="shared" si="65"/>
        <v>0.85</v>
      </c>
      <c r="AB172" s="136">
        <f t="shared" si="65"/>
        <v>0.85</v>
      </c>
      <c r="AC172" s="136">
        <f t="shared" si="65"/>
        <v>0.85</v>
      </c>
      <c r="AD172" s="136">
        <f t="shared" si="65"/>
        <v>0.85</v>
      </c>
      <c r="AE172" s="136">
        <f t="shared" si="65"/>
        <v>0.85</v>
      </c>
      <c r="AF172" s="136">
        <f t="shared" si="65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63"/>
        <v>0.9</v>
      </c>
      <c r="C173" s="137">
        <v>0.9</v>
      </c>
      <c r="D173" s="136">
        <f t="shared" si="64"/>
        <v>0.9</v>
      </c>
      <c r="E173" s="136">
        <f t="shared" si="64"/>
        <v>0.9</v>
      </c>
      <c r="F173" s="136">
        <f t="shared" si="64"/>
        <v>0.9</v>
      </c>
      <c r="G173" s="136">
        <f t="shared" si="64"/>
        <v>0.9</v>
      </c>
      <c r="H173" s="136">
        <f t="shared" si="64"/>
        <v>0.9</v>
      </c>
      <c r="I173" s="136">
        <f t="shared" si="64"/>
        <v>0.9</v>
      </c>
      <c r="J173" s="136">
        <f t="shared" si="64"/>
        <v>0.9</v>
      </c>
      <c r="K173" s="136">
        <f t="shared" si="64"/>
        <v>0.9</v>
      </c>
      <c r="L173" s="136">
        <f t="shared" si="64"/>
        <v>0.9</v>
      </c>
      <c r="M173" s="136">
        <f t="shared" si="64"/>
        <v>0.9</v>
      </c>
      <c r="N173" s="136">
        <f t="shared" si="64"/>
        <v>0.9</v>
      </c>
      <c r="O173" s="136">
        <f t="shared" si="64"/>
        <v>0.9</v>
      </c>
      <c r="P173" s="136">
        <f t="shared" si="64"/>
        <v>0.9</v>
      </c>
      <c r="Q173" s="136">
        <f t="shared" si="64"/>
        <v>0.9</v>
      </c>
      <c r="R173" s="136">
        <f t="shared" si="64"/>
        <v>0.9</v>
      </c>
      <c r="S173" s="136">
        <f t="shared" si="65"/>
        <v>0.9</v>
      </c>
      <c r="T173" s="136">
        <f t="shared" si="65"/>
        <v>0.9</v>
      </c>
      <c r="U173" s="136">
        <f t="shared" si="65"/>
        <v>0.9</v>
      </c>
      <c r="V173" s="136">
        <f t="shared" si="65"/>
        <v>0.9</v>
      </c>
      <c r="W173" s="136">
        <f t="shared" si="65"/>
        <v>0.9</v>
      </c>
      <c r="X173" s="136">
        <f t="shared" si="65"/>
        <v>0.9</v>
      </c>
      <c r="Y173" s="136">
        <f t="shared" si="65"/>
        <v>0.9</v>
      </c>
      <c r="Z173" s="136">
        <f t="shared" si="65"/>
        <v>0.9</v>
      </c>
      <c r="AA173" s="136">
        <f t="shared" si="65"/>
        <v>0.9</v>
      </c>
      <c r="AB173" s="136">
        <f t="shared" si="65"/>
        <v>0.9</v>
      </c>
      <c r="AC173" s="136">
        <f t="shared" si="65"/>
        <v>0.9</v>
      </c>
      <c r="AD173" s="136">
        <f t="shared" si="65"/>
        <v>0.9</v>
      </c>
      <c r="AE173" s="136">
        <f t="shared" si="65"/>
        <v>0.9</v>
      </c>
      <c r="AF173" s="136">
        <f t="shared" si="65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63"/>
        <v>0.44</v>
      </c>
      <c r="C174" s="137">
        <v>0.44</v>
      </c>
      <c r="D174" s="136">
        <f t="shared" si="64"/>
        <v>0.44</v>
      </c>
      <c r="E174" s="136">
        <f t="shared" si="64"/>
        <v>0.44</v>
      </c>
      <c r="F174" s="136">
        <f t="shared" si="64"/>
        <v>0.44</v>
      </c>
      <c r="G174" s="136">
        <f t="shared" si="64"/>
        <v>0.44</v>
      </c>
      <c r="H174" s="136">
        <f t="shared" si="64"/>
        <v>0.44</v>
      </c>
      <c r="I174" s="136">
        <f t="shared" si="64"/>
        <v>0.44</v>
      </c>
      <c r="J174" s="136">
        <f t="shared" si="64"/>
        <v>0.44</v>
      </c>
      <c r="K174" s="136">
        <f t="shared" si="64"/>
        <v>0.44</v>
      </c>
      <c r="L174" s="136">
        <f t="shared" si="64"/>
        <v>0.44</v>
      </c>
      <c r="M174" s="136">
        <f t="shared" si="64"/>
        <v>0.44</v>
      </c>
      <c r="N174" s="136">
        <f t="shared" si="64"/>
        <v>0.44</v>
      </c>
      <c r="O174" s="136">
        <f t="shared" si="64"/>
        <v>0.44</v>
      </c>
      <c r="P174" s="136">
        <f t="shared" si="64"/>
        <v>0.44</v>
      </c>
      <c r="Q174" s="136">
        <f t="shared" si="64"/>
        <v>0.44</v>
      </c>
      <c r="R174" s="136">
        <f t="shared" si="64"/>
        <v>0.44</v>
      </c>
      <c r="S174" s="136">
        <f t="shared" si="65"/>
        <v>0.44</v>
      </c>
      <c r="T174" s="136">
        <f t="shared" si="65"/>
        <v>0.44</v>
      </c>
      <c r="U174" s="136">
        <f t="shared" si="65"/>
        <v>0.44</v>
      </c>
      <c r="V174" s="136">
        <f t="shared" si="65"/>
        <v>0.44</v>
      </c>
      <c r="W174" s="136">
        <f t="shared" si="65"/>
        <v>0.44</v>
      </c>
      <c r="X174" s="136">
        <f t="shared" si="65"/>
        <v>0.44</v>
      </c>
      <c r="Y174" s="136">
        <f t="shared" si="65"/>
        <v>0.44</v>
      </c>
      <c r="Z174" s="136">
        <f t="shared" si="65"/>
        <v>0.44</v>
      </c>
      <c r="AA174" s="136">
        <f t="shared" si="65"/>
        <v>0.44</v>
      </c>
      <c r="AB174" s="136">
        <f t="shared" si="65"/>
        <v>0.44</v>
      </c>
      <c r="AC174" s="136">
        <f t="shared" si="65"/>
        <v>0.44</v>
      </c>
      <c r="AD174" s="136">
        <f t="shared" si="65"/>
        <v>0.44</v>
      </c>
      <c r="AE174" s="136">
        <f t="shared" si="65"/>
        <v>0.44</v>
      </c>
      <c r="AF174" s="136">
        <f t="shared" si="65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63"/>
        <v>2.1</v>
      </c>
      <c r="C175" s="137">
        <v>2.1</v>
      </c>
      <c r="D175" s="136">
        <f t="shared" si="64"/>
        <v>2.1</v>
      </c>
      <c r="E175" s="136">
        <f t="shared" si="64"/>
        <v>2.1</v>
      </c>
      <c r="F175" s="136">
        <f t="shared" si="64"/>
        <v>2.1</v>
      </c>
      <c r="G175" s="136">
        <f t="shared" si="64"/>
        <v>2.1</v>
      </c>
      <c r="H175" s="136">
        <f t="shared" si="64"/>
        <v>2.1</v>
      </c>
      <c r="I175" s="136">
        <f t="shared" si="64"/>
        <v>2.1</v>
      </c>
      <c r="J175" s="136">
        <f t="shared" si="64"/>
        <v>2.1</v>
      </c>
      <c r="K175" s="136">
        <f t="shared" si="64"/>
        <v>2.1</v>
      </c>
      <c r="L175" s="136">
        <f t="shared" si="64"/>
        <v>2.1</v>
      </c>
      <c r="M175" s="136">
        <f t="shared" si="64"/>
        <v>2.1</v>
      </c>
      <c r="N175" s="136">
        <f t="shared" si="64"/>
        <v>2.1</v>
      </c>
      <c r="O175" s="136">
        <f t="shared" si="64"/>
        <v>2.1</v>
      </c>
      <c r="P175" s="136">
        <f t="shared" si="64"/>
        <v>2.1</v>
      </c>
      <c r="Q175" s="136">
        <f t="shared" si="64"/>
        <v>2.1</v>
      </c>
      <c r="R175" s="136">
        <f t="shared" si="64"/>
        <v>2.1</v>
      </c>
      <c r="S175" s="136">
        <f t="shared" si="65"/>
        <v>2.1</v>
      </c>
      <c r="T175" s="136">
        <f t="shared" si="65"/>
        <v>2.1</v>
      </c>
      <c r="U175" s="136">
        <f t="shared" si="65"/>
        <v>2.1</v>
      </c>
      <c r="V175" s="136">
        <f t="shared" si="65"/>
        <v>2.1</v>
      </c>
      <c r="W175" s="136">
        <f t="shared" si="65"/>
        <v>2.1</v>
      </c>
      <c r="X175" s="136">
        <f t="shared" si="65"/>
        <v>2.1</v>
      </c>
      <c r="Y175" s="136">
        <f t="shared" si="65"/>
        <v>2.1</v>
      </c>
      <c r="Z175" s="136">
        <f t="shared" si="65"/>
        <v>2.1</v>
      </c>
      <c r="AA175" s="136">
        <f t="shared" si="65"/>
        <v>2.1</v>
      </c>
      <c r="AB175" s="136">
        <f t="shared" si="65"/>
        <v>2.1</v>
      </c>
      <c r="AC175" s="136">
        <f t="shared" si="65"/>
        <v>2.1</v>
      </c>
      <c r="AD175" s="136">
        <f t="shared" si="65"/>
        <v>2.1</v>
      </c>
      <c r="AE175" s="136">
        <f t="shared" si="65"/>
        <v>2.1</v>
      </c>
      <c r="AF175" s="136">
        <f t="shared" si="65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63"/>
        <v>0.9</v>
      </c>
      <c r="C176" s="137">
        <v>0.9</v>
      </c>
      <c r="D176" s="136">
        <f t="shared" si="64"/>
        <v>0.9</v>
      </c>
      <c r="E176" s="136">
        <f t="shared" si="64"/>
        <v>0.9</v>
      </c>
      <c r="F176" s="136">
        <f t="shared" si="64"/>
        <v>0.9</v>
      </c>
      <c r="G176" s="136">
        <f t="shared" si="64"/>
        <v>0.9</v>
      </c>
      <c r="H176" s="136">
        <f t="shared" si="64"/>
        <v>0.9</v>
      </c>
      <c r="I176" s="136">
        <f t="shared" si="64"/>
        <v>0.9</v>
      </c>
      <c r="J176" s="136">
        <f t="shared" si="64"/>
        <v>0.9</v>
      </c>
      <c r="K176" s="136">
        <f t="shared" si="64"/>
        <v>0.9</v>
      </c>
      <c r="L176" s="136">
        <f t="shared" si="64"/>
        <v>0.9</v>
      </c>
      <c r="M176" s="136">
        <f t="shared" si="64"/>
        <v>0.9</v>
      </c>
      <c r="N176" s="136">
        <f t="shared" si="64"/>
        <v>0.9</v>
      </c>
      <c r="O176" s="136">
        <f t="shared" si="64"/>
        <v>0.9</v>
      </c>
      <c r="P176" s="136">
        <f t="shared" si="64"/>
        <v>0.9</v>
      </c>
      <c r="Q176" s="136">
        <f t="shared" si="64"/>
        <v>0.9</v>
      </c>
      <c r="R176" s="136">
        <f t="shared" si="64"/>
        <v>0.9</v>
      </c>
      <c r="S176" s="136">
        <f t="shared" si="65"/>
        <v>0.9</v>
      </c>
      <c r="T176" s="136">
        <f t="shared" si="65"/>
        <v>0.9</v>
      </c>
      <c r="U176" s="136">
        <f t="shared" si="65"/>
        <v>0.9</v>
      </c>
      <c r="V176" s="136">
        <f t="shared" si="65"/>
        <v>0.9</v>
      </c>
      <c r="W176" s="136">
        <f t="shared" si="65"/>
        <v>0.9</v>
      </c>
      <c r="X176" s="136">
        <f t="shared" si="65"/>
        <v>0.9</v>
      </c>
      <c r="Y176" s="136">
        <f t="shared" si="65"/>
        <v>0.9</v>
      </c>
      <c r="Z176" s="136">
        <f t="shared" si="65"/>
        <v>0.9</v>
      </c>
      <c r="AA176" s="136">
        <f t="shared" si="65"/>
        <v>0.9</v>
      </c>
      <c r="AB176" s="136">
        <f t="shared" si="65"/>
        <v>0.9</v>
      </c>
      <c r="AC176" s="136">
        <f t="shared" si="65"/>
        <v>0.9</v>
      </c>
      <c r="AD176" s="136">
        <f t="shared" si="65"/>
        <v>0.9</v>
      </c>
      <c r="AE176" s="136">
        <f t="shared" si="65"/>
        <v>0.9</v>
      </c>
      <c r="AF176" s="136">
        <f t="shared" si="65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66">AF178</f>
        <v>0.57999999999999996</v>
      </c>
      <c r="C178" s="137">
        <v>0.57999999999999996</v>
      </c>
      <c r="D178" s="136">
        <f t="shared" ref="D178:S190" si="67">C178</f>
        <v>0.57999999999999996</v>
      </c>
      <c r="E178" s="136">
        <f t="shared" si="67"/>
        <v>0.57999999999999996</v>
      </c>
      <c r="F178" s="136">
        <f t="shared" si="67"/>
        <v>0.57999999999999996</v>
      </c>
      <c r="G178" s="136">
        <f t="shared" si="67"/>
        <v>0.57999999999999996</v>
      </c>
      <c r="H178" s="136">
        <f t="shared" si="67"/>
        <v>0.57999999999999996</v>
      </c>
      <c r="I178" s="136">
        <f t="shared" si="67"/>
        <v>0.57999999999999996</v>
      </c>
      <c r="J178" s="136">
        <f t="shared" si="67"/>
        <v>0.57999999999999996</v>
      </c>
      <c r="K178" s="136">
        <f t="shared" si="67"/>
        <v>0.57999999999999996</v>
      </c>
      <c r="L178" s="136">
        <f t="shared" si="67"/>
        <v>0.57999999999999996</v>
      </c>
      <c r="M178" s="136">
        <f t="shared" si="67"/>
        <v>0.57999999999999996</v>
      </c>
      <c r="N178" s="136">
        <f t="shared" si="67"/>
        <v>0.57999999999999996</v>
      </c>
      <c r="O178" s="136">
        <f t="shared" si="67"/>
        <v>0.57999999999999996</v>
      </c>
      <c r="P178" s="136">
        <f t="shared" si="67"/>
        <v>0.57999999999999996</v>
      </c>
      <c r="Q178" s="136">
        <f t="shared" si="67"/>
        <v>0.57999999999999996</v>
      </c>
      <c r="R178" s="136">
        <f t="shared" si="67"/>
        <v>0.57999999999999996</v>
      </c>
      <c r="S178" s="136">
        <f t="shared" si="67"/>
        <v>0.57999999999999996</v>
      </c>
      <c r="T178" s="136">
        <f t="shared" ref="S178:AF190" si="68">S178</f>
        <v>0.57999999999999996</v>
      </c>
      <c r="U178" s="136">
        <f t="shared" si="68"/>
        <v>0.57999999999999996</v>
      </c>
      <c r="V178" s="136">
        <f t="shared" si="68"/>
        <v>0.57999999999999996</v>
      </c>
      <c r="W178" s="136">
        <f t="shared" si="68"/>
        <v>0.57999999999999996</v>
      </c>
      <c r="X178" s="136">
        <f t="shared" si="68"/>
        <v>0.57999999999999996</v>
      </c>
      <c r="Y178" s="136">
        <f t="shared" si="68"/>
        <v>0.57999999999999996</v>
      </c>
      <c r="Z178" s="136">
        <f t="shared" si="68"/>
        <v>0.57999999999999996</v>
      </c>
      <c r="AA178" s="136">
        <f t="shared" si="68"/>
        <v>0.57999999999999996</v>
      </c>
      <c r="AB178" s="136">
        <f t="shared" si="68"/>
        <v>0.57999999999999996</v>
      </c>
      <c r="AC178" s="136">
        <f t="shared" si="68"/>
        <v>0.57999999999999996</v>
      </c>
      <c r="AD178" s="136">
        <f t="shared" si="68"/>
        <v>0.57999999999999996</v>
      </c>
      <c r="AE178" s="136">
        <f t="shared" si="68"/>
        <v>0.57999999999999996</v>
      </c>
      <c r="AF178" s="136">
        <f t="shared" si="68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66"/>
        <v>0.8</v>
      </c>
      <c r="C179" s="137">
        <v>0.8</v>
      </c>
      <c r="D179" s="136">
        <f t="shared" si="67"/>
        <v>0.8</v>
      </c>
      <c r="E179" s="136">
        <f t="shared" si="67"/>
        <v>0.8</v>
      </c>
      <c r="F179" s="136">
        <f t="shared" si="67"/>
        <v>0.8</v>
      </c>
      <c r="G179" s="136">
        <f t="shared" si="67"/>
        <v>0.8</v>
      </c>
      <c r="H179" s="136">
        <f t="shared" si="67"/>
        <v>0.8</v>
      </c>
      <c r="I179" s="136">
        <f t="shared" si="67"/>
        <v>0.8</v>
      </c>
      <c r="J179" s="136">
        <f t="shared" si="67"/>
        <v>0.8</v>
      </c>
      <c r="K179" s="136">
        <f t="shared" si="67"/>
        <v>0.8</v>
      </c>
      <c r="L179" s="136">
        <f t="shared" si="67"/>
        <v>0.8</v>
      </c>
      <c r="M179" s="136">
        <f t="shared" si="67"/>
        <v>0.8</v>
      </c>
      <c r="N179" s="136">
        <f t="shared" si="67"/>
        <v>0.8</v>
      </c>
      <c r="O179" s="136">
        <f t="shared" si="67"/>
        <v>0.8</v>
      </c>
      <c r="P179" s="136">
        <f t="shared" si="67"/>
        <v>0.8</v>
      </c>
      <c r="Q179" s="136">
        <f t="shared" si="67"/>
        <v>0.8</v>
      </c>
      <c r="R179" s="136">
        <f t="shared" si="67"/>
        <v>0.8</v>
      </c>
      <c r="S179" s="136">
        <f t="shared" si="67"/>
        <v>0.8</v>
      </c>
      <c r="T179" s="136">
        <f t="shared" si="68"/>
        <v>0.8</v>
      </c>
      <c r="U179" s="136">
        <f t="shared" si="68"/>
        <v>0.8</v>
      </c>
      <c r="V179" s="136">
        <f t="shared" si="68"/>
        <v>0.8</v>
      </c>
      <c r="W179" s="136">
        <f t="shared" si="68"/>
        <v>0.8</v>
      </c>
      <c r="X179" s="136">
        <f t="shared" si="68"/>
        <v>0.8</v>
      </c>
      <c r="Y179" s="136">
        <f t="shared" si="68"/>
        <v>0.8</v>
      </c>
      <c r="Z179" s="136">
        <f t="shared" si="68"/>
        <v>0.8</v>
      </c>
      <c r="AA179" s="136">
        <f t="shared" si="68"/>
        <v>0.8</v>
      </c>
      <c r="AB179" s="136">
        <f t="shared" si="68"/>
        <v>0.8</v>
      </c>
      <c r="AC179" s="136">
        <f t="shared" si="68"/>
        <v>0.8</v>
      </c>
      <c r="AD179" s="136">
        <f t="shared" si="68"/>
        <v>0.8</v>
      </c>
      <c r="AE179" s="136">
        <f t="shared" si="68"/>
        <v>0.8</v>
      </c>
      <c r="AF179" s="136">
        <f t="shared" si="68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66"/>
        <v>0</v>
      </c>
      <c r="C180" s="137">
        <v>0</v>
      </c>
      <c r="D180" s="136">
        <f t="shared" si="67"/>
        <v>0</v>
      </c>
      <c r="E180" s="136">
        <f t="shared" si="67"/>
        <v>0</v>
      </c>
      <c r="F180" s="136">
        <f t="shared" si="67"/>
        <v>0</v>
      </c>
      <c r="G180" s="136">
        <f t="shared" si="67"/>
        <v>0</v>
      </c>
      <c r="H180" s="136">
        <f t="shared" si="67"/>
        <v>0</v>
      </c>
      <c r="I180" s="136">
        <f t="shared" si="67"/>
        <v>0</v>
      </c>
      <c r="J180" s="136">
        <f t="shared" si="67"/>
        <v>0</v>
      </c>
      <c r="K180" s="136">
        <f t="shared" si="67"/>
        <v>0</v>
      </c>
      <c r="L180" s="136">
        <f t="shared" si="67"/>
        <v>0</v>
      </c>
      <c r="M180" s="136">
        <f t="shared" si="67"/>
        <v>0</v>
      </c>
      <c r="N180" s="136">
        <f t="shared" si="67"/>
        <v>0</v>
      </c>
      <c r="O180" s="136">
        <f t="shared" si="67"/>
        <v>0</v>
      </c>
      <c r="P180" s="136">
        <f t="shared" si="67"/>
        <v>0</v>
      </c>
      <c r="Q180" s="136">
        <f t="shared" si="67"/>
        <v>0</v>
      </c>
      <c r="R180" s="136">
        <f t="shared" si="67"/>
        <v>0</v>
      </c>
      <c r="S180" s="136">
        <f t="shared" si="67"/>
        <v>0</v>
      </c>
      <c r="T180" s="136">
        <f t="shared" si="68"/>
        <v>0</v>
      </c>
      <c r="U180" s="136">
        <f t="shared" si="68"/>
        <v>0</v>
      </c>
      <c r="V180" s="136">
        <f t="shared" si="68"/>
        <v>0</v>
      </c>
      <c r="W180" s="136">
        <f t="shared" si="68"/>
        <v>0</v>
      </c>
      <c r="X180" s="136">
        <f t="shared" si="68"/>
        <v>0</v>
      </c>
      <c r="Y180" s="136">
        <f t="shared" si="68"/>
        <v>0</v>
      </c>
      <c r="Z180" s="136">
        <f t="shared" si="68"/>
        <v>0</v>
      </c>
      <c r="AA180" s="136">
        <f t="shared" si="68"/>
        <v>0</v>
      </c>
      <c r="AB180" s="136">
        <f t="shared" si="68"/>
        <v>0</v>
      </c>
      <c r="AC180" s="136">
        <f t="shared" si="68"/>
        <v>0</v>
      </c>
      <c r="AD180" s="136">
        <f t="shared" si="68"/>
        <v>0</v>
      </c>
      <c r="AE180" s="136">
        <f t="shared" si="68"/>
        <v>0</v>
      </c>
      <c r="AF180" s="136">
        <f t="shared" si="68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66"/>
        <v>0.6</v>
      </c>
      <c r="C181" s="137">
        <v>0.6</v>
      </c>
      <c r="D181" s="136">
        <f t="shared" si="67"/>
        <v>0.6</v>
      </c>
      <c r="E181" s="136">
        <f t="shared" si="67"/>
        <v>0.6</v>
      </c>
      <c r="F181" s="136">
        <f t="shared" si="67"/>
        <v>0.6</v>
      </c>
      <c r="G181" s="136">
        <f t="shared" si="67"/>
        <v>0.6</v>
      </c>
      <c r="H181" s="136">
        <f t="shared" si="67"/>
        <v>0.6</v>
      </c>
      <c r="I181" s="136">
        <f t="shared" si="67"/>
        <v>0.6</v>
      </c>
      <c r="J181" s="136">
        <f t="shared" si="67"/>
        <v>0.6</v>
      </c>
      <c r="K181" s="136">
        <f t="shared" si="67"/>
        <v>0.6</v>
      </c>
      <c r="L181" s="136">
        <f t="shared" si="67"/>
        <v>0.6</v>
      </c>
      <c r="M181" s="136">
        <f t="shared" si="67"/>
        <v>0.6</v>
      </c>
      <c r="N181" s="136">
        <f t="shared" si="67"/>
        <v>0.6</v>
      </c>
      <c r="O181" s="136">
        <f t="shared" si="67"/>
        <v>0.6</v>
      </c>
      <c r="P181" s="136">
        <f t="shared" si="67"/>
        <v>0.6</v>
      </c>
      <c r="Q181" s="136">
        <f t="shared" si="67"/>
        <v>0.6</v>
      </c>
      <c r="R181" s="136">
        <f t="shared" si="67"/>
        <v>0.6</v>
      </c>
      <c r="S181" s="136">
        <f t="shared" si="67"/>
        <v>0.6</v>
      </c>
      <c r="T181" s="136">
        <f t="shared" si="68"/>
        <v>0.6</v>
      </c>
      <c r="U181" s="136">
        <f t="shared" si="68"/>
        <v>0.6</v>
      </c>
      <c r="V181" s="136">
        <f t="shared" si="68"/>
        <v>0.6</v>
      </c>
      <c r="W181" s="136">
        <f t="shared" si="68"/>
        <v>0.6</v>
      </c>
      <c r="X181" s="136">
        <f t="shared" si="68"/>
        <v>0.6</v>
      </c>
      <c r="Y181" s="136">
        <f t="shared" si="68"/>
        <v>0.6</v>
      </c>
      <c r="Z181" s="136">
        <f t="shared" si="68"/>
        <v>0.6</v>
      </c>
      <c r="AA181" s="136">
        <f t="shared" si="68"/>
        <v>0.6</v>
      </c>
      <c r="AB181" s="136">
        <f t="shared" si="68"/>
        <v>0.6</v>
      </c>
      <c r="AC181" s="136">
        <f t="shared" si="68"/>
        <v>0.6</v>
      </c>
      <c r="AD181" s="136">
        <f t="shared" si="68"/>
        <v>0.6</v>
      </c>
      <c r="AE181" s="136">
        <f t="shared" si="68"/>
        <v>0.6</v>
      </c>
      <c r="AF181" s="136">
        <f t="shared" si="68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66"/>
        <v>0.6</v>
      </c>
      <c r="C182" s="137">
        <v>0.6</v>
      </c>
      <c r="D182" s="136">
        <f t="shared" si="67"/>
        <v>0.6</v>
      </c>
      <c r="E182" s="136">
        <f t="shared" si="67"/>
        <v>0.6</v>
      </c>
      <c r="F182" s="136">
        <f t="shared" si="67"/>
        <v>0.6</v>
      </c>
      <c r="G182" s="136">
        <f t="shared" si="67"/>
        <v>0.6</v>
      </c>
      <c r="H182" s="136">
        <f t="shared" si="67"/>
        <v>0.6</v>
      </c>
      <c r="I182" s="136">
        <f t="shared" si="67"/>
        <v>0.6</v>
      </c>
      <c r="J182" s="136">
        <f t="shared" si="67"/>
        <v>0.6</v>
      </c>
      <c r="K182" s="136">
        <f t="shared" si="67"/>
        <v>0.6</v>
      </c>
      <c r="L182" s="136">
        <f t="shared" si="67"/>
        <v>0.6</v>
      </c>
      <c r="M182" s="136">
        <f t="shared" si="67"/>
        <v>0.6</v>
      </c>
      <c r="N182" s="136">
        <f t="shared" si="67"/>
        <v>0.6</v>
      </c>
      <c r="O182" s="136">
        <f t="shared" si="67"/>
        <v>0.6</v>
      </c>
      <c r="P182" s="136">
        <f t="shared" si="67"/>
        <v>0.6</v>
      </c>
      <c r="Q182" s="136">
        <f t="shared" si="67"/>
        <v>0.6</v>
      </c>
      <c r="R182" s="136">
        <f t="shared" si="67"/>
        <v>0.6</v>
      </c>
      <c r="S182" s="136">
        <f t="shared" si="67"/>
        <v>0.6</v>
      </c>
      <c r="T182" s="136">
        <f t="shared" si="68"/>
        <v>0.6</v>
      </c>
      <c r="U182" s="136">
        <f t="shared" si="68"/>
        <v>0.6</v>
      </c>
      <c r="V182" s="136">
        <f t="shared" si="68"/>
        <v>0.6</v>
      </c>
      <c r="W182" s="136">
        <f t="shared" si="68"/>
        <v>0.6</v>
      </c>
      <c r="X182" s="136">
        <f t="shared" si="68"/>
        <v>0.6</v>
      </c>
      <c r="Y182" s="136">
        <f t="shared" si="68"/>
        <v>0.6</v>
      </c>
      <c r="Z182" s="136">
        <f t="shared" si="68"/>
        <v>0.6</v>
      </c>
      <c r="AA182" s="136">
        <f t="shared" si="68"/>
        <v>0.6</v>
      </c>
      <c r="AB182" s="136">
        <f t="shared" si="68"/>
        <v>0.6</v>
      </c>
      <c r="AC182" s="136">
        <f t="shared" si="68"/>
        <v>0.6</v>
      </c>
      <c r="AD182" s="136">
        <f t="shared" si="68"/>
        <v>0.6</v>
      </c>
      <c r="AE182" s="136">
        <f t="shared" si="68"/>
        <v>0.6</v>
      </c>
      <c r="AF182" s="136">
        <f t="shared" si="68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66"/>
        <v>0.35</v>
      </c>
      <c r="C183" s="137">
        <v>0.35</v>
      </c>
      <c r="D183" s="136">
        <f t="shared" si="67"/>
        <v>0.35</v>
      </c>
      <c r="E183" s="136">
        <f t="shared" si="67"/>
        <v>0.35</v>
      </c>
      <c r="F183" s="136">
        <f t="shared" si="67"/>
        <v>0.35</v>
      </c>
      <c r="G183" s="136">
        <f t="shared" si="67"/>
        <v>0.35</v>
      </c>
      <c r="H183" s="136">
        <f t="shared" si="67"/>
        <v>0.35</v>
      </c>
      <c r="I183" s="136">
        <f t="shared" si="67"/>
        <v>0.35</v>
      </c>
      <c r="J183" s="136">
        <f t="shared" si="67"/>
        <v>0.35</v>
      </c>
      <c r="K183" s="136">
        <f t="shared" si="67"/>
        <v>0.35</v>
      </c>
      <c r="L183" s="136">
        <f t="shared" si="67"/>
        <v>0.35</v>
      </c>
      <c r="M183" s="136">
        <f t="shared" si="67"/>
        <v>0.35</v>
      </c>
      <c r="N183" s="136">
        <f t="shared" si="67"/>
        <v>0.35</v>
      </c>
      <c r="O183" s="136">
        <f t="shared" si="67"/>
        <v>0.35</v>
      </c>
      <c r="P183" s="136">
        <f t="shared" si="67"/>
        <v>0.35</v>
      </c>
      <c r="Q183" s="136">
        <f t="shared" si="67"/>
        <v>0.35</v>
      </c>
      <c r="R183" s="136">
        <f t="shared" si="67"/>
        <v>0.35</v>
      </c>
      <c r="S183" s="136">
        <f t="shared" si="67"/>
        <v>0.35</v>
      </c>
      <c r="T183" s="136">
        <f t="shared" si="68"/>
        <v>0.35</v>
      </c>
      <c r="U183" s="136">
        <f t="shared" si="68"/>
        <v>0.35</v>
      </c>
      <c r="V183" s="136">
        <f t="shared" si="68"/>
        <v>0.35</v>
      </c>
      <c r="W183" s="136">
        <f t="shared" si="68"/>
        <v>0.35</v>
      </c>
      <c r="X183" s="136">
        <f t="shared" si="68"/>
        <v>0.35</v>
      </c>
      <c r="Y183" s="136">
        <f t="shared" si="68"/>
        <v>0.35</v>
      </c>
      <c r="Z183" s="136">
        <f t="shared" si="68"/>
        <v>0.35</v>
      </c>
      <c r="AA183" s="136">
        <f t="shared" si="68"/>
        <v>0.35</v>
      </c>
      <c r="AB183" s="136">
        <f t="shared" si="68"/>
        <v>0.35</v>
      </c>
      <c r="AC183" s="136">
        <f t="shared" si="68"/>
        <v>0.35</v>
      </c>
      <c r="AD183" s="136">
        <f t="shared" si="68"/>
        <v>0.35</v>
      </c>
      <c r="AE183" s="136">
        <f t="shared" si="68"/>
        <v>0.35</v>
      </c>
      <c r="AF183" s="136">
        <f t="shared" si="68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66"/>
        <v>0.28999999999999998</v>
      </c>
      <c r="C184" s="137">
        <v>0.28999999999999998</v>
      </c>
      <c r="D184" s="136">
        <f t="shared" si="67"/>
        <v>0.28999999999999998</v>
      </c>
      <c r="E184" s="136">
        <f t="shared" si="67"/>
        <v>0.28999999999999998</v>
      </c>
      <c r="F184" s="136">
        <f t="shared" si="67"/>
        <v>0.28999999999999998</v>
      </c>
      <c r="G184" s="136">
        <f t="shared" si="67"/>
        <v>0.28999999999999998</v>
      </c>
      <c r="H184" s="136">
        <f t="shared" si="67"/>
        <v>0.28999999999999998</v>
      </c>
      <c r="I184" s="136">
        <f t="shared" si="67"/>
        <v>0.28999999999999998</v>
      </c>
      <c r="J184" s="136">
        <f t="shared" si="67"/>
        <v>0.28999999999999998</v>
      </c>
      <c r="K184" s="136">
        <f t="shared" si="67"/>
        <v>0.28999999999999998</v>
      </c>
      <c r="L184" s="136">
        <f t="shared" si="67"/>
        <v>0.28999999999999998</v>
      </c>
      <c r="M184" s="136">
        <f t="shared" si="67"/>
        <v>0.28999999999999998</v>
      </c>
      <c r="N184" s="136">
        <f t="shared" si="67"/>
        <v>0.28999999999999998</v>
      </c>
      <c r="O184" s="136">
        <f t="shared" si="67"/>
        <v>0.28999999999999998</v>
      </c>
      <c r="P184" s="136">
        <f t="shared" si="67"/>
        <v>0.28999999999999998</v>
      </c>
      <c r="Q184" s="136">
        <f t="shared" si="67"/>
        <v>0.28999999999999998</v>
      </c>
      <c r="R184" s="136">
        <f t="shared" si="67"/>
        <v>0.28999999999999998</v>
      </c>
      <c r="S184" s="136">
        <f t="shared" si="67"/>
        <v>0.28999999999999998</v>
      </c>
      <c r="T184" s="136">
        <f t="shared" si="68"/>
        <v>0.28999999999999998</v>
      </c>
      <c r="U184" s="136">
        <f t="shared" si="68"/>
        <v>0.28999999999999998</v>
      </c>
      <c r="V184" s="136">
        <f t="shared" si="68"/>
        <v>0.28999999999999998</v>
      </c>
      <c r="W184" s="136">
        <f t="shared" si="68"/>
        <v>0.28999999999999998</v>
      </c>
      <c r="X184" s="136">
        <f t="shared" si="68"/>
        <v>0.28999999999999998</v>
      </c>
      <c r="Y184" s="136">
        <f t="shared" si="68"/>
        <v>0.28999999999999998</v>
      </c>
      <c r="Z184" s="136">
        <f t="shared" si="68"/>
        <v>0.28999999999999998</v>
      </c>
      <c r="AA184" s="136">
        <f t="shared" si="68"/>
        <v>0.28999999999999998</v>
      </c>
      <c r="AB184" s="136">
        <f t="shared" si="68"/>
        <v>0.28999999999999998</v>
      </c>
      <c r="AC184" s="136">
        <f t="shared" si="68"/>
        <v>0.28999999999999998</v>
      </c>
      <c r="AD184" s="136">
        <f t="shared" si="68"/>
        <v>0.28999999999999998</v>
      </c>
      <c r="AE184" s="136">
        <f t="shared" si="68"/>
        <v>0.28999999999999998</v>
      </c>
      <c r="AF184" s="136">
        <f t="shared" si="68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66"/>
        <v>0.06</v>
      </c>
      <c r="C185" s="137">
        <v>0.06</v>
      </c>
      <c r="D185" s="136">
        <f t="shared" si="67"/>
        <v>0.06</v>
      </c>
      <c r="E185" s="136">
        <f t="shared" si="67"/>
        <v>0.06</v>
      </c>
      <c r="F185" s="136">
        <f t="shared" si="67"/>
        <v>0.06</v>
      </c>
      <c r="G185" s="136">
        <f t="shared" si="67"/>
        <v>0.06</v>
      </c>
      <c r="H185" s="136">
        <f t="shared" si="67"/>
        <v>0.06</v>
      </c>
      <c r="I185" s="136">
        <f t="shared" si="67"/>
        <v>0.06</v>
      </c>
      <c r="J185" s="136">
        <f t="shared" si="67"/>
        <v>0.06</v>
      </c>
      <c r="K185" s="136">
        <f t="shared" si="67"/>
        <v>0.06</v>
      </c>
      <c r="L185" s="136">
        <f t="shared" si="67"/>
        <v>0.06</v>
      </c>
      <c r="M185" s="136">
        <f t="shared" si="67"/>
        <v>0.06</v>
      </c>
      <c r="N185" s="136">
        <f t="shared" si="67"/>
        <v>0.06</v>
      </c>
      <c r="O185" s="136">
        <f t="shared" si="67"/>
        <v>0.06</v>
      </c>
      <c r="P185" s="136">
        <f t="shared" si="67"/>
        <v>0.06</v>
      </c>
      <c r="Q185" s="136">
        <f t="shared" si="67"/>
        <v>0.06</v>
      </c>
      <c r="R185" s="136">
        <f t="shared" si="67"/>
        <v>0.06</v>
      </c>
      <c r="S185" s="136">
        <f t="shared" si="67"/>
        <v>0.06</v>
      </c>
      <c r="T185" s="136">
        <f t="shared" si="68"/>
        <v>0.06</v>
      </c>
      <c r="U185" s="136">
        <f t="shared" si="68"/>
        <v>0.06</v>
      </c>
      <c r="V185" s="136">
        <f t="shared" si="68"/>
        <v>0.06</v>
      </c>
      <c r="W185" s="136">
        <f t="shared" si="68"/>
        <v>0.06</v>
      </c>
      <c r="X185" s="136">
        <f t="shared" si="68"/>
        <v>0.06</v>
      </c>
      <c r="Y185" s="136">
        <f t="shared" si="68"/>
        <v>0.06</v>
      </c>
      <c r="Z185" s="136">
        <f t="shared" si="68"/>
        <v>0.06</v>
      </c>
      <c r="AA185" s="136">
        <f t="shared" si="68"/>
        <v>0.06</v>
      </c>
      <c r="AB185" s="136">
        <f t="shared" si="68"/>
        <v>0.06</v>
      </c>
      <c r="AC185" s="136">
        <f t="shared" si="68"/>
        <v>0.06</v>
      </c>
      <c r="AD185" s="136">
        <f t="shared" si="68"/>
        <v>0.06</v>
      </c>
      <c r="AE185" s="136">
        <f t="shared" si="68"/>
        <v>0.06</v>
      </c>
      <c r="AF185" s="136">
        <f t="shared" si="68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66"/>
        <v>0.11</v>
      </c>
      <c r="C186" s="137">
        <v>0.11</v>
      </c>
      <c r="D186" s="136">
        <f t="shared" si="67"/>
        <v>0.11</v>
      </c>
      <c r="E186" s="136">
        <f t="shared" si="67"/>
        <v>0.11</v>
      </c>
      <c r="F186" s="136">
        <f t="shared" si="67"/>
        <v>0.11</v>
      </c>
      <c r="G186" s="136">
        <f t="shared" si="67"/>
        <v>0.11</v>
      </c>
      <c r="H186" s="136">
        <f t="shared" si="67"/>
        <v>0.11</v>
      </c>
      <c r="I186" s="136">
        <f t="shared" si="67"/>
        <v>0.11</v>
      </c>
      <c r="J186" s="136">
        <f t="shared" si="67"/>
        <v>0.11</v>
      </c>
      <c r="K186" s="136">
        <f t="shared" si="67"/>
        <v>0.11</v>
      </c>
      <c r="L186" s="136">
        <f t="shared" si="67"/>
        <v>0.11</v>
      </c>
      <c r="M186" s="136">
        <f t="shared" si="67"/>
        <v>0.11</v>
      </c>
      <c r="N186" s="136">
        <f t="shared" si="67"/>
        <v>0.11</v>
      </c>
      <c r="O186" s="136">
        <f t="shared" si="67"/>
        <v>0.11</v>
      </c>
      <c r="P186" s="136">
        <f t="shared" si="67"/>
        <v>0.11</v>
      </c>
      <c r="Q186" s="136">
        <f t="shared" si="67"/>
        <v>0.11</v>
      </c>
      <c r="R186" s="136">
        <f t="shared" si="67"/>
        <v>0.11</v>
      </c>
      <c r="S186" s="136">
        <f t="shared" si="67"/>
        <v>0.11</v>
      </c>
      <c r="T186" s="136">
        <f t="shared" si="68"/>
        <v>0.11</v>
      </c>
      <c r="U186" s="136">
        <f t="shared" si="68"/>
        <v>0.11</v>
      </c>
      <c r="V186" s="136">
        <f t="shared" si="68"/>
        <v>0.11</v>
      </c>
      <c r="W186" s="136">
        <f t="shared" si="68"/>
        <v>0.11</v>
      </c>
      <c r="X186" s="136">
        <f t="shared" si="68"/>
        <v>0.11</v>
      </c>
      <c r="Y186" s="136">
        <f t="shared" si="68"/>
        <v>0.11</v>
      </c>
      <c r="Z186" s="136">
        <f t="shared" si="68"/>
        <v>0.11</v>
      </c>
      <c r="AA186" s="136">
        <f t="shared" si="68"/>
        <v>0.11</v>
      </c>
      <c r="AB186" s="136">
        <f t="shared" si="68"/>
        <v>0.11</v>
      </c>
      <c r="AC186" s="136">
        <f t="shared" si="68"/>
        <v>0.11</v>
      </c>
      <c r="AD186" s="136">
        <f t="shared" si="68"/>
        <v>0.11</v>
      </c>
      <c r="AE186" s="136">
        <f t="shared" si="68"/>
        <v>0.11</v>
      </c>
      <c r="AF186" s="136">
        <f t="shared" si="68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66"/>
        <v>0.1</v>
      </c>
      <c r="C187" s="137">
        <v>0.1</v>
      </c>
      <c r="D187" s="136">
        <f t="shared" si="67"/>
        <v>0.1</v>
      </c>
      <c r="E187" s="136">
        <f t="shared" si="67"/>
        <v>0.1</v>
      </c>
      <c r="F187" s="136">
        <f t="shared" si="67"/>
        <v>0.1</v>
      </c>
      <c r="G187" s="136">
        <f t="shared" si="67"/>
        <v>0.1</v>
      </c>
      <c r="H187" s="136">
        <f t="shared" si="67"/>
        <v>0.1</v>
      </c>
      <c r="I187" s="136">
        <f t="shared" si="67"/>
        <v>0.1</v>
      </c>
      <c r="J187" s="136">
        <f t="shared" si="67"/>
        <v>0.1</v>
      </c>
      <c r="K187" s="136">
        <f t="shared" si="67"/>
        <v>0.1</v>
      </c>
      <c r="L187" s="136">
        <f t="shared" si="67"/>
        <v>0.1</v>
      </c>
      <c r="M187" s="136">
        <f t="shared" si="67"/>
        <v>0.1</v>
      </c>
      <c r="N187" s="136">
        <f t="shared" si="67"/>
        <v>0.1</v>
      </c>
      <c r="O187" s="136">
        <f t="shared" si="67"/>
        <v>0.1</v>
      </c>
      <c r="P187" s="136">
        <f t="shared" si="67"/>
        <v>0.1</v>
      </c>
      <c r="Q187" s="136">
        <f t="shared" si="67"/>
        <v>0.1</v>
      </c>
      <c r="R187" s="136">
        <f t="shared" si="67"/>
        <v>0.1</v>
      </c>
      <c r="S187" s="136">
        <f t="shared" si="68"/>
        <v>0.1</v>
      </c>
      <c r="T187" s="136">
        <f t="shared" si="68"/>
        <v>0.1</v>
      </c>
      <c r="U187" s="136">
        <f t="shared" si="68"/>
        <v>0.1</v>
      </c>
      <c r="V187" s="136">
        <f t="shared" si="68"/>
        <v>0.1</v>
      </c>
      <c r="W187" s="136">
        <f t="shared" si="68"/>
        <v>0.1</v>
      </c>
      <c r="X187" s="136">
        <f t="shared" si="68"/>
        <v>0.1</v>
      </c>
      <c r="Y187" s="136">
        <f t="shared" si="68"/>
        <v>0.1</v>
      </c>
      <c r="Z187" s="136">
        <f t="shared" si="68"/>
        <v>0.1</v>
      </c>
      <c r="AA187" s="136">
        <f t="shared" si="68"/>
        <v>0.1</v>
      </c>
      <c r="AB187" s="136">
        <f t="shared" si="68"/>
        <v>0.1</v>
      </c>
      <c r="AC187" s="136">
        <f t="shared" si="68"/>
        <v>0.1</v>
      </c>
      <c r="AD187" s="136">
        <f t="shared" si="68"/>
        <v>0.1</v>
      </c>
      <c r="AE187" s="136">
        <f t="shared" si="68"/>
        <v>0.1</v>
      </c>
      <c r="AF187" s="136">
        <f t="shared" si="68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66"/>
        <v>0.09</v>
      </c>
      <c r="C188" s="137">
        <v>0.09</v>
      </c>
      <c r="D188" s="136">
        <f t="shared" si="67"/>
        <v>0.09</v>
      </c>
      <c r="E188" s="136">
        <f t="shared" si="67"/>
        <v>0.09</v>
      </c>
      <c r="F188" s="136">
        <f t="shared" si="67"/>
        <v>0.09</v>
      </c>
      <c r="G188" s="136">
        <f t="shared" si="67"/>
        <v>0.09</v>
      </c>
      <c r="H188" s="136">
        <f t="shared" si="67"/>
        <v>0.09</v>
      </c>
      <c r="I188" s="136">
        <f t="shared" si="67"/>
        <v>0.09</v>
      </c>
      <c r="J188" s="136">
        <f t="shared" si="67"/>
        <v>0.09</v>
      </c>
      <c r="K188" s="136">
        <f t="shared" si="67"/>
        <v>0.09</v>
      </c>
      <c r="L188" s="136">
        <f t="shared" si="67"/>
        <v>0.09</v>
      </c>
      <c r="M188" s="136">
        <f t="shared" si="67"/>
        <v>0.09</v>
      </c>
      <c r="N188" s="136">
        <f t="shared" si="67"/>
        <v>0.09</v>
      </c>
      <c r="O188" s="136">
        <f t="shared" si="67"/>
        <v>0.09</v>
      </c>
      <c r="P188" s="136">
        <f t="shared" si="67"/>
        <v>0.09</v>
      </c>
      <c r="Q188" s="136">
        <f t="shared" si="67"/>
        <v>0.09</v>
      </c>
      <c r="R188" s="136">
        <f t="shared" si="67"/>
        <v>0.09</v>
      </c>
      <c r="S188" s="136">
        <f t="shared" si="68"/>
        <v>0.09</v>
      </c>
      <c r="T188" s="136">
        <f t="shared" si="68"/>
        <v>0.09</v>
      </c>
      <c r="U188" s="136">
        <f t="shared" si="68"/>
        <v>0.09</v>
      </c>
      <c r="V188" s="136">
        <f t="shared" si="68"/>
        <v>0.09</v>
      </c>
      <c r="W188" s="136">
        <f t="shared" si="68"/>
        <v>0.09</v>
      </c>
      <c r="X188" s="136">
        <f t="shared" si="68"/>
        <v>0.09</v>
      </c>
      <c r="Y188" s="136">
        <f t="shared" si="68"/>
        <v>0.09</v>
      </c>
      <c r="Z188" s="136">
        <f t="shared" si="68"/>
        <v>0.09</v>
      </c>
      <c r="AA188" s="136">
        <f t="shared" si="68"/>
        <v>0.09</v>
      </c>
      <c r="AB188" s="136">
        <f t="shared" si="68"/>
        <v>0.09</v>
      </c>
      <c r="AC188" s="136">
        <f t="shared" si="68"/>
        <v>0.09</v>
      </c>
      <c r="AD188" s="136">
        <f t="shared" si="68"/>
        <v>0.09</v>
      </c>
      <c r="AE188" s="136">
        <f t="shared" si="68"/>
        <v>0.09</v>
      </c>
      <c r="AF188" s="136">
        <f t="shared" si="68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66"/>
        <v>0.04</v>
      </c>
      <c r="C189" s="53">
        <v>0.04</v>
      </c>
      <c r="D189" s="136">
        <f t="shared" si="67"/>
        <v>0.04</v>
      </c>
      <c r="E189" s="136">
        <f t="shared" si="67"/>
        <v>0.04</v>
      </c>
      <c r="F189" s="136">
        <f t="shared" si="67"/>
        <v>0.04</v>
      </c>
      <c r="G189" s="136">
        <f t="shared" si="67"/>
        <v>0.04</v>
      </c>
      <c r="H189" s="136">
        <f t="shared" si="67"/>
        <v>0.04</v>
      </c>
      <c r="I189" s="136">
        <f t="shared" si="67"/>
        <v>0.04</v>
      </c>
      <c r="J189" s="136">
        <f t="shared" si="67"/>
        <v>0.04</v>
      </c>
      <c r="K189" s="136">
        <f t="shared" si="67"/>
        <v>0.04</v>
      </c>
      <c r="L189" s="136">
        <f t="shared" si="67"/>
        <v>0.04</v>
      </c>
      <c r="M189" s="136">
        <f t="shared" si="67"/>
        <v>0.04</v>
      </c>
      <c r="N189" s="136">
        <f t="shared" si="67"/>
        <v>0.04</v>
      </c>
      <c r="O189" s="136">
        <f t="shared" si="67"/>
        <v>0.04</v>
      </c>
      <c r="P189" s="136">
        <f t="shared" si="67"/>
        <v>0.04</v>
      </c>
      <c r="Q189" s="136">
        <f t="shared" si="67"/>
        <v>0.04</v>
      </c>
      <c r="R189" s="136">
        <f t="shared" si="67"/>
        <v>0.04</v>
      </c>
      <c r="S189" s="136">
        <f t="shared" si="68"/>
        <v>0.04</v>
      </c>
      <c r="T189" s="136">
        <f t="shared" si="68"/>
        <v>0.04</v>
      </c>
      <c r="U189" s="136">
        <f t="shared" si="68"/>
        <v>0.04</v>
      </c>
      <c r="V189" s="136">
        <f t="shared" si="68"/>
        <v>0.04</v>
      </c>
      <c r="W189" s="136">
        <f t="shared" si="68"/>
        <v>0.04</v>
      </c>
      <c r="X189" s="136">
        <f t="shared" si="68"/>
        <v>0.04</v>
      </c>
      <c r="Y189" s="136">
        <f t="shared" si="68"/>
        <v>0.04</v>
      </c>
      <c r="Z189" s="136">
        <f t="shared" si="68"/>
        <v>0.04</v>
      </c>
      <c r="AA189" s="136">
        <f t="shared" si="68"/>
        <v>0.04</v>
      </c>
      <c r="AB189" s="136">
        <f t="shared" si="68"/>
        <v>0.04</v>
      </c>
      <c r="AC189" s="136">
        <f t="shared" si="68"/>
        <v>0.04</v>
      </c>
      <c r="AD189" s="136">
        <f t="shared" si="68"/>
        <v>0.04</v>
      </c>
      <c r="AE189" s="136">
        <f t="shared" si="68"/>
        <v>0.04</v>
      </c>
      <c r="AF189" s="136">
        <f t="shared" si="68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66"/>
        <v>2.3E-2</v>
      </c>
      <c r="C190" s="53">
        <v>2.3E-2</v>
      </c>
      <c r="D190" s="136">
        <f>C190</f>
        <v>2.3E-2</v>
      </c>
      <c r="E190" s="136">
        <f t="shared" si="67"/>
        <v>2.3E-2</v>
      </c>
      <c r="F190" s="136">
        <f t="shared" si="67"/>
        <v>2.3E-2</v>
      </c>
      <c r="G190" s="136">
        <f t="shared" si="67"/>
        <v>2.3E-2</v>
      </c>
      <c r="H190" s="136">
        <f t="shared" si="67"/>
        <v>2.3E-2</v>
      </c>
      <c r="I190" s="136">
        <f t="shared" si="67"/>
        <v>2.3E-2</v>
      </c>
      <c r="J190" s="136">
        <f t="shared" si="67"/>
        <v>2.3E-2</v>
      </c>
      <c r="K190" s="136">
        <f t="shared" si="67"/>
        <v>2.3E-2</v>
      </c>
      <c r="L190" s="136">
        <f t="shared" si="67"/>
        <v>2.3E-2</v>
      </c>
      <c r="M190" s="136">
        <f t="shared" si="67"/>
        <v>2.3E-2</v>
      </c>
      <c r="N190" s="136">
        <f t="shared" si="67"/>
        <v>2.3E-2</v>
      </c>
      <c r="O190" s="136">
        <f t="shared" si="67"/>
        <v>2.3E-2</v>
      </c>
      <c r="P190" s="136">
        <f t="shared" si="67"/>
        <v>2.3E-2</v>
      </c>
      <c r="Q190" s="136">
        <f t="shared" si="67"/>
        <v>2.3E-2</v>
      </c>
      <c r="R190" s="136">
        <f t="shared" si="67"/>
        <v>2.3E-2</v>
      </c>
      <c r="S190" s="136">
        <f t="shared" si="68"/>
        <v>2.3E-2</v>
      </c>
      <c r="T190" s="136">
        <f t="shared" si="68"/>
        <v>2.3E-2</v>
      </c>
      <c r="U190" s="136">
        <f t="shared" si="68"/>
        <v>2.3E-2</v>
      </c>
      <c r="V190" s="136">
        <f t="shared" si="68"/>
        <v>2.3E-2</v>
      </c>
      <c r="W190" s="136">
        <f t="shared" si="68"/>
        <v>2.3E-2</v>
      </c>
      <c r="X190" s="136">
        <f t="shared" si="68"/>
        <v>2.3E-2</v>
      </c>
      <c r="Y190" s="136">
        <f t="shared" si="68"/>
        <v>2.3E-2</v>
      </c>
      <c r="Z190" s="136">
        <f t="shared" si="68"/>
        <v>2.3E-2</v>
      </c>
      <c r="AA190" s="136">
        <f t="shared" si="68"/>
        <v>2.3E-2</v>
      </c>
      <c r="AB190" s="136">
        <f t="shared" si="68"/>
        <v>2.3E-2</v>
      </c>
      <c r="AC190" s="136">
        <f t="shared" si="68"/>
        <v>2.3E-2</v>
      </c>
      <c r="AD190" s="136">
        <f t="shared" si="68"/>
        <v>2.3E-2</v>
      </c>
      <c r="AE190" s="136">
        <f t="shared" si="68"/>
        <v>2.3E-2</v>
      </c>
      <c r="AF190" s="136">
        <f t="shared" si="68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69">SUM(C101:C190)</f>
        <v>194.70600000000002</v>
      </c>
      <c r="D191" s="141">
        <f t="shared" si="69"/>
        <v>194.70600000000002</v>
      </c>
      <c r="E191" s="141">
        <f t="shared" si="69"/>
        <v>194.70600000000002</v>
      </c>
      <c r="F191" s="141">
        <f t="shared" si="69"/>
        <v>194.70600000000002</v>
      </c>
      <c r="G191" s="141">
        <f t="shared" si="69"/>
        <v>194.70600000000002</v>
      </c>
      <c r="H191" s="141">
        <f t="shared" si="69"/>
        <v>194.70600000000002</v>
      </c>
      <c r="I191" s="141">
        <f t="shared" si="69"/>
        <v>194.70600000000002</v>
      </c>
      <c r="J191" s="141">
        <f t="shared" si="69"/>
        <v>192.10600000000005</v>
      </c>
      <c r="K191" s="141">
        <f t="shared" si="69"/>
        <v>192.10600000000005</v>
      </c>
      <c r="L191" s="141">
        <f t="shared" si="69"/>
        <v>192.10600000000005</v>
      </c>
      <c r="M191" s="141">
        <f t="shared" si="69"/>
        <v>192.10600000000005</v>
      </c>
      <c r="N191" s="141">
        <f t="shared" si="69"/>
        <v>192.10600000000005</v>
      </c>
      <c r="O191" s="141">
        <f t="shared" si="69"/>
        <v>192.10600000000005</v>
      </c>
      <c r="P191" s="141">
        <f t="shared" si="69"/>
        <v>192.10600000000005</v>
      </c>
      <c r="Q191" s="141">
        <f t="shared" si="69"/>
        <v>192.10600000000005</v>
      </c>
      <c r="R191" s="141">
        <f t="shared" si="69"/>
        <v>192.10600000000005</v>
      </c>
      <c r="S191" s="141">
        <f t="shared" si="69"/>
        <v>192.10600000000005</v>
      </c>
      <c r="T191" s="141">
        <f t="shared" si="69"/>
        <v>192.10600000000005</v>
      </c>
      <c r="U191" s="141">
        <f t="shared" si="69"/>
        <v>192.10600000000005</v>
      </c>
      <c r="V191" s="141">
        <f t="shared" si="69"/>
        <v>192.10600000000005</v>
      </c>
      <c r="W191" s="141">
        <f t="shared" si="69"/>
        <v>192.10600000000005</v>
      </c>
      <c r="X191" s="141">
        <f t="shared" si="69"/>
        <v>192.10600000000005</v>
      </c>
      <c r="Y191" s="141">
        <f t="shared" si="69"/>
        <v>192.10600000000005</v>
      </c>
      <c r="Z191" s="141">
        <f t="shared" si="69"/>
        <v>192.10600000000005</v>
      </c>
      <c r="AA191" s="141">
        <f t="shared" si="69"/>
        <v>192.10600000000005</v>
      </c>
      <c r="AB191" s="141">
        <f t="shared" si="69"/>
        <v>192.10600000000005</v>
      </c>
      <c r="AC191" s="141">
        <f t="shared" si="69"/>
        <v>192.10600000000005</v>
      </c>
      <c r="AD191" s="141">
        <f t="shared" si="69"/>
        <v>192.10600000000005</v>
      </c>
      <c r="AE191" s="141">
        <f t="shared" si="69"/>
        <v>192.10600000000005</v>
      </c>
      <c r="AF191" s="141">
        <f t="shared" si="69"/>
        <v>192.10600000000005</v>
      </c>
      <c r="AG191" s="142">
        <f t="shared" si="69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70">AF193</f>
        <v>0.3</v>
      </c>
      <c r="C193" s="143">
        <v>0.3</v>
      </c>
      <c r="D193" s="143">
        <f t="shared" ref="D193:S198" si="71">C193</f>
        <v>0.3</v>
      </c>
      <c r="E193" s="143">
        <f t="shared" si="71"/>
        <v>0.3</v>
      </c>
      <c r="F193" s="143">
        <f t="shared" si="71"/>
        <v>0.3</v>
      </c>
      <c r="G193" s="143">
        <f t="shared" si="71"/>
        <v>0.3</v>
      </c>
      <c r="H193" s="143">
        <f t="shared" si="71"/>
        <v>0.3</v>
      </c>
      <c r="I193" s="143">
        <f t="shared" si="71"/>
        <v>0.3</v>
      </c>
      <c r="J193" s="143">
        <f t="shared" si="71"/>
        <v>0.3</v>
      </c>
      <c r="K193" s="143">
        <f t="shared" si="71"/>
        <v>0.3</v>
      </c>
      <c r="L193" s="143">
        <f t="shared" si="71"/>
        <v>0.3</v>
      </c>
      <c r="M193" s="143">
        <f t="shared" si="71"/>
        <v>0.3</v>
      </c>
      <c r="N193" s="143">
        <f t="shared" si="71"/>
        <v>0.3</v>
      </c>
      <c r="O193" s="143">
        <f t="shared" si="71"/>
        <v>0.3</v>
      </c>
      <c r="P193" s="143">
        <f t="shared" si="71"/>
        <v>0.3</v>
      </c>
      <c r="Q193" s="143">
        <f t="shared" si="71"/>
        <v>0.3</v>
      </c>
      <c r="R193" s="143">
        <f t="shared" si="71"/>
        <v>0.3</v>
      </c>
      <c r="S193" s="143">
        <f t="shared" si="71"/>
        <v>0.3</v>
      </c>
      <c r="T193" s="143">
        <f t="shared" ref="T193:AF198" si="72">S193</f>
        <v>0.3</v>
      </c>
      <c r="U193" s="143">
        <f t="shared" si="72"/>
        <v>0.3</v>
      </c>
      <c r="V193" s="143">
        <f t="shared" si="72"/>
        <v>0.3</v>
      </c>
      <c r="W193" s="143">
        <f t="shared" si="72"/>
        <v>0.3</v>
      </c>
      <c r="X193" s="143">
        <f t="shared" si="72"/>
        <v>0.3</v>
      </c>
      <c r="Y193" s="143">
        <f t="shared" si="72"/>
        <v>0.3</v>
      </c>
      <c r="Z193" s="143">
        <f t="shared" si="72"/>
        <v>0.3</v>
      </c>
      <c r="AA193" s="143">
        <f t="shared" si="72"/>
        <v>0.3</v>
      </c>
      <c r="AB193" s="143">
        <f t="shared" si="72"/>
        <v>0.3</v>
      </c>
      <c r="AC193" s="143">
        <f t="shared" si="72"/>
        <v>0.3</v>
      </c>
      <c r="AD193" s="143">
        <f t="shared" si="72"/>
        <v>0.3</v>
      </c>
      <c r="AE193" s="143">
        <f t="shared" si="72"/>
        <v>0.3</v>
      </c>
      <c r="AF193" s="143">
        <f t="shared" si="72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70"/>
        <v>0.4</v>
      </c>
      <c r="C194" s="136">
        <v>0.4</v>
      </c>
      <c r="D194" s="136">
        <f t="shared" si="71"/>
        <v>0.4</v>
      </c>
      <c r="E194" s="136">
        <f t="shared" si="71"/>
        <v>0.4</v>
      </c>
      <c r="F194" s="136">
        <f t="shared" si="71"/>
        <v>0.4</v>
      </c>
      <c r="G194" s="136">
        <f t="shared" si="71"/>
        <v>0.4</v>
      </c>
      <c r="H194" s="136">
        <f t="shared" si="71"/>
        <v>0.4</v>
      </c>
      <c r="I194" s="136">
        <f t="shared" si="71"/>
        <v>0.4</v>
      </c>
      <c r="J194" s="136">
        <f t="shared" si="71"/>
        <v>0.4</v>
      </c>
      <c r="K194" s="136">
        <f t="shared" si="71"/>
        <v>0.4</v>
      </c>
      <c r="L194" s="136">
        <f t="shared" si="71"/>
        <v>0.4</v>
      </c>
      <c r="M194" s="136">
        <f t="shared" si="71"/>
        <v>0.4</v>
      </c>
      <c r="N194" s="136">
        <f t="shared" si="71"/>
        <v>0.4</v>
      </c>
      <c r="O194" s="136">
        <f t="shared" si="71"/>
        <v>0.4</v>
      </c>
      <c r="P194" s="136">
        <f t="shared" si="71"/>
        <v>0.4</v>
      </c>
      <c r="Q194" s="136">
        <f t="shared" si="71"/>
        <v>0.4</v>
      </c>
      <c r="R194" s="136">
        <f t="shared" si="71"/>
        <v>0.4</v>
      </c>
      <c r="S194" s="136">
        <f t="shared" si="71"/>
        <v>0.4</v>
      </c>
      <c r="T194" s="136">
        <f t="shared" si="72"/>
        <v>0.4</v>
      </c>
      <c r="U194" s="136">
        <f t="shared" si="72"/>
        <v>0.4</v>
      </c>
      <c r="V194" s="136">
        <f t="shared" si="72"/>
        <v>0.4</v>
      </c>
      <c r="W194" s="136">
        <f>V194</f>
        <v>0.4</v>
      </c>
      <c r="X194" s="136">
        <f>W194</f>
        <v>0.4</v>
      </c>
      <c r="Y194" s="136">
        <f t="shared" si="72"/>
        <v>0.4</v>
      </c>
      <c r="Z194" s="136">
        <f t="shared" si="72"/>
        <v>0.4</v>
      </c>
      <c r="AA194" s="136">
        <f t="shared" si="72"/>
        <v>0.4</v>
      </c>
      <c r="AB194" s="136">
        <f t="shared" si="72"/>
        <v>0.4</v>
      </c>
      <c r="AC194" s="136">
        <f t="shared" si="72"/>
        <v>0.4</v>
      </c>
      <c r="AD194" s="136">
        <f t="shared" si="72"/>
        <v>0.4</v>
      </c>
      <c r="AE194" s="136">
        <f t="shared" si="72"/>
        <v>0.4</v>
      </c>
      <c r="AF194" s="136">
        <f t="shared" si="72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70"/>
        <v>1.5</v>
      </c>
      <c r="C195" s="136">
        <v>1.5</v>
      </c>
      <c r="D195" s="136">
        <f t="shared" si="71"/>
        <v>1.5</v>
      </c>
      <c r="E195" s="136">
        <f t="shared" si="71"/>
        <v>1.5</v>
      </c>
      <c r="F195" s="136">
        <f t="shared" si="71"/>
        <v>1.5</v>
      </c>
      <c r="G195" s="136">
        <f t="shared" si="71"/>
        <v>1.5</v>
      </c>
      <c r="H195" s="136">
        <f t="shared" si="71"/>
        <v>1.5</v>
      </c>
      <c r="I195" s="136">
        <f t="shared" si="71"/>
        <v>1.5</v>
      </c>
      <c r="J195" s="136">
        <f t="shared" si="71"/>
        <v>1.5</v>
      </c>
      <c r="K195" s="136">
        <f t="shared" si="71"/>
        <v>1.5</v>
      </c>
      <c r="L195" s="136">
        <f t="shared" si="71"/>
        <v>1.5</v>
      </c>
      <c r="M195" s="136">
        <f t="shared" si="71"/>
        <v>1.5</v>
      </c>
      <c r="N195" s="136">
        <f t="shared" si="71"/>
        <v>1.5</v>
      </c>
      <c r="O195" s="136">
        <f t="shared" si="71"/>
        <v>1.5</v>
      </c>
      <c r="P195" s="136">
        <f t="shared" si="71"/>
        <v>1.5</v>
      </c>
      <c r="Q195" s="136">
        <f t="shared" si="71"/>
        <v>1.5</v>
      </c>
      <c r="R195" s="136">
        <f t="shared" si="71"/>
        <v>1.5</v>
      </c>
      <c r="S195" s="136">
        <f t="shared" si="71"/>
        <v>1.5</v>
      </c>
      <c r="T195" s="136">
        <f t="shared" si="72"/>
        <v>1.5</v>
      </c>
      <c r="U195" s="136">
        <f t="shared" si="72"/>
        <v>1.5</v>
      </c>
      <c r="V195" s="136">
        <f t="shared" si="72"/>
        <v>1.5</v>
      </c>
      <c r="W195" s="136">
        <f t="shared" si="72"/>
        <v>1.5</v>
      </c>
      <c r="X195" s="136">
        <f t="shared" si="72"/>
        <v>1.5</v>
      </c>
      <c r="Y195" s="136">
        <f t="shared" si="72"/>
        <v>1.5</v>
      </c>
      <c r="Z195" s="136">
        <f t="shared" si="72"/>
        <v>1.5</v>
      </c>
      <c r="AA195" s="136">
        <f t="shared" si="72"/>
        <v>1.5</v>
      </c>
      <c r="AB195" s="136">
        <f t="shared" si="72"/>
        <v>1.5</v>
      </c>
      <c r="AC195" s="136">
        <f t="shared" si="72"/>
        <v>1.5</v>
      </c>
      <c r="AD195" s="136">
        <f t="shared" si="72"/>
        <v>1.5</v>
      </c>
      <c r="AE195" s="136">
        <f t="shared" si="72"/>
        <v>1.5</v>
      </c>
      <c r="AF195" s="136">
        <f t="shared" si="72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70"/>
        <v>0.3</v>
      </c>
      <c r="C196" s="136">
        <v>0.3</v>
      </c>
      <c r="D196" s="136">
        <f t="shared" si="71"/>
        <v>0.3</v>
      </c>
      <c r="E196" s="136">
        <f t="shared" si="71"/>
        <v>0.3</v>
      </c>
      <c r="F196" s="136">
        <f t="shared" si="71"/>
        <v>0.3</v>
      </c>
      <c r="G196" s="136">
        <f t="shared" si="71"/>
        <v>0.3</v>
      </c>
      <c r="H196" s="136">
        <f t="shared" si="71"/>
        <v>0.3</v>
      </c>
      <c r="I196" s="136">
        <f t="shared" si="71"/>
        <v>0.3</v>
      </c>
      <c r="J196" s="136">
        <f t="shared" si="71"/>
        <v>0.3</v>
      </c>
      <c r="K196" s="136">
        <f t="shared" si="71"/>
        <v>0.3</v>
      </c>
      <c r="L196" s="136">
        <f t="shared" si="71"/>
        <v>0.3</v>
      </c>
      <c r="M196" s="136">
        <f t="shared" si="71"/>
        <v>0.3</v>
      </c>
      <c r="N196" s="136">
        <f t="shared" si="71"/>
        <v>0.3</v>
      </c>
      <c r="O196" s="136">
        <f t="shared" si="71"/>
        <v>0.3</v>
      </c>
      <c r="P196" s="136">
        <f t="shared" si="71"/>
        <v>0.3</v>
      </c>
      <c r="Q196" s="136">
        <f t="shared" si="71"/>
        <v>0.3</v>
      </c>
      <c r="R196" s="136">
        <f t="shared" si="71"/>
        <v>0.3</v>
      </c>
      <c r="S196" s="136">
        <f t="shared" si="71"/>
        <v>0.3</v>
      </c>
      <c r="T196" s="136">
        <f t="shared" si="72"/>
        <v>0.3</v>
      </c>
      <c r="U196" s="136">
        <f t="shared" si="72"/>
        <v>0.3</v>
      </c>
      <c r="V196" s="136">
        <f t="shared" si="72"/>
        <v>0.3</v>
      </c>
      <c r="W196" s="136">
        <f t="shared" si="72"/>
        <v>0.3</v>
      </c>
      <c r="X196" s="136">
        <f t="shared" si="72"/>
        <v>0.3</v>
      </c>
      <c r="Y196" s="136">
        <f t="shared" si="72"/>
        <v>0.3</v>
      </c>
      <c r="Z196" s="136">
        <f t="shared" si="72"/>
        <v>0.3</v>
      </c>
      <c r="AA196" s="136">
        <f t="shared" si="72"/>
        <v>0.3</v>
      </c>
      <c r="AB196" s="136">
        <f t="shared" si="72"/>
        <v>0.3</v>
      </c>
      <c r="AC196" s="136">
        <f t="shared" si="72"/>
        <v>0.3</v>
      </c>
      <c r="AD196" s="136">
        <f t="shared" si="72"/>
        <v>0.3</v>
      </c>
      <c r="AE196" s="136">
        <f t="shared" si="72"/>
        <v>0.3</v>
      </c>
      <c r="AF196" s="136">
        <f t="shared" si="72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70"/>
        <v>0.4</v>
      </c>
      <c r="C197" s="136">
        <v>0.4</v>
      </c>
      <c r="D197" s="136">
        <f t="shared" si="71"/>
        <v>0.4</v>
      </c>
      <c r="E197" s="136">
        <f t="shared" si="71"/>
        <v>0.4</v>
      </c>
      <c r="F197" s="136">
        <f t="shared" si="71"/>
        <v>0.4</v>
      </c>
      <c r="G197" s="136">
        <f t="shared" si="71"/>
        <v>0.4</v>
      </c>
      <c r="H197" s="136">
        <f t="shared" si="71"/>
        <v>0.4</v>
      </c>
      <c r="I197" s="136">
        <f t="shared" si="71"/>
        <v>0.4</v>
      </c>
      <c r="J197" s="136">
        <f t="shared" si="71"/>
        <v>0.4</v>
      </c>
      <c r="K197" s="136">
        <f t="shared" si="71"/>
        <v>0.4</v>
      </c>
      <c r="L197" s="136">
        <f t="shared" si="71"/>
        <v>0.4</v>
      </c>
      <c r="M197" s="136">
        <f t="shared" si="71"/>
        <v>0.4</v>
      </c>
      <c r="N197" s="136">
        <f t="shared" si="71"/>
        <v>0.4</v>
      </c>
      <c r="O197" s="136">
        <f t="shared" si="71"/>
        <v>0.4</v>
      </c>
      <c r="P197" s="136">
        <f t="shared" si="71"/>
        <v>0.4</v>
      </c>
      <c r="Q197" s="136">
        <f t="shared" si="71"/>
        <v>0.4</v>
      </c>
      <c r="R197" s="136">
        <f t="shared" si="71"/>
        <v>0.4</v>
      </c>
      <c r="S197" s="136">
        <f t="shared" si="71"/>
        <v>0.4</v>
      </c>
      <c r="T197" s="136">
        <f t="shared" si="72"/>
        <v>0.4</v>
      </c>
      <c r="U197" s="136">
        <f t="shared" si="72"/>
        <v>0.4</v>
      </c>
      <c r="V197" s="136">
        <f t="shared" si="72"/>
        <v>0.4</v>
      </c>
      <c r="W197" s="136">
        <f t="shared" si="72"/>
        <v>0.4</v>
      </c>
      <c r="X197" s="136">
        <f t="shared" si="72"/>
        <v>0.4</v>
      </c>
      <c r="Y197" s="136">
        <f t="shared" si="72"/>
        <v>0.4</v>
      </c>
      <c r="Z197" s="136">
        <f t="shared" si="72"/>
        <v>0.4</v>
      </c>
      <c r="AA197" s="136">
        <f t="shared" si="72"/>
        <v>0.4</v>
      </c>
      <c r="AB197" s="136">
        <f t="shared" si="72"/>
        <v>0.4</v>
      </c>
      <c r="AC197" s="136">
        <f t="shared" si="72"/>
        <v>0.4</v>
      </c>
      <c r="AD197" s="136">
        <f t="shared" si="72"/>
        <v>0.4</v>
      </c>
      <c r="AE197" s="136">
        <f t="shared" si="72"/>
        <v>0.4</v>
      </c>
      <c r="AF197" s="136">
        <f t="shared" si="72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70"/>
        <v>0.64</v>
      </c>
      <c r="C198" s="146">
        <v>0.64</v>
      </c>
      <c r="D198" s="146">
        <f t="shared" si="71"/>
        <v>0.64</v>
      </c>
      <c r="E198" s="146">
        <f t="shared" si="71"/>
        <v>0.64</v>
      </c>
      <c r="F198" s="146">
        <f t="shared" si="71"/>
        <v>0.64</v>
      </c>
      <c r="G198" s="146">
        <f t="shared" si="71"/>
        <v>0.64</v>
      </c>
      <c r="H198" s="146">
        <f t="shared" si="71"/>
        <v>0.64</v>
      </c>
      <c r="I198" s="146">
        <f t="shared" si="71"/>
        <v>0.64</v>
      </c>
      <c r="J198" s="146">
        <f t="shared" si="71"/>
        <v>0.64</v>
      </c>
      <c r="K198" s="146">
        <f t="shared" si="71"/>
        <v>0.64</v>
      </c>
      <c r="L198" s="146">
        <f t="shared" si="71"/>
        <v>0.64</v>
      </c>
      <c r="M198" s="146">
        <f t="shared" si="71"/>
        <v>0.64</v>
      </c>
      <c r="N198" s="146">
        <f t="shared" si="71"/>
        <v>0.64</v>
      </c>
      <c r="O198" s="146">
        <f t="shared" si="71"/>
        <v>0.64</v>
      </c>
      <c r="P198" s="146">
        <f t="shared" si="71"/>
        <v>0.64</v>
      </c>
      <c r="Q198" s="146">
        <f t="shared" si="71"/>
        <v>0.64</v>
      </c>
      <c r="R198" s="146">
        <f t="shared" si="71"/>
        <v>0.64</v>
      </c>
      <c r="S198" s="146">
        <f t="shared" si="71"/>
        <v>0.64</v>
      </c>
      <c r="T198" s="146">
        <f t="shared" si="72"/>
        <v>0.64</v>
      </c>
      <c r="U198" s="146">
        <f t="shared" si="72"/>
        <v>0.64</v>
      </c>
      <c r="V198" s="146">
        <f t="shared" si="72"/>
        <v>0.64</v>
      </c>
      <c r="W198" s="146">
        <f t="shared" si="72"/>
        <v>0.64</v>
      </c>
      <c r="X198" s="146">
        <f t="shared" si="72"/>
        <v>0.64</v>
      </c>
      <c r="Y198" s="146">
        <f t="shared" si="72"/>
        <v>0.64</v>
      </c>
      <c r="Z198" s="146">
        <f t="shared" si="72"/>
        <v>0.64</v>
      </c>
      <c r="AA198" s="146">
        <f t="shared" si="72"/>
        <v>0.64</v>
      </c>
      <c r="AB198" s="146">
        <f t="shared" si="72"/>
        <v>0.64</v>
      </c>
      <c r="AC198" s="146">
        <f t="shared" si="72"/>
        <v>0.64</v>
      </c>
      <c r="AD198" s="146">
        <f t="shared" si="72"/>
        <v>0.64</v>
      </c>
      <c r="AE198" s="146">
        <f t="shared" si="72"/>
        <v>0.64</v>
      </c>
      <c r="AF198" s="146">
        <f t="shared" si="72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73">SUM(D193:D198)</f>
        <v>3.54</v>
      </c>
      <c r="E199" s="149">
        <f t="shared" si="73"/>
        <v>3.54</v>
      </c>
      <c r="F199" s="149">
        <f t="shared" si="73"/>
        <v>3.54</v>
      </c>
      <c r="G199" s="149">
        <f t="shared" si="73"/>
        <v>3.54</v>
      </c>
      <c r="H199" s="149">
        <f t="shared" si="73"/>
        <v>3.54</v>
      </c>
      <c r="I199" s="149">
        <f t="shared" si="73"/>
        <v>3.54</v>
      </c>
      <c r="J199" s="149">
        <f t="shared" si="73"/>
        <v>3.54</v>
      </c>
      <c r="K199" s="149">
        <f t="shared" si="73"/>
        <v>3.54</v>
      </c>
      <c r="L199" s="149">
        <f t="shared" si="73"/>
        <v>3.54</v>
      </c>
      <c r="M199" s="149">
        <f>SUM(M193:M198)</f>
        <v>3.54</v>
      </c>
      <c r="N199" s="149">
        <f t="shared" ref="N199:S199" si="74">SUM(N193:N198)</f>
        <v>3.54</v>
      </c>
      <c r="O199" s="149">
        <f t="shared" si="74"/>
        <v>3.54</v>
      </c>
      <c r="P199" s="149">
        <f t="shared" si="74"/>
        <v>3.54</v>
      </c>
      <c r="Q199" s="149">
        <f t="shared" si="74"/>
        <v>3.54</v>
      </c>
      <c r="R199" s="149">
        <f t="shared" si="74"/>
        <v>3.54</v>
      </c>
      <c r="S199" s="149">
        <f t="shared" si="74"/>
        <v>3.54</v>
      </c>
      <c r="T199" s="149">
        <f>SUM(T193:T198)</f>
        <v>3.54</v>
      </c>
      <c r="U199" s="149">
        <f t="shared" ref="U199:AG199" si="75">SUM(U193:U198)</f>
        <v>3.54</v>
      </c>
      <c r="V199" s="149">
        <f t="shared" si="75"/>
        <v>3.54</v>
      </c>
      <c r="W199" s="149">
        <f t="shared" si="75"/>
        <v>3.54</v>
      </c>
      <c r="X199" s="149">
        <f t="shared" si="75"/>
        <v>3.54</v>
      </c>
      <c r="Y199" s="149">
        <f t="shared" si="75"/>
        <v>3.54</v>
      </c>
      <c r="Z199" s="149">
        <f t="shared" si="75"/>
        <v>3.54</v>
      </c>
      <c r="AA199" s="149">
        <f t="shared" si="75"/>
        <v>3.54</v>
      </c>
      <c r="AB199" s="149">
        <f t="shared" si="75"/>
        <v>3.54</v>
      </c>
      <c r="AC199" s="149">
        <f t="shared" si="75"/>
        <v>3.54</v>
      </c>
      <c r="AD199" s="149">
        <f t="shared" si="75"/>
        <v>3.54</v>
      </c>
      <c r="AE199" s="149">
        <f t="shared" si="75"/>
        <v>3.54</v>
      </c>
      <c r="AF199" s="149">
        <f t="shared" si="75"/>
        <v>3.54</v>
      </c>
      <c r="AG199" s="150">
        <f t="shared" si="75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1321.2400000000002</v>
      </c>
      <c r="C208" s="164">
        <f>INDEX(G9:N9,1,MATCH(MAX(G75:N75),G75:N75,0))</f>
        <v>0.33333333333333331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21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2078/11/21)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2078/11/21)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76">B75</f>
        <v>940.93999999999994</v>
      </c>
      <c r="U213" s="174">
        <f t="shared" si="76"/>
        <v>935.63999999999987</v>
      </c>
      <c r="V213" s="174">
        <f t="shared" si="76"/>
        <v>927.84</v>
      </c>
      <c r="W213" s="174">
        <f t="shared" si="76"/>
        <v>918.44</v>
      </c>
      <c r="X213" s="174">
        <f t="shared" si="76"/>
        <v>916.94</v>
      </c>
      <c r="Y213" s="174">
        <f t="shared" si="76"/>
        <v>956.94</v>
      </c>
      <c r="Z213" s="174">
        <f t="shared" si="76"/>
        <v>956.94</v>
      </c>
      <c r="AA213" s="174">
        <f t="shared" si="76"/>
        <v>1003.04</v>
      </c>
      <c r="AB213" s="174">
        <f t="shared" si="76"/>
        <v>1147.44</v>
      </c>
      <c r="AC213" s="174">
        <f t="shared" si="76"/>
        <v>1226.3400000000001</v>
      </c>
      <c r="AD213" s="174">
        <f t="shared" si="76"/>
        <v>1314.3400000000001</v>
      </c>
      <c r="AE213" s="174">
        <f t="shared" si="76"/>
        <v>1321.2400000000002</v>
      </c>
      <c r="AF213" s="174">
        <f t="shared" si="76"/>
        <v>1312.04</v>
      </c>
      <c r="AG213" s="174">
        <f t="shared" si="76"/>
        <v>1193.04</v>
      </c>
      <c r="AH213" s="174">
        <f t="shared" si="76"/>
        <v>1167.3400000000001</v>
      </c>
      <c r="AI213" s="174">
        <f t="shared" si="76"/>
        <v>1094.8399999999999</v>
      </c>
      <c r="AJ213" s="174">
        <f t="shared" si="76"/>
        <v>1084.6400000000001</v>
      </c>
      <c r="AK213" s="174">
        <f t="shared" si="76"/>
        <v>1024.54</v>
      </c>
      <c r="AL213" s="174">
        <f t="shared" si="76"/>
        <v>1047.04</v>
      </c>
      <c r="AM213" s="174">
        <f t="shared" si="76"/>
        <v>1049.8400000000001</v>
      </c>
      <c r="AN213" s="174">
        <f t="shared" si="76"/>
        <v>1054.44</v>
      </c>
      <c r="AO213" s="174">
        <f t="shared" si="76"/>
        <v>1088.3400000000001</v>
      </c>
      <c r="AP213" s="174">
        <f t="shared" si="76"/>
        <v>1194.1400000000001</v>
      </c>
      <c r="AQ213" s="174">
        <f t="shared" si="76"/>
        <v>1376.44</v>
      </c>
      <c r="AR213" s="174">
        <f t="shared" si="76"/>
        <v>1403.54</v>
      </c>
      <c r="AS213" s="174">
        <f t="shared" si="76"/>
        <v>1315.04</v>
      </c>
      <c r="AT213" s="174">
        <f t="shared" si="76"/>
        <v>1243.1400000000001</v>
      </c>
      <c r="AU213" s="174">
        <f t="shared" si="76"/>
        <v>1201.94</v>
      </c>
      <c r="AV213" s="174">
        <f t="shared" si="76"/>
        <v>1151.94</v>
      </c>
      <c r="AW213" s="174">
        <f t="shared" si="76"/>
        <v>1030.94</v>
      </c>
      <c r="AX213" s="174">
        <f t="shared" si="76"/>
        <v>968.34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77">C198</f>
        <v>0.64</v>
      </c>
      <c r="C234" s="177">
        <f t="shared" si="77"/>
        <v>0.64</v>
      </c>
      <c r="D234" s="177">
        <f t="shared" si="77"/>
        <v>0.64</v>
      </c>
      <c r="E234" s="177">
        <f t="shared" si="77"/>
        <v>0.64</v>
      </c>
      <c r="F234" s="177">
        <f t="shared" si="77"/>
        <v>0.64</v>
      </c>
      <c r="G234" s="177">
        <f t="shared" si="77"/>
        <v>0.64</v>
      </c>
      <c r="H234" s="177">
        <f t="shared" si="77"/>
        <v>0.64</v>
      </c>
      <c r="I234" s="177">
        <f t="shared" si="77"/>
        <v>0.64</v>
      </c>
      <c r="J234" s="177">
        <f t="shared" si="77"/>
        <v>0.64</v>
      </c>
      <c r="K234" s="177">
        <f t="shared" si="77"/>
        <v>0.64</v>
      </c>
      <c r="L234" s="177">
        <f t="shared" si="77"/>
        <v>0.64</v>
      </c>
      <c r="M234" s="177">
        <f t="shared" si="77"/>
        <v>0.64</v>
      </c>
      <c r="N234" s="177">
        <f t="shared" si="77"/>
        <v>0.64</v>
      </c>
      <c r="O234" s="177">
        <f t="shared" si="77"/>
        <v>0.64</v>
      </c>
      <c r="P234" s="177">
        <f t="shared" si="77"/>
        <v>0.64</v>
      </c>
      <c r="Q234" s="177">
        <f t="shared" si="77"/>
        <v>0.64</v>
      </c>
      <c r="R234" s="177">
        <f t="shared" si="77"/>
        <v>0.64</v>
      </c>
      <c r="S234" s="177">
        <f t="shared" si="77"/>
        <v>0.64</v>
      </c>
      <c r="T234" s="177">
        <f t="shared" si="77"/>
        <v>0.64</v>
      </c>
      <c r="U234" s="177">
        <f t="shared" si="77"/>
        <v>0.64</v>
      </c>
      <c r="V234" s="177">
        <f t="shared" si="77"/>
        <v>0.64</v>
      </c>
      <c r="W234" s="177">
        <f t="shared" si="77"/>
        <v>0.64</v>
      </c>
      <c r="X234" s="177">
        <f t="shared" si="77"/>
        <v>0.64</v>
      </c>
      <c r="Y234" s="177">
        <f t="shared" si="77"/>
        <v>0.64</v>
      </c>
      <c r="Z234" s="177">
        <f t="shared" si="77"/>
        <v>0.64</v>
      </c>
      <c r="AA234" s="177">
        <f t="shared" si="77"/>
        <v>0.64</v>
      </c>
      <c r="AB234" s="177">
        <f t="shared" si="77"/>
        <v>0.64</v>
      </c>
      <c r="AC234" s="177">
        <f t="shared" si="77"/>
        <v>0.64</v>
      </c>
      <c r="AD234" s="177">
        <f t="shared" si="77"/>
        <v>0.64</v>
      </c>
      <c r="AE234" s="177">
        <f t="shared" si="77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78">IF(C202&lt;100,"",C202-520)</f>
        <v/>
      </c>
      <c r="D235" s="120" t="str">
        <f t="shared" si="78"/>
        <v/>
      </c>
      <c r="E235" s="120" t="str">
        <f t="shared" si="78"/>
        <v/>
      </c>
      <c r="F235" s="120" t="str">
        <f t="shared" si="78"/>
        <v/>
      </c>
      <c r="G235" s="120" t="str">
        <f t="shared" si="78"/>
        <v/>
      </c>
      <c r="H235" s="120" t="str">
        <f t="shared" si="78"/>
        <v/>
      </c>
      <c r="I235" s="120" t="str">
        <f t="shared" si="78"/>
        <v/>
      </c>
      <c r="J235" s="120" t="str">
        <f t="shared" si="78"/>
        <v/>
      </c>
      <c r="K235" s="120" t="str">
        <f t="shared" si="78"/>
        <v/>
      </c>
      <c r="L235" s="120" t="str">
        <f t="shared" si="78"/>
        <v/>
      </c>
      <c r="M235" s="120" t="str">
        <f t="shared" si="78"/>
        <v/>
      </c>
      <c r="N235" s="120" t="str">
        <f t="shared" si="78"/>
        <v/>
      </c>
      <c r="O235" s="120" t="str">
        <f t="shared" si="78"/>
        <v/>
      </c>
      <c r="P235" s="120" t="str">
        <f t="shared" si="78"/>
        <v/>
      </c>
      <c r="Q235" s="120" t="str">
        <f t="shared" si="78"/>
        <v/>
      </c>
      <c r="R235" s="120" t="str">
        <f t="shared" si="78"/>
        <v/>
      </c>
      <c r="S235" s="120" t="str">
        <f t="shared" si="78"/>
        <v/>
      </c>
      <c r="T235" s="120" t="str">
        <f t="shared" si="78"/>
        <v/>
      </c>
      <c r="U235" s="120" t="str">
        <f t="shared" si="78"/>
        <v/>
      </c>
      <c r="V235" s="120" t="str">
        <f t="shared" si="78"/>
        <v/>
      </c>
      <c r="W235" s="120" t="str">
        <f t="shared" si="78"/>
        <v/>
      </c>
      <c r="X235" s="120" t="str">
        <f t="shared" si="78"/>
        <v/>
      </c>
      <c r="Y235" s="120" t="str">
        <f t="shared" si="78"/>
        <v/>
      </c>
      <c r="Z235" s="120" t="str">
        <f t="shared" si="78"/>
        <v/>
      </c>
      <c r="AA235" s="120" t="str">
        <f t="shared" si="78"/>
        <v/>
      </c>
      <c r="AB235" s="120" t="str">
        <f t="shared" si="78"/>
        <v/>
      </c>
      <c r="AC235" s="120" t="str">
        <f t="shared" si="78"/>
        <v/>
      </c>
      <c r="AD235" s="120" t="str">
        <f t="shared" si="78"/>
        <v/>
      </c>
      <c r="AE235" s="120" t="str">
        <f t="shared" si="78"/>
        <v/>
      </c>
      <c r="AF235" s="120" t="str">
        <f t="shared" si="78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79">IF(B203&lt;100,"",B203-620)</f>
        <v/>
      </c>
      <c r="C236" s="120" t="str">
        <f t="shared" si="79"/>
        <v/>
      </c>
      <c r="D236" s="120" t="str">
        <f t="shared" si="79"/>
        <v/>
      </c>
      <c r="E236" s="120" t="str">
        <f t="shared" si="79"/>
        <v/>
      </c>
      <c r="F236" s="120" t="str">
        <f t="shared" si="79"/>
        <v/>
      </c>
      <c r="G236" s="120" t="str">
        <f t="shared" si="79"/>
        <v/>
      </c>
      <c r="H236" s="120" t="str">
        <f t="shared" si="79"/>
        <v/>
      </c>
      <c r="I236" s="120" t="str">
        <f t="shared" si="79"/>
        <v/>
      </c>
      <c r="J236" s="120" t="str">
        <f t="shared" si="79"/>
        <v/>
      </c>
      <c r="K236" s="120" t="str">
        <f t="shared" si="79"/>
        <v/>
      </c>
      <c r="L236" s="120" t="str">
        <f t="shared" si="79"/>
        <v/>
      </c>
      <c r="M236" s="120" t="str">
        <f t="shared" si="79"/>
        <v/>
      </c>
      <c r="N236" s="120" t="str">
        <f t="shared" si="79"/>
        <v/>
      </c>
      <c r="O236" s="120" t="str">
        <f t="shared" si="79"/>
        <v/>
      </c>
      <c r="P236" s="120" t="str">
        <f t="shared" si="79"/>
        <v/>
      </c>
      <c r="Q236" s="120" t="str">
        <f t="shared" si="79"/>
        <v/>
      </c>
      <c r="R236" s="120" t="str">
        <f t="shared" si="79"/>
        <v/>
      </c>
      <c r="S236" s="120" t="str">
        <f t="shared" si="79"/>
        <v/>
      </c>
      <c r="T236" s="120" t="str">
        <f t="shared" si="79"/>
        <v/>
      </c>
      <c r="U236" s="120" t="str">
        <f t="shared" si="79"/>
        <v/>
      </c>
      <c r="V236" s="120" t="str">
        <f t="shared" si="79"/>
        <v/>
      </c>
      <c r="W236" s="120" t="str">
        <f t="shared" si="79"/>
        <v/>
      </c>
      <c r="X236" s="120" t="str">
        <f t="shared" si="79"/>
        <v/>
      </c>
      <c r="Y236" s="120" t="str">
        <f t="shared" si="79"/>
        <v/>
      </c>
      <c r="Z236" s="120" t="str">
        <f t="shared" si="79"/>
        <v/>
      </c>
      <c r="AA236" s="120" t="str">
        <f t="shared" si="79"/>
        <v/>
      </c>
      <c r="AB236" s="120" t="str">
        <f t="shared" si="79"/>
        <v/>
      </c>
      <c r="AC236" s="120" t="str">
        <f t="shared" si="79"/>
        <v/>
      </c>
      <c r="AD236" s="120" t="str">
        <f t="shared" si="79"/>
        <v/>
      </c>
      <c r="AE236" s="120" t="str">
        <f t="shared" si="79"/>
        <v/>
      </c>
      <c r="AF236" s="120" t="str">
        <f t="shared" si="79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80">IF(B204&lt;100,"",B204-330)</f>
        <v/>
      </c>
      <c r="C237" s="120" t="str">
        <f t="shared" si="80"/>
        <v/>
      </c>
      <c r="D237" s="120" t="str">
        <f t="shared" si="80"/>
        <v/>
      </c>
      <c r="E237" s="120" t="str">
        <f t="shared" si="80"/>
        <v/>
      </c>
      <c r="F237" s="120" t="str">
        <f t="shared" si="80"/>
        <v/>
      </c>
      <c r="G237" s="120" t="str">
        <f t="shared" si="80"/>
        <v/>
      </c>
      <c r="H237" s="120" t="str">
        <f t="shared" si="80"/>
        <v/>
      </c>
      <c r="I237" s="120" t="str">
        <f t="shared" si="80"/>
        <v/>
      </c>
      <c r="J237" s="120" t="str">
        <f t="shared" si="80"/>
        <v/>
      </c>
      <c r="K237" s="120" t="str">
        <f t="shared" si="80"/>
        <v/>
      </c>
      <c r="L237" s="120" t="str">
        <f t="shared" si="80"/>
        <v/>
      </c>
      <c r="M237" s="120" t="str">
        <f t="shared" si="80"/>
        <v/>
      </c>
      <c r="N237" s="120" t="str">
        <f t="shared" si="80"/>
        <v/>
      </c>
      <c r="O237" s="120" t="str">
        <f t="shared" si="80"/>
        <v/>
      </c>
      <c r="P237" s="120" t="str">
        <f t="shared" si="80"/>
        <v/>
      </c>
      <c r="Q237" s="120" t="str">
        <f t="shared" si="80"/>
        <v/>
      </c>
      <c r="R237" s="120" t="str">
        <f t="shared" si="80"/>
        <v/>
      </c>
      <c r="S237" s="120" t="str">
        <f t="shared" si="80"/>
        <v/>
      </c>
      <c r="T237" s="120" t="str">
        <f t="shared" si="80"/>
        <v/>
      </c>
      <c r="U237" s="120" t="str">
        <f t="shared" si="80"/>
        <v/>
      </c>
      <c r="V237" s="120" t="str">
        <f t="shared" si="80"/>
        <v/>
      </c>
      <c r="W237" s="120" t="str">
        <f t="shared" si="80"/>
        <v/>
      </c>
      <c r="X237" s="120" t="str">
        <f t="shared" si="80"/>
        <v/>
      </c>
      <c r="Y237" s="120" t="str">
        <f t="shared" si="80"/>
        <v/>
      </c>
      <c r="Z237" s="120" t="str">
        <f t="shared" si="80"/>
        <v/>
      </c>
      <c r="AA237" s="120" t="str">
        <f t="shared" si="80"/>
        <v/>
      </c>
      <c r="AB237" s="120" t="str">
        <f t="shared" si="80"/>
        <v/>
      </c>
      <c r="AC237" s="120" t="str">
        <f t="shared" si="80"/>
        <v/>
      </c>
      <c r="AD237" s="120" t="str">
        <f t="shared" si="80"/>
        <v/>
      </c>
      <c r="AE237" s="120" t="str">
        <f t="shared" si="80"/>
        <v/>
      </c>
      <c r="AF237" s="120" t="str">
        <f t="shared" si="80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81">IF(C205&lt;100,"",C205-1500)</f>
        <v/>
      </c>
      <c r="D238" s="120" t="str">
        <f t="shared" si="81"/>
        <v/>
      </c>
      <c r="E238" s="120" t="str">
        <f t="shared" si="81"/>
        <v/>
      </c>
      <c r="F238" s="120" t="str">
        <f t="shared" si="81"/>
        <v/>
      </c>
      <c r="G238" s="120" t="str">
        <f t="shared" si="81"/>
        <v/>
      </c>
      <c r="H238" s="120" t="str">
        <f t="shared" si="81"/>
        <v/>
      </c>
      <c r="I238" s="120" t="str">
        <f t="shared" si="81"/>
        <v/>
      </c>
      <c r="J238" s="120" t="str">
        <f t="shared" si="81"/>
        <v/>
      </c>
      <c r="K238" s="120" t="str">
        <f t="shared" si="81"/>
        <v/>
      </c>
      <c r="L238" s="120" t="str">
        <f t="shared" si="81"/>
        <v/>
      </c>
      <c r="M238" s="120" t="str">
        <f t="shared" si="81"/>
        <v/>
      </c>
      <c r="N238" s="120" t="str">
        <f t="shared" si="81"/>
        <v/>
      </c>
      <c r="O238" s="120" t="str">
        <f t="shared" si="81"/>
        <v/>
      </c>
      <c r="P238" s="120" t="str">
        <f t="shared" si="81"/>
        <v/>
      </c>
      <c r="Q238" s="120" t="str">
        <f t="shared" si="81"/>
        <v/>
      </c>
      <c r="R238" s="120" t="str">
        <f t="shared" si="81"/>
        <v/>
      </c>
      <c r="S238" s="120" t="str">
        <f t="shared" si="81"/>
        <v/>
      </c>
      <c r="T238" s="120" t="str">
        <f t="shared" si="81"/>
        <v/>
      </c>
      <c r="U238" s="120" t="str">
        <f t="shared" si="81"/>
        <v/>
      </c>
      <c r="V238" s="120" t="str">
        <f t="shared" si="81"/>
        <v/>
      </c>
      <c r="W238" s="120" t="str">
        <f t="shared" si="81"/>
        <v/>
      </c>
      <c r="X238" s="120" t="str">
        <f t="shared" si="81"/>
        <v/>
      </c>
      <c r="Y238" s="120" t="str">
        <f t="shared" si="81"/>
        <v/>
      </c>
      <c r="Z238" s="120" t="str">
        <f t="shared" si="81"/>
        <v/>
      </c>
      <c r="AA238" s="120" t="str">
        <f t="shared" si="81"/>
        <v/>
      </c>
      <c r="AB238" s="120" t="str">
        <f t="shared" si="81"/>
        <v/>
      </c>
      <c r="AC238" s="120" t="str">
        <f t="shared" si="81"/>
        <v/>
      </c>
      <c r="AD238" s="120" t="str">
        <f t="shared" si="81"/>
        <v/>
      </c>
      <c r="AE238" s="120" t="str">
        <f t="shared" si="81"/>
        <v/>
      </c>
      <c r="AF238" s="120" t="str">
        <f t="shared" si="81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N62:N67 K60:O60 M61:N61 O61:O67 Y85:AA91 AB81:AF81 C81:R81 C56:AF56 C82:AF83 D193:AF199 B193:B199 B9:AF10 B191:AF191 AF57:AF61 AG73 U212:AF212 C57:G57 C84:D91 C94:D99 N39:R42 AB84:AF91 AB94:AF99 M53:AF55 D60:F62 C58:F59 K58:X59 G58:G62 I57:L57 H57:H62 I58:J62 K61:L62 N37:R37 P60:R67 Z12 C68:AF80 N11:Z11 S40:Y42 S62:AF67 Z40:AE43 AA11:AF12 AF43 Z45:AF48">
    <cfRule type="expression" dxfId="3190" priority="297">
      <formula>B$9&gt;=20/24</formula>
    </cfRule>
    <cfRule type="expression" dxfId="3189" priority="298">
      <formula>AND(B$9&gt;=14/24,B$9&lt;20/24)</formula>
    </cfRule>
    <cfRule type="expression" dxfId="3188" priority="299">
      <formula>AND(B$9&gt;=8/24,B$9&lt;14/24)</formula>
    </cfRule>
    <cfRule type="expression" dxfId="3187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3186" priority="292">
      <formula>M$9&gt;=20/24</formula>
    </cfRule>
    <cfRule type="expression" dxfId="3185" priority="293">
      <formula>AND(M$9&gt;=14/24,M$9&lt;20/24)</formula>
    </cfRule>
    <cfRule type="expression" dxfId="3184" priority="294">
      <formula>AND(M$9&gt;=8/24,M$9&lt;14/24)</formula>
    </cfRule>
    <cfRule type="expression" dxfId="3183" priority="295">
      <formula>M$9&lt;8/24</formula>
    </cfRule>
  </conditionalFormatting>
  <conditionalFormatting sqref="N43:V43">
    <cfRule type="expression" dxfId="3182" priority="288">
      <formula>N$9&gt;=20/24</formula>
    </cfRule>
    <cfRule type="expression" dxfId="3181" priority="289">
      <formula>AND(N$9&gt;=14/24,N$9&lt;20/24)</formula>
    </cfRule>
    <cfRule type="expression" dxfId="3180" priority="290">
      <formula>AND(N$9&gt;=8/24,N$9&lt;14/24)</formula>
    </cfRule>
    <cfRule type="expression" dxfId="3179" priority="291">
      <formula>N$9&lt;8/24</formula>
    </cfRule>
  </conditionalFormatting>
  <conditionalFormatting sqref="S39:AE39">
    <cfRule type="expression" dxfId="3178" priority="284">
      <formula>S$9&gt;=20/24</formula>
    </cfRule>
    <cfRule type="expression" dxfId="3177" priority="285">
      <formula>AND(S$9&gt;=14/24,S$9&lt;20/24)</formula>
    </cfRule>
    <cfRule type="expression" dxfId="3176" priority="286">
      <formula>AND(S$9&gt;=8/24,S$9&lt;14/24)</formula>
    </cfRule>
    <cfRule type="expression" dxfId="3175" priority="287">
      <formula>S$9&lt;8/24</formula>
    </cfRule>
  </conditionalFormatting>
  <conditionalFormatting sqref="S57:AE57">
    <cfRule type="expression" dxfId="3174" priority="280">
      <formula>S$9&gt;=20/24</formula>
    </cfRule>
    <cfRule type="expression" dxfId="3173" priority="281">
      <formula>AND(S$9&gt;=14/24,S$9&lt;20/24)</formula>
    </cfRule>
    <cfRule type="expression" dxfId="3172" priority="282">
      <formula>AND(S$9&gt;=8/24,S$9&lt;14/24)</formula>
    </cfRule>
    <cfRule type="expression" dxfId="3171" priority="283">
      <formula>S$9&lt;8/24</formula>
    </cfRule>
  </conditionalFormatting>
  <conditionalFormatting sqref="S81:AA81">
    <cfRule type="expression" dxfId="3170" priority="276">
      <formula>S$9&gt;=20/24</formula>
    </cfRule>
    <cfRule type="expression" dxfId="3169" priority="277">
      <formula>AND(S$9&gt;=14/24,S$9&lt;20/24)</formula>
    </cfRule>
    <cfRule type="expression" dxfId="3168" priority="278">
      <formula>AND(S$9&gt;=8/24,S$9&lt;14/24)</formula>
    </cfRule>
    <cfRule type="expression" dxfId="3167" priority="279">
      <formula>S$9&lt;8/24</formula>
    </cfRule>
  </conditionalFormatting>
  <conditionalFormatting sqref="U84:AA84">
    <cfRule type="expression" dxfId="3166" priority="272">
      <formula>U$9&gt;=20/24</formula>
    </cfRule>
    <cfRule type="expression" dxfId="3165" priority="273">
      <formula>AND(U$9&gt;=14/24,U$9&lt;20/24)</formula>
    </cfRule>
    <cfRule type="expression" dxfId="3164" priority="274">
      <formula>AND(U$9&gt;=8/24,U$9&lt;14/24)</formula>
    </cfRule>
    <cfRule type="expression" dxfId="3163" priority="275">
      <formula>U$9&lt;8/24</formula>
    </cfRule>
  </conditionalFormatting>
  <conditionalFormatting sqref="Z49:AF49">
    <cfRule type="expression" dxfId="3162" priority="268">
      <formula>Z$9&gt;=20/24</formula>
    </cfRule>
    <cfRule type="expression" dxfId="3161" priority="269">
      <formula>AND(Z$9&gt;=14/24,Z$9&lt;20/24)</formula>
    </cfRule>
    <cfRule type="expression" dxfId="3160" priority="270">
      <formula>AND(Z$9&gt;=8/24,Z$9&lt;14/24)</formula>
    </cfRule>
    <cfRule type="expression" dxfId="3159" priority="271">
      <formula>Z$9&lt;8/24</formula>
    </cfRule>
  </conditionalFormatting>
  <conditionalFormatting sqref="Z50:AF50">
    <cfRule type="expression" dxfId="3158" priority="264">
      <formula>Z$9&gt;=20/24</formula>
    </cfRule>
    <cfRule type="expression" dxfId="3157" priority="265">
      <formula>AND(Z$9&gt;=14/24,Z$9&lt;20/24)</formula>
    </cfRule>
    <cfRule type="expression" dxfId="3156" priority="266">
      <formula>AND(Z$9&gt;=8/24,Z$9&lt;14/24)</formula>
    </cfRule>
    <cfRule type="expression" dxfId="3155" priority="267">
      <formula>Z$9&lt;8/24</formula>
    </cfRule>
  </conditionalFormatting>
  <conditionalFormatting sqref="Z45:AF48">
    <cfRule type="expression" dxfId="3154" priority="260">
      <formula>Z$9&gt;=20/24</formula>
    </cfRule>
    <cfRule type="expression" dxfId="3153" priority="261">
      <formula>AND(Z$9&gt;=14/24,Z$9&lt;20/24)</formula>
    </cfRule>
    <cfRule type="expression" dxfId="3152" priority="262">
      <formula>AND(Z$9&gt;=8/24,Z$9&lt;14/24)</formula>
    </cfRule>
    <cfRule type="expression" dxfId="3151" priority="263">
      <formula>Z$9&lt;8/24</formula>
    </cfRule>
  </conditionalFormatting>
  <conditionalFormatting sqref="S37:AF37">
    <cfRule type="expression" dxfId="3150" priority="256">
      <formula>S$9&gt;=20/24</formula>
    </cfRule>
    <cfRule type="expression" dxfId="3149" priority="257">
      <formula>AND(S$9&gt;=14/24,S$9&lt;20/24)</formula>
    </cfRule>
    <cfRule type="expression" dxfId="3148" priority="258">
      <formula>AND(S$9&gt;=8/24,S$9&lt;14/24)</formula>
    </cfRule>
    <cfRule type="expression" dxfId="3147" priority="259">
      <formula>S$9&lt;8/24</formula>
    </cfRule>
  </conditionalFormatting>
  <conditionalFormatting sqref="W43:Y43 Z45:AF48">
    <cfRule type="expression" dxfId="3146" priority="252">
      <formula>W$9&gt;=20/24</formula>
    </cfRule>
    <cfRule type="expression" dxfId="3145" priority="253">
      <formula>AND(W$9&gt;=14/24,W$9&lt;20/24)</formula>
    </cfRule>
    <cfRule type="expression" dxfId="3144" priority="254">
      <formula>AND(W$9&gt;=8/24,W$9&lt;14/24)</formula>
    </cfRule>
    <cfRule type="expression" dxfId="3143" priority="255">
      <formula>W$9&lt;8/24</formula>
    </cfRule>
  </conditionalFormatting>
  <conditionalFormatting sqref="Z49:AF49">
    <cfRule type="expression" dxfId="3142" priority="248">
      <formula>Z$9&gt;=20/24</formula>
    </cfRule>
    <cfRule type="expression" dxfId="3141" priority="249">
      <formula>AND(Z$9&gt;=14/24,Z$9&lt;20/24)</formula>
    </cfRule>
    <cfRule type="expression" dxfId="3140" priority="250">
      <formula>AND(Z$9&gt;=8/24,Z$9&lt;14/24)</formula>
    </cfRule>
    <cfRule type="expression" dxfId="3139" priority="251">
      <formula>Z$9&lt;8/24</formula>
    </cfRule>
  </conditionalFormatting>
  <conditionalFormatting sqref="Z50:AF50">
    <cfRule type="expression" dxfId="3138" priority="244">
      <formula>Z$9&gt;=20/24</formula>
    </cfRule>
    <cfRule type="expression" dxfId="3137" priority="245">
      <formula>AND(Z$9&gt;=14/24,Z$9&lt;20/24)</formula>
    </cfRule>
    <cfRule type="expression" dxfId="3136" priority="246">
      <formula>AND(Z$9&gt;=8/24,Z$9&lt;14/24)</formula>
    </cfRule>
    <cfRule type="expression" dxfId="3135" priority="247">
      <formula>Z$9&lt;8/24</formula>
    </cfRule>
  </conditionalFormatting>
  <conditionalFormatting sqref="S60:T61 Y60:AE61">
    <cfRule type="expression" dxfId="3134" priority="240">
      <formula>S$9&gt;=20/24</formula>
    </cfRule>
    <cfRule type="expression" dxfId="3133" priority="241">
      <formula>AND(S$9&gt;=14/24,S$9&lt;20/24)</formula>
    </cfRule>
    <cfRule type="expression" dxfId="3132" priority="242">
      <formula>AND(S$9&gt;=8/24,S$9&lt;14/24)</formula>
    </cfRule>
    <cfRule type="expression" dxfId="3131" priority="243">
      <formula>S$9&lt;8/24</formula>
    </cfRule>
  </conditionalFormatting>
  <conditionalFormatting sqref="U94:AA97">
    <cfRule type="expression" dxfId="3130" priority="236">
      <formula>U$9&gt;=20/24</formula>
    </cfRule>
    <cfRule type="expression" dxfId="3129" priority="237">
      <formula>AND(U$9&gt;=14/24,U$9&lt;20/24)</formula>
    </cfRule>
    <cfRule type="expression" dxfId="3128" priority="238">
      <formula>AND(U$9&gt;=8/24,U$9&lt;14/24)</formula>
    </cfRule>
    <cfRule type="expression" dxfId="3127" priority="239">
      <formula>U$9&lt;8/24</formula>
    </cfRule>
  </conditionalFormatting>
  <conditionalFormatting sqref="AG51 C37:L37 D44 C43:D43 C38:AF38 E43:G44 C11:L11 C39:G42 H39:J44 L42:L45 K42:K44 C51:AF56 C19:L19 C24:L24 C13:L15 K39:L41 N39:Y44 N11:AD11 Z12:AD12 N37:AF37 AE11:AF12 Z39:AF50">
    <cfRule type="expression" dxfId="3126" priority="235">
      <formula>C11&gt;$AG11</formula>
    </cfRule>
  </conditionalFormatting>
  <conditionalFormatting sqref="A100:A156 A84:A97 A11:A14 A16:A32 A45:A72 A80:A82 A74:A78 A35:A43 A169:A199">
    <cfRule type="expression" dxfId="3125" priority="234">
      <formula>$AH11=0</formula>
    </cfRule>
  </conditionalFormatting>
  <conditionalFormatting sqref="U98:AA98">
    <cfRule type="expression" dxfId="3124" priority="230">
      <formula>U$9&gt;=20/24</formula>
    </cfRule>
    <cfRule type="expression" dxfId="3123" priority="231">
      <formula>AND(U$9&gt;=14/24,U$9&lt;20/24)</formula>
    </cfRule>
    <cfRule type="expression" dxfId="3122" priority="232">
      <formula>AND(U$9&gt;=8/24,U$9&lt;14/24)</formula>
    </cfRule>
    <cfRule type="expression" dxfId="3121" priority="233">
      <formula>U$9&lt;8/24</formula>
    </cfRule>
  </conditionalFormatting>
  <conditionalFormatting sqref="A98">
    <cfRule type="expression" dxfId="3120" priority="229">
      <formula>$AH98=0</formula>
    </cfRule>
  </conditionalFormatting>
  <conditionalFormatting sqref="M62:M67">
    <cfRule type="expression" dxfId="3119" priority="225">
      <formula>M$9&gt;=20/24</formula>
    </cfRule>
    <cfRule type="expression" dxfId="3118" priority="226">
      <formula>AND(M$9&gt;=14/24,M$9&lt;20/24)</formula>
    </cfRule>
    <cfRule type="expression" dxfId="3117" priority="227">
      <formula>AND(M$9&gt;=8/24,M$9&lt;14/24)</formula>
    </cfRule>
    <cfRule type="expression" dxfId="3116" priority="228">
      <formula>M$9&lt;8/24</formula>
    </cfRule>
  </conditionalFormatting>
  <conditionalFormatting sqref="AL32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115" priority="223">
      <formula>$AH34=0</formula>
    </cfRule>
  </conditionalFormatting>
  <conditionalFormatting sqref="A83">
    <cfRule type="expression" dxfId="3114" priority="222">
      <formula>$AH83=0</formula>
    </cfRule>
  </conditionalFormatting>
  <conditionalFormatting sqref="A15">
    <cfRule type="expression" dxfId="3113" priority="221">
      <formula>$AH15=0</formula>
    </cfRule>
  </conditionalFormatting>
  <conditionalFormatting sqref="A163:A168">
    <cfRule type="expression" dxfId="3112" priority="220">
      <formula>$AH163=0</formula>
    </cfRule>
  </conditionalFormatting>
  <conditionalFormatting sqref="A157:A162">
    <cfRule type="expression" dxfId="3111" priority="219">
      <formula>$AH157=0</formula>
    </cfRule>
  </conditionalFormatting>
  <conditionalFormatting sqref="Z44:AF44">
    <cfRule type="expression" dxfId="3110" priority="215">
      <formula>Z$9&gt;=20/24</formula>
    </cfRule>
    <cfRule type="expression" dxfId="3109" priority="216">
      <formula>AND(Z$9&gt;=14/24,Z$9&lt;20/24)</formula>
    </cfRule>
    <cfRule type="expression" dxfId="3108" priority="217">
      <formula>AND(Z$9&gt;=8/24,Z$9&lt;14/24)</formula>
    </cfRule>
    <cfRule type="expression" dxfId="3107" priority="218">
      <formula>Z$9&lt;8/24</formula>
    </cfRule>
  </conditionalFormatting>
  <conditionalFormatting sqref="N44:AF44">
    <cfRule type="expression" dxfId="3106" priority="211">
      <formula>N$9&gt;=20/24</formula>
    </cfRule>
    <cfRule type="expression" dxfId="3105" priority="212">
      <formula>AND(N$9&gt;=14/24,N$9&lt;20/24)</formula>
    </cfRule>
    <cfRule type="expression" dxfId="3104" priority="213">
      <formula>AND(N$9&gt;=8/24,N$9&lt;14/24)</formula>
    </cfRule>
    <cfRule type="expression" dxfId="3103" priority="214">
      <formula>N$9&lt;8/24</formula>
    </cfRule>
  </conditionalFormatting>
  <conditionalFormatting sqref="Z44:AF44">
    <cfRule type="expression" dxfId="3102" priority="207">
      <formula>Z$9&gt;=20/24</formula>
    </cfRule>
    <cfRule type="expression" dxfId="3101" priority="208">
      <formula>AND(Z$9&gt;=14/24,Z$9&lt;20/24)</formula>
    </cfRule>
    <cfRule type="expression" dxfId="3100" priority="209">
      <formula>AND(Z$9&gt;=8/24,Z$9&lt;14/24)</formula>
    </cfRule>
    <cfRule type="expression" dxfId="3099" priority="210">
      <formula>Z$9&lt;8/24</formula>
    </cfRule>
  </conditionalFormatting>
  <conditionalFormatting sqref="A44">
    <cfRule type="expression" dxfId="3098" priority="206">
      <formula>$AH44=0</formula>
    </cfRule>
  </conditionalFormatting>
  <conditionalFormatting sqref="A79">
    <cfRule type="expression" dxfId="3097" priority="205">
      <formula>$AH79=0</formula>
    </cfRule>
  </conditionalFormatting>
  <conditionalFormatting sqref="A73">
    <cfRule type="expression" dxfId="3096" priority="204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U60:X61">
    <cfRule type="expression" dxfId="3095" priority="200">
      <formula>U$9&gt;=20/24</formula>
    </cfRule>
    <cfRule type="expression" dxfId="3094" priority="201">
      <formula>AND(U$9&gt;=14/24,U$9&lt;20/24)</formula>
    </cfRule>
    <cfRule type="expression" dxfId="3093" priority="202">
      <formula>AND(U$9&gt;=8/24,U$9&lt;14/24)</formula>
    </cfRule>
    <cfRule type="expression" dxfId="3092" priority="203">
      <formula>U$9&lt;8/24</formula>
    </cfRule>
  </conditionalFormatting>
  <conditionalFormatting sqref="U85:X91">
    <cfRule type="expression" dxfId="3091" priority="196">
      <formula>U$9&gt;=20/24</formula>
    </cfRule>
    <cfRule type="expression" dxfId="3090" priority="197">
      <formula>AND(U$9&gt;=14/24,U$9&lt;20/24)</formula>
    </cfRule>
    <cfRule type="expression" dxfId="3089" priority="198">
      <formula>AND(U$9&gt;=8/24,U$9&lt;14/24)</formula>
    </cfRule>
    <cfRule type="expression" dxfId="3088" priority="199">
      <formula>U$9&lt;8/24</formula>
    </cfRule>
  </conditionalFormatting>
  <conditionalFormatting sqref="S85:T91 E84:R91">
    <cfRule type="expression" dxfId="3087" priority="192">
      <formula>E$9&gt;=20/24</formula>
    </cfRule>
    <cfRule type="expression" dxfId="3086" priority="193">
      <formula>AND(E$9&gt;=14/24,E$9&lt;20/24)</formula>
    </cfRule>
    <cfRule type="expression" dxfId="3085" priority="194">
      <formula>AND(E$9&gt;=8/24,E$9&lt;14/24)</formula>
    </cfRule>
    <cfRule type="expression" dxfId="3084" priority="195">
      <formula>E$9&lt;8/24</formula>
    </cfRule>
  </conditionalFormatting>
  <conditionalFormatting sqref="S84:T84">
    <cfRule type="expression" dxfId="3083" priority="188">
      <formula>S$9&gt;=20/24</formula>
    </cfRule>
    <cfRule type="expression" dxfId="3082" priority="189">
      <formula>AND(S$9&gt;=14/24,S$9&lt;20/24)</formula>
    </cfRule>
    <cfRule type="expression" dxfId="3081" priority="190">
      <formula>AND(S$9&gt;=8/24,S$9&lt;14/24)</formula>
    </cfRule>
    <cfRule type="expression" dxfId="3080" priority="191">
      <formula>S$9&lt;8/24</formula>
    </cfRule>
  </conditionalFormatting>
  <conditionalFormatting sqref="E95:M97 E94:F94">
    <cfRule type="expression" dxfId="3079" priority="184">
      <formula>E$9&gt;=20/24</formula>
    </cfRule>
    <cfRule type="expression" dxfId="3078" priority="185">
      <formula>AND(E$9&gt;=14/24,E$9&lt;20/24)</formula>
    </cfRule>
    <cfRule type="expression" dxfId="3077" priority="186">
      <formula>AND(E$9&gt;=8/24,E$9&lt;14/24)</formula>
    </cfRule>
    <cfRule type="expression" dxfId="3076" priority="187">
      <formula>E$9&lt;8/24</formula>
    </cfRule>
  </conditionalFormatting>
  <conditionalFormatting sqref="N95:R97 O94:R94">
    <cfRule type="expression" dxfId="3075" priority="180">
      <formula>N$9&gt;=20/24</formula>
    </cfRule>
    <cfRule type="expression" dxfId="3074" priority="181">
      <formula>AND(N$9&gt;=14/24,N$9&lt;20/24)</formula>
    </cfRule>
    <cfRule type="expression" dxfId="3073" priority="182">
      <formula>AND(N$9&gt;=8/24,N$9&lt;14/24)</formula>
    </cfRule>
    <cfRule type="expression" dxfId="3072" priority="183">
      <formula>N$9&lt;8/24</formula>
    </cfRule>
  </conditionalFormatting>
  <conditionalFormatting sqref="S94:T97">
    <cfRule type="expression" dxfId="3071" priority="176">
      <formula>S$9&gt;=20/24</formula>
    </cfRule>
    <cfRule type="expression" dxfId="3070" priority="177">
      <formula>AND(S$9&gt;=14/24,S$9&lt;20/24)</formula>
    </cfRule>
    <cfRule type="expression" dxfId="3069" priority="178">
      <formula>AND(S$9&gt;=8/24,S$9&lt;14/24)</formula>
    </cfRule>
    <cfRule type="expression" dxfId="3068" priority="179">
      <formula>S$9&lt;8/24</formula>
    </cfRule>
  </conditionalFormatting>
  <conditionalFormatting sqref="E98:M98">
    <cfRule type="expression" dxfId="3067" priority="172">
      <formula>E$9&gt;=20/24</formula>
    </cfRule>
    <cfRule type="expression" dxfId="3066" priority="173">
      <formula>AND(E$9&gt;=14/24,E$9&lt;20/24)</formula>
    </cfRule>
    <cfRule type="expression" dxfId="3065" priority="174">
      <formula>AND(E$9&gt;=8/24,E$9&lt;14/24)</formula>
    </cfRule>
    <cfRule type="expression" dxfId="3064" priority="175">
      <formula>E$9&lt;8/24</formula>
    </cfRule>
  </conditionalFormatting>
  <conditionalFormatting sqref="N98:R98">
    <cfRule type="expression" dxfId="3063" priority="168">
      <formula>N$9&gt;=20/24</formula>
    </cfRule>
    <cfRule type="expression" dxfId="3062" priority="169">
      <formula>AND(N$9&gt;=14/24,N$9&lt;20/24)</formula>
    </cfRule>
    <cfRule type="expression" dxfId="3061" priority="170">
      <formula>AND(N$9&gt;=8/24,N$9&lt;14/24)</formula>
    </cfRule>
    <cfRule type="expression" dxfId="3060" priority="171">
      <formula>N$9&lt;8/24</formula>
    </cfRule>
  </conditionalFormatting>
  <conditionalFormatting sqref="S98:T98">
    <cfRule type="expression" dxfId="3059" priority="164">
      <formula>S$9&gt;=20/24</formula>
    </cfRule>
    <cfRule type="expression" dxfId="3058" priority="165">
      <formula>AND(S$9&gt;=14/24,S$9&lt;20/24)</formula>
    </cfRule>
    <cfRule type="expression" dxfId="3057" priority="166">
      <formula>AND(S$9&gt;=8/24,S$9&lt;14/24)</formula>
    </cfRule>
    <cfRule type="expression" dxfId="3056" priority="167">
      <formula>S$9&lt;8/24</formula>
    </cfRule>
  </conditionalFormatting>
  <conditionalFormatting sqref="M94:N94">
    <cfRule type="expression" dxfId="3055" priority="160">
      <formula>M$9&gt;=20/24</formula>
    </cfRule>
    <cfRule type="expression" dxfId="3054" priority="161">
      <formula>AND(M$9&gt;=14/24,M$9&lt;20/24)</formula>
    </cfRule>
    <cfRule type="expression" dxfId="3053" priority="162">
      <formula>AND(M$9&gt;=8/24,M$9&lt;14/24)</formula>
    </cfRule>
    <cfRule type="expression" dxfId="3052" priority="163">
      <formula>M$9&lt;8/24</formula>
    </cfRule>
  </conditionalFormatting>
  <conditionalFormatting sqref="G94:L94">
    <cfRule type="expression" dxfId="3051" priority="156">
      <formula>G$9&gt;=20/24</formula>
    </cfRule>
    <cfRule type="expression" dxfId="3050" priority="157">
      <formula>AND(G$9&gt;=14/24,G$9&lt;20/24)</formula>
    </cfRule>
    <cfRule type="expression" dxfId="3049" priority="158">
      <formula>AND(G$9&gt;=8/24,G$9&lt;14/24)</formula>
    </cfRule>
    <cfRule type="expression" dxfId="3048" priority="159">
      <formula>G$9&lt;8/24</formula>
    </cfRule>
  </conditionalFormatting>
  <conditionalFormatting sqref="U94:X94">
    <cfRule type="expression" dxfId="3047" priority="152">
      <formula>U$9&gt;=20/24</formula>
    </cfRule>
    <cfRule type="expression" dxfId="3046" priority="153">
      <formula>AND(U$9&gt;=14/24,U$9&lt;20/24)</formula>
    </cfRule>
    <cfRule type="expression" dxfId="3045" priority="154">
      <formula>AND(U$9&gt;=8/24,U$9&lt;14/24)</formula>
    </cfRule>
    <cfRule type="expression" dxfId="3044" priority="155">
      <formula>U$9&lt;8/24</formula>
    </cfRule>
  </conditionalFormatting>
  <conditionalFormatting sqref="N94:T94">
    <cfRule type="expression" dxfId="3043" priority="148">
      <formula>N$9&gt;=20/24</formula>
    </cfRule>
    <cfRule type="expression" dxfId="3042" priority="149">
      <formula>AND(N$9&gt;=14/24,N$9&lt;20/24)</formula>
    </cfRule>
    <cfRule type="expression" dxfId="3041" priority="150">
      <formula>AND(N$9&gt;=8/24,N$9&lt;14/24)</formula>
    </cfRule>
    <cfRule type="expression" dxfId="3040" priority="151">
      <formula>N$9&lt;8/24</formula>
    </cfRule>
  </conditionalFormatting>
  <conditionalFormatting sqref="U99:AA99">
    <cfRule type="expression" dxfId="3039" priority="144">
      <formula>U$9&gt;=20/24</formula>
    </cfRule>
    <cfRule type="expression" dxfId="3038" priority="145">
      <formula>AND(U$9&gt;=14/24,U$9&lt;20/24)</formula>
    </cfRule>
    <cfRule type="expression" dxfId="3037" priority="146">
      <formula>AND(U$9&gt;=8/24,U$9&lt;14/24)</formula>
    </cfRule>
    <cfRule type="expression" dxfId="3036" priority="147">
      <formula>U$9&lt;8/24</formula>
    </cfRule>
  </conditionalFormatting>
  <conditionalFormatting sqref="E99:M99">
    <cfRule type="expression" dxfId="3035" priority="140">
      <formula>E$9&gt;=20/24</formula>
    </cfRule>
    <cfRule type="expression" dxfId="3034" priority="141">
      <formula>AND(E$9&gt;=14/24,E$9&lt;20/24)</formula>
    </cfRule>
    <cfRule type="expression" dxfId="3033" priority="142">
      <formula>AND(E$9&gt;=8/24,E$9&lt;14/24)</formula>
    </cfRule>
    <cfRule type="expression" dxfId="3032" priority="143">
      <formula>E$9&lt;8/24</formula>
    </cfRule>
  </conditionalFormatting>
  <conditionalFormatting sqref="N99:R99">
    <cfRule type="expression" dxfId="3031" priority="136">
      <formula>N$9&gt;=20/24</formula>
    </cfRule>
    <cfRule type="expression" dxfId="3030" priority="137">
      <formula>AND(N$9&gt;=14/24,N$9&lt;20/24)</formula>
    </cfRule>
    <cfRule type="expression" dxfId="3029" priority="138">
      <formula>AND(N$9&gt;=8/24,N$9&lt;14/24)</formula>
    </cfRule>
    <cfRule type="expression" dxfId="3028" priority="139">
      <formula>N$9&lt;8/24</formula>
    </cfRule>
  </conditionalFormatting>
  <conditionalFormatting sqref="S99:T99">
    <cfRule type="expression" dxfId="3027" priority="132">
      <formula>S$9&gt;=20/24</formula>
    </cfRule>
    <cfRule type="expression" dxfId="3026" priority="133">
      <formula>AND(S$9&gt;=14/24,S$9&lt;20/24)</formula>
    </cfRule>
    <cfRule type="expression" dxfId="3025" priority="134">
      <formula>AND(S$9&gt;=8/24,S$9&lt;14/24)</formula>
    </cfRule>
    <cfRule type="expression" dxfId="3024" priority="135">
      <formula>S$9&lt;8/24</formula>
    </cfRule>
  </conditionalFormatting>
  <conditionalFormatting sqref="AB58:AE59">
    <cfRule type="expression" dxfId="3023" priority="128">
      <formula>AB$9&gt;=20/24</formula>
    </cfRule>
    <cfRule type="expression" dxfId="3022" priority="129">
      <formula>AND(AB$9&gt;=14/24,AB$9&lt;20/24)</formula>
    </cfRule>
    <cfRule type="expression" dxfId="3021" priority="130">
      <formula>AND(AB$9&gt;=8/24,AB$9&lt;14/24)</formula>
    </cfRule>
    <cfRule type="expression" dxfId="3020" priority="131">
      <formula>AB$9&lt;8/24</formula>
    </cfRule>
  </conditionalFormatting>
  <conditionalFormatting sqref="AL3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19" priority="304">
      <formula>C$9&gt;=20/24</formula>
    </cfRule>
    <cfRule type="expression" dxfId="3018" priority="305">
      <formula>AND(C$9&gt;=14/24,C$9&lt;20/24)</formula>
    </cfRule>
    <cfRule type="expression" dxfId="3017" priority="306">
      <formula>AND(C$9&gt;=8/24,C$9&lt;14/24)</formula>
    </cfRule>
    <cfRule type="expression" dxfId="3016" priority="307">
      <formula>C$9&lt;8/24</formula>
    </cfRule>
  </conditionalFormatting>
  <conditionalFormatting sqref="A200">
    <cfRule type="expression" dxfId="3015" priority="308">
      <formula>$AH200=0</formula>
    </cfRule>
  </conditionalFormatting>
  <conditionalFormatting sqref="AG212">
    <cfRule type="expression" dxfId="3014" priority="309">
      <formula>B$9&gt;=20/24</formula>
    </cfRule>
    <cfRule type="expression" dxfId="3013" priority="310">
      <formula>AND(B$9&gt;=14/24,B$9&lt;20/24)</formula>
    </cfRule>
    <cfRule type="expression" dxfId="3012" priority="311">
      <formula>AND(B$9&gt;=8/24,B$9&lt;14/24)</formula>
    </cfRule>
    <cfRule type="expression" dxfId="3011" priority="312">
      <formula>B$9&lt;8/24</formula>
    </cfRule>
  </conditionalFormatting>
  <conditionalFormatting sqref="S8">
    <cfRule type="expression" dxfId="3010" priority="122">
      <formula>U$9&gt;=20/24</formula>
    </cfRule>
    <cfRule type="expression" dxfId="3009" priority="123">
      <formula>AND(U$9&gt;=14/24,U$9&lt;20/24)</formula>
    </cfRule>
    <cfRule type="expression" dxfId="3008" priority="124">
      <formula>AND(U$9&gt;=8/24,U$9&lt;14/24)</formula>
    </cfRule>
    <cfRule type="expression" dxfId="3007" priority="125">
      <formula>U$9&lt;8/24</formula>
    </cfRule>
  </conditionalFormatting>
  <conditionalFormatting sqref="AB8">
    <cfRule type="expression" dxfId="3006" priority="118">
      <formula>AD$9&gt;=20/24</formula>
    </cfRule>
    <cfRule type="expression" dxfId="3005" priority="119">
      <formula>AND(AD$9&gt;=14/24,AD$9&lt;20/24)</formula>
    </cfRule>
    <cfRule type="expression" dxfId="3004" priority="120">
      <formula>AND(AD$9&gt;=8/24,AD$9&lt;14/24)</formula>
    </cfRule>
    <cfRule type="expression" dxfId="3003" priority="121">
      <formula>AD$9&lt;8/24</formula>
    </cfRule>
  </conditionalFormatting>
  <conditionalFormatting sqref="AH212:AX212">
    <cfRule type="expression" dxfId="3002" priority="313">
      <formula>AG$9&gt;=20/24</formula>
    </cfRule>
    <cfRule type="expression" dxfId="3001" priority="314">
      <formula>AND(AG$9&gt;=14/24,AG$9&lt;20/24)</formula>
    </cfRule>
    <cfRule type="expression" dxfId="3000" priority="315">
      <formula>AND(AG$9&gt;=8/24,AG$9&lt;14/24)</formula>
    </cfRule>
    <cfRule type="expression" dxfId="2999" priority="316">
      <formula>AG$9&lt;8/24</formula>
    </cfRule>
  </conditionalFormatting>
  <conditionalFormatting sqref="T212">
    <cfRule type="expression" dxfId="2998" priority="317">
      <formula>AX$9&gt;=20/24</formula>
    </cfRule>
    <cfRule type="expression" dxfId="2997" priority="318">
      <formula>AND(AX$9&gt;=14/24,AX$9&lt;20/24)</formula>
    </cfRule>
    <cfRule type="expression" dxfId="2996" priority="319">
      <formula>AND(AX$9&gt;=8/24,AX$9&lt;14/24)</formula>
    </cfRule>
    <cfRule type="expression" dxfId="2995" priority="320">
      <formula>AX$9&lt;8/24</formula>
    </cfRule>
  </conditionalFormatting>
  <conditionalFormatting sqref="A99">
    <cfRule type="expression" dxfId="2994" priority="117">
      <formula>$AH99=0</formula>
    </cfRule>
  </conditionalFormatting>
  <conditionalFormatting sqref="M11 M37 Z36:AF36 Z13:AF14 Z16:AF32">
    <cfRule type="expression" dxfId="2993" priority="112">
      <formula>M$9&gt;=20/24</formula>
    </cfRule>
    <cfRule type="expression" dxfId="2992" priority="113">
      <formula>AND(M$9&gt;=14/24,M$9&lt;20/24)</formula>
    </cfRule>
    <cfRule type="expression" dxfId="2991" priority="114">
      <formula>AND(M$9&gt;=8/24,M$9&lt;14/24)</formula>
    </cfRule>
    <cfRule type="expression" dxfId="2990" priority="115">
      <formula>M$9&lt;8/24</formula>
    </cfRule>
  </conditionalFormatting>
  <conditionalFormatting sqref="Z35:AF35">
    <cfRule type="expression" dxfId="2989" priority="108">
      <formula>Z$9&gt;=20/24</formula>
    </cfRule>
    <cfRule type="expression" dxfId="2988" priority="109">
      <formula>AND(Z$9&gt;=14/24,Z$9&lt;20/24)</formula>
    </cfRule>
    <cfRule type="expression" dxfId="2987" priority="110">
      <formula>AND(Z$9&gt;=8/24,Z$9&lt;14/24)</formula>
    </cfRule>
    <cfRule type="expression" dxfId="2986" priority="111">
      <formula>Z$9&lt;8/24</formula>
    </cfRule>
  </conditionalFormatting>
  <conditionalFormatting sqref="M11 M37 Z34:AF36 Z13:AF14 Z16:AF32">
    <cfRule type="expression" dxfId="2985" priority="107">
      <formula>M11&gt;$AG11</formula>
    </cfRule>
  </conditionalFormatting>
  <conditionalFormatting sqref="Z34:AF34">
    <cfRule type="expression" dxfId="2984" priority="103">
      <formula>Z$9&gt;=20/24</formula>
    </cfRule>
    <cfRule type="expression" dxfId="2983" priority="104">
      <formula>AND(Z$9&gt;=14/24,Z$9&lt;20/24)</formula>
    </cfRule>
    <cfRule type="expression" dxfId="2982" priority="105">
      <formula>AND(Z$9&gt;=8/24,Z$9&lt;14/24)</formula>
    </cfRule>
    <cfRule type="expression" dxfId="2981" priority="106">
      <formula>Z$9&lt;8/24</formula>
    </cfRule>
  </conditionalFormatting>
  <conditionalFormatting sqref="Z15:AF15">
    <cfRule type="expression" dxfId="2980" priority="99">
      <formula>Z$9&gt;=20/24</formula>
    </cfRule>
    <cfRule type="expression" dxfId="2979" priority="100">
      <formula>AND(Z$9&gt;=14/24,Z$9&lt;20/24)</formula>
    </cfRule>
    <cfRule type="expression" dxfId="2978" priority="101">
      <formula>AND(Z$9&gt;=8/24,Z$9&lt;14/24)</formula>
    </cfRule>
    <cfRule type="expression" dxfId="2977" priority="102">
      <formula>Z$9&lt;8/24</formula>
    </cfRule>
  </conditionalFormatting>
  <conditionalFormatting sqref="Z15:AF15">
    <cfRule type="expression" dxfId="2976" priority="98">
      <formula>Z15&gt;$AG15</formula>
    </cfRule>
  </conditionalFormatting>
  <conditionalFormatting sqref="Z33:AF33">
    <cfRule type="expression" dxfId="2975" priority="94">
      <formula>Z$9&gt;=20/24</formula>
    </cfRule>
    <cfRule type="expression" dxfId="2974" priority="95">
      <formula>AND(Z$9&gt;=14/24,Z$9&lt;20/24)</formula>
    </cfRule>
    <cfRule type="expression" dxfId="2973" priority="96">
      <formula>AND(Z$9&gt;=8/24,Z$9&lt;14/24)</formula>
    </cfRule>
    <cfRule type="expression" dxfId="2972" priority="97">
      <formula>Z$9&lt;8/24</formula>
    </cfRule>
  </conditionalFormatting>
  <conditionalFormatting sqref="Z33:AF33">
    <cfRule type="expression" dxfId="2971" priority="93">
      <formula>Z33&gt;$AG33</formula>
    </cfRule>
  </conditionalFormatting>
  <conditionalFormatting sqref="B94:B99 B53:B91 C60:C67 B45:K48 D63:L67 B36:L36 B12:Y12 L46:Y48">
    <cfRule type="expression" dxfId="2970" priority="89">
      <formula>B$9&gt;=20/24</formula>
    </cfRule>
    <cfRule type="expression" dxfId="2969" priority="90">
      <formula>AND(B$9&gt;=14/24,B$9&lt;20/24)</formula>
    </cfRule>
    <cfRule type="expression" dxfId="2968" priority="91">
      <formula>AND(B$9&gt;=8/24,B$9&lt;14/24)</formula>
    </cfRule>
    <cfRule type="expression" dxfId="2967" priority="92">
      <formula>B$9&lt;8/24</formula>
    </cfRule>
  </conditionalFormatting>
  <conditionalFormatting sqref="B49:Y49">
    <cfRule type="expression" dxfId="2966" priority="85">
      <formula>B$9&gt;=20/24</formula>
    </cfRule>
    <cfRule type="expression" dxfId="2965" priority="86">
      <formula>AND(B$9&gt;=14/24,B$9&lt;20/24)</formula>
    </cfRule>
    <cfRule type="expression" dxfId="2964" priority="87">
      <formula>AND(B$9&gt;=8/24,B$9&lt;14/24)</formula>
    </cfRule>
    <cfRule type="expression" dxfId="2963" priority="88">
      <formula>B$9&lt;8/24</formula>
    </cfRule>
  </conditionalFormatting>
  <conditionalFormatting sqref="B45:K48 L46:Y48">
    <cfRule type="expression" dxfId="2962" priority="81">
      <formula>B$9&gt;=20/24</formula>
    </cfRule>
    <cfRule type="expression" dxfId="2961" priority="82">
      <formula>AND(B$9&gt;=14/24,B$9&lt;20/24)</formula>
    </cfRule>
    <cfRule type="expression" dxfId="2960" priority="83">
      <formula>AND(B$9&gt;=8/24,B$9&lt;14/24)</formula>
    </cfRule>
    <cfRule type="expression" dxfId="2959" priority="84">
      <formula>B$9&lt;8/24</formula>
    </cfRule>
  </conditionalFormatting>
  <conditionalFormatting sqref="B37">
    <cfRule type="expression" dxfId="2958" priority="77">
      <formula>B$9&gt;=20/24</formula>
    </cfRule>
    <cfRule type="expression" dxfId="2957" priority="78">
      <formula>AND(B$9&gt;=14/24,B$9&lt;20/24)</formula>
    </cfRule>
    <cfRule type="expression" dxfId="2956" priority="79">
      <formula>AND(B$9&gt;=8/24,B$9&lt;14/24)</formula>
    </cfRule>
    <cfRule type="expression" dxfId="2955" priority="80">
      <formula>B$9&lt;8/24</formula>
    </cfRule>
  </conditionalFormatting>
  <conditionalFormatting sqref="B45:K48 L46:Y48">
    <cfRule type="expression" dxfId="2954" priority="73">
      <formula>B$9&gt;=20/24</formula>
    </cfRule>
    <cfRule type="expression" dxfId="2953" priority="74">
      <formula>AND(B$9&gt;=14/24,B$9&lt;20/24)</formula>
    </cfRule>
    <cfRule type="expression" dxfId="2952" priority="75">
      <formula>AND(B$9&gt;=8/24,B$9&lt;14/24)</formula>
    </cfRule>
    <cfRule type="expression" dxfId="2951" priority="76">
      <formula>B$9&lt;8/24</formula>
    </cfRule>
  </conditionalFormatting>
  <conditionalFormatting sqref="B49:Y49">
    <cfRule type="expression" dxfId="2950" priority="69">
      <formula>B$9&gt;=20/24</formula>
    </cfRule>
    <cfRule type="expression" dxfId="2949" priority="70">
      <formula>AND(B$9&gt;=14/24,B$9&lt;20/24)</formula>
    </cfRule>
    <cfRule type="expression" dxfId="2948" priority="71">
      <formula>AND(B$9&gt;=8/24,B$9&lt;14/24)</formula>
    </cfRule>
    <cfRule type="expression" dxfId="2947" priority="72">
      <formula>B$9&lt;8/24</formula>
    </cfRule>
  </conditionalFormatting>
  <conditionalFormatting sqref="B14:B15 B11:B12 B36:B56 C44:C50 D45:K50 C36:L36 L50 C12:Y12 L46:Y49">
    <cfRule type="expression" dxfId="2946" priority="68">
      <formula>B11&gt;$AG11</formula>
    </cfRule>
  </conditionalFormatting>
  <conditionalFormatting sqref="B44:C44">
    <cfRule type="expression" dxfId="2945" priority="64">
      <formula>B$9&gt;=20/24</formula>
    </cfRule>
    <cfRule type="expression" dxfId="2944" priority="65">
      <formula>AND(B$9&gt;=14/24,B$9&lt;20/24)</formula>
    </cfRule>
    <cfRule type="expression" dxfId="2943" priority="66">
      <formula>AND(B$9&gt;=8/24,B$9&lt;14/24)</formula>
    </cfRule>
    <cfRule type="expression" dxfId="2942" priority="67">
      <formula>B$9&lt;8/24</formula>
    </cfRule>
  </conditionalFormatting>
  <conditionalFormatting sqref="B13 B16:B32 C16:L18 C20:L23 C25:L32">
    <cfRule type="expression" dxfId="2941" priority="60">
      <formula>B$9&gt;=20/24</formula>
    </cfRule>
    <cfRule type="expression" dxfId="2940" priority="61">
      <formula>AND(B$9&gt;=14/24,B$9&lt;20/24)</formula>
    </cfRule>
    <cfRule type="expression" dxfId="2939" priority="62">
      <formula>AND(B$9&gt;=8/24,B$9&lt;14/24)</formula>
    </cfRule>
    <cfRule type="expression" dxfId="2938" priority="63">
      <formula>B$9&lt;8/24</formula>
    </cfRule>
  </conditionalFormatting>
  <conditionalFormatting sqref="B35:L35">
    <cfRule type="expression" dxfId="2937" priority="56">
      <formula>B$9&gt;=20/24</formula>
    </cfRule>
    <cfRule type="expression" dxfId="2936" priority="57">
      <formula>AND(B$9&gt;=14/24,B$9&lt;20/24)</formula>
    </cfRule>
    <cfRule type="expression" dxfId="2935" priority="58">
      <formula>AND(B$9&gt;=8/24,B$9&lt;14/24)</formula>
    </cfRule>
    <cfRule type="expression" dxfId="2934" priority="59">
      <formula>B$9&lt;8/24</formula>
    </cfRule>
  </conditionalFormatting>
  <conditionalFormatting sqref="B13 B16:B32 C16:L18 C20:L23 C25:L32 B34:L35">
    <cfRule type="expression" dxfId="2933" priority="55">
      <formula>B13&gt;$AG13</formula>
    </cfRule>
  </conditionalFormatting>
  <conditionalFormatting sqref="B34:L34">
    <cfRule type="expression" dxfId="2932" priority="51">
      <formula>B$9&gt;=20/24</formula>
    </cfRule>
    <cfRule type="expression" dxfId="2931" priority="52">
      <formula>AND(B$9&gt;=14/24,B$9&lt;20/24)</formula>
    </cfRule>
    <cfRule type="expression" dxfId="2930" priority="53">
      <formula>AND(B$9&gt;=8/24,B$9&lt;14/24)</formula>
    </cfRule>
    <cfRule type="expression" dxfId="2929" priority="54">
      <formula>B$9&lt;8/24</formula>
    </cfRule>
  </conditionalFormatting>
  <conditionalFormatting sqref="B33:L33">
    <cfRule type="expression" dxfId="2928" priority="47">
      <formula>B$9&gt;=20/24</formula>
    </cfRule>
    <cfRule type="expression" dxfId="2927" priority="48">
      <formula>AND(B$9&gt;=14/24,B$9&lt;20/24)</formula>
    </cfRule>
    <cfRule type="expression" dxfId="2926" priority="49">
      <formula>AND(B$9&gt;=8/24,B$9&lt;14/24)</formula>
    </cfRule>
    <cfRule type="expression" dxfId="2925" priority="50">
      <formula>B$9&lt;8/24</formula>
    </cfRule>
  </conditionalFormatting>
  <conditionalFormatting sqref="B33:L33">
    <cfRule type="expression" dxfId="2924" priority="46">
      <formula>B33&gt;$AG33</formula>
    </cfRule>
  </conditionalFormatting>
  <conditionalFormatting sqref="M13:Y14 M36:Y36 M16:Y32">
    <cfRule type="expression" dxfId="2923" priority="42">
      <formula>M$9&gt;=20/24</formula>
    </cfRule>
    <cfRule type="expression" dxfId="2922" priority="43">
      <formula>AND(M$9&gt;=14/24,M$9&lt;20/24)</formula>
    </cfRule>
    <cfRule type="expression" dxfId="2921" priority="44">
      <formula>AND(M$9&gt;=8/24,M$9&lt;14/24)</formula>
    </cfRule>
    <cfRule type="expression" dxfId="2920" priority="45">
      <formula>M$9&lt;8/24</formula>
    </cfRule>
  </conditionalFormatting>
  <conditionalFormatting sqref="M35:Y35">
    <cfRule type="expression" dxfId="2919" priority="38">
      <formula>M$9&gt;=20/24</formula>
    </cfRule>
    <cfRule type="expression" dxfId="2918" priority="39">
      <formula>AND(M$9&gt;=14/24,M$9&lt;20/24)</formula>
    </cfRule>
    <cfRule type="expression" dxfId="2917" priority="40">
      <formula>AND(M$9&gt;=8/24,M$9&lt;14/24)</formula>
    </cfRule>
    <cfRule type="expression" dxfId="2916" priority="41">
      <formula>M$9&lt;8/24</formula>
    </cfRule>
  </conditionalFormatting>
  <conditionalFormatting sqref="M13:Y14 M34:Y36 M16:Y32">
    <cfRule type="expression" dxfId="2915" priority="37">
      <formula>M13&gt;$AG13</formula>
    </cfRule>
  </conditionalFormatting>
  <conditionalFormatting sqref="M34:Y34">
    <cfRule type="expression" dxfId="2914" priority="33">
      <formula>M$9&gt;=20/24</formula>
    </cfRule>
    <cfRule type="expression" dxfId="2913" priority="34">
      <formula>AND(M$9&gt;=14/24,M$9&lt;20/24)</formula>
    </cfRule>
    <cfRule type="expression" dxfId="2912" priority="35">
      <formula>AND(M$9&gt;=8/24,M$9&lt;14/24)</formula>
    </cfRule>
    <cfRule type="expression" dxfId="2911" priority="36">
      <formula>M$9&lt;8/24</formula>
    </cfRule>
  </conditionalFormatting>
  <conditionalFormatting sqref="M15:Y15">
    <cfRule type="expression" dxfId="2910" priority="29">
      <formula>M$9&gt;=20/24</formula>
    </cfRule>
    <cfRule type="expression" dxfId="2909" priority="30">
      <formula>AND(M$9&gt;=14/24,M$9&lt;20/24)</formula>
    </cfRule>
    <cfRule type="expression" dxfId="2908" priority="31">
      <formula>AND(M$9&gt;=8/24,M$9&lt;14/24)</formula>
    </cfRule>
    <cfRule type="expression" dxfId="2907" priority="32">
      <formula>M$9&lt;8/24</formula>
    </cfRule>
  </conditionalFormatting>
  <conditionalFormatting sqref="M15:Y15">
    <cfRule type="expression" dxfId="2906" priority="28">
      <formula>M15&gt;$AG15</formula>
    </cfRule>
  </conditionalFormatting>
  <conditionalFormatting sqref="M33:Y33">
    <cfRule type="expression" dxfId="2905" priority="24">
      <formula>M$9&gt;=20/24</formula>
    </cfRule>
    <cfRule type="expression" dxfId="2904" priority="25">
      <formula>AND(M$9&gt;=14/24,M$9&lt;20/24)</formula>
    </cfRule>
    <cfRule type="expression" dxfId="2903" priority="26">
      <formula>AND(M$9&gt;=8/24,M$9&lt;14/24)</formula>
    </cfRule>
    <cfRule type="expression" dxfId="2902" priority="27">
      <formula>M$9&lt;8/24</formula>
    </cfRule>
  </conditionalFormatting>
  <conditionalFormatting sqref="M33:Y33">
    <cfRule type="expression" dxfId="2901" priority="23">
      <formula>M33&gt;$AG33</formula>
    </cfRule>
  </conditionalFormatting>
  <conditionalFormatting sqref="M39:M42 M45:Y45">
    <cfRule type="expression" dxfId="2900" priority="19">
      <formula>M$9&gt;=20/24</formula>
    </cfRule>
    <cfRule type="expression" dxfId="2899" priority="20">
      <formula>AND(M$9&gt;=14/24,M$9&lt;20/24)</formula>
    </cfRule>
    <cfRule type="expression" dxfId="2898" priority="21">
      <formula>AND(M$9&gt;=8/24,M$9&lt;14/24)</formula>
    </cfRule>
    <cfRule type="expression" dxfId="2897" priority="22">
      <formula>M$9&lt;8/24</formula>
    </cfRule>
  </conditionalFormatting>
  <conditionalFormatting sqref="M43">
    <cfRule type="expression" dxfId="2896" priority="15">
      <formula>M$9&gt;=20/24</formula>
    </cfRule>
    <cfRule type="expression" dxfId="2895" priority="16">
      <formula>AND(M$9&gt;=14/24,M$9&lt;20/24)</formula>
    </cfRule>
    <cfRule type="expression" dxfId="2894" priority="17">
      <formula>AND(M$9&gt;=8/24,M$9&lt;14/24)</formula>
    </cfRule>
    <cfRule type="expression" dxfId="2893" priority="18">
      <formula>M$9&lt;8/24</formula>
    </cfRule>
  </conditionalFormatting>
  <conditionalFormatting sqref="M45:Y45">
    <cfRule type="expression" dxfId="2892" priority="11">
      <formula>M$9&gt;=20/24</formula>
    </cfRule>
    <cfRule type="expression" dxfId="2891" priority="12">
      <formula>AND(M$9&gt;=14/24,M$9&lt;20/24)</formula>
    </cfRule>
    <cfRule type="expression" dxfId="2890" priority="13">
      <formula>AND(M$9&gt;=8/24,M$9&lt;14/24)</formula>
    </cfRule>
    <cfRule type="expression" dxfId="2889" priority="14">
      <formula>M$9&lt;8/24</formula>
    </cfRule>
  </conditionalFormatting>
  <conditionalFormatting sqref="M39:M45 N45:Y45">
    <cfRule type="expression" dxfId="2888" priority="10">
      <formula>M39&gt;$AG39</formula>
    </cfRule>
  </conditionalFormatting>
  <conditionalFormatting sqref="M44">
    <cfRule type="expression" dxfId="2887" priority="6">
      <formula>M$9&gt;=20/24</formula>
    </cfRule>
    <cfRule type="expression" dxfId="2886" priority="7">
      <formula>AND(M$9&gt;=14/24,M$9&lt;20/24)</formula>
    </cfRule>
    <cfRule type="expression" dxfId="2885" priority="8">
      <formula>AND(M$9&gt;=8/24,M$9&lt;14/24)</formula>
    </cfRule>
    <cfRule type="expression" dxfId="2884" priority="9">
      <formula>M$9&lt;8/24</formula>
    </cfRule>
  </conditionalFormatting>
  <conditionalFormatting sqref="M50:Y50">
    <cfRule type="expression" dxfId="2883" priority="2">
      <formula>M$9&gt;=20/24</formula>
    </cfRule>
    <cfRule type="expression" dxfId="2882" priority="3">
      <formula>AND(M$9&gt;=14/24,M$9&lt;20/24)</formula>
    </cfRule>
    <cfRule type="expression" dxfId="2881" priority="4">
      <formula>AND(M$9&gt;=8/24,M$9&lt;14/24)</formula>
    </cfRule>
    <cfRule type="expression" dxfId="2880" priority="5">
      <formula>M$9&lt;8/24</formula>
    </cfRule>
  </conditionalFormatting>
  <conditionalFormatting sqref="M50:Y50">
    <cfRule type="expression" dxfId="2879" priority="1">
      <formula>M50&gt;$AG50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7" id="{71D333E2-1307-4F86-9ACF-46FCF8F0793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1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L68" sqref="L6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2078/11/22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("&amp;ROUND(B216,0)&amp;" MW)"&amp;"    IPP   = "&amp;ROUND(B211,0)&amp;" MW     NEA RoR = "&amp;ROUND(B212,0)&amp;" MWImport   = "&amp;ROUND(B214,0)&amp;" MW      KL1+KL2+K3 = "&amp;ROUND(B213,0) &amp;" MW    EXPORT = "&amp;ROUND(B215,0)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417</v>
      </c>
      <c r="C5" s="32">
        <f t="shared" si="0"/>
        <v>393</v>
      </c>
      <c r="D5" s="32">
        <f t="shared" si="0"/>
        <v>408.9</v>
      </c>
      <c r="E5" s="32">
        <f t="shared" si="0"/>
        <v>398.6</v>
      </c>
      <c r="F5" s="32">
        <f t="shared" si="0"/>
        <v>429</v>
      </c>
      <c r="G5" s="32">
        <f t="shared" si="0"/>
        <v>448.5</v>
      </c>
      <c r="H5" s="32">
        <f t="shared" si="0"/>
        <v>404.6</v>
      </c>
      <c r="I5" s="32">
        <f t="shared" si="0"/>
        <v>224.4</v>
      </c>
      <c r="J5" s="32">
        <f t="shared" si="0"/>
        <v>205.5</v>
      </c>
      <c r="K5" s="32">
        <f t="shared" si="0"/>
        <v>211.29999999999998</v>
      </c>
      <c r="L5" s="32">
        <f t="shared" si="0"/>
        <v>591.1</v>
      </c>
      <c r="M5" s="32">
        <f t="shared" si="0"/>
        <v>562.9</v>
      </c>
      <c r="N5" s="32">
        <f t="shared" si="0"/>
        <v>584.9</v>
      </c>
      <c r="O5" s="32">
        <f t="shared" si="0"/>
        <v>574.4</v>
      </c>
      <c r="P5" s="32">
        <f t="shared" si="0"/>
        <v>552.20000000000005</v>
      </c>
      <c r="Q5" s="32">
        <f t="shared" si="0"/>
        <v>564.5</v>
      </c>
      <c r="R5" s="32">
        <f t="shared" si="0"/>
        <v>605.29999999999995</v>
      </c>
      <c r="S5" s="32">
        <f t="shared" si="0"/>
        <v>598.30000000000007</v>
      </c>
      <c r="T5" s="32">
        <f t="shared" si="0"/>
        <v>663.4</v>
      </c>
      <c r="U5" s="32">
        <f t="shared" si="0"/>
        <v>646.5</v>
      </c>
      <c r="V5" s="32">
        <f t="shared" si="0"/>
        <v>643</v>
      </c>
      <c r="W5" s="32">
        <f t="shared" si="0"/>
        <v>578.9</v>
      </c>
      <c r="X5" s="32">
        <f t="shared" si="0"/>
        <v>561</v>
      </c>
      <c r="Y5" s="32">
        <f t="shared" si="0"/>
        <v>581</v>
      </c>
      <c r="Z5" s="32">
        <f t="shared" si="0"/>
        <v>598.4</v>
      </c>
      <c r="AA5" s="32">
        <f t="shared" si="0"/>
        <v>588.29999999999995</v>
      </c>
      <c r="AB5" s="32">
        <f t="shared" si="0"/>
        <v>590.29999999999995</v>
      </c>
      <c r="AC5" s="32">
        <f t="shared" si="0"/>
        <v>602</v>
      </c>
      <c r="AD5" s="32">
        <f t="shared" si="0"/>
        <v>563.19999999999993</v>
      </c>
      <c r="AE5" s="32">
        <f t="shared" si="0"/>
        <v>458.2</v>
      </c>
      <c r="AF5" s="32">
        <f>B68</f>
        <v>404.2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"&amp;ROUND(B216,0)&amp;"MW at "&amp;TRUNC(B217*24,0)&amp;":"&amp;ROUND((B217*24-TRUNC(B217*24,0))*60,0)&amp;"hr at "&amp;ROUND(B218,1)&amp;"Hz     "&amp;A208&amp;" "&amp;ROUND(B208,0)&amp;"MW at "&amp;TRUNC(C208*24,0)&amp;":"&amp;ROUND((C208*24-TRUNC(C208*24,0))*6,0)&amp;"0hr"</f>
        <v>Evening Peak 0MW at 0:0hr at 0Hz     Morning Peak 1421MW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Load=899</v>
      </c>
      <c r="B7" s="37">
        <f>B75</f>
        <v>909.54000000000008</v>
      </c>
      <c r="C7" s="37">
        <f t="shared" ref="C7:AF7" si="1">C75</f>
        <v>922.34</v>
      </c>
      <c r="D7" s="37">
        <f t="shared" si="1"/>
        <v>899.24</v>
      </c>
      <c r="E7" s="37">
        <f t="shared" si="1"/>
        <v>918.83999999999992</v>
      </c>
      <c r="F7" s="37">
        <f t="shared" si="1"/>
        <v>908.34</v>
      </c>
      <c r="G7" s="37">
        <f t="shared" si="1"/>
        <v>932.54000000000008</v>
      </c>
      <c r="H7" s="37">
        <f t="shared" si="1"/>
        <v>1007.74</v>
      </c>
      <c r="I7" s="37">
        <f t="shared" si="1"/>
        <v>1120.1399999999999</v>
      </c>
      <c r="J7" s="37">
        <f t="shared" si="1"/>
        <v>1257.94</v>
      </c>
      <c r="K7" s="37">
        <f t="shared" si="1"/>
        <v>1356.64</v>
      </c>
      <c r="L7" s="37">
        <f t="shared" si="1"/>
        <v>1421.1399999999999</v>
      </c>
      <c r="M7" s="37">
        <f t="shared" si="1"/>
        <v>1418.64</v>
      </c>
      <c r="N7" s="37">
        <f t="shared" si="1"/>
        <v>1324.54</v>
      </c>
      <c r="O7" s="37">
        <f t="shared" si="1"/>
        <v>1317.54</v>
      </c>
      <c r="P7" s="37">
        <f t="shared" si="1"/>
        <v>1265.8400000000001</v>
      </c>
      <c r="Q7" s="37">
        <f t="shared" si="1"/>
        <v>1236.8400000000001</v>
      </c>
      <c r="R7" s="37">
        <f t="shared" si="1"/>
        <v>1251.04</v>
      </c>
      <c r="S7" s="37">
        <f t="shared" si="1"/>
        <v>1258.3399999999999</v>
      </c>
      <c r="T7" s="37">
        <f t="shared" si="1"/>
        <v>1251.3400000000001</v>
      </c>
      <c r="U7" s="37">
        <f t="shared" si="1"/>
        <v>1308.04</v>
      </c>
      <c r="V7" s="37">
        <f t="shared" si="1"/>
        <v>1305.3400000000001</v>
      </c>
      <c r="W7" s="37">
        <f t="shared" si="1"/>
        <v>1324.64</v>
      </c>
      <c r="X7" s="37">
        <f t="shared" si="1"/>
        <v>1386.24</v>
      </c>
      <c r="Y7" s="37">
        <f t="shared" si="1"/>
        <v>1510.3400000000001</v>
      </c>
      <c r="Z7" s="37">
        <f t="shared" si="1"/>
        <v>1562.74</v>
      </c>
      <c r="AA7" s="37">
        <f t="shared" si="1"/>
        <v>1499.8400000000001</v>
      </c>
      <c r="AB7" s="37">
        <f t="shared" si="1"/>
        <v>1348.64</v>
      </c>
      <c r="AC7" s="37">
        <f t="shared" si="1"/>
        <v>1285.44</v>
      </c>
      <c r="AD7" s="37">
        <f t="shared" si="1"/>
        <v>1246.94</v>
      </c>
      <c r="AE7" s="37">
        <f t="shared" si="1"/>
        <v>1075.1399999999999</v>
      </c>
      <c r="AF7" s="37">
        <f t="shared" si="1"/>
        <v>981.04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20</v>
      </c>
      <c r="E11" s="49">
        <v>20</v>
      </c>
      <c r="F11" s="49">
        <v>20</v>
      </c>
      <c r="G11" s="49">
        <v>20</v>
      </c>
      <c r="H11" s="49">
        <v>30</v>
      </c>
      <c r="I11" s="49">
        <v>150</v>
      </c>
      <c r="J11" s="49">
        <v>380</v>
      </c>
      <c r="K11" s="49">
        <v>420</v>
      </c>
      <c r="L11" s="49">
        <v>410</v>
      </c>
      <c r="M11" s="50">
        <v>50</v>
      </c>
      <c r="N11" s="50">
        <v>50</v>
      </c>
      <c r="O11" s="50">
        <v>50</v>
      </c>
      <c r="P11" s="50">
        <v>40</v>
      </c>
      <c r="Q11" s="50">
        <v>40</v>
      </c>
      <c r="R11" s="50">
        <v>30</v>
      </c>
      <c r="S11" s="50">
        <v>30</v>
      </c>
      <c r="T11" s="50">
        <v>30</v>
      </c>
      <c r="U11" s="50">
        <v>12</v>
      </c>
      <c r="V11" s="50">
        <v>12</v>
      </c>
      <c r="W11" s="50">
        <v>12</v>
      </c>
      <c r="X11" s="50">
        <v>60</v>
      </c>
      <c r="Y11" s="50">
        <v>110</v>
      </c>
      <c r="Z11" s="52">
        <v>130</v>
      </c>
      <c r="AA11" s="52">
        <v>130</v>
      </c>
      <c r="AB11" s="50">
        <v>60</v>
      </c>
      <c r="AC11" s="50">
        <v>25</v>
      </c>
      <c r="AD11" s="50">
        <v>20</v>
      </c>
      <c r="AE11" s="50">
        <v>12</v>
      </c>
      <c r="AF11" s="49">
        <v>12</v>
      </c>
      <c r="AG11" s="53">
        <v>456</v>
      </c>
      <c r="AH11" s="54">
        <f>MAX(B11:AF11)</f>
        <v>420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49">
        <v>30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17.2</v>
      </c>
      <c r="C13" s="49">
        <v>17.2</v>
      </c>
      <c r="D13" s="49">
        <v>17.2</v>
      </c>
      <c r="E13" s="49">
        <v>17.2</v>
      </c>
      <c r="F13" s="49">
        <v>17.2</v>
      </c>
      <c r="G13" s="49">
        <v>17.2</v>
      </c>
      <c r="H13" s="49">
        <v>17.2</v>
      </c>
      <c r="I13" s="49">
        <v>17.2</v>
      </c>
      <c r="J13" s="49">
        <v>17.2</v>
      </c>
      <c r="K13" s="49">
        <v>17.2</v>
      </c>
      <c r="L13" s="49">
        <v>17.2</v>
      </c>
      <c r="M13" s="49">
        <v>17.2</v>
      </c>
      <c r="N13" s="49">
        <v>16.8</v>
      </c>
      <c r="O13" s="49">
        <v>16.8</v>
      </c>
      <c r="P13" s="49">
        <v>16.8</v>
      </c>
      <c r="Q13" s="49">
        <v>16.8</v>
      </c>
      <c r="R13" s="49">
        <v>16.8</v>
      </c>
      <c r="S13" s="49">
        <v>16.8</v>
      </c>
      <c r="T13" s="49">
        <v>16.8</v>
      </c>
      <c r="U13" s="49">
        <v>16.8</v>
      </c>
      <c r="V13" s="49">
        <v>16.8</v>
      </c>
      <c r="W13" s="49">
        <v>16.8</v>
      </c>
      <c r="X13" s="49">
        <v>16.8</v>
      </c>
      <c r="Y13" s="49">
        <v>16.8</v>
      </c>
      <c r="Z13" s="50">
        <v>16.8</v>
      </c>
      <c r="AA13" s="50">
        <v>16.8</v>
      </c>
      <c r="AB13" s="50">
        <v>16.8</v>
      </c>
      <c r="AC13" s="50">
        <v>16.8</v>
      </c>
      <c r="AD13" s="50">
        <v>16.8</v>
      </c>
      <c r="AE13" s="50">
        <v>16.2</v>
      </c>
      <c r="AF13" s="49">
        <v>16.2</v>
      </c>
      <c r="AG13" s="59">
        <v>52.4</v>
      </c>
      <c r="AH13" s="54">
        <f t="shared" si="2"/>
        <v>17.2</v>
      </c>
      <c r="AI13" s="55">
        <f t="shared" si="3"/>
        <v>16.2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</v>
      </c>
      <c r="C14" s="49">
        <v>34</v>
      </c>
      <c r="D14" s="49">
        <v>34</v>
      </c>
      <c r="E14" s="49">
        <v>34.200000000000003</v>
      </c>
      <c r="F14" s="49">
        <v>34</v>
      </c>
      <c r="G14" s="49">
        <v>34</v>
      </c>
      <c r="H14" s="49">
        <v>34</v>
      </c>
      <c r="I14" s="49">
        <v>34</v>
      </c>
      <c r="J14" s="49">
        <v>34</v>
      </c>
      <c r="K14" s="49">
        <v>34</v>
      </c>
      <c r="L14" s="49">
        <v>34</v>
      </c>
      <c r="M14" s="50">
        <v>34</v>
      </c>
      <c r="N14" s="50">
        <v>34</v>
      </c>
      <c r="O14" s="50">
        <v>34</v>
      </c>
      <c r="P14" s="50">
        <v>34</v>
      </c>
      <c r="Q14" s="50">
        <v>34</v>
      </c>
      <c r="R14" s="50">
        <v>34</v>
      </c>
      <c r="S14" s="50">
        <v>34</v>
      </c>
      <c r="T14" s="50">
        <v>34</v>
      </c>
      <c r="U14" s="50">
        <v>34</v>
      </c>
      <c r="V14" s="50">
        <v>34</v>
      </c>
      <c r="W14" s="50">
        <v>34</v>
      </c>
      <c r="X14" s="50">
        <v>34</v>
      </c>
      <c r="Y14" s="50">
        <v>34</v>
      </c>
      <c r="Z14" s="50">
        <v>34</v>
      </c>
      <c r="AA14" s="50">
        <v>34</v>
      </c>
      <c r="AB14" s="50">
        <v>34</v>
      </c>
      <c r="AC14" s="50">
        <v>34</v>
      </c>
      <c r="AD14" s="50">
        <v>34</v>
      </c>
      <c r="AE14" s="50">
        <v>33.9</v>
      </c>
      <c r="AF14" s="49">
        <v>33.799999999999997</v>
      </c>
      <c r="AG14" s="59">
        <v>50</v>
      </c>
      <c r="AH14" s="54">
        <f t="shared" si="2"/>
        <v>34.200000000000003</v>
      </c>
      <c r="AI14" s="55">
        <f t="shared" si="3"/>
        <v>33.799999999999997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18.3</v>
      </c>
      <c r="C15" s="61">
        <v>18.3</v>
      </c>
      <c r="D15" s="61">
        <v>18.3</v>
      </c>
      <c r="E15" s="61">
        <v>20.8</v>
      </c>
      <c r="F15" s="61">
        <v>20.8</v>
      </c>
      <c r="G15" s="61">
        <v>20.8</v>
      </c>
      <c r="H15" s="61">
        <v>20.8</v>
      </c>
      <c r="I15" s="61">
        <v>20.8</v>
      </c>
      <c r="J15" s="61">
        <v>20.8</v>
      </c>
      <c r="K15" s="61">
        <v>20</v>
      </c>
      <c r="L15" s="61">
        <v>20</v>
      </c>
      <c r="M15" s="50">
        <v>20</v>
      </c>
      <c r="N15" s="50">
        <v>19.399999999999999</v>
      </c>
      <c r="O15" s="50">
        <v>19.399999999999999</v>
      </c>
      <c r="P15" s="50">
        <v>19.399999999999999</v>
      </c>
      <c r="Q15" s="50">
        <v>19.399999999999999</v>
      </c>
      <c r="R15" s="50">
        <v>19.399999999999999</v>
      </c>
      <c r="S15" s="50">
        <v>19.399999999999999</v>
      </c>
      <c r="T15" s="50">
        <v>19.399999999999999</v>
      </c>
      <c r="U15" s="50">
        <v>19.399999999999999</v>
      </c>
      <c r="V15" s="50">
        <v>19.399999999999999</v>
      </c>
      <c r="W15" s="50">
        <v>19.399999999999999</v>
      </c>
      <c r="X15" s="50">
        <v>19.399999999999999</v>
      </c>
      <c r="Y15" s="50">
        <v>19.399999999999999</v>
      </c>
      <c r="Z15" s="50">
        <v>19.399999999999999</v>
      </c>
      <c r="AA15" s="50">
        <v>19.399999999999999</v>
      </c>
      <c r="AB15" s="50">
        <v>19.399999999999999</v>
      </c>
      <c r="AC15" s="50">
        <v>19.399999999999999</v>
      </c>
      <c r="AD15" s="50">
        <v>19.399999999999999</v>
      </c>
      <c r="AE15" s="50">
        <v>19.399999999999999</v>
      </c>
      <c r="AF15" s="61">
        <v>23.1</v>
      </c>
      <c r="AG15" s="62">
        <v>45</v>
      </c>
      <c r="AH15" s="54">
        <f t="shared" si="2"/>
        <v>23.1</v>
      </c>
      <c r="AI15" s="55">
        <f t="shared" si="3"/>
        <v>18.3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49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49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9.3000000000000007</v>
      </c>
      <c r="C19" s="49">
        <v>9.3000000000000007</v>
      </c>
      <c r="D19" s="49">
        <v>9.3000000000000007</v>
      </c>
      <c r="E19" s="49">
        <v>9.3000000000000007</v>
      </c>
      <c r="F19" s="49">
        <v>9.3000000000000007</v>
      </c>
      <c r="G19" s="49">
        <v>9.3000000000000007</v>
      </c>
      <c r="H19" s="49">
        <v>9.3000000000000007</v>
      </c>
      <c r="I19" s="49">
        <v>9.3000000000000007</v>
      </c>
      <c r="J19" s="49">
        <v>9.3000000000000007</v>
      </c>
      <c r="K19" s="49">
        <v>9.3000000000000007</v>
      </c>
      <c r="L19" s="49">
        <v>9.3000000000000007</v>
      </c>
      <c r="M19" s="50">
        <v>9.3000000000000007</v>
      </c>
      <c r="N19" s="50">
        <v>9.3000000000000007</v>
      </c>
      <c r="O19" s="50">
        <v>9.3000000000000007</v>
      </c>
      <c r="P19" s="50">
        <v>9.3000000000000007</v>
      </c>
      <c r="Q19" s="50">
        <v>9.3000000000000007</v>
      </c>
      <c r="R19" s="50">
        <v>9.3000000000000007</v>
      </c>
      <c r="S19" s="50">
        <v>9.3000000000000007</v>
      </c>
      <c r="T19" s="50">
        <v>9.3000000000000007</v>
      </c>
      <c r="U19" s="50">
        <v>9.3000000000000007</v>
      </c>
      <c r="V19" s="50">
        <v>9.3000000000000007</v>
      </c>
      <c r="W19" s="50">
        <v>9.3000000000000007</v>
      </c>
      <c r="X19" s="50">
        <v>9.3000000000000007</v>
      </c>
      <c r="Y19" s="50">
        <v>9.3000000000000007</v>
      </c>
      <c r="Z19" s="50">
        <v>9.3000000000000007</v>
      </c>
      <c r="AA19" s="50">
        <v>9.3000000000000007</v>
      </c>
      <c r="AB19" s="50">
        <v>9.3000000000000007</v>
      </c>
      <c r="AC19" s="50">
        <v>9.3000000000000007</v>
      </c>
      <c r="AD19" s="50">
        <v>9.3000000000000007</v>
      </c>
      <c r="AE19" s="50">
        <v>9.3000000000000007</v>
      </c>
      <c r="AF19" s="50">
        <v>12</v>
      </c>
      <c r="AG19" s="59">
        <v>30</v>
      </c>
      <c r="AH19" s="54">
        <f t="shared" si="2"/>
        <v>12</v>
      </c>
      <c r="AI19" s="55">
        <f t="shared" si="3"/>
        <v>9.3000000000000007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11.6</v>
      </c>
      <c r="C22" s="49">
        <v>11.6</v>
      </c>
      <c r="D22" s="49">
        <v>11.6</v>
      </c>
      <c r="E22" s="49">
        <v>11.6</v>
      </c>
      <c r="F22" s="49">
        <v>11.6</v>
      </c>
      <c r="G22" s="49">
        <v>11.6</v>
      </c>
      <c r="H22" s="49">
        <v>11.6</v>
      </c>
      <c r="I22" s="49">
        <v>11.6</v>
      </c>
      <c r="J22" s="49">
        <v>11.6</v>
      </c>
      <c r="K22" s="49">
        <v>11.6</v>
      </c>
      <c r="L22" s="49">
        <v>11.6</v>
      </c>
      <c r="M22" s="50">
        <v>11.6</v>
      </c>
      <c r="N22" s="50">
        <v>11.7</v>
      </c>
      <c r="O22" s="50">
        <v>11.7</v>
      </c>
      <c r="P22" s="50">
        <v>11.7</v>
      </c>
      <c r="Q22" s="50">
        <v>11.7</v>
      </c>
      <c r="R22" s="50">
        <v>11.7</v>
      </c>
      <c r="S22" s="50">
        <v>11.7</v>
      </c>
      <c r="T22" s="50">
        <v>11.7</v>
      </c>
      <c r="U22" s="50">
        <v>11.7</v>
      </c>
      <c r="V22" s="50">
        <v>11.7</v>
      </c>
      <c r="W22" s="50">
        <v>11.7</v>
      </c>
      <c r="X22" s="50">
        <v>11.7</v>
      </c>
      <c r="Y22" s="50">
        <v>11.7</v>
      </c>
      <c r="Z22" s="50">
        <v>11.7</v>
      </c>
      <c r="AA22" s="50">
        <v>11.7</v>
      </c>
      <c r="AB22" s="50">
        <v>11.7</v>
      </c>
      <c r="AC22" s="50">
        <v>11.7</v>
      </c>
      <c r="AD22" s="50">
        <v>11.7</v>
      </c>
      <c r="AE22" s="50">
        <v>11.7</v>
      </c>
      <c r="AF22" s="50">
        <v>11.2</v>
      </c>
      <c r="AG22" s="59">
        <v>25</v>
      </c>
      <c r="AH22" s="54">
        <f t="shared" si="2"/>
        <v>11.7</v>
      </c>
      <c r="AI22" s="55">
        <f t="shared" si="3"/>
        <v>11.2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7</v>
      </c>
      <c r="C24" s="49">
        <v>7</v>
      </c>
      <c r="D24" s="49">
        <v>9</v>
      </c>
      <c r="E24" s="49">
        <v>9</v>
      </c>
      <c r="F24" s="49">
        <v>9</v>
      </c>
      <c r="G24" s="49">
        <v>9</v>
      </c>
      <c r="H24" s="49">
        <v>8</v>
      </c>
      <c r="I24" s="49">
        <v>8</v>
      </c>
      <c r="J24" s="49">
        <v>8</v>
      </c>
      <c r="K24" s="49">
        <v>7</v>
      </c>
      <c r="L24" s="49">
        <v>7</v>
      </c>
      <c r="M24" s="50">
        <v>8.5</v>
      </c>
      <c r="N24" s="50">
        <v>8.5</v>
      </c>
      <c r="O24" s="50">
        <v>8.5</v>
      </c>
      <c r="P24" s="50">
        <v>8.5</v>
      </c>
      <c r="Q24" s="50">
        <v>5.8</v>
      </c>
      <c r="R24" s="50">
        <v>5.8</v>
      </c>
      <c r="S24" s="50">
        <v>5.8</v>
      </c>
      <c r="T24" s="50">
        <v>5.8</v>
      </c>
      <c r="U24" s="50">
        <v>5.8</v>
      </c>
      <c r="V24" s="50">
        <v>5.8</v>
      </c>
      <c r="W24" s="50">
        <v>5.8</v>
      </c>
      <c r="X24" s="50">
        <v>5.8</v>
      </c>
      <c r="Y24" s="50">
        <v>5.8</v>
      </c>
      <c r="Z24" s="50">
        <v>5.8</v>
      </c>
      <c r="AA24" s="50">
        <v>5.8</v>
      </c>
      <c r="AB24" s="50">
        <v>5.8</v>
      </c>
      <c r="AC24" s="50">
        <v>5.8</v>
      </c>
      <c r="AD24" s="50">
        <v>5.8</v>
      </c>
      <c r="AE24" s="50">
        <v>5.8</v>
      </c>
      <c r="AF24" s="50">
        <v>5.8</v>
      </c>
      <c r="AG24" s="59">
        <v>25</v>
      </c>
      <c r="AH24" s="54">
        <f t="shared" si="2"/>
        <v>9</v>
      </c>
      <c r="AI24" s="55">
        <f t="shared" si="3"/>
        <v>5.8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49">
        <v>2.5</v>
      </c>
      <c r="AC27" s="49">
        <v>2.5</v>
      </c>
      <c r="AD27" s="49">
        <v>2.5</v>
      </c>
      <c r="AE27" s="49">
        <v>2.5</v>
      </c>
      <c r="AF27" s="49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165</v>
      </c>
      <c r="R36" s="61">
        <v>165</v>
      </c>
      <c r="S36" s="61">
        <v>165</v>
      </c>
      <c r="T36" s="61">
        <v>165</v>
      </c>
      <c r="U36" s="61">
        <v>165</v>
      </c>
      <c r="V36" s="61">
        <v>165</v>
      </c>
      <c r="W36" s="61">
        <v>165</v>
      </c>
      <c r="X36" s="61">
        <v>165</v>
      </c>
      <c r="Y36" s="61">
        <v>165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165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30.5</v>
      </c>
      <c r="C37" s="61">
        <v>30.5</v>
      </c>
      <c r="D37" s="61">
        <v>30.5</v>
      </c>
      <c r="E37" s="61">
        <v>34.1</v>
      </c>
      <c r="F37" s="61">
        <v>34.1</v>
      </c>
      <c r="G37" s="61">
        <v>34.1</v>
      </c>
      <c r="H37" s="61">
        <v>34.1</v>
      </c>
      <c r="I37" s="61">
        <v>34.1</v>
      </c>
      <c r="J37" s="61">
        <v>34.1</v>
      </c>
      <c r="K37" s="61">
        <v>33.200000000000003</v>
      </c>
      <c r="L37" s="61">
        <v>33.200000000000003</v>
      </c>
      <c r="M37" s="70">
        <f>10.1+19.9</f>
        <v>30</v>
      </c>
      <c r="N37" s="70">
        <f>10.8+19.6</f>
        <v>30.400000000000002</v>
      </c>
      <c r="O37" s="70">
        <f>11.4+20.8</f>
        <v>32.200000000000003</v>
      </c>
      <c r="P37" s="70">
        <f>12.2+23</f>
        <v>35.200000000000003</v>
      </c>
      <c r="Q37" s="70">
        <v>35</v>
      </c>
      <c r="R37" s="70">
        <v>35</v>
      </c>
      <c r="S37" s="70">
        <v>30.7</v>
      </c>
      <c r="T37" s="70">
        <v>34.299999999999997</v>
      </c>
      <c r="U37" s="70">
        <v>32.6</v>
      </c>
      <c r="V37" s="70">
        <v>31.5</v>
      </c>
      <c r="W37" s="70">
        <v>30</v>
      </c>
      <c r="X37" s="70">
        <v>31</v>
      </c>
      <c r="Y37" s="70">
        <v>27</v>
      </c>
      <c r="Z37" s="70">
        <v>27</v>
      </c>
      <c r="AA37" s="70">
        <v>30</v>
      </c>
      <c r="AB37" s="70">
        <v>30</v>
      </c>
      <c r="AC37" s="70">
        <v>30</v>
      </c>
      <c r="AD37" s="70">
        <v>30</v>
      </c>
      <c r="AE37" s="70">
        <v>30</v>
      </c>
      <c r="AF37" s="70">
        <f>10.9+22.1</f>
        <v>33</v>
      </c>
      <c r="AG37" s="67">
        <v>240</v>
      </c>
      <c r="AH37" s="54">
        <f t="shared" si="2"/>
        <v>35.200000000000003</v>
      </c>
      <c r="AI37" s="55">
        <f t="shared" si="3"/>
        <v>27</v>
      </c>
      <c r="AK37" s="56"/>
    </row>
    <row r="38" spans="1:88" ht="15.75" thickBot="1" x14ac:dyDescent="0.3">
      <c r="A38" s="71" t="s">
        <v>46</v>
      </c>
      <c r="B38" s="72">
        <f>SUM(B11:B36)</f>
        <v>384.6</v>
      </c>
      <c r="C38" s="72">
        <f t="shared" ref="C38:AF38" si="4">SUM(C11:C36)</f>
        <v>384.6</v>
      </c>
      <c r="D38" s="72">
        <f t="shared" si="4"/>
        <v>394.6</v>
      </c>
      <c r="E38" s="72">
        <f t="shared" si="4"/>
        <v>397.29999999999995</v>
      </c>
      <c r="F38" s="72">
        <f t="shared" si="4"/>
        <v>397.1</v>
      </c>
      <c r="G38" s="72">
        <f t="shared" si="4"/>
        <v>397.1</v>
      </c>
      <c r="H38" s="72">
        <f t="shared" si="4"/>
        <v>406.1</v>
      </c>
      <c r="I38" s="72">
        <f t="shared" si="4"/>
        <v>526.1</v>
      </c>
      <c r="J38" s="72">
        <f t="shared" si="4"/>
        <v>756.1</v>
      </c>
      <c r="K38" s="72">
        <f t="shared" si="4"/>
        <v>794.30000000000007</v>
      </c>
      <c r="L38" s="72">
        <f t="shared" si="4"/>
        <v>784.30000000000007</v>
      </c>
      <c r="M38" s="72">
        <f t="shared" si="4"/>
        <v>425.8</v>
      </c>
      <c r="N38" s="72">
        <f t="shared" si="4"/>
        <v>424.90000000000003</v>
      </c>
      <c r="O38" s="72">
        <f t="shared" si="4"/>
        <v>424.90000000000003</v>
      </c>
      <c r="P38" s="72">
        <f t="shared" si="4"/>
        <v>414.9</v>
      </c>
      <c r="Q38" s="72">
        <f t="shared" si="4"/>
        <v>417.2</v>
      </c>
      <c r="R38" s="72">
        <f t="shared" si="4"/>
        <v>407.2</v>
      </c>
      <c r="S38" s="72">
        <f t="shared" si="4"/>
        <v>407.2</v>
      </c>
      <c r="T38" s="72">
        <f t="shared" si="4"/>
        <v>407.2</v>
      </c>
      <c r="U38" s="72">
        <f t="shared" si="4"/>
        <v>389.2</v>
      </c>
      <c r="V38" s="72">
        <f t="shared" si="4"/>
        <v>389.2</v>
      </c>
      <c r="W38" s="72">
        <f t="shared" si="4"/>
        <v>389.2</v>
      </c>
      <c r="X38" s="72">
        <f t="shared" si="4"/>
        <v>437.2</v>
      </c>
      <c r="Y38" s="72">
        <f t="shared" si="4"/>
        <v>487.2</v>
      </c>
      <c r="Z38" s="72">
        <f t="shared" si="4"/>
        <v>502.2</v>
      </c>
      <c r="AA38" s="72">
        <f t="shared" si="4"/>
        <v>502.2</v>
      </c>
      <c r="AB38" s="72">
        <f t="shared" si="4"/>
        <v>432.2</v>
      </c>
      <c r="AC38" s="72">
        <f t="shared" si="4"/>
        <v>397.2</v>
      </c>
      <c r="AD38" s="72">
        <f t="shared" si="4"/>
        <v>392.2</v>
      </c>
      <c r="AE38" s="72">
        <f t="shared" si="4"/>
        <v>383.5</v>
      </c>
      <c r="AF38" s="72">
        <f t="shared" si="4"/>
        <v>388.29999999999995</v>
      </c>
      <c r="AG38" s="67">
        <f>SUM(AG11:AG37)</f>
        <v>1492.8299999999997</v>
      </c>
      <c r="AH38" s="54">
        <f t="shared" si="2"/>
        <v>794.30000000000007</v>
      </c>
      <c r="AI38" s="55">
        <f t="shared" si="3"/>
        <v>383.5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61">
        <v>0</v>
      </c>
      <c r="E39" s="61">
        <v>0</v>
      </c>
      <c r="F39" s="61">
        <v>0</v>
      </c>
      <c r="G39" s="61">
        <v>0</v>
      </c>
      <c r="H39" s="61">
        <v>20</v>
      </c>
      <c r="I39" s="61">
        <v>47</v>
      </c>
      <c r="J39" s="61">
        <v>80</v>
      </c>
      <c r="K39" s="61">
        <v>120</v>
      </c>
      <c r="L39" s="61">
        <v>145</v>
      </c>
      <c r="M39" s="61">
        <v>132.5</v>
      </c>
      <c r="N39" s="61">
        <v>121.8</v>
      </c>
      <c r="O39" s="61">
        <v>111.4</v>
      </c>
      <c r="P39" s="61">
        <v>91.4</v>
      </c>
      <c r="Q39" s="50">
        <v>80.900000000000006</v>
      </c>
      <c r="R39" s="50">
        <v>100</v>
      </c>
      <c r="S39" s="50">
        <v>81.099999999999994</v>
      </c>
      <c r="T39" s="50">
        <v>81.099999999999994</v>
      </c>
      <c r="U39" s="50">
        <v>90</v>
      </c>
      <c r="V39" s="50">
        <v>90</v>
      </c>
      <c r="W39" s="50">
        <v>102.3</v>
      </c>
      <c r="X39" s="50">
        <v>120</v>
      </c>
      <c r="Y39" s="50">
        <v>144.69999999999999</v>
      </c>
      <c r="Z39" s="50">
        <v>144.69999999999999</v>
      </c>
      <c r="AA39" s="50">
        <v>110.6</v>
      </c>
      <c r="AB39" s="50">
        <v>85</v>
      </c>
      <c r="AC39" s="50">
        <v>45.6</v>
      </c>
      <c r="AD39" s="50">
        <v>40</v>
      </c>
      <c r="AE39" s="50">
        <v>0</v>
      </c>
      <c r="AF39" s="49">
        <v>0</v>
      </c>
      <c r="AG39" s="62">
        <v>144</v>
      </c>
      <c r="AH39" s="54">
        <f t="shared" si="2"/>
        <v>145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45</v>
      </c>
      <c r="K40" s="61">
        <v>59.2</v>
      </c>
      <c r="L40" s="61">
        <v>59.2</v>
      </c>
      <c r="M40" s="61">
        <v>49.4</v>
      </c>
      <c r="N40" s="61">
        <v>49.8</v>
      </c>
      <c r="O40" s="61">
        <v>49.3</v>
      </c>
      <c r="P40" s="61">
        <v>50.3</v>
      </c>
      <c r="Q40" s="73">
        <v>42.9</v>
      </c>
      <c r="R40" s="73">
        <v>51.1</v>
      </c>
      <c r="S40" s="73">
        <v>34.799999999999997</v>
      </c>
      <c r="T40" s="73">
        <v>34.799999999999997</v>
      </c>
      <c r="U40" s="73">
        <v>35</v>
      </c>
      <c r="V40" s="73">
        <v>35</v>
      </c>
      <c r="W40" s="73">
        <v>44.7</v>
      </c>
      <c r="X40" s="73">
        <v>60</v>
      </c>
      <c r="Y40" s="73">
        <v>70.7</v>
      </c>
      <c r="Z40" s="73">
        <v>70.7</v>
      </c>
      <c r="AA40" s="73">
        <v>49.1</v>
      </c>
      <c r="AB40" s="73">
        <v>34.4</v>
      </c>
      <c r="AC40" s="73">
        <v>34.799999999999997</v>
      </c>
      <c r="AD40" s="73">
        <v>25.8</v>
      </c>
      <c r="AE40" s="73">
        <v>0</v>
      </c>
      <c r="AF40" s="61">
        <v>0</v>
      </c>
      <c r="AG40" s="67">
        <v>70</v>
      </c>
      <c r="AH40" s="54">
        <f t="shared" si="2"/>
        <v>70.7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17</v>
      </c>
      <c r="C41" s="61">
        <v>17</v>
      </c>
      <c r="D41" s="61">
        <v>22.5</v>
      </c>
      <c r="E41" s="61">
        <v>23</v>
      </c>
      <c r="F41" s="61">
        <v>23</v>
      </c>
      <c r="G41" s="61">
        <v>16.8</v>
      </c>
      <c r="H41" s="61">
        <v>37.5</v>
      </c>
      <c r="I41" s="61">
        <v>36</v>
      </c>
      <c r="J41" s="61">
        <v>46</v>
      </c>
      <c r="K41" s="61">
        <v>46</v>
      </c>
      <c r="L41" s="61">
        <v>64.599999999999994</v>
      </c>
      <c r="M41" s="61">
        <v>64.099999999999994</v>
      </c>
      <c r="N41" s="61">
        <v>64.2</v>
      </c>
      <c r="O41" s="61">
        <v>46.1</v>
      </c>
      <c r="P41" s="61">
        <v>33.9</v>
      </c>
      <c r="Q41" s="73">
        <v>33.1</v>
      </c>
      <c r="R41" s="73">
        <v>17.7</v>
      </c>
      <c r="S41" s="73">
        <v>23.5</v>
      </c>
      <c r="T41" s="73">
        <v>23.5</v>
      </c>
      <c r="U41" s="73">
        <v>24</v>
      </c>
      <c r="V41" s="73">
        <v>38.200000000000003</v>
      </c>
      <c r="W41" s="73">
        <v>38.200000000000003</v>
      </c>
      <c r="X41" s="73">
        <v>55.3</v>
      </c>
      <c r="Y41" s="73">
        <v>68.7</v>
      </c>
      <c r="Z41" s="73">
        <v>68.7</v>
      </c>
      <c r="AA41" s="73">
        <v>68</v>
      </c>
      <c r="AB41" s="73">
        <v>66.400000000000006</v>
      </c>
      <c r="AC41" s="73">
        <v>67</v>
      </c>
      <c r="AD41" s="73">
        <v>53</v>
      </c>
      <c r="AE41" s="73">
        <v>39.700000000000003</v>
      </c>
      <c r="AF41" s="61">
        <v>46.1</v>
      </c>
      <c r="AG41" s="67">
        <v>69</v>
      </c>
      <c r="AH41" s="54">
        <f t="shared" si="2"/>
        <v>68.7</v>
      </c>
      <c r="AI41" s="55">
        <f t="shared" si="3"/>
        <v>16.8</v>
      </c>
      <c r="AK41" s="56"/>
    </row>
    <row r="42" spans="1:88" x14ac:dyDescent="0.25">
      <c r="A42" s="66" t="s">
        <v>50</v>
      </c>
      <c r="B42" s="61">
        <v>48.4</v>
      </c>
      <c r="C42" s="61">
        <v>48.4</v>
      </c>
      <c r="D42" s="61">
        <v>43.8</v>
      </c>
      <c r="E42" s="61">
        <v>44.3</v>
      </c>
      <c r="F42" s="61">
        <v>44.3</v>
      </c>
      <c r="G42" s="61">
        <v>44.3</v>
      </c>
      <c r="H42" s="61">
        <v>44.3</v>
      </c>
      <c r="I42" s="61">
        <v>46.1</v>
      </c>
      <c r="J42" s="61">
        <v>46.1</v>
      </c>
      <c r="K42" s="61">
        <v>46.1</v>
      </c>
      <c r="L42" s="61">
        <v>47.8</v>
      </c>
      <c r="M42" s="61">
        <v>45.9</v>
      </c>
      <c r="N42" s="61">
        <v>45.9</v>
      </c>
      <c r="O42" s="61">
        <v>45.9</v>
      </c>
      <c r="P42" s="61">
        <v>45.9</v>
      </c>
      <c r="Q42" s="73">
        <v>45.9</v>
      </c>
      <c r="R42" s="73">
        <v>45.9</v>
      </c>
      <c r="S42" s="73">
        <v>45.9</v>
      </c>
      <c r="T42" s="73">
        <v>45.9</v>
      </c>
      <c r="U42" s="73">
        <v>41.8</v>
      </c>
      <c r="V42" s="73">
        <v>41.8</v>
      </c>
      <c r="W42" s="73">
        <v>42.6</v>
      </c>
      <c r="X42" s="73">
        <v>42.6</v>
      </c>
      <c r="Y42" s="73">
        <v>44.1</v>
      </c>
      <c r="Z42" s="73">
        <v>44.1</v>
      </c>
      <c r="AA42" s="73">
        <v>46.1</v>
      </c>
      <c r="AB42" s="73">
        <v>46</v>
      </c>
      <c r="AC42" s="73">
        <v>46</v>
      </c>
      <c r="AD42" s="73">
        <v>46</v>
      </c>
      <c r="AE42" s="73">
        <v>44.4</v>
      </c>
      <c r="AF42" s="61">
        <v>44.1</v>
      </c>
      <c r="AG42" s="67">
        <v>60</v>
      </c>
      <c r="AH42" s="54">
        <f t="shared" si="2"/>
        <v>48.4</v>
      </c>
      <c r="AI42" s="55">
        <f t="shared" si="3"/>
        <v>41.8</v>
      </c>
      <c r="AK42" s="56"/>
    </row>
    <row r="43" spans="1:88" x14ac:dyDescent="0.25">
      <c r="A43" s="66" t="s">
        <v>51</v>
      </c>
      <c r="B43" s="61">
        <v>10</v>
      </c>
      <c r="C43" s="61">
        <v>10</v>
      </c>
      <c r="D43" s="61">
        <v>0</v>
      </c>
      <c r="E43" s="61">
        <v>0</v>
      </c>
      <c r="F43" s="61">
        <v>0</v>
      </c>
      <c r="G43" s="61">
        <v>0</v>
      </c>
      <c r="H43" s="61">
        <v>6</v>
      </c>
      <c r="I43" s="61">
        <v>15</v>
      </c>
      <c r="J43" s="61">
        <v>15</v>
      </c>
      <c r="K43" s="61">
        <v>15</v>
      </c>
      <c r="L43" s="61">
        <v>15</v>
      </c>
      <c r="M43" s="61">
        <v>15</v>
      </c>
      <c r="N43" s="61">
        <v>10.7</v>
      </c>
      <c r="O43" s="61">
        <v>10.7</v>
      </c>
      <c r="P43" s="61">
        <v>10.7</v>
      </c>
      <c r="Q43" s="50">
        <v>10.3</v>
      </c>
      <c r="R43" s="50">
        <v>10.3</v>
      </c>
      <c r="S43" s="50">
        <v>6.2</v>
      </c>
      <c r="T43" s="50">
        <v>6.2</v>
      </c>
      <c r="U43" s="50">
        <v>10.3</v>
      </c>
      <c r="V43" s="50">
        <v>10.3</v>
      </c>
      <c r="W43" s="50">
        <v>10.3</v>
      </c>
      <c r="X43" s="50">
        <v>5.9</v>
      </c>
      <c r="Y43" s="50">
        <v>14.4</v>
      </c>
      <c r="Z43" s="73">
        <v>15</v>
      </c>
      <c r="AA43" s="73">
        <v>12.9</v>
      </c>
      <c r="AB43" s="73">
        <v>6</v>
      </c>
      <c r="AC43" s="73">
        <v>10</v>
      </c>
      <c r="AD43" s="73">
        <v>10</v>
      </c>
      <c r="AE43" s="73">
        <v>0</v>
      </c>
      <c r="AF43" s="61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50">
        <v>10</v>
      </c>
      <c r="R44" s="50">
        <v>10</v>
      </c>
      <c r="S44" s="50">
        <v>10</v>
      </c>
      <c r="T44" s="50">
        <v>10</v>
      </c>
      <c r="U44" s="50">
        <v>10</v>
      </c>
      <c r="V44" s="50">
        <v>10</v>
      </c>
      <c r="W44" s="50">
        <v>10</v>
      </c>
      <c r="X44" s="50">
        <v>10</v>
      </c>
      <c r="Y44" s="50">
        <v>10</v>
      </c>
      <c r="Z44" s="50">
        <v>10</v>
      </c>
      <c r="AA44" s="50">
        <v>10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61">
        <v>13</v>
      </c>
      <c r="D45" s="61">
        <v>13</v>
      </c>
      <c r="E45" s="61">
        <v>13</v>
      </c>
      <c r="F45" s="61">
        <v>13</v>
      </c>
      <c r="G45" s="61">
        <v>13</v>
      </c>
      <c r="H45" s="61">
        <v>13</v>
      </c>
      <c r="I45" s="61">
        <v>13</v>
      </c>
      <c r="J45" s="61">
        <v>13</v>
      </c>
      <c r="K45" s="61">
        <v>13</v>
      </c>
      <c r="L45" s="61">
        <v>13</v>
      </c>
      <c r="M45" s="61">
        <v>13</v>
      </c>
      <c r="N45" s="61">
        <v>13</v>
      </c>
      <c r="O45" s="61">
        <v>13</v>
      </c>
      <c r="P45" s="61">
        <v>13</v>
      </c>
      <c r="Q45" s="61">
        <v>13</v>
      </c>
      <c r="R45" s="61">
        <v>13</v>
      </c>
      <c r="S45" s="61">
        <v>13</v>
      </c>
      <c r="T45" s="61">
        <v>13</v>
      </c>
      <c r="U45" s="61">
        <v>13</v>
      </c>
      <c r="V45" s="61">
        <v>13</v>
      </c>
      <c r="W45" s="61">
        <v>13</v>
      </c>
      <c r="X45" s="61">
        <v>13</v>
      </c>
      <c r="Y45" s="61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61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61">
        <v>5.5</v>
      </c>
      <c r="P46" s="61">
        <v>5.5</v>
      </c>
      <c r="Q46" s="61">
        <v>5.5</v>
      </c>
      <c r="R46" s="61">
        <v>5.5</v>
      </c>
      <c r="S46" s="61">
        <v>5.5</v>
      </c>
      <c r="T46" s="61">
        <v>5.5</v>
      </c>
      <c r="U46" s="61">
        <v>5.5</v>
      </c>
      <c r="V46" s="61">
        <v>5.5</v>
      </c>
      <c r="W46" s="61">
        <v>5.5</v>
      </c>
      <c r="X46" s="61">
        <v>5.5</v>
      </c>
      <c r="Y46" s="61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11</v>
      </c>
      <c r="C47" s="61">
        <v>11</v>
      </c>
      <c r="D47" s="61">
        <v>11</v>
      </c>
      <c r="E47" s="61">
        <v>11</v>
      </c>
      <c r="F47" s="61">
        <v>11</v>
      </c>
      <c r="G47" s="61">
        <v>11</v>
      </c>
      <c r="H47" s="61">
        <v>11</v>
      </c>
      <c r="I47" s="61">
        <v>11</v>
      </c>
      <c r="J47" s="61">
        <v>11</v>
      </c>
      <c r="K47" s="61">
        <v>11</v>
      </c>
      <c r="L47" s="61">
        <v>11</v>
      </c>
      <c r="M47" s="61">
        <v>10</v>
      </c>
      <c r="N47" s="61">
        <v>10</v>
      </c>
      <c r="O47" s="61">
        <v>10</v>
      </c>
      <c r="P47" s="61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11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61">
        <v>4.8</v>
      </c>
      <c r="S49" s="61">
        <v>4.8</v>
      </c>
      <c r="T49" s="61">
        <v>4.8</v>
      </c>
      <c r="U49" s="61">
        <v>4.8</v>
      </c>
      <c r="V49" s="61">
        <v>4.8</v>
      </c>
      <c r="W49" s="61">
        <v>4.8</v>
      </c>
      <c r="X49" s="61">
        <v>4.8</v>
      </c>
      <c r="Y49" s="61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>B199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U199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120.74000000000001</v>
      </c>
      <c r="C52" s="72">
        <f t="shared" ref="C52:AF52" si="6">SUM(C39:C51)</f>
        <v>120.74000000000001</v>
      </c>
      <c r="D52" s="72">
        <f t="shared" si="6"/>
        <v>111.64</v>
      </c>
      <c r="E52" s="72">
        <f t="shared" si="6"/>
        <v>112.64</v>
      </c>
      <c r="F52" s="72">
        <f t="shared" si="6"/>
        <v>112.64</v>
      </c>
      <c r="G52" s="72">
        <f t="shared" si="6"/>
        <v>106.44</v>
      </c>
      <c r="H52" s="72">
        <f t="shared" si="6"/>
        <v>153.14000000000001</v>
      </c>
      <c r="I52" s="72">
        <f t="shared" si="6"/>
        <v>189.44</v>
      </c>
      <c r="J52" s="72">
        <f t="shared" si="6"/>
        <v>277.44000000000005</v>
      </c>
      <c r="K52" s="72">
        <f t="shared" si="6"/>
        <v>331.64000000000004</v>
      </c>
      <c r="L52" s="72">
        <f t="shared" si="6"/>
        <v>376.94</v>
      </c>
      <c r="M52" s="72">
        <f t="shared" si="6"/>
        <v>351.24</v>
      </c>
      <c r="N52" s="72">
        <f t="shared" si="6"/>
        <v>336.74</v>
      </c>
      <c r="O52" s="72">
        <f t="shared" si="6"/>
        <v>307.74</v>
      </c>
      <c r="P52" s="72">
        <f t="shared" si="6"/>
        <v>276.54000000000002</v>
      </c>
      <c r="Q52" s="72">
        <f t="shared" si="6"/>
        <v>267.44000000000005</v>
      </c>
      <c r="R52" s="72">
        <f t="shared" si="6"/>
        <v>279.34000000000003</v>
      </c>
      <c r="S52" s="72">
        <f t="shared" si="6"/>
        <v>245.83999999999997</v>
      </c>
      <c r="T52" s="72">
        <f t="shared" si="6"/>
        <v>245.83999999999997</v>
      </c>
      <c r="U52" s="72">
        <f t="shared" si="6"/>
        <v>255.44000000000003</v>
      </c>
      <c r="V52" s="72">
        <f t="shared" si="6"/>
        <v>269.64000000000004</v>
      </c>
      <c r="W52" s="72">
        <f t="shared" si="6"/>
        <v>292.44000000000005</v>
      </c>
      <c r="X52" s="72">
        <f t="shared" si="6"/>
        <v>338.14000000000004</v>
      </c>
      <c r="Y52" s="72">
        <f t="shared" si="6"/>
        <v>396.94</v>
      </c>
      <c r="Z52" s="72">
        <f t="shared" si="6"/>
        <v>397.54</v>
      </c>
      <c r="AA52" s="72">
        <f t="shared" si="6"/>
        <v>341.04</v>
      </c>
      <c r="AB52" s="72">
        <f t="shared" si="6"/>
        <v>282.14000000000004</v>
      </c>
      <c r="AC52" s="72">
        <f t="shared" si="6"/>
        <v>247.74</v>
      </c>
      <c r="AD52" s="72">
        <f t="shared" si="6"/>
        <v>219.14000000000001</v>
      </c>
      <c r="AE52" s="72">
        <f t="shared" si="6"/>
        <v>128.44</v>
      </c>
      <c r="AF52" s="72">
        <f t="shared" si="6"/>
        <v>134.54</v>
      </c>
      <c r="AG52" s="78">
        <f>SUM(AG39:AG51)</f>
        <v>489.91</v>
      </c>
      <c r="AH52" s="54">
        <f t="shared" si="2"/>
        <v>397.54</v>
      </c>
      <c r="AI52" s="55">
        <f t="shared" si="3"/>
        <v>106.44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14</v>
      </c>
      <c r="L53" s="61">
        <v>29.5</v>
      </c>
      <c r="M53" s="79">
        <v>29.6</v>
      </c>
      <c r="N53" s="79">
        <v>0</v>
      </c>
      <c r="O53" s="79">
        <v>0</v>
      </c>
      <c r="P53" s="79">
        <v>0</v>
      </c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20</v>
      </c>
      <c r="Y53" s="50">
        <v>40.1</v>
      </c>
      <c r="Z53" s="50">
        <v>50.5</v>
      </c>
      <c r="AA53" s="50">
        <v>30</v>
      </c>
      <c r="AB53" s="50">
        <v>30</v>
      </c>
      <c r="AC53" s="50">
        <v>30</v>
      </c>
      <c r="AD53" s="50">
        <v>20</v>
      </c>
      <c r="AE53" s="50">
        <v>0</v>
      </c>
      <c r="AF53" s="50">
        <v>0</v>
      </c>
      <c r="AG53" s="62">
        <v>60</v>
      </c>
      <c r="AH53" s="54">
        <f t="shared" si="2"/>
        <v>50.5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8.1999999999999993</v>
      </c>
      <c r="L54" s="61">
        <v>14</v>
      </c>
      <c r="M54" s="79">
        <v>15.3</v>
      </c>
      <c r="N54" s="79">
        <v>0</v>
      </c>
      <c r="O54" s="79">
        <v>0</v>
      </c>
      <c r="P54" s="79">
        <v>0</v>
      </c>
      <c r="Q54" s="73">
        <v>0</v>
      </c>
      <c r="R54" s="73">
        <v>0</v>
      </c>
      <c r="S54" s="50">
        <v>0</v>
      </c>
      <c r="T54" s="50">
        <v>0</v>
      </c>
      <c r="U54" s="50">
        <v>0</v>
      </c>
      <c r="V54" s="73">
        <v>0</v>
      </c>
      <c r="W54" s="73">
        <v>0</v>
      </c>
      <c r="X54" s="73">
        <v>8.8000000000000007</v>
      </c>
      <c r="Y54" s="73">
        <v>18.399999999999999</v>
      </c>
      <c r="Z54" s="73">
        <v>23.1</v>
      </c>
      <c r="AA54" s="73">
        <v>20.7</v>
      </c>
      <c r="AB54" s="73">
        <v>11.7</v>
      </c>
      <c r="AC54" s="73">
        <v>14.8</v>
      </c>
      <c r="AD54" s="73">
        <v>10</v>
      </c>
      <c r="AE54" s="73">
        <v>0</v>
      </c>
      <c r="AF54" s="73">
        <v>0</v>
      </c>
      <c r="AG54" s="67">
        <v>32</v>
      </c>
      <c r="AH54" s="54">
        <f t="shared" si="2"/>
        <v>23.1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3</v>
      </c>
      <c r="L55" s="74">
        <v>5.0999999999999996</v>
      </c>
      <c r="M55" s="81">
        <v>5.6</v>
      </c>
      <c r="N55" s="81">
        <v>0</v>
      </c>
      <c r="O55" s="81">
        <v>0</v>
      </c>
      <c r="P55" s="81">
        <v>0</v>
      </c>
      <c r="Q55" s="80">
        <v>0</v>
      </c>
      <c r="R55" s="80">
        <v>0</v>
      </c>
      <c r="S55" s="50">
        <v>0</v>
      </c>
      <c r="T55" s="50">
        <v>0</v>
      </c>
      <c r="U55" s="50">
        <v>0</v>
      </c>
      <c r="V55" s="80">
        <v>0</v>
      </c>
      <c r="W55" s="80">
        <v>0</v>
      </c>
      <c r="X55" s="80">
        <v>3.2</v>
      </c>
      <c r="Y55" s="80">
        <v>6.7</v>
      </c>
      <c r="Z55" s="80">
        <v>8.4</v>
      </c>
      <c r="AA55" s="80">
        <v>7.5</v>
      </c>
      <c r="AB55" s="80">
        <v>4.3</v>
      </c>
      <c r="AC55" s="80">
        <v>5.4</v>
      </c>
      <c r="AD55" s="80">
        <v>3.6</v>
      </c>
      <c r="AE55" s="80">
        <v>0</v>
      </c>
      <c r="AF55" s="80">
        <v>0</v>
      </c>
      <c r="AG55" s="82">
        <v>14</v>
      </c>
      <c r="AH55" s="54">
        <f t="shared" si="2"/>
        <v>8.4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25.2</v>
      </c>
      <c r="L56" s="72">
        <f t="shared" si="7"/>
        <v>48.6</v>
      </c>
      <c r="M56" s="72">
        <f t="shared" si="7"/>
        <v>50.500000000000007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32</v>
      </c>
      <c r="Y56" s="72">
        <f t="shared" si="7"/>
        <v>65.2</v>
      </c>
      <c r="Z56" s="72">
        <f t="shared" si="7"/>
        <v>82</v>
      </c>
      <c r="AA56" s="72">
        <f t="shared" si="7"/>
        <v>58.2</v>
      </c>
      <c r="AB56" s="72">
        <f t="shared" si="7"/>
        <v>46</v>
      </c>
      <c r="AC56" s="72">
        <f t="shared" si="7"/>
        <v>50.199999999999996</v>
      </c>
      <c r="AD56" s="72">
        <f t="shared" si="7"/>
        <v>33.6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82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68.2</v>
      </c>
      <c r="C57" s="50">
        <v>67</v>
      </c>
      <c r="D57" s="50">
        <v>73</v>
      </c>
      <c r="E57" s="50">
        <v>73.900000000000006</v>
      </c>
      <c r="F57" s="50">
        <v>71</v>
      </c>
      <c r="G57" s="50">
        <v>69.5</v>
      </c>
      <c r="H57" s="50">
        <v>69</v>
      </c>
      <c r="I57" s="50">
        <v>72</v>
      </c>
      <c r="J57" s="50">
        <v>54</v>
      </c>
      <c r="K57" s="50">
        <v>28</v>
      </c>
      <c r="L57" s="50">
        <v>31</v>
      </c>
      <c r="M57" s="50">
        <v>76.7</v>
      </c>
      <c r="N57" s="50">
        <v>69.400000000000006</v>
      </c>
      <c r="O57" s="50">
        <v>70.7</v>
      </c>
      <c r="P57" s="50">
        <v>69.400000000000006</v>
      </c>
      <c r="Q57" s="50">
        <v>69.900000000000006</v>
      </c>
      <c r="R57" s="50">
        <v>64.2</v>
      </c>
      <c r="S57" s="50">
        <v>73.2</v>
      </c>
      <c r="T57" s="50">
        <v>74.5</v>
      </c>
      <c r="U57" s="50">
        <v>74</v>
      </c>
      <c r="V57" s="50">
        <v>76.7</v>
      </c>
      <c r="W57" s="50">
        <v>73.099999999999994</v>
      </c>
      <c r="X57" s="50">
        <v>67.400000000000006</v>
      </c>
      <c r="Y57" s="50">
        <v>71.900000000000006</v>
      </c>
      <c r="Z57" s="50">
        <v>70</v>
      </c>
      <c r="AA57" s="50">
        <v>69.8</v>
      </c>
      <c r="AB57" s="50">
        <v>71</v>
      </c>
      <c r="AC57" s="50">
        <v>72</v>
      </c>
      <c r="AD57" s="50">
        <v>70</v>
      </c>
      <c r="AE57" s="50">
        <v>71</v>
      </c>
      <c r="AF57" s="50">
        <v>76</v>
      </c>
      <c r="AG57" s="62"/>
      <c r="AH57" s="54">
        <f t="shared" si="2"/>
        <v>76.7</v>
      </c>
      <c r="AI57" s="55">
        <f t="shared" si="3"/>
        <v>28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0</v>
      </c>
      <c r="N58" s="73">
        <v>0</v>
      </c>
      <c r="O58" s="73">
        <v>0</v>
      </c>
      <c r="P58" s="73">
        <v>0</v>
      </c>
      <c r="Q58" s="50">
        <v>0</v>
      </c>
      <c r="R58" s="50">
        <v>0</v>
      </c>
      <c r="S58" s="50">
        <v>0</v>
      </c>
      <c r="T58" s="50">
        <v>0</v>
      </c>
      <c r="U58" s="50">
        <v>48.4</v>
      </c>
      <c r="V58" s="50">
        <v>49.7</v>
      </c>
      <c r="W58" s="50">
        <v>0</v>
      </c>
      <c r="X58" s="83">
        <v>0</v>
      </c>
      <c r="Y58" s="83">
        <v>0</v>
      </c>
      <c r="Z58" s="83">
        <v>0</v>
      </c>
      <c r="AA58" s="8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67"/>
      <c r="AH58" s="54">
        <f t="shared" si="2"/>
        <v>49.7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336</v>
      </c>
      <c r="C59" s="73">
        <v>350</v>
      </c>
      <c r="D59" s="73">
        <v>320</v>
      </c>
      <c r="E59" s="73">
        <v>335</v>
      </c>
      <c r="F59" s="73">
        <v>281</v>
      </c>
      <c r="G59" s="73">
        <v>319</v>
      </c>
      <c r="H59" s="50">
        <v>328</v>
      </c>
      <c r="I59" s="50">
        <v>211</v>
      </c>
      <c r="J59" s="50">
        <v>43</v>
      </c>
      <c r="K59" s="50">
        <v>47</v>
      </c>
      <c r="L59" s="50">
        <v>50.7</v>
      </c>
      <c r="M59" s="50">
        <v>387</v>
      </c>
      <c r="N59" s="50">
        <v>370</v>
      </c>
      <c r="O59" s="50">
        <v>381.3</v>
      </c>
      <c r="P59" s="50">
        <v>364.6</v>
      </c>
      <c r="Q59" s="73">
        <v>342</v>
      </c>
      <c r="R59" s="73">
        <v>358</v>
      </c>
      <c r="S59" s="73">
        <v>397</v>
      </c>
      <c r="T59" s="73">
        <v>419.1</v>
      </c>
      <c r="U59" s="73">
        <v>420</v>
      </c>
      <c r="V59" s="73">
        <v>386.7</v>
      </c>
      <c r="W59" s="73">
        <v>444.8</v>
      </c>
      <c r="X59" s="84">
        <v>389.2</v>
      </c>
      <c r="Y59" s="84">
        <v>391.9</v>
      </c>
      <c r="Z59" s="84">
        <v>382</v>
      </c>
      <c r="AA59" s="84">
        <v>394.8</v>
      </c>
      <c r="AB59" s="73">
        <v>386</v>
      </c>
      <c r="AC59" s="73">
        <v>391</v>
      </c>
      <c r="AD59" s="73">
        <v>406</v>
      </c>
      <c r="AE59" s="73">
        <v>370.9</v>
      </c>
      <c r="AF59" s="73">
        <v>382.2</v>
      </c>
      <c r="AG59" s="85"/>
      <c r="AH59" s="54">
        <f t="shared" si="2"/>
        <v>444.8</v>
      </c>
      <c r="AI59" s="55">
        <f t="shared" si="3"/>
        <v>43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46.6</v>
      </c>
      <c r="G60" s="58">
        <v>40.5</v>
      </c>
      <c r="H60" s="58">
        <v>51.5</v>
      </c>
      <c r="I60" s="58">
        <v>49</v>
      </c>
      <c r="J60" s="58">
        <v>53</v>
      </c>
      <c r="K60" s="58">
        <v>56.6</v>
      </c>
      <c r="L60" s="58">
        <v>57</v>
      </c>
      <c r="M60" s="58">
        <v>55.7</v>
      </c>
      <c r="N60" s="58">
        <v>37.6</v>
      </c>
      <c r="O60" s="58">
        <v>56.2</v>
      </c>
      <c r="P60" s="58">
        <v>52.8</v>
      </c>
      <c r="Q60" s="73">
        <v>53.6</v>
      </c>
      <c r="R60" s="73">
        <v>54.7</v>
      </c>
      <c r="S60" s="73">
        <v>52.2</v>
      </c>
      <c r="T60" s="73">
        <v>45.6</v>
      </c>
      <c r="U60" s="73">
        <v>41</v>
      </c>
      <c r="V60" s="73">
        <v>47.9</v>
      </c>
      <c r="W60" s="73">
        <v>44.2</v>
      </c>
      <c r="X60" s="73">
        <v>41.9</v>
      </c>
      <c r="Y60" s="73">
        <v>48.5</v>
      </c>
      <c r="Z60" s="73">
        <v>52</v>
      </c>
      <c r="AA60" s="73">
        <v>47.9</v>
      </c>
      <c r="AB60" s="73">
        <v>49.3</v>
      </c>
      <c r="AC60" s="73">
        <v>46</v>
      </c>
      <c r="AD60" s="73">
        <v>46</v>
      </c>
      <c r="AE60" s="73">
        <v>46.2</v>
      </c>
      <c r="AF60" s="58">
        <v>0</v>
      </c>
      <c r="AG60" s="85"/>
      <c r="AH60" s="54">
        <f t="shared" si="2"/>
        <v>57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8">
        <v>72.599999999999994</v>
      </c>
      <c r="J61" s="58">
        <v>74.400000000000006</v>
      </c>
      <c r="K61" s="58">
        <v>73.900000000000006</v>
      </c>
      <c r="L61" s="58">
        <v>72.599999999999994</v>
      </c>
      <c r="M61" s="58">
        <v>71.7</v>
      </c>
      <c r="N61" s="58">
        <v>85.9</v>
      </c>
      <c r="O61" s="58">
        <v>76.7</v>
      </c>
      <c r="P61" s="58">
        <v>87.6</v>
      </c>
      <c r="Q61" s="50">
        <v>86.7</v>
      </c>
      <c r="R61" s="50">
        <v>87.6</v>
      </c>
      <c r="S61" s="50">
        <v>82.9</v>
      </c>
      <c r="T61" s="50">
        <v>59.1</v>
      </c>
      <c r="U61" s="50">
        <v>80</v>
      </c>
      <c r="V61" s="50">
        <v>85.5</v>
      </c>
      <c r="W61" s="50">
        <v>80.900000000000006</v>
      </c>
      <c r="X61" s="50">
        <v>80.400000000000006</v>
      </c>
      <c r="Y61" s="50">
        <v>48.7</v>
      </c>
      <c r="Z61" s="50">
        <v>77</v>
      </c>
      <c r="AA61" s="50">
        <v>85.9</v>
      </c>
      <c r="AB61" s="50">
        <v>82</v>
      </c>
      <c r="AC61" s="50">
        <v>81.3</v>
      </c>
      <c r="AD61" s="50">
        <v>80</v>
      </c>
      <c r="AE61" s="50">
        <v>75.099999999999994</v>
      </c>
      <c r="AF61" s="50">
        <v>0</v>
      </c>
      <c r="AG61" s="85"/>
      <c r="AH61" s="54">
        <f t="shared" si="2"/>
        <v>87.6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5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5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60">
        <v>0</v>
      </c>
      <c r="AF64" s="5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v>0</v>
      </c>
      <c r="J65" s="60">
        <v>0</v>
      </c>
      <c r="K65" s="60">
        <v>0</v>
      </c>
      <c r="L65" s="60">
        <v>0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60">
        <v>0</v>
      </c>
      <c r="AF65" s="5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v>0</v>
      </c>
      <c r="N66" s="60">
        <v>0</v>
      </c>
      <c r="O66" s="60">
        <v>0</v>
      </c>
      <c r="P66" s="60">
        <v>0</v>
      </c>
      <c r="Q66" s="60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0">
        <v>0</v>
      </c>
      <c r="AF66" s="5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60">
        <v>0</v>
      </c>
      <c r="I67" s="60">
        <v>0</v>
      </c>
      <c r="J67" s="60">
        <v>0</v>
      </c>
      <c r="K67" s="60">
        <v>0</v>
      </c>
      <c r="L67" s="60">
        <v>0</v>
      </c>
      <c r="M67" s="60">
        <v>0</v>
      </c>
      <c r="N67" s="60">
        <v>0</v>
      </c>
      <c r="O67" s="60">
        <v>0</v>
      </c>
      <c r="P67" s="60">
        <v>0</v>
      </c>
      <c r="Q67" s="60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0">
        <v>0</v>
      </c>
      <c r="AF67" s="5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404.2</v>
      </c>
      <c r="C68" s="72">
        <f>SUM(C57:C67)</f>
        <v>417</v>
      </c>
      <c r="D68" s="72">
        <f t="shared" ref="D68:AF68" si="8">SUM(D57:D67)</f>
        <v>393</v>
      </c>
      <c r="E68" s="72">
        <f t="shared" si="8"/>
        <v>408.9</v>
      </c>
      <c r="F68" s="72">
        <f t="shared" si="8"/>
        <v>398.6</v>
      </c>
      <c r="G68" s="72">
        <f t="shared" si="8"/>
        <v>429</v>
      </c>
      <c r="H68" s="72">
        <f t="shared" si="8"/>
        <v>448.5</v>
      </c>
      <c r="I68" s="72">
        <f t="shared" si="8"/>
        <v>404.6</v>
      </c>
      <c r="J68" s="72">
        <f t="shared" si="8"/>
        <v>224.4</v>
      </c>
      <c r="K68" s="72">
        <f t="shared" si="8"/>
        <v>205.5</v>
      </c>
      <c r="L68" s="72">
        <f t="shared" si="8"/>
        <v>211.29999999999998</v>
      </c>
      <c r="M68" s="72">
        <f t="shared" si="8"/>
        <v>591.1</v>
      </c>
      <c r="N68" s="72">
        <f t="shared" si="8"/>
        <v>562.9</v>
      </c>
      <c r="O68" s="72">
        <f t="shared" si="8"/>
        <v>584.9</v>
      </c>
      <c r="P68" s="72">
        <f t="shared" si="8"/>
        <v>574.4</v>
      </c>
      <c r="Q68" s="72">
        <f t="shared" si="8"/>
        <v>552.20000000000005</v>
      </c>
      <c r="R68" s="72">
        <f t="shared" si="8"/>
        <v>564.5</v>
      </c>
      <c r="S68" s="72">
        <f t="shared" si="8"/>
        <v>605.29999999999995</v>
      </c>
      <c r="T68" s="72">
        <f t="shared" si="8"/>
        <v>598.30000000000007</v>
      </c>
      <c r="U68" s="72">
        <f t="shared" si="8"/>
        <v>663.4</v>
      </c>
      <c r="V68" s="72">
        <f t="shared" si="8"/>
        <v>646.5</v>
      </c>
      <c r="W68" s="72">
        <f t="shared" si="8"/>
        <v>643</v>
      </c>
      <c r="X68" s="72">
        <f t="shared" si="8"/>
        <v>578.9</v>
      </c>
      <c r="Y68" s="72">
        <f t="shared" si="8"/>
        <v>561</v>
      </c>
      <c r="Z68" s="72">
        <f t="shared" si="8"/>
        <v>581</v>
      </c>
      <c r="AA68" s="72">
        <f t="shared" si="8"/>
        <v>598.4</v>
      </c>
      <c r="AB68" s="72">
        <f t="shared" si="8"/>
        <v>588.29999999999995</v>
      </c>
      <c r="AC68" s="72">
        <f t="shared" si="8"/>
        <v>590.29999999999995</v>
      </c>
      <c r="AD68" s="72">
        <f t="shared" si="8"/>
        <v>602</v>
      </c>
      <c r="AE68" s="72">
        <f t="shared" si="8"/>
        <v>563.19999999999993</v>
      </c>
      <c r="AF68" s="72">
        <f t="shared" si="8"/>
        <v>458.2</v>
      </c>
      <c r="AG68" s="78">
        <f>SUM(AG57:AG67)</f>
        <v>0</v>
      </c>
      <c r="AH68" s="54">
        <f t="shared" si="2"/>
        <v>663.4</v>
      </c>
      <c r="AI68" s="55">
        <f t="shared" si="3"/>
        <v>205.5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909.54000000000008</v>
      </c>
      <c r="C73" s="89">
        <f>C68+C56+C52+C38+C72</f>
        <v>922.34</v>
      </c>
      <c r="D73" s="89">
        <f t="shared" ref="D73:AG73" si="10">D68+D56+D52+D38+D72</f>
        <v>899.24</v>
      </c>
      <c r="E73" s="89">
        <f t="shared" si="10"/>
        <v>918.83999999999992</v>
      </c>
      <c r="F73" s="89">
        <f t="shared" si="10"/>
        <v>908.34</v>
      </c>
      <c r="G73" s="89">
        <f t="shared" si="10"/>
        <v>932.54000000000008</v>
      </c>
      <c r="H73" s="89">
        <f t="shared" si="10"/>
        <v>1007.74</v>
      </c>
      <c r="I73" s="89">
        <f t="shared" si="10"/>
        <v>1120.1399999999999</v>
      </c>
      <c r="J73" s="89">
        <f t="shared" si="10"/>
        <v>1257.94</v>
      </c>
      <c r="K73" s="89">
        <f t="shared" si="10"/>
        <v>1356.64</v>
      </c>
      <c r="L73" s="89">
        <f t="shared" si="10"/>
        <v>1421.1399999999999</v>
      </c>
      <c r="M73" s="89">
        <f t="shared" si="10"/>
        <v>1418.64</v>
      </c>
      <c r="N73" s="89">
        <f t="shared" si="10"/>
        <v>1324.54</v>
      </c>
      <c r="O73" s="89">
        <f t="shared" si="10"/>
        <v>1317.54</v>
      </c>
      <c r="P73" s="89">
        <f t="shared" si="10"/>
        <v>1265.8400000000001</v>
      </c>
      <c r="Q73" s="89">
        <f t="shared" si="10"/>
        <v>1236.8400000000001</v>
      </c>
      <c r="R73" s="89">
        <f t="shared" si="10"/>
        <v>1251.04</v>
      </c>
      <c r="S73" s="89">
        <f t="shared" si="10"/>
        <v>1258.3399999999999</v>
      </c>
      <c r="T73" s="89">
        <f t="shared" si="10"/>
        <v>1251.3400000000001</v>
      </c>
      <c r="U73" s="89">
        <f t="shared" si="10"/>
        <v>1308.04</v>
      </c>
      <c r="V73" s="89">
        <f t="shared" si="10"/>
        <v>1305.3400000000001</v>
      </c>
      <c r="W73" s="89">
        <f t="shared" si="10"/>
        <v>1324.64</v>
      </c>
      <c r="X73" s="89">
        <f t="shared" si="10"/>
        <v>1386.24</v>
      </c>
      <c r="Y73" s="89">
        <f t="shared" si="10"/>
        <v>1510.3400000000001</v>
      </c>
      <c r="Z73" s="89">
        <f t="shared" si="10"/>
        <v>1562.74</v>
      </c>
      <c r="AA73" s="89">
        <f t="shared" si="10"/>
        <v>1499.8400000000001</v>
      </c>
      <c r="AB73" s="89">
        <f t="shared" si="10"/>
        <v>1348.64</v>
      </c>
      <c r="AC73" s="89">
        <f t="shared" si="10"/>
        <v>1285.44</v>
      </c>
      <c r="AD73" s="89">
        <f t="shared" si="10"/>
        <v>1246.94</v>
      </c>
      <c r="AE73" s="89">
        <f t="shared" si="10"/>
        <v>1075.1399999999999</v>
      </c>
      <c r="AF73" s="89">
        <f t="shared" si="10"/>
        <v>981.04</v>
      </c>
      <c r="AG73" s="89">
        <f t="shared" si="10"/>
        <v>2144.14</v>
      </c>
      <c r="AH73" s="54">
        <f t="shared" si="2"/>
        <v>1562.74</v>
      </c>
      <c r="AI73" s="55">
        <f t="shared" si="3"/>
        <v>899.24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909.54000000000008</v>
      </c>
      <c r="C75" s="89">
        <f>C73+C74</f>
        <v>922.34</v>
      </c>
      <c r="D75" s="89">
        <f t="shared" ref="D75:AF75" si="11">D72+D68+D56+D52+D38+D74</f>
        <v>899.24</v>
      </c>
      <c r="E75" s="89">
        <f t="shared" si="11"/>
        <v>918.83999999999992</v>
      </c>
      <c r="F75" s="89">
        <f t="shared" si="11"/>
        <v>908.34</v>
      </c>
      <c r="G75" s="89">
        <f t="shared" si="11"/>
        <v>932.54000000000008</v>
      </c>
      <c r="H75" s="89">
        <f t="shared" si="11"/>
        <v>1007.74</v>
      </c>
      <c r="I75" s="89">
        <f t="shared" si="11"/>
        <v>1120.1399999999999</v>
      </c>
      <c r="J75" s="89">
        <f t="shared" si="11"/>
        <v>1257.94</v>
      </c>
      <c r="K75" s="89">
        <f t="shared" si="11"/>
        <v>1356.64</v>
      </c>
      <c r="L75" s="89">
        <f t="shared" si="11"/>
        <v>1421.1399999999999</v>
      </c>
      <c r="M75" s="89">
        <f t="shared" si="11"/>
        <v>1418.64</v>
      </c>
      <c r="N75" s="89">
        <f t="shared" si="11"/>
        <v>1324.54</v>
      </c>
      <c r="O75" s="89">
        <f t="shared" si="11"/>
        <v>1317.54</v>
      </c>
      <c r="P75" s="89">
        <f t="shared" si="11"/>
        <v>1265.8400000000001</v>
      </c>
      <c r="Q75" s="89">
        <f t="shared" si="11"/>
        <v>1236.8400000000001</v>
      </c>
      <c r="R75" s="89">
        <f t="shared" si="11"/>
        <v>1251.04</v>
      </c>
      <c r="S75" s="89">
        <f t="shared" si="11"/>
        <v>1258.3399999999999</v>
      </c>
      <c r="T75" s="89">
        <f t="shared" si="11"/>
        <v>1251.3400000000001</v>
      </c>
      <c r="U75" s="89">
        <f t="shared" si="11"/>
        <v>1308.04</v>
      </c>
      <c r="V75" s="89">
        <f t="shared" si="11"/>
        <v>1305.3400000000001</v>
      </c>
      <c r="W75" s="89">
        <f t="shared" si="11"/>
        <v>1324.64</v>
      </c>
      <c r="X75" s="89">
        <f t="shared" si="11"/>
        <v>1386.24</v>
      </c>
      <c r="Y75" s="89">
        <f t="shared" si="11"/>
        <v>1510.3400000000001</v>
      </c>
      <c r="Z75" s="89">
        <f t="shared" si="11"/>
        <v>1562.74</v>
      </c>
      <c r="AA75" s="89">
        <f t="shared" si="11"/>
        <v>1499.8400000000001</v>
      </c>
      <c r="AB75" s="89">
        <f t="shared" si="11"/>
        <v>1348.64</v>
      </c>
      <c r="AC75" s="89">
        <f t="shared" si="11"/>
        <v>1285.44</v>
      </c>
      <c r="AD75" s="89">
        <f t="shared" si="11"/>
        <v>1246.94</v>
      </c>
      <c r="AE75" s="89">
        <f t="shared" si="11"/>
        <v>1075.1399999999999</v>
      </c>
      <c r="AF75" s="89">
        <f t="shared" si="11"/>
        <v>981.04</v>
      </c>
      <c r="AG75" s="78">
        <f>AG72+AG68+AG56+AG52+AG38+AG74</f>
        <v>2144.14</v>
      </c>
      <c r="AH75" s="54">
        <f t="shared" si="2"/>
        <v>1562.74</v>
      </c>
      <c r="AI75" s="55">
        <f t="shared" si="3"/>
        <v>899.24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1819.0800000000002</v>
      </c>
      <c r="C83" s="72">
        <f t="shared" ref="C83:AG83" si="20">SUM(C70:C82)</f>
        <v>1844.68</v>
      </c>
      <c r="D83" s="72">
        <f t="shared" si="20"/>
        <v>1798.48</v>
      </c>
      <c r="E83" s="72">
        <f t="shared" si="20"/>
        <v>1837.6799999999998</v>
      </c>
      <c r="F83" s="72">
        <f t="shared" si="20"/>
        <v>1816.68</v>
      </c>
      <c r="G83" s="72">
        <f t="shared" si="20"/>
        <v>1865.0800000000002</v>
      </c>
      <c r="H83" s="72">
        <f t="shared" si="20"/>
        <v>2015.48</v>
      </c>
      <c r="I83" s="72">
        <f t="shared" si="20"/>
        <v>2240.2799999999997</v>
      </c>
      <c r="J83" s="72">
        <f t="shared" si="20"/>
        <v>2515.88</v>
      </c>
      <c r="K83" s="72">
        <f t="shared" si="20"/>
        <v>2713.28</v>
      </c>
      <c r="L83" s="72">
        <f t="shared" si="20"/>
        <v>2842.2799999999997</v>
      </c>
      <c r="M83" s="72">
        <f t="shared" si="20"/>
        <v>2837.28</v>
      </c>
      <c r="N83" s="72">
        <f t="shared" si="20"/>
        <v>2649.08</v>
      </c>
      <c r="O83" s="72">
        <f t="shared" si="20"/>
        <v>2635.08</v>
      </c>
      <c r="P83" s="72">
        <f t="shared" si="20"/>
        <v>2531.6800000000003</v>
      </c>
      <c r="Q83" s="72">
        <f t="shared" si="20"/>
        <v>2473.6800000000003</v>
      </c>
      <c r="R83" s="72">
        <f t="shared" si="20"/>
        <v>2502.08</v>
      </c>
      <c r="S83" s="72">
        <f t="shared" si="20"/>
        <v>2516.6799999999998</v>
      </c>
      <c r="T83" s="72">
        <f t="shared" si="20"/>
        <v>2502.6800000000003</v>
      </c>
      <c r="U83" s="72">
        <f t="shared" si="20"/>
        <v>2616.08</v>
      </c>
      <c r="V83" s="72">
        <f t="shared" si="20"/>
        <v>2610.6800000000003</v>
      </c>
      <c r="W83" s="72">
        <f t="shared" si="20"/>
        <v>2649.28</v>
      </c>
      <c r="X83" s="72">
        <f t="shared" si="20"/>
        <v>2772.48</v>
      </c>
      <c r="Y83" s="72">
        <f t="shared" si="20"/>
        <v>3020.6800000000003</v>
      </c>
      <c r="Z83" s="72">
        <f t="shared" si="20"/>
        <v>3125.48</v>
      </c>
      <c r="AA83" s="72">
        <f t="shared" si="20"/>
        <v>2999.6800000000003</v>
      </c>
      <c r="AB83" s="72">
        <f t="shared" si="20"/>
        <v>2697.28</v>
      </c>
      <c r="AC83" s="72">
        <f t="shared" si="20"/>
        <v>2570.88</v>
      </c>
      <c r="AD83" s="72">
        <f t="shared" si="20"/>
        <v>2493.88</v>
      </c>
      <c r="AE83" s="72">
        <f t="shared" si="20"/>
        <v>2150.2799999999997</v>
      </c>
      <c r="AF83" s="72">
        <f t="shared" si="20"/>
        <v>1962.08</v>
      </c>
      <c r="AG83" s="78">
        <f t="shared" si="20"/>
        <v>4360.08</v>
      </c>
      <c r="AH83" s="54">
        <f t="shared" si="13"/>
        <v>3125.48</v>
      </c>
      <c r="AI83" s="55">
        <f t="shared" si="14"/>
        <v>1798.48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50.03</v>
      </c>
      <c r="C84" s="96">
        <v>49.95</v>
      </c>
      <c r="D84" s="96">
        <v>50.018000000000001</v>
      </c>
      <c r="E84" s="96">
        <v>50.061</v>
      </c>
      <c r="F84" s="96">
        <v>50</v>
      </c>
      <c r="G84" s="96">
        <v>50.018999999999998</v>
      </c>
      <c r="H84" s="96">
        <v>49.997999999999998</v>
      </c>
      <c r="I84" s="96">
        <v>50.051000000000002</v>
      </c>
      <c r="J84" s="96">
        <v>49.969000000000001</v>
      </c>
      <c r="K84" s="96">
        <v>50.075000000000003</v>
      </c>
      <c r="L84" s="96">
        <v>50.048000000000002</v>
      </c>
      <c r="M84" s="96">
        <v>50.02</v>
      </c>
      <c r="N84" s="96">
        <v>50.05</v>
      </c>
      <c r="O84" s="96">
        <v>50.07</v>
      </c>
      <c r="P84" s="96">
        <v>49.96</v>
      </c>
      <c r="Q84" s="96">
        <v>49.959000000000003</v>
      </c>
      <c r="R84" s="96">
        <v>49.95</v>
      </c>
      <c r="S84" s="96">
        <v>50.029000000000003</v>
      </c>
      <c r="T84" s="96">
        <v>50.058</v>
      </c>
      <c r="U84" s="96">
        <v>50.034999999999997</v>
      </c>
      <c r="V84" s="96">
        <v>49.930999999999997</v>
      </c>
      <c r="W84" s="96">
        <v>50.029000000000003</v>
      </c>
      <c r="X84" s="96">
        <v>50.058999999999997</v>
      </c>
      <c r="Y84" s="96">
        <v>50.125999999999998</v>
      </c>
      <c r="Z84" s="96">
        <v>49.975999999999999</v>
      </c>
      <c r="AA84" s="96">
        <v>50.012999999999998</v>
      </c>
      <c r="AB84" s="96">
        <v>50.045000000000002</v>
      </c>
      <c r="AC84" s="96">
        <v>50.033999999999999</v>
      </c>
      <c r="AD84" s="96">
        <v>49.984999999999999</v>
      </c>
      <c r="AE84" s="96">
        <v>50.06</v>
      </c>
      <c r="AF84" s="96">
        <v>49.96</v>
      </c>
      <c r="AG84" s="97"/>
      <c r="AH84" s="54">
        <f t="shared" si="13"/>
        <v>50.125999999999998</v>
      </c>
      <c r="AI84" s="55">
        <f t="shared" si="14"/>
        <v>49.930999999999997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126</v>
      </c>
      <c r="C85" s="73">
        <v>125</v>
      </c>
      <c r="D85" s="73">
        <v>125.8</v>
      </c>
      <c r="E85" s="73">
        <v>125.8</v>
      </c>
      <c r="F85" s="73">
        <v>127</v>
      </c>
      <c r="G85" s="73">
        <v>127</v>
      </c>
      <c r="H85" s="73">
        <v>126</v>
      </c>
      <c r="I85" s="73">
        <v>126</v>
      </c>
      <c r="J85" s="73">
        <v>125</v>
      </c>
      <c r="K85" s="73">
        <v>125.5</v>
      </c>
      <c r="L85" s="73">
        <v>125</v>
      </c>
      <c r="M85" s="73">
        <v>125.9</v>
      </c>
      <c r="N85" s="73">
        <v>124.2</v>
      </c>
      <c r="O85" s="73">
        <v>124.2</v>
      </c>
      <c r="P85" s="73">
        <v>124.6</v>
      </c>
      <c r="Q85" s="73">
        <v>124.6</v>
      </c>
      <c r="R85" s="73">
        <v>124.6</v>
      </c>
      <c r="S85" s="73">
        <v>123</v>
      </c>
      <c r="T85" s="73">
        <v>122.9</v>
      </c>
      <c r="U85" s="100">
        <v>121.7</v>
      </c>
      <c r="V85" s="100">
        <v>123.3</v>
      </c>
      <c r="W85" s="100">
        <v>124.2</v>
      </c>
      <c r="X85" s="100">
        <v>125.8</v>
      </c>
      <c r="Y85" s="100">
        <v>125.8</v>
      </c>
      <c r="Z85" s="100">
        <v>125.5</v>
      </c>
      <c r="AA85" s="100">
        <v>126.3</v>
      </c>
      <c r="AB85" s="73">
        <v>128</v>
      </c>
      <c r="AC85" s="73">
        <v>127</v>
      </c>
      <c r="AD85" s="73">
        <v>127</v>
      </c>
      <c r="AE85" s="73">
        <v>127.3</v>
      </c>
      <c r="AF85" s="73">
        <v>124.2</v>
      </c>
      <c r="AG85" s="101"/>
      <c r="AH85" s="54">
        <f t="shared" si="13"/>
        <v>128</v>
      </c>
      <c r="AI85" s="55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130</v>
      </c>
      <c r="C86" s="73">
        <v>130</v>
      </c>
      <c r="D86" s="73">
        <v>130.19999999999999</v>
      </c>
      <c r="E86" s="73">
        <v>130.19999999999999</v>
      </c>
      <c r="F86" s="73">
        <v>131.6</v>
      </c>
      <c r="G86" s="73">
        <v>131.6</v>
      </c>
      <c r="H86" s="73">
        <v>130</v>
      </c>
      <c r="I86" s="73">
        <v>130</v>
      </c>
      <c r="J86" s="73">
        <v>129</v>
      </c>
      <c r="K86" s="73">
        <v>128.6</v>
      </c>
      <c r="L86" s="73">
        <v>128</v>
      </c>
      <c r="M86" s="73">
        <v>128.69999999999999</v>
      </c>
      <c r="N86" s="73">
        <v>125.9</v>
      </c>
      <c r="O86" s="73">
        <v>126.3</v>
      </c>
      <c r="P86" s="73">
        <v>126.5</v>
      </c>
      <c r="Q86" s="73">
        <v>126.8</v>
      </c>
      <c r="R86" s="73">
        <v>127.8</v>
      </c>
      <c r="S86" s="73">
        <v>126.1</v>
      </c>
      <c r="T86" s="73">
        <v>125.9</v>
      </c>
      <c r="U86" s="100">
        <v>124.7</v>
      </c>
      <c r="V86" s="100">
        <v>126.3</v>
      </c>
      <c r="W86" s="100">
        <v>127.2</v>
      </c>
      <c r="X86" s="100">
        <v>129</v>
      </c>
      <c r="Y86" s="100">
        <v>128.69999999999999</v>
      </c>
      <c r="Z86" s="100">
        <v>128.5</v>
      </c>
      <c r="AA86" s="100">
        <v>129.69999999999999</v>
      </c>
      <c r="AB86" s="73">
        <v>131</v>
      </c>
      <c r="AC86" s="73">
        <v>130</v>
      </c>
      <c r="AD86" s="73">
        <v>130</v>
      </c>
      <c r="AE86" s="73">
        <v>130.6</v>
      </c>
      <c r="AF86" s="73">
        <v>128.69999999999999</v>
      </c>
      <c r="AG86" s="101"/>
      <c r="AH86" s="54">
        <f t="shared" si="13"/>
        <v>131.6</v>
      </c>
      <c r="AI86" s="55">
        <f t="shared" si="14"/>
        <v>124.7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</v>
      </c>
      <c r="C87" s="73">
        <v>129</v>
      </c>
      <c r="D87" s="73">
        <v>129</v>
      </c>
      <c r="E87" s="73">
        <v>129</v>
      </c>
      <c r="F87" s="73">
        <v>130</v>
      </c>
      <c r="G87" s="73">
        <v>130</v>
      </c>
      <c r="H87" s="73">
        <v>128</v>
      </c>
      <c r="I87" s="73">
        <v>128</v>
      </c>
      <c r="J87" s="73">
        <v>126</v>
      </c>
      <c r="K87" s="73">
        <v>128.5</v>
      </c>
      <c r="L87" s="73">
        <v>129</v>
      </c>
      <c r="M87" s="73">
        <v>121.8</v>
      </c>
      <c r="N87" s="73">
        <v>124.1</v>
      </c>
      <c r="O87" s="73">
        <v>121.6</v>
      </c>
      <c r="P87" s="73">
        <v>124.3</v>
      </c>
      <c r="Q87" s="73">
        <v>127.3</v>
      </c>
      <c r="R87" s="73">
        <v>129.6</v>
      </c>
      <c r="S87" s="73">
        <v>127.5</v>
      </c>
      <c r="T87" s="73">
        <v>126.1</v>
      </c>
      <c r="U87" s="73">
        <v>132.4</v>
      </c>
      <c r="V87" s="73">
        <v>130.19999999999999</v>
      </c>
      <c r="W87" s="73">
        <v>126.8</v>
      </c>
      <c r="X87" s="100">
        <v>128.6</v>
      </c>
      <c r="Y87" s="100">
        <v>126.6</v>
      </c>
      <c r="Z87" s="100">
        <v>127.5</v>
      </c>
      <c r="AA87" s="100">
        <v>129.6</v>
      </c>
      <c r="AB87" s="73">
        <v>130</v>
      </c>
      <c r="AC87" s="73">
        <v>130</v>
      </c>
      <c r="AD87" s="73">
        <v>130</v>
      </c>
      <c r="AE87" s="73">
        <v>129.5</v>
      </c>
      <c r="AF87" s="73">
        <v>129.4</v>
      </c>
      <c r="AG87" s="101"/>
      <c r="AH87" s="54">
        <f t="shared" si="13"/>
        <v>132.4</v>
      </c>
      <c r="AI87" s="55">
        <f t="shared" si="14"/>
        <v>121.6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131</v>
      </c>
      <c r="C88" s="73">
        <v>130.6</v>
      </c>
      <c r="D88" s="73">
        <v>130</v>
      </c>
      <c r="E88" s="73">
        <v>130</v>
      </c>
      <c r="F88" s="73">
        <v>131</v>
      </c>
      <c r="G88" s="73">
        <v>131</v>
      </c>
      <c r="H88" s="73">
        <v>130.6</v>
      </c>
      <c r="I88" s="73">
        <v>130.6</v>
      </c>
      <c r="J88" s="73">
        <v>128</v>
      </c>
      <c r="K88" s="73">
        <v>131.80000000000001</v>
      </c>
      <c r="L88" s="73">
        <v>131.80000000000001</v>
      </c>
      <c r="M88" s="73">
        <v>124.4</v>
      </c>
      <c r="N88" s="73">
        <v>126.3</v>
      </c>
      <c r="O88" s="73">
        <v>124.7</v>
      </c>
      <c r="P88" s="73">
        <v>127.2</v>
      </c>
      <c r="Q88" s="73">
        <v>131</v>
      </c>
      <c r="R88" s="73">
        <v>134.1</v>
      </c>
      <c r="S88" s="73">
        <v>131.5</v>
      </c>
      <c r="T88" s="73">
        <v>129.1</v>
      </c>
      <c r="U88" s="73">
        <v>127.7</v>
      </c>
      <c r="V88" s="73">
        <v>129.19999999999999</v>
      </c>
      <c r="W88" s="73">
        <v>129.69999999999999</v>
      </c>
      <c r="X88" s="100">
        <v>130.69999999999999</v>
      </c>
      <c r="Y88" s="100">
        <v>128.6</v>
      </c>
      <c r="Z88" s="100">
        <v>130.6</v>
      </c>
      <c r="AA88" s="100">
        <v>133.30000000000001</v>
      </c>
      <c r="AB88" s="73">
        <v>132.9</v>
      </c>
      <c r="AC88" s="73">
        <v>132.9</v>
      </c>
      <c r="AD88" s="73">
        <v>132.9</v>
      </c>
      <c r="AE88" s="73">
        <v>131.9</v>
      </c>
      <c r="AF88" s="73">
        <v>131.9</v>
      </c>
      <c r="AG88" s="101"/>
      <c r="AH88" s="54">
        <f t="shared" si="13"/>
        <v>134.1</v>
      </c>
      <c r="AI88" s="55">
        <f t="shared" si="14"/>
        <v>124.4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129</v>
      </c>
      <c r="C89" s="104">
        <v>127.5</v>
      </c>
      <c r="D89" s="104">
        <v>128</v>
      </c>
      <c r="E89" s="104">
        <v>128</v>
      </c>
      <c r="F89" s="104">
        <v>133</v>
      </c>
      <c r="G89" s="104">
        <v>133</v>
      </c>
      <c r="H89" s="104">
        <v>133.5</v>
      </c>
      <c r="I89" s="104">
        <v>133.5</v>
      </c>
      <c r="J89" s="104">
        <v>134</v>
      </c>
      <c r="K89" s="104">
        <v>132.69999999999999</v>
      </c>
      <c r="L89" s="104">
        <v>132.69999999999999</v>
      </c>
      <c r="M89" s="104">
        <v>135.69999999999999</v>
      </c>
      <c r="N89" s="104">
        <v>132.1</v>
      </c>
      <c r="O89" s="104">
        <v>131.30000000000001</v>
      </c>
      <c r="P89" s="104">
        <v>130.1</v>
      </c>
      <c r="Q89" s="104">
        <v>132.30000000000001</v>
      </c>
      <c r="R89" s="104">
        <v>135.69999999999999</v>
      </c>
      <c r="S89" s="104">
        <v>130.9</v>
      </c>
      <c r="T89" s="104">
        <v>131.5</v>
      </c>
      <c r="U89" s="104">
        <v>130.19999999999999</v>
      </c>
      <c r="V89" s="104">
        <v>132.69999999999999</v>
      </c>
      <c r="W89" s="104">
        <v>132.80000000000001</v>
      </c>
      <c r="X89" s="100">
        <v>136.5</v>
      </c>
      <c r="Y89" s="100">
        <v>135.80000000000001</v>
      </c>
      <c r="Z89" s="100">
        <v>136</v>
      </c>
      <c r="AA89" s="100">
        <v>135.80000000000001</v>
      </c>
      <c r="AB89" s="104">
        <v>137</v>
      </c>
      <c r="AC89" s="104">
        <v>132</v>
      </c>
      <c r="AD89" s="104">
        <v>132</v>
      </c>
      <c r="AE89" s="104">
        <v>133.9</v>
      </c>
      <c r="AF89" s="104">
        <v>129.5</v>
      </c>
      <c r="AG89" s="105"/>
      <c r="AH89" s="54">
        <f t="shared" si="13"/>
        <v>137</v>
      </c>
      <c r="AI89" s="55">
        <f t="shared" si="14"/>
        <v>127.5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136</v>
      </c>
      <c r="C90" s="73">
        <v>136</v>
      </c>
      <c r="D90" s="73">
        <v>137</v>
      </c>
      <c r="E90" s="73">
        <v>137</v>
      </c>
      <c r="F90" s="73">
        <v>137</v>
      </c>
      <c r="G90" s="73">
        <v>137</v>
      </c>
      <c r="H90" s="73">
        <v>135</v>
      </c>
      <c r="I90" s="73">
        <v>135</v>
      </c>
      <c r="J90" s="73">
        <v>134</v>
      </c>
      <c r="K90" s="73">
        <v>128</v>
      </c>
      <c r="L90" s="73">
        <v>127</v>
      </c>
      <c r="M90" s="73">
        <v>134.5</v>
      </c>
      <c r="N90" s="73">
        <v>129.30000000000001</v>
      </c>
      <c r="O90" s="73">
        <v>133.5</v>
      </c>
      <c r="P90" s="73">
        <v>133.30000000000001</v>
      </c>
      <c r="Q90" s="73">
        <v>132.80000000000001</v>
      </c>
      <c r="R90" s="73">
        <v>136.19999999999999</v>
      </c>
      <c r="S90" s="73">
        <v>134.9</v>
      </c>
      <c r="T90" s="73">
        <v>133.80000000000001</v>
      </c>
      <c r="U90" s="73">
        <v>132.6</v>
      </c>
      <c r="V90" s="73">
        <v>132.30000000000001</v>
      </c>
      <c r="W90" s="73">
        <v>136.4</v>
      </c>
      <c r="X90" s="100">
        <v>136.1</v>
      </c>
      <c r="Y90" s="100">
        <v>134.5</v>
      </c>
      <c r="Z90" s="100">
        <v>132.9</v>
      </c>
      <c r="AA90" s="100">
        <v>135.4</v>
      </c>
      <c r="AB90" s="73">
        <v>133.69999999999999</v>
      </c>
      <c r="AC90" s="73">
        <v>132.5</v>
      </c>
      <c r="AD90" s="73">
        <v>132.5</v>
      </c>
      <c r="AE90" s="73">
        <v>134.4</v>
      </c>
      <c r="AF90" s="73">
        <v>133.1</v>
      </c>
      <c r="AG90" s="101"/>
      <c r="AH90" s="54">
        <f t="shared" si="13"/>
        <v>137</v>
      </c>
      <c r="AI90" s="55">
        <f t="shared" si="14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65.8</v>
      </c>
      <c r="C91" s="107">
        <v>65.7</v>
      </c>
      <c r="D91" s="107">
        <v>66.099999999999994</v>
      </c>
      <c r="E91" s="107">
        <v>66.099999999999994</v>
      </c>
      <c r="F91" s="107">
        <v>66.8</v>
      </c>
      <c r="G91" s="107">
        <v>66.8</v>
      </c>
      <c r="H91" s="107">
        <v>65.900000000000006</v>
      </c>
      <c r="I91" s="107">
        <v>65.900000000000006</v>
      </c>
      <c r="J91" s="107">
        <v>65.400000000000006</v>
      </c>
      <c r="K91" s="107">
        <v>65</v>
      </c>
      <c r="L91" s="107">
        <v>65</v>
      </c>
      <c r="M91" s="107">
        <v>65.3</v>
      </c>
      <c r="N91" s="107">
        <v>63</v>
      </c>
      <c r="O91" s="107">
        <v>63.5</v>
      </c>
      <c r="P91" s="107">
        <v>63.5</v>
      </c>
      <c r="Q91" s="107">
        <v>63.9</v>
      </c>
      <c r="R91" s="107">
        <v>64.5</v>
      </c>
      <c r="S91" s="107">
        <v>63.4</v>
      </c>
      <c r="T91" s="107">
        <v>63.2</v>
      </c>
      <c r="U91" s="107">
        <v>62.7</v>
      </c>
      <c r="V91" s="107">
        <v>63.5</v>
      </c>
      <c r="W91" s="107">
        <v>64</v>
      </c>
      <c r="X91" s="107">
        <v>65.599999999999994</v>
      </c>
      <c r="Y91" s="107">
        <v>65.099999999999994</v>
      </c>
      <c r="Z91" s="107">
        <v>65.099999999999994</v>
      </c>
      <c r="AA91" s="107">
        <v>65.900000000000006</v>
      </c>
      <c r="AB91" s="107">
        <v>66.8</v>
      </c>
      <c r="AC91" s="107">
        <v>66</v>
      </c>
      <c r="AD91" s="107">
        <v>66</v>
      </c>
      <c r="AE91" s="107">
        <v>66.3</v>
      </c>
      <c r="AF91" s="107">
        <v>65.099999999999994</v>
      </c>
      <c r="AG91" s="108"/>
      <c r="AH91" s="54">
        <f t="shared" si="13"/>
        <v>66.8</v>
      </c>
      <c r="AI91" s="55">
        <f t="shared" si="14"/>
        <v>62.7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>SUM(B15,B18,B21:B22,B42,B44:B45,B47,B49,B94:B97,B102,B108,B114,B123,B125,B137,B144,B147:B148,B155,B157,B159,B163:B165,B167:B169,B174,B180:B181,B183:B185,B193,B198)</f>
        <v>174.93999999999997</v>
      </c>
      <c r="C93" s="114">
        <f>SUM(C15,C18,C21:C22,C42,C44:C45,C47,C49,C94:C97,C102,C108,C114,C123,C125,C137,C144,C147:C148,C155,C157,C159,C163:C165,C167:C169,C174,C180:C181,C183:C185,C193,C198)</f>
        <v>161.93999999999997</v>
      </c>
      <c r="D93" s="114">
        <f t="shared" ref="D93:AF93" si="21">SUM(D15,D18,D21:D22,D42,D44:D45,D47,D49,D94:D97,D102,D108,D114,D123,D125,D137,D144,D147:D148,D155,D157,D159,D163:D165,D167:D169,D174,D180:D181,D183:D185,D193,D198)</f>
        <v>152.33999999999995</v>
      </c>
      <c r="E93" s="114">
        <f t="shared" si="21"/>
        <v>159.33999999999997</v>
      </c>
      <c r="F93" s="114">
        <f t="shared" si="21"/>
        <v>161.03999999999996</v>
      </c>
      <c r="G93" s="113">
        <f t="shared" si="21"/>
        <v>182.23999999999995</v>
      </c>
      <c r="H93" s="113">
        <f t="shared" si="21"/>
        <v>205.43999999999997</v>
      </c>
      <c r="I93" s="113">
        <f t="shared" si="21"/>
        <v>240.03999999999996</v>
      </c>
      <c r="J93" s="113">
        <f t="shared" si="21"/>
        <v>300.74</v>
      </c>
      <c r="K93" s="113">
        <f t="shared" si="21"/>
        <v>334.34000000000003</v>
      </c>
      <c r="L93" s="113">
        <f t="shared" si="21"/>
        <v>360.34000000000003</v>
      </c>
      <c r="M93" s="113">
        <f t="shared" si="21"/>
        <v>347.44000000000005</v>
      </c>
      <c r="N93" s="113">
        <f t="shared" si="21"/>
        <v>325.04000000000002</v>
      </c>
      <c r="O93" s="113">
        <f t="shared" si="21"/>
        <v>325.84000000000003</v>
      </c>
      <c r="P93" s="113">
        <f t="shared" si="21"/>
        <v>301.34000000000003</v>
      </c>
      <c r="Q93" s="113">
        <f t="shared" si="21"/>
        <v>301.24</v>
      </c>
      <c r="R93" s="113">
        <f t="shared" si="21"/>
        <v>293.54000000000008</v>
      </c>
      <c r="S93" s="113">
        <f t="shared" si="21"/>
        <v>291.74</v>
      </c>
      <c r="T93" s="113">
        <f t="shared" si="21"/>
        <v>297.84000000000003</v>
      </c>
      <c r="U93" s="113">
        <f t="shared" si="21"/>
        <v>306.34000000000003</v>
      </c>
      <c r="V93" s="113">
        <f t="shared" si="21"/>
        <v>307.14</v>
      </c>
      <c r="W93" s="113">
        <f t="shared" si="21"/>
        <v>317.54000000000002</v>
      </c>
      <c r="X93" s="113">
        <f t="shared" si="21"/>
        <v>339.34000000000003</v>
      </c>
      <c r="Y93" s="113">
        <f t="shared" si="21"/>
        <v>396.44000000000005</v>
      </c>
      <c r="Z93" s="113">
        <f t="shared" si="21"/>
        <v>404.84</v>
      </c>
      <c r="AA93" s="113">
        <f t="shared" si="21"/>
        <v>387.54</v>
      </c>
      <c r="AB93" s="113">
        <f t="shared" si="21"/>
        <v>342.84000000000003</v>
      </c>
      <c r="AC93" s="113">
        <f t="shared" si="21"/>
        <v>309.94</v>
      </c>
      <c r="AD93" s="113">
        <f t="shared" si="21"/>
        <v>293.04000000000002</v>
      </c>
      <c r="AE93" s="113">
        <f t="shared" si="21"/>
        <v>221.14</v>
      </c>
      <c r="AF93" s="113">
        <f t="shared" si="21"/>
        <v>189.73999999999998</v>
      </c>
      <c r="AG93" s="115"/>
      <c r="AH93" s="54">
        <f>MAX(C93:AF93)</f>
        <v>404.84</v>
      </c>
      <c r="AI93" s="55">
        <f>MIN(C93:AF93)</f>
        <v>152.33999999999995</v>
      </c>
    </row>
    <row r="94" spans="1:88" x14ac:dyDescent="0.25">
      <c r="A94" s="116" t="s">
        <v>98</v>
      </c>
      <c r="B94" s="117">
        <v>-23</v>
      </c>
      <c r="C94" s="58">
        <v>-31</v>
      </c>
      <c r="D94" s="58">
        <v>-29</v>
      </c>
      <c r="E94" s="58">
        <v>-29</v>
      </c>
      <c r="F94" s="58">
        <v>-7</v>
      </c>
      <c r="G94" s="118">
        <v>-9.6999999999999993</v>
      </c>
      <c r="H94" s="118">
        <v>-1.5</v>
      </c>
      <c r="I94" s="118">
        <v>2.7</v>
      </c>
      <c r="J94" s="118">
        <v>22</v>
      </c>
      <c r="K94" s="118">
        <v>24.7</v>
      </c>
      <c r="L94" s="118">
        <v>38.299999999999997</v>
      </c>
      <c r="M94" s="118">
        <v>50.6</v>
      </c>
      <c r="N94" s="118">
        <v>52.1</v>
      </c>
      <c r="O94" s="118">
        <v>45.6</v>
      </c>
      <c r="P94" s="118">
        <v>38</v>
      </c>
      <c r="Q94" s="118">
        <v>40.200000000000003</v>
      </c>
      <c r="R94" s="118">
        <v>22</v>
      </c>
      <c r="S94" s="118">
        <v>17.399999999999999</v>
      </c>
      <c r="T94" s="118">
        <v>18.3</v>
      </c>
      <c r="U94" s="119">
        <v>19.3</v>
      </c>
      <c r="V94" s="119">
        <v>27.1</v>
      </c>
      <c r="W94" s="119">
        <v>31</v>
      </c>
      <c r="X94" s="118">
        <v>46.3</v>
      </c>
      <c r="Y94" s="118">
        <v>51</v>
      </c>
      <c r="Z94" s="118">
        <v>43.9</v>
      </c>
      <c r="AA94" s="118">
        <v>30.3</v>
      </c>
      <c r="AB94" s="119">
        <v>34.299999999999997</v>
      </c>
      <c r="AC94" s="119">
        <v>16.8</v>
      </c>
      <c r="AD94" s="119">
        <v>12.9</v>
      </c>
      <c r="AE94" s="119">
        <v>-18</v>
      </c>
      <c r="AF94" s="119">
        <v>-12.2</v>
      </c>
      <c r="AG94" s="120">
        <v>75</v>
      </c>
      <c r="AH94" s="54">
        <f t="shared" ref="AH94:AH99" si="22">IF(ABS(MAX(C94:AF94))&gt;ABS(MIN(C94:AF94)),MAX(C94:AF94),MIN(C94:AF94))</f>
        <v>52.1</v>
      </c>
      <c r="AI94" s="121">
        <f t="shared" ref="AI94:AI99" si="23">INDEX($C$9:$AF$9,1,MATCH(AH94,C94:AF94,0))</f>
        <v>0.375</v>
      </c>
    </row>
    <row r="95" spans="1:88" x14ac:dyDescent="0.25">
      <c r="A95" s="122" t="s">
        <v>99</v>
      </c>
      <c r="B95" s="123">
        <v>-32</v>
      </c>
      <c r="C95" s="60">
        <v>-35</v>
      </c>
      <c r="D95" s="60">
        <v>-38</v>
      </c>
      <c r="E95" s="60">
        <v>-40.5</v>
      </c>
      <c r="F95" s="60">
        <v>-42.8</v>
      </c>
      <c r="G95" s="60">
        <v>-32.9</v>
      </c>
      <c r="H95" s="60">
        <v>-24.7</v>
      </c>
      <c r="I95" s="60">
        <v>-5</v>
      </c>
      <c r="J95" s="60">
        <v>24.7</v>
      </c>
      <c r="K95" s="60">
        <v>30</v>
      </c>
      <c r="L95" s="60">
        <v>39</v>
      </c>
      <c r="M95" s="60">
        <f>14.3+11.8</f>
        <v>26.1</v>
      </c>
      <c r="N95" s="60">
        <f>12.6+14.2</f>
        <v>26.799999999999997</v>
      </c>
      <c r="O95" s="60">
        <f>6.7+8.2</f>
        <v>14.899999999999999</v>
      </c>
      <c r="P95" s="60">
        <f>16.9+19.6</f>
        <v>36.5</v>
      </c>
      <c r="Q95" s="60">
        <v>30</v>
      </c>
      <c r="R95" s="60">
        <f>15.2+15.4</f>
        <v>30.6</v>
      </c>
      <c r="S95" s="60">
        <v>9</v>
      </c>
      <c r="T95" s="60">
        <v>13</v>
      </c>
      <c r="U95" s="60">
        <v>19.5</v>
      </c>
      <c r="V95" s="60">
        <v>21</v>
      </c>
      <c r="W95" s="60">
        <v>26</v>
      </c>
      <c r="X95" s="60">
        <v>42</v>
      </c>
      <c r="Y95" s="60">
        <v>54</v>
      </c>
      <c r="Z95" s="60">
        <v>57</v>
      </c>
      <c r="AA95" s="60">
        <v>56</v>
      </c>
      <c r="AB95" s="73">
        <v>38</v>
      </c>
      <c r="AC95" s="73">
        <v>43.6</v>
      </c>
      <c r="AD95" s="73">
        <v>42</v>
      </c>
      <c r="AE95" s="73">
        <f>-1-2.3</f>
        <v>-3.3</v>
      </c>
      <c r="AF95" s="73">
        <f>-16-18.3</f>
        <v>-34.299999999999997</v>
      </c>
      <c r="AG95" s="120">
        <v>240</v>
      </c>
      <c r="AH95" s="54">
        <f t="shared" si="22"/>
        <v>57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-6</v>
      </c>
      <c r="C96" s="60">
        <v>-7</v>
      </c>
      <c r="D96" s="60">
        <v>-12</v>
      </c>
      <c r="E96" s="60">
        <v>-9.5</v>
      </c>
      <c r="F96" s="60">
        <v>-7.5</v>
      </c>
      <c r="G96" s="60">
        <v>-5.3</v>
      </c>
      <c r="H96" s="60">
        <v>-4.5999999999999996</v>
      </c>
      <c r="I96" s="60">
        <v>-2.2999999999999998</v>
      </c>
      <c r="J96" s="60">
        <v>14.9</v>
      </c>
      <c r="K96" s="60">
        <v>19.399999999999999</v>
      </c>
      <c r="L96" s="60">
        <v>25</v>
      </c>
      <c r="M96" s="60">
        <v>23.7</v>
      </c>
      <c r="N96" s="60">
        <v>0</v>
      </c>
      <c r="O96" s="60">
        <v>6.6</v>
      </c>
      <c r="P96" s="60">
        <v>0</v>
      </c>
      <c r="Q96" s="60">
        <v>0</v>
      </c>
      <c r="R96" s="60">
        <v>11.9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24.8</v>
      </c>
      <c r="Y96" s="60">
        <v>36.1</v>
      </c>
      <c r="Z96" s="60">
        <v>42.9</v>
      </c>
      <c r="AA96" s="60">
        <v>28.1</v>
      </c>
      <c r="AB96" s="73">
        <v>27.4</v>
      </c>
      <c r="AC96" s="73">
        <v>22.6</v>
      </c>
      <c r="AD96" s="73">
        <v>20.8</v>
      </c>
      <c r="AE96" s="73">
        <v>1.9</v>
      </c>
      <c r="AF96" s="73">
        <v>-11.5</v>
      </c>
      <c r="AG96" s="120">
        <v>60</v>
      </c>
      <c r="AH96" s="54">
        <f t="shared" si="22"/>
        <v>42.9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82</v>
      </c>
      <c r="C97" s="63">
        <v>81</v>
      </c>
      <c r="D97" s="63">
        <v>82</v>
      </c>
      <c r="E97" s="63">
        <v>86</v>
      </c>
      <c r="F97" s="63">
        <v>66</v>
      </c>
      <c r="G97" s="63">
        <v>77.8</v>
      </c>
      <c r="H97" s="63">
        <v>83.9</v>
      </c>
      <c r="I97" s="63">
        <v>90.5</v>
      </c>
      <c r="J97" s="63">
        <v>85</v>
      </c>
      <c r="K97" s="63">
        <v>106.9</v>
      </c>
      <c r="L97" s="63">
        <v>103</v>
      </c>
      <c r="M97" s="63">
        <v>94.9</v>
      </c>
      <c r="N97" s="63">
        <v>94.5</v>
      </c>
      <c r="O97" s="63">
        <v>107.1</v>
      </c>
      <c r="P97" s="63">
        <v>75.2</v>
      </c>
      <c r="Q97" s="63">
        <v>69.400000000000006</v>
      </c>
      <c r="R97" s="63">
        <v>67.400000000000006</v>
      </c>
      <c r="S97" s="63">
        <v>103.7</v>
      </c>
      <c r="T97" s="63">
        <v>104.9</v>
      </c>
      <c r="U97" s="63">
        <v>110</v>
      </c>
      <c r="V97" s="63">
        <v>101.5</v>
      </c>
      <c r="W97" s="63">
        <v>102.2</v>
      </c>
      <c r="X97" s="63">
        <v>67.900000000000006</v>
      </c>
      <c r="Y97" s="63">
        <v>95.5</v>
      </c>
      <c r="Z97" s="63">
        <v>101.2</v>
      </c>
      <c r="AA97" s="63">
        <v>111.3</v>
      </c>
      <c r="AB97" s="126">
        <v>91.4</v>
      </c>
      <c r="AC97" s="126">
        <v>75.2</v>
      </c>
      <c r="AD97" s="126">
        <v>65.599999999999994</v>
      </c>
      <c r="AE97" s="126">
        <v>90.4</v>
      </c>
      <c r="AF97" s="126">
        <v>94.7</v>
      </c>
      <c r="AG97" s="127">
        <v>120</v>
      </c>
      <c r="AH97" s="54">
        <f t="shared" si="22"/>
        <v>111.3</v>
      </c>
      <c r="AI97" s="121">
        <f t="shared" si="23"/>
        <v>0.8125</v>
      </c>
    </row>
    <row r="98" spans="1:37" x14ac:dyDescent="0.25">
      <c r="A98" s="124" t="s">
        <v>102</v>
      </c>
      <c r="B98" s="125">
        <v>94</v>
      </c>
      <c r="C98" s="63">
        <v>92</v>
      </c>
      <c r="D98" s="63">
        <v>89</v>
      </c>
      <c r="E98" s="63">
        <v>93</v>
      </c>
      <c r="F98" s="63">
        <v>72.7</v>
      </c>
      <c r="G98" s="63">
        <v>80</v>
      </c>
      <c r="H98" s="63">
        <v>82.9</v>
      </c>
      <c r="I98" s="63">
        <v>69.2</v>
      </c>
      <c r="J98" s="63">
        <v>81</v>
      </c>
      <c r="K98" s="63">
        <v>79.7</v>
      </c>
      <c r="L98" s="63">
        <v>83.9</v>
      </c>
      <c r="M98" s="63">
        <v>61</v>
      </c>
      <c r="N98" s="63">
        <v>71.099999999999994</v>
      </c>
      <c r="O98" s="63">
        <v>62.4</v>
      </c>
      <c r="P98" s="63">
        <v>80.5</v>
      </c>
      <c r="Q98" s="63">
        <v>75.900000000000006</v>
      </c>
      <c r="R98" s="63">
        <v>85.2</v>
      </c>
      <c r="S98" s="63">
        <v>85.6</v>
      </c>
      <c r="T98" s="63">
        <v>91.3</v>
      </c>
      <c r="U98" s="63">
        <v>97.3</v>
      </c>
      <c r="V98" s="63">
        <v>88.2</v>
      </c>
      <c r="W98" s="63">
        <v>85.6</v>
      </c>
      <c r="X98" s="63">
        <v>86.4</v>
      </c>
      <c r="Y98" s="63">
        <v>88.5</v>
      </c>
      <c r="Z98" s="63">
        <v>88.7</v>
      </c>
      <c r="AA98" s="63">
        <v>103.9</v>
      </c>
      <c r="AB98" s="126">
        <v>77.599999999999994</v>
      </c>
      <c r="AC98" s="126">
        <v>95.9</v>
      </c>
      <c r="AD98" s="126">
        <v>101.5</v>
      </c>
      <c r="AE98" s="126">
        <v>83.5</v>
      </c>
      <c r="AF98" s="126">
        <v>103</v>
      </c>
      <c r="AG98" s="127"/>
      <c r="AH98" s="54">
        <f t="shared" si="22"/>
        <v>103.9</v>
      </c>
      <c r="AI98" s="121">
        <f t="shared" si="23"/>
        <v>0.8125</v>
      </c>
    </row>
    <row r="99" spans="1:37" ht="15.75" thickBot="1" x14ac:dyDescent="0.3">
      <c r="A99" s="124" t="s">
        <v>103</v>
      </c>
      <c r="B99" s="125">
        <v>62</v>
      </c>
      <c r="C99" s="63">
        <v>71</v>
      </c>
      <c r="D99" s="63">
        <v>74</v>
      </c>
      <c r="E99" s="63">
        <v>74.5</v>
      </c>
      <c r="F99" s="63">
        <v>41</v>
      </c>
      <c r="G99" s="63">
        <v>39.4</v>
      </c>
      <c r="H99" s="63">
        <v>41.3</v>
      </c>
      <c r="I99" s="63">
        <v>35.700000000000003</v>
      </c>
      <c r="J99" s="63">
        <v>44</v>
      </c>
      <c r="K99" s="63">
        <v>49.8</v>
      </c>
      <c r="L99" s="63">
        <v>37.9</v>
      </c>
      <c r="M99" s="63">
        <v>10.3</v>
      </c>
      <c r="N99" s="63">
        <v>15.6</v>
      </c>
      <c r="O99" s="63">
        <v>18.5</v>
      </c>
      <c r="P99" s="63">
        <v>25.7</v>
      </c>
      <c r="Q99" s="63">
        <v>21.4</v>
      </c>
      <c r="R99" s="63">
        <v>13.5</v>
      </c>
      <c r="S99" s="63">
        <v>29.4</v>
      </c>
      <c r="T99" s="63">
        <v>28</v>
      </c>
      <c r="U99" s="63">
        <v>28.3</v>
      </c>
      <c r="V99" s="63">
        <v>25</v>
      </c>
      <c r="W99" s="63">
        <v>24.1</v>
      </c>
      <c r="X99" s="63">
        <v>25.7</v>
      </c>
      <c r="Y99" s="63">
        <v>27.7</v>
      </c>
      <c r="Z99" s="63">
        <v>34.9</v>
      </c>
      <c r="AA99" s="63">
        <v>42.5</v>
      </c>
      <c r="AB99" s="126">
        <v>34</v>
      </c>
      <c r="AC99" s="126">
        <v>36</v>
      </c>
      <c r="AD99" s="126"/>
      <c r="AE99" s="126"/>
      <c r="AF99" s="126"/>
      <c r="AG99" s="128"/>
      <c r="AH99" s="54">
        <f t="shared" si="22"/>
        <v>74.5</v>
      </c>
      <c r="AI99" s="121">
        <f t="shared" si="23"/>
        <v>0.125</v>
      </c>
    </row>
    <row r="100" spans="1:37" ht="15.75" thickBot="1" x14ac:dyDescent="0.3">
      <c r="A100" s="129" t="s">
        <v>104</v>
      </c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>
        <v>117</v>
      </c>
      <c r="AA100" s="130"/>
      <c r="AB100" s="130"/>
      <c r="AC100" s="130"/>
      <c r="AD100" s="130"/>
      <c r="AE100" s="130"/>
      <c r="AF100" s="130"/>
      <c r="AG100" s="131"/>
      <c r="AH100" s="132"/>
      <c r="AI100" s="55"/>
      <c r="AK100" s="56"/>
    </row>
    <row r="101" spans="1:37" x14ac:dyDescent="0.25">
      <c r="A101" s="133" t="s">
        <v>105</v>
      </c>
      <c r="B101" s="134">
        <f t="shared" ref="B101:B106" si="24">AF101</f>
        <v>9.9</v>
      </c>
      <c r="C101" s="53">
        <v>9.9</v>
      </c>
      <c r="D101" s="134">
        <f t="shared" ref="D101:S106" si="25">C101</f>
        <v>9.9</v>
      </c>
      <c r="E101" s="134">
        <f t="shared" si="25"/>
        <v>9.9</v>
      </c>
      <c r="F101" s="134">
        <f t="shared" si="25"/>
        <v>9.9</v>
      </c>
      <c r="G101" s="134">
        <f t="shared" si="25"/>
        <v>9.9</v>
      </c>
      <c r="H101" s="134">
        <f t="shared" si="25"/>
        <v>9.9</v>
      </c>
      <c r="I101" s="134">
        <f t="shared" si="25"/>
        <v>9.9</v>
      </c>
      <c r="J101" s="134">
        <f t="shared" si="25"/>
        <v>9.9</v>
      </c>
      <c r="K101" s="134">
        <f t="shared" si="25"/>
        <v>9.9</v>
      </c>
      <c r="L101" s="134">
        <f t="shared" si="25"/>
        <v>9.9</v>
      </c>
      <c r="M101" s="134">
        <f t="shared" si="25"/>
        <v>9.9</v>
      </c>
      <c r="N101" s="134">
        <f t="shared" si="25"/>
        <v>9.9</v>
      </c>
      <c r="O101" s="134">
        <f t="shared" si="25"/>
        <v>9.9</v>
      </c>
      <c r="P101" s="134">
        <f t="shared" si="25"/>
        <v>9.9</v>
      </c>
      <c r="Q101" s="134">
        <f t="shared" si="25"/>
        <v>9.9</v>
      </c>
      <c r="R101" s="134">
        <f t="shared" si="25"/>
        <v>9.9</v>
      </c>
      <c r="S101" s="134">
        <f t="shared" si="25"/>
        <v>9.9</v>
      </c>
      <c r="T101" s="134">
        <f t="shared" ref="T101:AF106" si="26">S101</f>
        <v>9.9</v>
      </c>
      <c r="U101" s="134">
        <f t="shared" si="26"/>
        <v>9.9</v>
      </c>
      <c r="V101" s="134">
        <f t="shared" si="26"/>
        <v>9.9</v>
      </c>
      <c r="W101" s="134">
        <f t="shared" si="26"/>
        <v>9.9</v>
      </c>
      <c r="X101" s="134">
        <f t="shared" si="26"/>
        <v>9.9</v>
      </c>
      <c r="Y101" s="134">
        <f t="shared" si="26"/>
        <v>9.9</v>
      </c>
      <c r="Z101" s="134">
        <f t="shared" si="26"/>
        <v>9.9</v>
      </c>
      <c r="AA101" s="134">
        <f t="shared" si="26"/>
        <v>9.9</v>
      </c>
      <c r="AB101" s="134">
        <f t="shared" si="26"/>
        <v>9.9</v>
      </c>
      <c r="AC101" s="134">
        <f t="shared" si="26"/>
        <v>9.9</v>
      </c>
      <c r="AD101" s="134">
        <f t="shared" si="26"/>
        <v>9.9</v>
      </c>
      <c r="AE101" s="134">
        <f t="shared" si="26"/>
        <v>9.9</v>
      </c>
      <c r="AF101" s="134">
        <f t="shared" si="26"/>
        <v>9.9</v>
      </c>
      <c r="AG101" s="135">
        <v>9.94</v>
      </c>
      <c r="AH101" s="54"/>
      <c r="AI101" s="55"/>
      <c r="AK101" s="56"/>
    </row>
    <row r="102" spans="1:37" x14ac:dyDescent="0.25">
      <c r="A102" s="122" t="s">
        <v>106</v>
      </c>
      <c r="B102" s="136">
        <f t="shared" si="24"/>
        <v>9.6</v>
      </c>
      <c r="C102" s="137">
        <v>9.6</v>
      </c>
      <c r="D102" s="136">
        <f t="shared" si="25"/>
        <v>9.6</v>
      </c>
      <c r="E102" s="136">
        <f t="shared" si="25"/>
        <v>9.6</v>
      </c>
      <c r="F102" s="136">
        <f t="shared" si="25"/>
        <v>9.6</v>
      </c>
      <c r="G102" s="136">
        <f t="shared" si="25"/>
        <v>9.6</v>
      </c>
      <c r="H102" s="136">
        <f t="shared" si="25"/>
        <v>9.6</v>
      </c>
      <c r="I102" s="136">
        <f t="shared" si="25"/>
        <v>9.6</v>
      </c>
      <c r="J102" s="136">
        <f t="shared" si="25"/>
        <v>9.6</v>
      </c>
      <c r="K102" s="136">
        <f t="shared" si="25"/>
        <v>9.6</v>
      </c>
      <c r="L102" s="136">
        <f t="shared" si="25"/>
        <v>9.6</v>
      </c>
      <c r="M102" s="136">
        <f t="shared" si="25"/>
        <v>9.6</v>
      </c>
      <c r="N102" s="136">
        <f t="shared" si="25"/>
        <v>9.6</v>
      </c>
      <c r="O102" s="136">
        <f t="shared" si="25"/>
        <v>9.6</v>
      </c>
      <c r="P102" s="136">
        <f t="shared" si="25"/>
        <v>9.6</v>
      </c>
      <c r="Q102" s="136">
        <f t="shared" si="25"/>
        <v>9.6</v>
      </c>
      <c r="R102" s="136">
        <f t="shared" si="25"/>
        <v>9.6</v>
      </c>
      <c r="S102" s="136">
        <f t="shared" si="25"/>
        <v>9.6</v>
      </c>
      <c r="T102" s="136">
        <f t="shared" si="26"/>
        <v>9.6</v>
      </c>
      <c r="U102" s="136">
        <f t="shared" si="26"/>
        <v>9.6</v>
      </c>
      <c r="V102" s="136">
        <f t="shared" si="26"/>
        <v>9.6</v>
      </c>
      <c r="W102" s="136">
        <f t="shared" si="26"/>
        <v>9.6</v>
      </c>
      <c r="X102" s="136">
        <f t="shared" si="26"/>
        <v>9.6</v>
      </c>
      <c r="Y102" s="136">
        <f t="shared" si="26"/>
        <v>9.6</v>
      </c>
      <c r="Z102" s="136">
        <f t="shared" si="26"/>
        <v>9.6</v>
      </c>
      <c r="AA102" s="136">
        <f t="shared" si="26"/>
        <v>9.6</v>
      </c>
      <c r="AB102" s="136">
        <f t="shared" si="26"/>
        <v>9.6</v>
      </c>
      <c r="AC102" s="136">
        <f t="shared" si="26"/>
        <v>9.6</v>
      </c>
      <c r="AD102" s="136">
        <f t="shared" si="26"/>
        <v>9.6</v>
      </c>
      <c r="AE102" s="136">
        <f t="shared" si="26"/>
        <v>9.6</v>
      </c>
      <c r="AF102" s="136">
        <f t="shared" si="26"/>
        <v>9.6</v>
      </c>
      <c r="AG102" s="138">
        <v>9.9</v>
      </c>
      <c r="AH102" s="54"/>
      <c r="AI102" s="55"/>
      <c r="AK102" s="56"/>
    </row>
    <row r="103" spans="1:37" x14ac:dyDescent="0.25">
      <c r="A103" s="124" t="s">
        <v>107</v>
      </c>
      <c r="B103" s="136">
        <f t="shared" si="24"/>
        <v>9.98</v>
      </c>
      <c r="C103" s="137">
        <v>9.98</v>
      </c>
      <c r="D103" s="136">
        <f t="shared" si="25"/>
        <v>9.98</v>
      </c>
      <c r="E103" s="136">
        <f t="shared" si="25"/>
        <v>9.98</v>
      </c>
      <c r="F103" s="136">
        <f t="shared" si="25"/>
        <v>9.98</v>
      </c>
      <c r="G103" s="136">
        <f t="shared" si="25"/>
        <v>9.98</v>
      </c>
      <c r="H103" s="136">
        <f t="shared" si="25"/>
        <v>9.98</v>
      </c>
      <c r="I103" s="136">
        <f t="shared" si="25"/>
        <v>9.98</v>
      </c>
      <c r="J103" s="136">
        <f t="shared" si="25"/>
        <v>9.98</v>
      </c>
      <c r="K103" s="136">
        <f t="shared" si="25"/>
        <v>9.98</v>
      </c>
      <c r="L103" s="136">
        <f t="shared" si="25"/>
        <v>9.98</v>
      </c>
      <c r="M103" s="136">
        <f t="shared" si="25"/>
        <v>9.98</v>
      </c>
      <c r="N103" s="136">
        <f t="shared" si="25"/>
        <v>9.98</v>
      </c>
      <c r="O103" s="136">
        <f t="shared" si="25"/>
        <v>9.98</v>
      </c>
      <c r="P103" s="136">
        <f t="shared" si="25"/>
        <v>9.98</v>
      </c>
      <c r="Q103" s="136">
        <f t="shared" si="25"/>
        <v>9.98</v>
      </c>
      <c r="R103" s="136">
        <f t="shared" si="25"/>
        <v>9.98</v>
      </c>
      <c r="S103" s="136">
        <f t="shared" si="25"/>
        <v>9.98</v>
      </c>
      <c r="T103" s="136">
        <f t="shared" si="26"/>
        <v>9.98</v>
      </c>
      <c r="U103" s="136">
        <f t="shared" si="26"/>
        <v>9.98</v>
      </c>
      <c r="V103" s="136">
        <f t="shared" si="26"/>
        <v>9.98</v>
      </c>
      <c r="W103" s="136">
        <f t="shared" si="26"/>
        <v>9.98</v>
      </c>
      <c r="X103" s="136">
        <f t="shared" si="26"/>
        <v>9.98</v>
      </c>
      <c r="Y103" s="136">
        <f t="shared" si="26"/>
        <v>9.98</v>
      </c>
      <c r="Z103" s="136">
        <f t="shared" si="26"/>
        <v>9.98</v>
      </c>
      <c r="AA103" s="136">
        <f t="shared" si="26"/>
        <v>9.98</v>
      </c>
      <c r="AB103" s="136">
        <f t="shared" si="26"/>
        <v>9.98</v>
      </c>
      <c r="AC103" s="136">
        <f t="shared" si="26"/>
        <v>9.98</v>
      </c>
      <c r="AD103" s="136">
        <f t="shared" si="26"/>
        <v>9.98</v>
      </c>
      <c r="AE103" s="136">
        <f t="shared" si="26"/>
        <v>9.98</v>
      </c>
      <c r="AF103" s="136">
        <f t="shared" si="26"/>
        <v>9.98</v>
      </c>
      <c r="AG103" s="139">
        <v>9.6579999999999995</v>
      </c>
      <c r="AH103" s="54"/>
      <c r="AI103" s="55"/>
      <c r="AK103" s="56"/>
    </row>
    <row r="104" spans="1:37" x14ac:dyDescent="0.25">
      <c r="A104" s="124" t="s">
        <v>108</v>
      </c>
      <c r="B104" s="136">
        <f t="shared" si="24"/>
        <v>9.1</v>
      </c>
      <c r="C104" s="137">
        <v>9.1</v>
      </c>
      <c r="D104" s="136">
        <f t="shared" si="25"/>
        <v>9.1</v>
      </c>
      <c r="E104" s="136">
        <f t="shared" si="25"/>
        <v>9.1</v>
      </c>
      <c r="F104" s="136">
        <f t="shared" si="25"/>
        <v>9.1</v>
      </c>
      <c r="G104" s="136">
        <f t="shared" si="25"/>
        <v>9.1</v>
      </c>
      <c r="H104" s="136">
        <f t="shared" si="25"/>
        <v>9.1</v>
      </c>
      <c r="I104" s="136">
        <f t="shared" si="25"/>
        <v>9.1</v>
      </c>
      <c r="J104" s="136">
        <f t="shared" si="25"/>
        <v>9.1</v>
      </c>
      <c r="K104" s="136">
        <f t="shared" si="25"/>
        <v>9.1</v>
      </c>
      <c r="L104" s="136">
        <f t="shared" si="25"/>
        <v>9.1</v>
      </c>
      <c r="M104" s="136">
        <f t="shared" si="25"/>
        <v>9.1</v>
      </c>
      <c r="N104" s="136">
        <f t="shared" si="25"/>
        <v>9.1</v>
      </c>
      <c r="O104" s="136">
        <f t="shared" si="25"/>
        <v>9.1</v>
      </c>
      <c r="P104" s="136">
        <f t="shared" si="25"/>
        <v>9.1</v>
      </c>
      <c r="Q104" s="136">
        <f t="shared" si="25"/>
        <v>9.1</v>
      </c>
      <c r="R104" s="136">
        <f t="shared" si="25"/>
        <v>9.1</v>
      </c>
      <c r="S104" s="136">
        <f t="shared" si="25"/>
        <v>9.1</v>
      </c>
      <c r="T104" s="136">
        <f t="shared" si="26"/>
        <v>9.1</v>
      </c>
      <c r="U104" s="136">
        <f t="shared" si="26"/>
        <v>9.1</v>
      </c>
      <c r="V104" s="136">
        <f t="shared" si="26"/>
        <v>9.1</v>
      </c>
      <c r="W104" s="136">
        <f t="shared" si="26"/>
        <v>9.1</v>
      </c>
      <c r="X104" s="136">
        <f t="shared" si="26"/>
        <v>9.1</v>
      </c>
      <c r="Y104" s="136">
        <f t="shared" si="26"/>
        <v>9.1</v>
      </c>
      <c r="Z104" s="136">
        <f t="shared" si="26"/>
        <v>9.1</v>
      </c>
      <c r="AA104" s="136">
        <f t="shared" si="26"/>
        <v>9.1</v>
      </c>
      <c r="AB104" s="136">
        <f t="shared" si="26"/>
        <v>9.1</v>
      </c>
      <c r="AC104" s="136">
        <f t="shared" si="26"/>
        <v>9.1</v>
      </c>
      <c r="AD104" s="136">
        <f t="shared" si="26"/>
        <v>9.1</v>
      </c>
      <c r="AE104" s="136">
        <f t="shared" si="26"/>
        <v>9.1</v>
      </c>
      <c r="AF104" s="136">
        <f t="shared" si="26"/>
        <v>9.1</v>
      </c>
      <c r="AG104" s="139">
        <v>9.6</v>
      </c>
      <c r="AH104" s="54"/>
      <c r="AI104" s="55"/>
      <c r="AK104" s="56"/>
    </row>
    <row r="105" spans="1:37" x14ac:dyDescent="0.25">
      <c r="A105" s="124" t="s">
        <v>109</v>
      </c>
      <c r="B105" s="136">
        <f t="shared" si="24"/>
        <v>9.18</v>
      </c>
      <c r="C105" s="137">
        <v>9.18</v>
      </c>
      <c r="D105" s="136">
        <f t="shared" si="25"/>
        <v>9.18</v>
      </c>
      <c r="E105" s="136">
        <f t="shared" si="25"/>
        <v>9.18</v>
      </c>
      <c r="F105" s="136">
        <f t="shared" si="25"/>
        <v>9.18</v>
      </c>
      <c r="G105" s="136">
        <f t="shared" si="25"/>
        <v>9.18</v>
      </c>
      <c r="H105" s="136">
        <f t="shared" si="25"/>
        <v>9.18</v>
      </c>
      <c r="I105" s="136">
        <f t="shared" si="25"/>
        <v>9.18</v>
      </c>
      <c r="J105" s="136">
        <f t="shared" si="25"/>
        <v>9.18</v>
      </c>
      <c r="K105" s="136">
        <f t="shared" si="25"/>
        <v>9.18</v>
      </c>
      <c r="L105" s="136">
        <f t="shared" si="25"/>
        <v>9.18</v>
      </c>
      <c r="M105" s="136">
        <f t="shared" si="25"/>
        <v>9.18</v>
      </c>
      <c r="N105" s="136">
        <f t="shared" si="25"/>
        <v>9.18</v>
      </c>
      <c r="O105" s="136">
        <f t="shared" si="25"/>
        <v>9.18</v>
      </c>
      <c r="P105" s="136">
        <f t="shared" si="25"/>
        <v>9.18</v>
      </c>
      <c r="Q105" s="136">
        <f t="shared" si="25"/>
        <v>9.18</v>
      </c>
      <c r="R105" s="136">
        <f t="shared" si="25"/>
        <v>9.18</v>
      </c>
      <c r="S105" s="136">
        <f t="shared" si="25"/>
        <v>9.18</v>
      </c>
      <c r="T105" s="136">
        <f t="shared" si="26"/>
        <v>9.18</v>
      </c>
      <c r="U105" s="136">
        <f t="shared" si="26"/>
        <v>9.18</v>
      </c>
      <c r="V105" s="136">
        <f t="shared" si="26"/>
        <v>9.18</v>
      </c>
      <c r="W105" s="136">
        <f t="shared" si="26"/>
        <v>9.18</v>
      </c>
      <c r="X105" s="136">
        <f t="shared" si="26"/>
        <v>9.18</v>
      </c>
      <c r="Y105" s="136">
        <f t="shared" si="26"/>
        <v>9.18</v>
      </c>
      <c r="Z105" s="136">
        <f t="shared" si="26"/>
        <v>9.18</v>
      </c>
      <c r="AA105" s="136">
        <f t="shared" si="26"/>
        <v>9.18</v>
      </c>
      <c r="AB105" s="136">
        <f t="shared" si="26"/>
        <v>9.18</v>
      </c>
      <c r="AC105" s="136">
        <f t="shared" si="26"/>
        <v>9.18</v>
      </c>
      <c r="AD105" s="136">
        <f t="shared" si="26"/>
        <v>9.18</v>
      </c>
      <c r="AE105" s="136">
        <f t="shared" si="26"/>
        <v>9.18</v>
      </c>
      <c r="AF105" s="136">
        <f t="shared" si="26"/>
        <v>9.18</v>
      </c>
      <c r="AG105" s="139">
        <v>9.51</v>
      </c>
      <c r="AH105" s="54"/>
      <c r="AI105" s="55"/>
      <c r="AK105" s="56"/>
    </row>
    <row r="106" spans="1:37" x14ac:dyDescent="0.25">
      <c r="A106" s="124" t="s">
        <v>110</v>
      </c>
      <c r="B106" s="136">
        <f t="shared" si="24"/>
        <v>7</v>
      </c>
      <c r="C106" s="137">
        <v>7</v>
      </c>
      <c r="D106" s="136">
        <f t="shared" si="25"/>
        <v>7</v>
      </c>
      <c r="E106" s="136">
        <f t="shared" si="25"/>
        <v>7</v>
      </c>
      <c r="F106" s="136">
        <f t="shared" si="25"/>
        <v>7</v>
      </c>
      <c r="G106" s="136">
        <f t="shared" si="25"/>
        <v>7</v>
      </c>
      <c r="H106" s="136">
        <f t="shared" si="25"/>
        <v>7</v>
      </c>
      <c r="I106" s="136">
        <f t="shared" si="25"/>
        <v>7</v>
      </c>
      <c r="J106" s="136">
        <f t="shared" si="25"/>
        <v>7</v>
      </c>
      <c r="K106" s="136">
        <f t="shared" si="25"/>
        <v>7</v>
      </c>
      <c r="L106" s="136">
        <f t="shared" si="25"/>
        <v>7</v>
      </c>
      <c r="M106" s="136">
        <f t="shared" si="25"/>
        <v>7</v>
      </c>
      <c r="N106" s="136">
        <f t="shared" si="25"/>
        <v>7</v>
      </c>
      <c r="O106" s="136">
        <f t="shared" si="25"/>
        <v>7</v>
      </c>
      <c r="P106" s="136">
        <f t="shared" si="25"/>
        <v>7</v>
      </c>
      <c r="Q106" s="136">
        <f t="shared" si="25"/>
        <v>7</v>
      </c>
      <c r="R106" s="136">
        <f t="shared" si="25"/>
        <v>7</v>
      </c>
      <c r="S106" s="136">
        <f t="shared" si="25"/>
        <v>7</v>
      </c>
      <c r="T106" s="136">
        <f t="shared" si="26"/>
        <v>7</v>
      </c>
      <c r="U106" s="136">
        <f t="shared" si="26"/>
        <v>7</v>
      </c>
      <c r="V106" s="136">
        <f t="shared" si="26"/>
        <v>7</v>
      </c>
      <c r="W106" s="136">
        <f t="shared" si="26"/>
        <v>7</v>
      </c>
      <c r="X106" s="136">
        <f t="shared" si="26"/>
        <v>7</v>
      </c>
      <c r="Y106" s="136">
        <f t="shared" si="26"/>
        <v>7</v>
      </c>
      <c r="Z106" s="136">
        <f t="shared" si="26"/>
        <v>7</v>
      </c>
      <c r="AA106" s="136">
        <f t="shared" si="26"/>
        <v>7</v>
      </c>
      <c r="AB106" s="136">
        <f t="shared" si="26"/>
        <v>7</v>
      </c>
      <c r="AC106" s="136">
        <f t="shared" si="26"/>
        <v>7</v>
      </c>
      <c r="AD106" s="136">
        <f t="shared" si="26"/>
        <v>7</v>
      </c>
      <c r="AE106" s="136">
        <f t="shared" si="26"/>
        <v>7</v>
      </c>
      <c r="AF106" s="136">
        <f t="shared" si="26"/>
        <v>7</v>
      </c>
      <c r="AG106" s="139">
        <v>9.4</v>
      </c>
      <c r="AH106" s="54"/>
      <c r="AI106" s="55"/>
      <c r="AK106" s="56"/>
    </row>
    <row r="107" spans="1:37" x14ac:dyDescent="0.25">
      <c r="A107" s="124" t="s">
        <v>111</v>
      </c>
      <c r="B107" s="136"/>
      <c r="C107" s="137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9">
        <v>8.8000000000000007</v>
      </c>
      <c r="AH107" s="54"/>
      <c r="AI107" s="55"/>
      <c r="AK107" s="56"/>
    </row>
    <row r="108" spans="1:37" x14ac:dyDescent="0.25">
      <c r="A108" s="124" t="s">
        <v>112</v>
      </c>
      <c r="B108" s="136">
        <f>AF108</f>
        <v>2.25</v>
      </c>
      <c r="C108" s="137">
        <v>2.25</v>
      </c>
      <c r="D108" s="136">
        <f t="shared" ref="D108:S109" si="27">C108</f>
        <v>2.25</v>
      </c>
      <c r="E108" s="136">
        <f t="shared" si="27"/>
        <v>2.25</v>
      </c>
      <c r="F108" s="136">
        <f t="shared" si="27"/>
        <v>2.25</v>
      </c>
      <c r="G108" s="136">
        <f t="shared" si="27"/>
        <v>2.25</v>
      </c>
      <c r="H108" s="136">
        <f t="shared" si="27"/>
        <v>2.25</v>
      </c>
      <c r="I108" s="136">
        <f t="shared" si="27"/>
        <v>2.25</v>
      </c>
      <c r="J108" s="136">
        <f t="shared" si="27"/>
        <v>2.25</v>
      </c>
      <c r="K108" s="136">
        <f t="shared" si="27"/>
        <v>2.25</v>
      </c>
      <c r="L108" s="136">
        <f t="shared" si="27"/>
        <v>2.25</v>
      </c>
      <c r="M108" s="136">
        <f t="shared" si="27"/>
        <v>2.25</v>
      </c>
      <c r="N108" s="136">
        <f t="shared" si="27"/>
        <v>2.25</v>
      </c>
      <c r="O108" s="136">
        <f t="shared" si="27"/>
        <v>2.25</v>
      </c>
      <c r="P108" s="136">
        <f t="shared" si="27"/>
        <v>2.25</v>
      </c>
      <c r="Q108" s="136">
        <f t="shared" si="27"/>
        <v>2.25</v>
      </c>
      <c r="R108" s="136">
        <f t="shared" si="27"/>
        <v>2.25</v>
      </c>
      <c r="S108" s="136">
        <f t="shared" si="27"/>
        <v>2.25</v>
      </c>
      <c r="T108" s="136">
        <f t="shared" ref="T108:AF109" si="28">S108</f>
        <v>2.25</v>
      </c>
      <c r="U108" s="136">
        <f t="shared" si="28"/>
        <v>2.25</v>
      </c>
      <c r="V108" s="136">
        <f t="shared" si="28"/>
        <v>2.25</v>
      </c>
      <c r="W108" s="136">
        <f t="shared" si="28"/>
        <v>2.25</v>
      </c>
      <c r="X108" s="136">
        <f t="shared" si="28"/>
        <v>2.25</v>
      </c>
      <c r="Y108" s="136">
        <f t="shared" si="28"/>
        <v>2.25</v>
      </c>
      <c r="Z108" s="136">
        <f t="shared" si="28"/>
        <v>2.25</v>
      </c>
      <c r="AA108" s="136">
        <f t="shared" si="28"/>
        <v>2.25</v>
      </c>
      <c r="AB108" s="136">
        <f t="shared" si="28"/>
        <v>2.25</v>
      </c>
      <c r="AC108" s="136">
        <f t="shared" si="28"/>
        <v>2.25</v>
      </c>
      <c r="AD108" s="136">
        <f t="shared" si="28"/>
        <v>2.25</v>
      </c>
      <c r="AE108" s="136">
        <f t="shared" si="28"/>
        <v>2.25</v>
      </c>
      <c r="AF108" s="136">
        <f t="shared" si="28"/>
        <v>2.25</v>
      </c>
      <c r="AG108" s="139">
        <v>8.5</v>
      </c>
      <c r="AH108" s="54"/>
      <c r="AI108" s="55"/>
      <c r="AK108" s="56"/>
    </row>
    <row r="109" spans="1:37" x14ac:dyDescent="0.25">
      <c r="A109" s="124" t="s">
        <v>113</v>
      </c>
      <c r="B109" s="136">
        <f>AF109</f>
        <v>1.64</v>
      </c>
      <c r="C109" s="137">
        <v>1.64</v>
      </c>
      <c r="D109" s="136">
        <f t="shared" si="27"/>
        <v>1.64</v>
      </c>
      <c r="E109" s="136">
        <f t="shared" si="27"/>
        <v>1.64</v>
      </c>
      <c r="F109" s="136">
        <f t="shared" si="27"/>
        <v>1.64</v>
      </c>
      <c r="G109" s="136">
        <f t="shared" si="27"/>
        <v>1.64</v>
      </c>
      <c r="H109" s="136">
        <f t="shared" si="27"/>
        <v>1.64</v>
      </c>
      <c r="I109" s="136">
        <f t="shared" si="27"/>
        <v>1.64</v>
      </c>
      <c r="J109" s="136">
        <f t="shared" si="27"/>
        <v>1.64</v>
      </c>
      <c r="K109" s="136">
        <f t="shared" si="27"/>
        <v>1.64</v>
      </c>
      <c r="L109" s="136">
        <f t="shared" si="27"/>
        <v>1.64</v>
      </c>
      <c r="M109" s="136">
        <f t="shared" si="27"/>
        <v>1.64</v>
      </c>
      <c r="N109" s="136">
        <f t="shared" si="27"/>
        <v>1.64</v>
      </c>
      <c r="O109" s="136">
        <f t="shared" si="27"/>
        <v>1.64</v>
      </c>
      <c r="P109" s="136">
        <f t="shared" si="27"/>
        <v>1.64</v>
      </c>
      <c r="Q109" s="136">
        <f t="shared" si="27"/>
        <v>1.64</v>
      </c>
      <c r="R109" s="136">
        <f t="shared" si="27"/>
        <v>1.64</v>
      </c>
      <c r="S109" s="136">
        <f t="shared" si="27"/>
        <v>1.64</v>
      </c>
      <c r="T109" s="136">
        <f t="shared" si="28"/>
        <v>1.64</v>
      </c>
      <c r="U109" s="136">
        <f t="shared" si="28"/>
        <v>1.64</v>
      </c>
      <c r="V109" s="136">
        <f t="shared" si="28"/>
        <v>1.64</v>
      </c>
      <c r="W109" s="136">
        <f t="shared" si="28"/>
        <v>1.64</v>
      </c>
      <c r="X109" s="136">
        <f t="shared" si="28"/>
        <v>1.64</v>
      </c>
      <c r="Y109" s="136">
        <f t="shared" si="28"/>
        <v>1.64</v>
      </c>
      <c r="Z109" s="136">
        <f t="shared" si="28"/>
        <v>1.64</v>
      </c>
      <c r="AA109" s="136">
        <f t="shared" si="28"/>
        <v>1.64</v>
      </c>
      <c r="AB109" s="136">
        <f t="shared" si="28"/>
        <v>1.64</v>
      </c>
      <c r="AC109" s="136">
        <f t="shared" si="28"/>
        <v>1.64</v>
      </c>
      <c r="AD109" s="136">
        <f t="shared" si="28"/>
        <v>1.64</v>
      </c>
      <c r="AE109" s="136">
        <f t="shared" si="28"/>
        <v>1.64</v>
      </c>
      <c r="AF109" s="136">
        <f t="shared" si="28"/>
        <v>1.64</v>
      </c>
      <c r="AG109" s="139">
        <v>8.5</v>
      </c>
      <c r="AH109" s="54"/>
      <c r="AI109" s="55"/>
      <c r="AK109" s="56"/>
    </row>
    <row r="110" spans="1:37" x14ac:dyDescent="0.25">
      <c r="A110" s="124" t="s">
        <v>114</v>
      </c>
      <c r="B110" s="136"/>
      <c r="C110" s="137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9">
        <v>8.4</v>
      </c>
      <c r="AH110" s="54"/>
      <c r="AI110" s="55"/>
      <c r="AK110" s="56"/>
    </row>
    <row r="111" spans="1:37" x14ac:dyDescent="0.25">
      <c r="A111" s="124" t="s">
        <v>115</v>
      </c>
      <c r="B111" s="136">
        <f t="shared" ref="B111:B128" si="29">AF111</f>
        <v>1.62</v>
      </c>
      <c r="C111" s="137">
        <v>1.62</v>
      </c>
      <c r="D111" s="136">
        <f t="shared" ref="D111:S118" si="30">C111</f>
        <v>1.62</v>
      </c>
      <c r="E111" s="136">
        <f t="shared" si="30"/>
        <v>1.62</v>
      </c>
      <c r="F111" s="136">
        <f t="shared" si="30"/>
        <v>1.62</v>
      </c>
      <c r="G111" s="136">
        <f t="shared" si="30"/>
        <v>1.62</v>
      </c>
      <c r="H111" s="136">
        <f t="shared" si="30"/>
        <v>1.62</v>
      </c>
      <c r="I111" s="136">
        <f t="shared" si="30"/>
        <v>1.62</v>
      </c>
      <c r="J111" s="136">
        <f t="shared" si="30"/>
        <v>1.62</v>
      </c>
      <c r="K111" s="136">
        <f t="shared" si="30"/>
        <v>1.62</v>
      </c>
      <c r="L111" s="136">
        <f t="shared" si="30"/>
        <v>1.62</v>
      </c>
      <c r="M111" s="136">
        <f t="shared" si="30"/>
        <v>1.62</v>
      </c>
      <c r="N111" s="136">
        <f t="shared" si="30"/>
        <v>1.62</v>
      </c>
      <c r="O111" s="136">
        <f t="shared" si="30"/>
        <v>1.62</v>
      </c>
      <c r="P111" s="136">
        <f t="shared" si="30"/>
        <v>1.62</v>
      </c>
      <c r="Q111" s="136">
        <f t="shared" si="30"/>
        <v>1.62</v>
      </c>
      <c r="R111" s="136">
        <f t="shared" si="30"/>
        <v>1.62</v>
      </c>
      <c r="S111" s="136">
        <f t="shared" si="30"/>
        <v>1.62</v>
      </c>
      <c r="T111" s="136">
        <f t="shared" ref="T111:AF126" si="31">S111</f>
        <v>1.62</v>
      </c>
      <c r="U111" s="136">
        <f t="shared" si="31"/>
        <v>1.62</v>
      </c>
      <c r="V111" s="136">
        <f t="shared" si="31"/>
        <v>1.62</v>
      </c>
      <c r="W111" s="136">
        <f t="shared" si="31"/>
        <v>1.62</v>
      </c>
      <c r="X111" s="136">
        <f t="shared" si="31"/>
        <v>1.62</v>
      </c>
      <c r="Y111" s="136">
        <f t="shared" si="31"/>
        <v>1.62</v>
      </c>
      <c r="Z111" s="136">
        <f t="shared" si="31"/>
        <v>1.62</v>
      </c>
      <c r="AA111" s="136">
        <f t="shared" si="31"/>
        <v>1.62</v>
      </c>
      <c r="AB111" s="136">
        <f t="shared" si="31"/>
        <v>1.62</v>
      </c>
      <c r="AC111" s="136">
        <f t="shared" si="31"/>
        <v>1.62</v>
      </c>
      <c r="AD111" s="136">
        <f t="shared" si="31"/>
        <v>1.62</v>
      </c>
      <c r="AE111" s="136">
        <f t="shared" si="31"/>
        <v>1.62</v>
      </c>
      <c r="AF111" s="136">
        <f t="shared" si="31"/>
        <v>1.62</v>
      </c>
      <c r="AG111" s="139">
        <v>8</v>
      </c>
      <c r="AH111" s="54"/>
      <c r="AI111" s="55"/>
      <c r="AK111" s="56"/>
    </row>
    <row r="112" spans="1:37" x14ac:dyDescent="0.25">
      <c r="A112" s="124" t="s">
        <v>116</v>
      </c>
      <c r="B112" s="136">
        <f t="shared" si="29"/>
        <v>8.36</v>
      </c>
      <c r="C112" s="137">
        <v>8.36</v>
      </c>
      <c r="D112" s="136">
        <f t="shared" si="30"/>
        <v>8.36</v>
      </c>
      <c r="E112" s="136">
        <f t="shared" si="30"/>
        <v>8.36</v>
      </c>
      <c r="F112" s="136">
        <f t="shared" si="30"/>
        <v>8.36</v>
      </c>
      <c r="G112" s="136">
        <f t="shared" si="30"/>
        <v>8.36</v>
      </c>
      <c r="H112" s="136">
        <f t="shared" si="30"/>
        <v>8.36</v>
      </c>
      <c r="I112" s="136">
        <f t="shared" si="30"/>
        <v>8.36</v>
      </c>
      <c r="J112" s="136">
        <f t="shared" si="30"/>
        <v>8.36</v>
      </c>
      <c r="K112" s="136">
        <f t="shared" si="30"/>
        <v>8.36</v>
      </c>
      <c r="L112" s="136">
        <f t="shared" si="30"/>
        <v>8.36</v>
      </c>
      <c r="M112" s="136">
        <f t="shared" si="30"/>
        <v>8.36</v>
      </c>
      <c r="N112" s="136">
        <f t="shared" si="30"/>
        <v>8.36</v>
      </c>
      <c r="O112" s="136">
        <f t="shared" si="30"/>
        <v>8.36</v>
      </c>
      <c r="P112" s="136">
        <f t="shared" si="30"/>
        <v>8.36</v>
      </c>
      <c r="Q112" s="136">
        <f t="shared" si="30"/>
        <v>8.36</v>
      </c>
      <c r="R112" s="136">
        <f t="shared" si="30"/>
        <v>8.36</v>
      </c>
      <c r="S112" s="136">
        <f t="shared" si="30"/>
        <v>8.36</v>
      </c>
      <c r="T112" s="136">
        <f t="shared" si="31"/>
        <v>8.36</v>
      </c>
      <c r="U112" s="136">
        <f t="shared" si="31"/>
        <v>8.36</v>
      </c>
      <c r="V112" s="136">
        <f t="shared" si="31"/>
        <v>8.36</v>
      </c>
      <c r="W112" s="136">
        <f t="shared" si="31"/>
        <v>8.36</v>
      </c>
      <c r="X112" s="136">
        <f t="shared" si="31"/>
        <v>8.36</v>
      </c>
      <c r="Y112" s="136">
        <f t="shared" si="31"/>
        <v>8.36</v>
      </c>
      <c r="Z112" s="136">
        <f t="shared" si="31"/>
        <v>8.36</v>
      </c>
      <c r="AA112" s="136">
        <f t="shared" si="31"/>
        <v>8.36</v>
      </c>
      <c r="AB112" s="136">
        <f t="shared" si="31"/>
        <v>8.36</v>
      </c>
      <c r="AC112" s="136">
        <f t="shared" si="31"/>
        <v>8.36</v>
      </c>
      <c r="AD112" s="136">
        <f t="shared" si="31"/>
        <v>8.36</v>
      </c>
      <c r="AE112" s="136">
        <f t="shared" si="31"/>
        <v>8.36</v>
      </c>
      <c r="AF112" s="136">
        <f t="shared" si="31"/>
        <v>8.36</v>
      </c>
      <c r="AG112" s="139">
        <v>8</v>
      </c>
      <c r="AH112" s="54"/>
      <c r="AI112" s="55"/>
      <c r="AK112" s="56"/>
    </row>
    <row r="113" spans="1:37" x14ac:dyDescent="0.25">
      <c r="A113" s="124" t="s">
        <v>117</v>
      </c>
      <c r="B113" s="136">
        <f t="shared" si="29"/>
        <v>5.4</v>
      </c>
      <c r="C113" s="137">
        <v>8</v>
      </c>
      <c r="D113" s="136">
        <f t="shared" si="30"/>
        <v>8</v>
      </c>
      <c r="E113" s="136">
        <f t="shared" si="30"/>
        <v>8</v>
      </c>
      <c r="F113" s="136">
        <f t="shared" si="30"/>
        <v>8</v>
      </c>
      <c r="G113" s="136">
        <f t="shared" si="30"/>
        <v>8</v>
      </c>
      <c r="H113" s="136">
        <f t="shared" si="30"/>
        <v>8</v>
      </c>
      <c r="I113" s="136">
        <f t="shared" si="30"/>
        <v>8</v>
      </c>
      <c r="J113" s="136">
        <v>5.4</v>
      </c>
      <c r="K113" s="136">
        <f t="shared" si="30"/>
        <v>5.4</v>
      </c>
      <c r="L113" s="136">
        <f t="shared" si="30"/>
        <v>5.4</v>
      </c>
      <c r="M113" s="136">
        <f t="shared" si="30"/>
        <v>5.4</v>
      </c>
      <c r="N113" s="136">
        <f t="shared" si="30"/>
        <v>5.4</v>
      </c>
      <c r="O113" s="136">
        <f t="shared" si="30"/>
        <v>5.4</v>
      </c>
      <c r="P113" s="136">
        <f t="shared" si="30"/>
        <v>5.4</v>
      </c>
      <c r="Q113" s="136">
        <f t="shared" si="30"/>
        <v>5.4</v>
      </c>
      <c r="R113" s="136">
        <f t="shared" si="30"/>
        <v>5.4</v>
      </c>
      <c r="S113" s="136">
        <f t="shared" si="30"/>
        <v>5.4</v>
      </c>
      <c r="T113" s="136">
        <f t="shared" si="31"/>
        <v>5.4</v>
      </c>
      <c r="U113" s="136">
        <f t="shared" si="31"/>
        <v>5.4</v>
      </c>
      <c r="V113" s="136">
        <f t="shared" si="31"/>
        <v>5.4</v>
      </c>
      <c r="W113" s="136">
        <f t="shared" si="31"/>
        <v>5.4</v>
      </c>
      <c r="X113" s="136">
        <f t="shared" si="31"/>
        <v>5.4</v>
      </c>
      <c r="Y113" s="136">
        <f t="shared" si="31"/>
        <v>5.4</v>
      </c>
      <c r="Z113" s="136">
        <f t="shared" si="31"/>
        <v>5.4</v>
      </c>
      <c r="AA113" s="136">
        <f t="shared" si="31"/>
        <v>5.4</v>
      </c>
      <c r="AB113" s="136">
        <f t="shared" si="31"/>
        <v>5.4</v>
      </c>
      <c r="AC113" s="136">
        <f t="shared" si="31"/>
        <v>5.4</v>
      </c>
      <c r="AD113" s="136">
        <f t="shared" si="31"/>
        <v>5.4</v>
      </c>
      <c r="AE113" s="136">
        <f t="shared" si="31"/>
        <v>5.4</v>
      </c>
      <c r="AF113" s="136">
        <f t="shared" si="31"/>
        <v>5.4</v>
      </c>
      <c r="AG113" s="139">
        <v>8</v>
      </c>
      <c r="AH113" s="54"/>
      <c r="AI113" s="55"/>
      <c r="AK113" s="56"/>
    </row>
    <row r="114" spans="1:37" x14ac:dyDescent="0.25">
      <c r="A114" s="124" t="s">
        <v>118</v>
      </c>
      <c r="B114" s="136">
        <f t="shared" si="29"/>
        <v>6.57</v>
      </c>
      <c r="C114" s="137">
        <v>6.57</v>
      </c>
      <c r="D114" s="136">
        <f t="shared" si="30"/>
        <v>6.57</v>
      </c>
      <c r="E114" s="136">
        <f t="shared" si="30"/>
        <v>6.57</v>
      </c>
      <c r="F114" s="136">
        <f t="shared" si="30"/>
        <v>6.57</v>
      </c>
      <c r="G114" s="136">
        <f t="shared" si="30"/>
        <v>6.57</v>
      </c>
      <c r="H114" s="136">
        <f t="shared" si="30"/>
        <v>6.57</v>
      </c>
      <c r="I114" s="136">
        <f t="shared" si="30"/>
        <v>6.57</v>
      </c>
      <c r="J114" s="136">
        <f t="shared" si="30"/>
        <v>6.57</v>
      </c>
      <c r="K114" s="136">
        <f t="shared" si="30"/>
        <v>6.57</v>
      </c>
      <c r="L114" s="136">
        <f t="shared" si="30"/>
        <v>6.57</v>
      </c>
      <c r="M114" s="136">
        <f t="shared" si="30"/>
        <v>6.57</v>
      </c>
      <c r="N114" s="136">
        <f t="shared" si="30"/>
        <v>6.57</v>
      </c>
      <c r="O114" s="136">
        <f t="shared" si="30"/>
        <v>6.57</v>
      </c>
      <c r="P114" s="136">
        <f t="shared" si="30"/>
        <v>6.57</v>
      </c>
      <c r="Q114" s="136">
        <f t="shared" si="30"/>
        <v>6.57</v>
      </c>
      <c r="R114" s="136">
        <f t="shared" si="30"/>
        <v>6.57</v>
      </c>
      <c r="S114" s="136">
        <f t="shared" si="30"/>
        <v>6.57</v>
      </c>
      <c r="T114" s="136">
        <f t="shared" si="31"/>
        <v>6.57</v>
      </c>
      <c r="U114" s="136">
        <f t="shared" si="31"/>
        <v>6.57</v>
      </c>
      <c r="V114" s="136">
        <f t="shared" si="31"/>
        <v>6.57</v>
      </c>
      <c r="W114" s="136">
        <f t="shared" si="31"/>
        <v>6.57</v>
      </c>
      <c r="X114" s="136">
        <f t="shared" si="31"/>
        <v>6.57</v>
      </c>
      <c r="Y114" s="136">
        <f t="shared" si="31"/>
        <v>6.57</v>
      </c>
      <c r="Z114" s="136">
        <f t="shared" si="31"/>
        <v>6.57</v>
      </c>
      <c r="AA114" s="136">
        <f t="shared" si="31"/>
        <v>6.57</v>
      </c>
      <c r="AB114" s="136">
        <f t="shared" si="31"/>
        <v>6.57</v>
      </c>
      <c r="AC114" s="136">
        <f t="shared" si="31"/>
        <v>6.57</v>
      </c>
      <c r="AD114" s="136">
        <f t="shared" si="31"/>
        <v>6.57</v>
      </c>
      <c r="AE114" s="136">
        <f t="shared" si="31"/>
        <v>6.57</v>
      </c>
      <c r="AF114" s="136">
        <f t="shared" si="31"/>
        <v>6.57</v>
      </c>
      <c r="AG114" s="139">
        <v>7.8</v>
      </c>
      <c r="AH114" s="54"/>
      <c r="AI114" s="55"/>
      <c r="AK114" s="56"/>
    </row>
    <row r="115" spans="1:37" x14ac:dyDescent="0.25">
      <c r="A115" s="124" t="s">
        <v>119</v>
      </c>
      <c r="B115" s="136">
        <f t="shared" si="29"/>
        <v>3.43</v>
      </c>
      <c r="C115" s="137">
        <v>3.43</v>
      </c>
      <c r="D115" s="136">
        <f t="shared" si="30"/>
        <v>3.43</v>
      </c>
      <c r="E115" s="136">
        <f t="shared" si="30"/>
        <v>3.43</v>
      </c>
      <c r="F115" s="136">
        <f t="shared" si="30"/>
        <v>3.43</v>
      </c>
      <c r="G115" s="136">
        <f t="shared" si="30"/>
        <v>3.43</v>
      </c>
      <c r="H115" s="136">
        <f t="shared" si="30"/>
        <v>3.43</v>
      </c>
      <c r="I115" s="136">
        <f t="shared" si="30"/>
        <v>3.43</v>
      </c>
      <c r="J115" s="136">
        <f t="shared" si="30"/>
        <v>3.43</v>
      </c>
      <c r="K115" s="136">
        <f t="shared" si="30"/>
        <v>3.43</v>
      </c>
      <c r="L115" s="136">
        <f t="shared" si="30"/>
        <v>3.43</v>
      </c>
      <c r="M115" s="136">
        <f t="shared" si="30"/>
        <v>3.43</v>
      </c>
      <c r="N115" s="136">
        <f t="shared" si="30"/>
        <v>3.43</v>
      </c>
      <c r="O115" s="136">
        <f t="shared" si="30"/>
        <v>3.43</v>
      </c>
      <c r="P115" s="136">
        <f t="shared" si="30"/>
        <v>3.43</v>
      </c>
      <c r="Q115" s="136">
        <f t="shared" si="30"/>
        <v>3.43</v>
      </c>
      <c r="R115" s="136">
        <f t="shared" si="30"/>
        <v>3.43</v>
      </c>
      <c r="S115" s="136">
        <f t="shared" si="30"/>
        <v>3.43</v>
      </c>
      <c r="T115" s="136">
        <f t="shared" si="31"/>
        <v>3.43</v>
      </c>
      <c r="U115" s="136">
        <f t="shared" si="31"/>
        <v>3.43</v>
      </c>
      <c r="V115" s="136">
        <f t="shared" si="31"/>
        <v>3.43</v>
      </c>
      <c r="W115" s="136">
        <f t="shared" si="31"/>
        <v>3.43</v>
      </c>
      <c r="X115" s="136">
        <f t="shared" si="31"/>
        <v>3.43</v>
      </c>
      <c r="Y115" s="136">
        <f t="shared" si="31"/>
        <v>3.43</v>
      </c>
      <c r="Z115" s="136">
        <f t="shared" si="31"/>
        <v>3.43</v>
      </c>
      <c r="AA115" s="136">
        <f t="shared" si="31"/>
        <v>3.43</v>
      </c>
      <c r="AB115" s="136">
        <f t="shared" si="31"/>
        <v>3.43</v>
      </c>
      <c r="AC115" s="136">
        <f t="shared" si="31"/>
        <v>3.43</v>
      </c>
      <c r="AD115" s="136">
        <f t="shared" si="31"/>
        <v>3.43</v>
      </c>
      <c r="AE115" s="136">
        <f t="shared" si="31"/>
        <v>3.43</v>
      </c>
      <c r="AF115" s="136">
        <f t="shared" si="31"/>
        <v>3.43</v>
      </c>
      <c r="AG115" s="139">
        <v>7.6</v>
      </c>
      <c r="AH115" s="54"/>
      <c r="AI115" s="55"/>
      <c r="AK115" s="56"/>
    </row>
    <row r="116" spans="1:37" x14ac:dyDescent="0.25">
      <c r="A116" s="124" t="s">
        <v>120</v>
      </c>
      <c r="B116" s="136">
        <f t="shared" si="29"/>
        <v>2.96</v>
      </c>
      <c r="C116" s="137">
        <v>2.96</v>
      </c>
      <c r="D116" s="136">
        <f t="shared" si="30"/>
        <v>2.96</v>
      </c>
      <c r="E116" s="136">
        <f t="shared" si="30"/>
        <v>2.96</v>
      </c>
      <c r="F116" s="136">
        <f t="shared" si="30"/>
        <v>2.96</v>
      </c>
      <c r="G116" s="136">
        <f t="shared" si="30"/>
        <v>2.96</v>
      </c>
      <c r="H116" s="136">
        <f t="shared" si="30"/>
        <v>2.96</v>
      </c>
      <c r="I116" s="136">
        <f t="shared" si="30"/>
        <v>2.96</v>
      </c>
      <c r="J116" s="136">
        <f t="shared" si="30"/>
        <v>2.96</v>
      </c>
      <c r="K116" s="136">
        <f t="shared" si="30"/>
        <v>2.96</v>
      </c>
      <c r="L116" s="136">
        <f t="shared" si="30"/>
        <v>2.96</v>
      </c>
      <c r="M116" s="136">
        <f t="shared" si="30"/>
        <v>2.96</v>
      </c>
      <c r="N116" s="136">
        <f t="shared" si="30"/>
        <v>2.96</v>
      </c>
      <c r="O116" s="136">
        <f t="shared" si="30"/>
        <v>2.96</v>
      </c>
      <c r="P116" s="136">
        <f t="shared" si="30"/>
        <v>2.96</v>
      </c>
      <c r="Q116" s="136">
        <f t="shared" si="30"/>
        <v>2.96</v>
      </c>
      <c r="R116" s="136">
        <f t="shared" si="30"/>
        <v>2.96</v>
      </c>
      <c r="S116" s="136">
        <f t="shared" si="30"/>
        <v>2.96</v>
      </c>
      <c r="T116" s="136">
        <f t="shared" si="31"/>
        <v>2.96</v>
      </c>
      <c r="U116" s="136">
        <f t="shared" si="31"/>
        <v>2.96</v>
      </c>
      <c r="V116" s="136">
        <f t="shared" si="31"/>
        <v>2.96</v>
      </c>
      <c r="W116" s="136">
        <f t="shared" si="31"/>
        <v>2.96</v>
      </c>
      <c r="X116" s="136">
        <f t="shared" si="31"/>
        <v>2.96</v>
      </c>
      <c r="Y116" s="136">
        <f t="shared" si="31"/>
        <v>2.96</v>
      </c>
      <c r="Z116" s="136">
        <f t="shared" si="31"/>
        <v>2.96</v>
      </c>
      <c r="AA116" s="136">
        <f t="shared" si="31"/>
        <v>2.96</v>
      </c>
      <c r="AB116" s="136">
        <f t="shared" si="31"/>
        <v>2.96</v>
      </c>
      <c r="AC116" s="136">
        <f t="shared" si="31"/>
        <v>2.96</v>
      </c>
      <c r="AD116" s="136">
        <f t="shared" si="31"/>
        <v>2.96</v>
      </c>
      <c r="AE116" s="136">
        <f t="shared" si="31"/>
        <v>2.96</v>
      </c>
      <c r="AF116" s="136">
        <f t="shared" si="31"/>
        <v>2.96</v>
      </c>
      <c r="AG116" s="139">
        <v>7.5</v>
      </c>
      <c r="AH116" s="54"/>
      <c r="AI116" s="55"/>
      <c r="AK116" s="56"/>
    </row>
    <row r="117" spans="1:37" x14ac:dyDescent="0.25">
      <c r="A117" s="124" t="s">
        <v>121</v>
      </c>
      <c r="B117" s="136">
        <f t="shared" si="29"/>
        <v>8</v>
      </c>
      <c r="C117" s="137">
        <v>8</v>
      </c>
      <c r="D117" s="136">
        <f t="shared" si="30"/>
        <v>8</v>
      </c>
      <c r="E117" s="136">
        <f t="shared" si="30"/>
        <v>8</v>
      </c>
      <c r="F117" s="136">
        <f t="shared" si="30"/>
        <v>8</v>
      </c>
      <c r="G117" s="136">
        <f t="shared" si="30"/>
        <v>8</v>
      </c>
      <c r="H117" s="136">
        <f t="shared" si="30"/>
        <v>8</v>
      </c>
      <c r="I117" s="136">
        <f t="shared" si="30"/>
        <v>8</v>
      </c>
      <c r="J117" s="136">
        <f t="shared" si="30"/>
        <v>8</v>
      </c>
      <c r="K117" s="136">
        <f t="shared" si="30"/>
        <v>8</v>
      </c>
      <c r="L117" s="136">
        <f t="shared" si="30"/>
        <v>8</v>
      </c>
      <c r="M117" s="136">
        <f t="shared" si="30"/>
        <v>8</v>
      </c>
      <c r="N117" s="136">
        <f t="shared" si="30"/>
        <v>8</v>
      </c>
      <c r="O117" s="136">
        <f t="shared" si="30"/>
        <v>8</v>
      </c>
      <c r="P117" s="136">
        <f t="shared" si="30"/>
        <v>8</v>
      </c>
      <c r="Q117" s="136">
        <f t="shared" si="30"/>
        <v>8</v>
      </c>
      <c r="R117" s="136">
        <f t="shared" si="30"/>
        <v>8</v>
      </c>
      <c r="S117" s="136">
        <f t="shared" si="30"/>
        <v>8</v>
      </c>
      <c r="T117" s="136">
        <f t="shared" si="31"/>
        <v>8</v>
      </c>
      <c r="U117" s="136">
        <f t="shared" si="31"/>
        <v>8</v>
      </c>
      <c r="V117" s="136">
        <f t="shared" si="31"/>
        <v>8</v>
      </c>
      <c r="W117" s="136">
        <f t="shared" si="31"/>
        <v>8</v>
      </c>
      <c r="X117" s="136">
        <f t="shared" si="31"/>
        <v>8</v>
      </c>
      <c r="Y117" s="136">
        <f t="shared" si="31"/>
        <v>8</v>
      </c>
      <c r="Z117" s="136">
        <f t="shared" si="31"/>
        <v>8</v>
      </c>
      <c r="AA117" s="136">
        <f t="shared" si="31"/>
        <v>8</v>
      </c>
      <c r="AB117" s="136">
        <f t="shared" si="31"/>
        <v>8</v>
      </c>
      <c r="AC117" s="136">
        <f t="shared" si="31"/>
        <v>8</v>
      </c>
      <c r="AD117" s="136">
        <f t="shared" si="31"/>
        <v>8</v>
      </c>
      <c r="AE117" s="136">
        <f t="shared" si="31"/>
        <v>8</v>
      </c>
      <c r="AF117" s="136">
        <f t="shared" si="31"/>
        <v>8</v>
      </c>
      <c r="AG117" s="139">
        <v>7.5</v>
      </c>
      <c r="AH117" s="54"/>
      <c r="AI117" s="55"/>
      <c r="AK117" s="56"/>
    </row>
    <row r="118" spans="1:37" x14ac:dyDescent="0.25">
      <c r="A118" s="124" t="s">
        <v>122</v>
      </c>
      <c r="B118" s="136">
        <f t="shared" si="29"/>
        <v>7</v>
      </c>
      <c r="C118" s="137">
        <v>7</v>
      </c>
      <c r="D118" s="136">
        <f>C118</f>
        <v>7</v>
      </c>
      <c r="E118" s="136">
        <f t="shared" si="30"/>
        <v>7</v>
      </c>
      <c r="F118" s="136">
        <f t="shared" si="30"/>
        <v>7</v>
      </c>
      <c r="G118" s="136">
        <f t="shared" si="30"/>
        <v>7</v>
      </c>
      <c r="H118" s="136">
        <f t="shared" si="30"/>
        <v>7</v>
      </c>
      <c r="I118" s="136">
        <f t="shared" si="30"/>
        <v>7</v>
      </c>
      <c r="J118" s="136">
        <f t="shared" si="30"/>
        <v>7</v>
      </c>
      <c r="K118" s="136">
        <f t="shared" si="30"/>
        <v>7</v>
      </c>
      <c r="L118" s="136">
        <f t="shared" si="30"/>
        <v>7</v>
      </c>
      <c r="M118" s="136">
        <f t="shared" si="30"/>
        <v>7</v>
      </c>
      <c r="N118" s="136">
        <f t="shared" si="30"/>
        <v>7</v>
      </c>
      <c r="O118" s="136">
        <f t="shared" si="30"/>
        <v>7</v>
      </c>
      <c r="P118" s="136">
        <f t="shared" si="30"/>
        <v>7</v>
      </c>
      <c r="Q118" s="136">
        <f t="shared" si="30"/>
        <v>7</v>
      </c>
      <c r="R118" s="136">
        <f t="shared" si="30"/>
        <v>7</v>
      </c>
      <c r="S118" s="136">
        <f t="shared" si="30"/>
        <v>7</v>
      </c>
      <c r="T118" s="136">
        <f t="shared" si="31"/>
        <v>7</v>
      </c>
      <c r="U118" s="136">
        <f t="shared" si="31"/>
        <v>7</v>
      </c>
      <c r="V118" s="136">
        <f t="shared" si="31"/>
        <v>7</v>
      </c>
      <c r="W118" s="136">
        <f t="shared" si="31"/>
        <v>7</v>
      </c>
      <c r="X118" s="136">
        <f t="shared" si="31"/>
        <v>7</v>
      </c>
      <c r="Y118" s="136">
        <f t="shared" si="31"/>
        <v>7</v>
      </c>
      <c r="Z118" s="136">
        <f t="shared" si="31"/>
        <v>7</v>
      </c>
      <c r="AA118" s="136">
        <f t="shared" si="31"/>
        <v>7</v>
      </c>
      <c r="AB118" s="136">
        <f t="shared" si="31"/>
        <v>7</v>
      </c>
      <c r="AC118" s="136">
        <f t="shared" si="31"/>
        <v>7</v>
      </c>
      <c r="AD118" s="136">
        <f t="shared" si="31"/>
        <v>7</v>
      </c>
      <c r="AE118" s="136">
        <f t="shared" si="31"/>
        <v>7</v>
      </c>
      <c r="AF118" s="136">
        <f t="shared" si="31"/>
        <v>7</v>
      </c>
      <c r="AG118" s="139">
        <v>7</v>
      </c>
      <c r="AH118" s="54"/>
      <c r="AI118" s="55"/>
      <c r="AK118" s="56"/>
    </row>
    <row r="119" spans="1:37" x14ac:dyDescent="0.25">
      <c r="A119" s="124" t="s">
        <v>123</v>
      </c>
      <c r="B119" s="136">
        <f t="shared" si="29"/>
        <v>3.47</v>
      </c>
      <c r="C119" s="137">
        <v>3.47</v>
      </c>
      <c r="D119" s="136">
        <f t="shared" ref="D119:S128" si="32">C119</f>
        <v>3.47</v>
      </c>
      <c r="E119" s="136">
        <f t="shared" si="32"/>
        <v>3.47</v>
      </c>
      <c r="F119" s="136">
        <f t="shared" si="32"/>
        <v>3.47</v>
      </c>
      <c r="G119" s="136">
        <f t="shared" si="32"/>
        <v>3.47</v>
      </c>
      <c r="H119" s="136">
        <f t="shared" si="32"/>
        <v>3.47</v>
      </c>
      <c r="I119" s="136">
        <f t="shared" si="32"/>
        <v>3.47</v>
      </c>
      <c r="J119" s="136">
        <f t="shared" si="32"/>
        <v>3.47</v>
      </c>
      <c r="K119" s="136">
        <f t="shared" si="32"/>
        <v>3.47</v>
      </c>
      <c r="L119" s="136">
        <f t="shared" si="32"/>
        <v>3.47</v>
      </c>
      <c r="M119" s="136">
        <f t="shared" si="32"/>
        <v>3.47</v>
      </c>
      <c r="N119" s="136">
        <f t="shared" si="32"/>
        <v>3.47</v>
      </c>
      <c r="O119" s="136">
        <f t="shared" si="32"/>
        <v>3.47</v>
      </c>
      <c r="P119" s="136">
        <f t="shared" si="32"/>
        <v>3.47</v>
      </c>
      <c r="Q119" s="136">
        <f t="shared" si="32"/>
        <v>3.47</v>
      </c>
      <c r="R119" s="136">
        <f t="shared" si="32"/>
        <v>3.47</v>
      </c>
      <c r="S119" s="136">
        <f t="shared" si="32"/>
        <v>3.47</v>
      </c>
      <c r="T119" s="136">
        <f t="shared" si="31"/>
        <v>3.47</v>
      </c>
      <c r="U119" s="136">
        <f t="shared" si="31"/>
        <v>3.47</v>
      </c>
      <c r="V119" s="136">
        <f t="shared" si="31"/>
        <v>3.47</v>
      </c>
      <c r="W119" s="136">
        <f t="shared" si="31"/>
        <v>3.47</v>
      </c>
      <c r="X119" s="136">
        <f t="shared" si="31"/>
        <v>3.47</v>
      </c>
      <c r="Y119" s="136">
        <f t="shared" si="31"/>
        <v>3.47</v>
      </c>
      <c r="Z119" s="136">
        <f t="shared" si="31"/>
        <v>3.47</v>
      </c>
      <c r="AA119" s="136">
        <f t="shared" si="31"/>
        <v>3.47</v>
      </c>
      <c r="AB119" s="136">
        <f t="shared" si="31"/>
        <v>3.47</v>
      </c>
      <c r="AC119" s="136">
        <f t="shared" si="31"/>
        <v>3.47</v>
      </c>
      <c r="AD119" s="136">
        <f t="shared" si="31"/>
        <v>3.47</v>
      </c>
      <c r="AE119" s="136">
        <f t="shared" si="31"/>
        <v>3.47</v>
      </c>
      <c r="AF119" s="136">
        <f t="shared" si="31"/>
        <v>3.47</v>
      </c>
      <c r="AG119" s="139">
        <v>7</v>
      </c>
      <c r="AH119" s="54"/>
      <c r="AI119" s="55"/>
      <c r="AK119" s="56"/>
    </row>
    <row r="120" spans="1:37" x14ac:dyDescent="0.25">
      <c r="A120" s="124" t="s">
        <v>124</v>
      </c>
      <c r="B120" s="136">
        <f t="shared" si="29"/>
        <v>2.1</v>
      </c>
      <c r="C120" s="137">
        <v>2.1</v>
      </c>
      <c r="D120" s="136">
        <f t="shared" si="32"/>
        <v>2.1</v>
      </c>
      <c r="E120" s="136">
        <f t="shared" si="32"/>
        <v>2.1</v>
      </c>
      <c r="F120" s="136">
        <f t="shared" si="32"/>
        <v>2.1</v>
      </c>
      <c r="G120" s="136">
        <f t="shared" si="32"/>
        <v>2.1</v>
      </c>
      <c r="H120" s="136">
        <f t="shared" si="32"/>
        <v>2.1</v>
      </c>
      <c r="I120" s="136">
        <f t="shared" si="32"/>
        <v>2.1</v>
      </c>
      <c r="J120" s="136">
        <f t="shared" si="32"/>
        <v>2.1</v>
      </c>
      <c r="K120" s="136">
        <f t="shared" si="32"/>
        <v>2.1</v>
      </c>
      <c r="L120" s="136">
        <f t="shared" si="32"/>
        <v>2.1</v>
      </c>
      <c r="M120" s="136">
        <f t="shared" si="32"/>
        <v>2.1</v>
      </c>
      <c r="N120" s="136">
        <f t="shared" si="32"/>
        <v>2.1</v>
      </c>
      <c r="O120" s="136">
        <f t="shared" si="32"/>
        <v>2.1</v>
      </c>
      <c r="P120" s="136">
        <f t="shared" si="32"/>
        <v>2.1</v>
      </c>
      <c r="Q120" s="136">
        <f t="shared" si="32"/>
        <v>2.1</v>
      </c>
      <c r="R120" s="136">
        <f t="shared" si="32"/>
        <v>2.1</v>
      </c>
      <c r="S120" s="136">
        <f t="shared" si="32"/>
        <v>2.1</v>
      </c>
      <c r="T120" s="136">
        <f t="shared" si="31"/>
        <v>2.1</v>
      </c>
      <c r="U120" s="136">
        <f t="shared" si="31"/>
        <v>2.1</v>
      </c>
      <c r="V120" s="136">
        <f t="shared" si="31"/>
        <v>2.1</v>
      </c>
      <c r="W120" s="136">
        <f t="shared" si="31"/>
        <v>2.1</v>
      </c>
      <c r="X120" s="136">
        <f t="shared" si="31"/>
        <v>2.1</v>
      </c>
      <c r="Y120" s="136">
        <f t="shared" si="31"/>
        <v>2.1</v>
      </c>
      <c r="Z120" s="136">
        <f t="shared" si="31"/>
        <v>2.1</v>
      </c>
      <c r="AA120" s="136">
        <f t="shared" si="31"/>
        <v>2.1</v>
      </c>
      <c r="AB120" s="136">
        <f t="shared" si="31"/>
        <v>2.1</v>
      </c>
      <c r="AC120" s="136">
        <f t="shared" si="31"/>
        <v>2.1</v>
      </c>
      <c r="AD120" s="136">
        <f t="shared" si="31"/>
        <v>2.1</v>
      </c>
      <c r="AE120" s="136">
        <f t="shared" si="31"/>
        <v>2.1</v>
      </c>
      <c r="AF120" s="136">
        <f t="shared" si="31"/>
        <v>2.1</v>
      </c>
      <c r="AG120" s="139">
        <v>7</v>
      </c>
      <c r="AH120" s="54"/>
      <c r="AI120" s="55"/>
      <c r="AK120" s="56"/>
    </row>
    <row r="121" spans="1:37" x14ac:dyDescent="0.25">
      <c r="A121" s="124" t="s">
        <v>125</v>
      </c>
      <c r="B121" s="136">
        <f t="shared" si="29"/>
        <v>9.3000000000000007</v>
      </c>
      <c r="C121" s="137">
        <v>9.3000000000000007</v>
      </c>
      <c r="D121" s="136">
        <f t="shared" si="32"/>
        <v>9.3000000000000007</v>
      </c>
      <c r="E121" s="136">
        <f t="shared" si="32"/>
        <v>9.3000000000000007</v>
      </c>
      <c r="F121" s="136">
        <f t="shared" si="32"/>
        <v>9.3000000000000007</v>
      </c>
      <c r="G121" s="136">
        <f t="shared" si="32"/>
        <v>9.3000000000000007</v>
      </c>
      <c r="H121" s="136">
        <f t="shared" si="32"/>
        <v>9.3000000000000007</v>
      </c>
      <c r="I121" s="136">
        <f t="shared" si="32"/>
        <v>9.3000000000000007</v>
      </c>
      <c r="J121" s="136">
        <f t="shared" si="32"/>
        <v>9.3000000000000007</v>
      </c>
      <c r="K121" s="136">
        <f t="shared" si="32"/>
        <v>9.3000000000000007</v>
      </c>
      <c r="L121" s="136">
        <f t="shared" si="32"/>
        <v>9.3000000000000007</v>
      </c>
      <c r="M121" s="136">
        <f t="shared" si="32"/>
        <v>9.3000000000000007</v>
      </c>
      <c r="N121" s="136">
        <f t="shared" si="32"/>
        <v>9.3000000000000007</v>
      </c>
      <c r="O121" s="136">
        <f t="shared" si="32"/>
        <v>9.3000000000000007</v>
      </c>
      <c r="P121" s="136">
        <f t="shared" si="32"/>
        <v>9.3000000000000007</v>
      </c>
      <c r="Q121" s="136">
        <f t="shared" si="32"/>
        <v>9.3000000000000007</v>
      </c>
      <c r="R121" s="136">
        <f t="shared" si="32"/>
        <v>9.3000000000000007</v>
      </c>
      <c r="S121" s="136">
        <f t="shared" si="32"/>
        <v>9.3000000000000007</v>
      </c>
      <c r="T121" s="136">
        <f t="shared" si="31"/>
        <v>9.3000000000000007</v>
      </c>
      <c r="U121" s="136">
        <f t="shared" si="31"/>
        <v>9.3000000000000007</v>
      </c>
      <c r="V121" s="136">
        <f t="shared" si="31"/>
        <v>9.3000000000000007</v>
      </c>
      <c r="W121" s="136">
        <f t="shared" si="31"/>
        <v>9.3000000000000007</v>
      </c>
      <c r="X121" s="136">
        <f t="shared" si="31"/>
        <v>9.3000000000000007</v>
      </c>
      <c r="Y121" s="136">
        <f t="shared" si="31"/>
        <v>9.3000000000000007</v>
      </c>
      <c r="Z121" s="136">
        <f t="shared" si="31"/>
        <v>9.3000000000000007</v>
      </c>
      <c r="AA121" s="136">
        <f t="shared" si="31"/>
        <v>9.3000000000000007</v>
      </c>
      <c r="AB121" s="136">
        <f t="shared" si="31"/>
        <v>9.3000000000000007</v>
      </c>
      <c r="AC121" s="136">
        <f t="shared" si="31"/>
        <v>9.3000000000000007</v>
      </c>
      <c r="AD121" s="136">
        <f t="shared" si="31"/>
        <v>9.3000000000000007</v>
      </c>
      <c r="AE121" s="136">
        <f t="shared" si="31"/>
        <v>9.3000000000000007</v>
      </c>
      <c r="AF121" s="136">
        <f t="shared" si="31"/>
        <v>9.3000000000000007</v>
      </c>
      <c r="AG121" s="139">
        <v>7</v>
      </c>
      <c r="AH121" s="54"/>
      <c r="AI121" s="55"/>
      <c r="AK121" s="56"/>
    </row>
    <row r="122" spans="1:37" x14ac:dyDescent="0.25">
      <c r="A122" s="124" t="s">
        <v>126</v>
      </c>
      <c r="B122" s="136">
        <f t="shared" si="29"/>
        <v>0</v>
      </c>
      <c r="C122" s="137">
        <v>0</v>
      </c>
      <c r="D122" s="136">
        <f t="shared" si="32"/>
        <v>0</v>
      </c>
      <c r="E122" s="136">
        <f t="shared" si="32"/>
        <v>0</v>
      </c>
      <c r="F122" s="136">
        <f t="shared" si="32"/>
        <v>0</v>
      </c>
      <c r="G122" s="136">
        <f t="shared" si="32"/>
        <v>0</v>
      </c>
      <c r="H122" s="136">
        <f t="shared" si="32"/>
        <v>0</v>
      </c>
      <c r="I122" s="136">
        <f t="shared" si="32"/>
        <v>0</v>
      </c>
      <c r="J122" s="136">
        <f t="shared" si="32"/>
        <v>0</v>
      </c>
      <c r="K122" s="136">
        <f t="shared" si="32"/>
        <v>0</v>
      </c>
      <c r="L122" s="136">
        <f t="shared" si="32"/>
        <v>0</v>
      </c>
      <c r="M122" s="136">
        <f t="shared" si="32"/>
        <v>0</v>
      </c>
      <c r="N122" s="136">
        <f t="shared" si="32"/>
        <v>0</v>
      </c>
      <c r="O122" s="136">
        <f t="shared" si="32"/>
        <v>0</v>
      </c>
      <c r="P122" s="136">
        <f t="shared" si="32"/>
        <v>0</v>
      </c>
      <c r="Q122" s="136">
        <f t="shared" si="32"/>
        <v>0</v>
      </c>
      <c r="R122" s="136">
        <f t="shared" si="32"/>
        <v>0</v>
      </c>
      <c r="S122" s="136">
        <f t="shared" si="32"/>
        <v>0</v>
      </c>
      <c r="T122" s="136">
        <f t="shared" si="31"/>
        <v>0</v>
      </c>
      <c r="U122" s="136">
        <f t="shared" si="31"/>
        <v>0</v>
      </c>
      <c r="V122" s="136">
        <f t="shared" si="31"/>
        <v>0</v>
      </c>
      <c r="W122" s="136">
        <f t="shared" si="31"/>
        <v>0</v>
      </c>
      <c r="X122" s="136">
        <f t="shared" si="31"/>
        <v>0</v>
      </c>
      <c r="Y122" s="136">
        <f t="shared" si="31"/>
        <v>0</v>
      </c>
      <c r="Z122" s="136">
        <f t="shared" si="31"/>
        <v>0</v>
      </c>
      <c r="AA122" s="136">
        <f t="shared" si="31"/>
        <v>0</v>
      </c>
      <c r="AB122" s="136">
        <f t="shared" si="31"/>
        <v>0</v>
      </c>
      <c r="AC122" s="136">
        <f t="shared" si="31"/>
        <v>0</v>
      </c>
      <c r="AD122" s="136">
        <f t="shared" si="31"/>
        <v>0</v>
      </c>
      <c r="AE122" s="136">
        <f t="shared" si="31"/>
        <v>0</v>
      </c>
      <c r="AF122" s="136">
        <f t="shared" si="31"/>
        <v>0</v>
      </c>
      <c r="AG122" s="139">
        <v>6.6</v>
      </c>
      <c r="AH122" s="54"/>
      <c r="AI122" s="55"/>
      <c r="AK122" s="56"/>
    </row>
    <row r="123" spans="1:37" x14ac:dyDescent="0.25">
      <c r="A123" s="124" t="s">
        <v>127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128</v>
      </c>
      <c r="B124" s="136">
        <f t="shared" si="29"/>
        <v>5</v>
      </c>
      <c r="C124" s="137">
        <v>5</v>
      </c>
      <c r="D124" s="136">
        <f t="shared" si="32"/>
        <v>5</v>
      </c>
      <c r="E124" s="136">
        <f t="shared" si="32"/>
        <v>5</v>
      </c>
      <c r="F124" s="136">
        <f t="shared" si="32"/>
        <v>5</v>
      </c>
      <c r="G124" s="136">
        <f t="shared" si="32"/>
        <v>5</v>
      </c>
      <c r="H124" s="136">
        <f t="shared" si="32"/>
        <v>5</v>
      </c>
      <c r="I124" s="136">
        <f t="shared" si="32"/>
        <v>5</v>
      </c>
      <c r="J124" s="136">
        <f t="shared" si="32"/>
        <v>5</v>
      </c>
      <c r="K124" s="136">
        <f t="shared" si="32"/>
        <v>5</v>
      </c>
      <c r="L124" s="136">
        <f t="shared" si="32"/>
        <v>5</v>
      </c>
      <c r="M124" s="136">
        <f t="shared" si="32"/>
        <v>5</v>
      </c>
      <c r="N124" s="136">
        <f t="shared" si="32"/>
        <v>5</v>
      </c>
      <c r="O124" s="136">
        <f t="shared" si="32"/>
        <v>5</v>
      </c>
      <c r="P124" s="136">
        <f t="shared" si="32"/>
        <v>5</v>
      </c>
      <c r="Q124" s="136">
        <f t="shared" si="32"/>
        <v>5</v>
      </c>
      <c r="R124" s="136">
        <f t="shared" si="32"/>
        <v>5</v>
      </c>
      <c r="S124" s="136">
        <f t="shared" si="32"/>
        <v>5</v>
      </c>
      <c r="T124" s="136">
        <f t="shared" si="31"/>
        <v>5</v>
      </c>
      <c r="U124" s="136">
        <f t="shared" si="31"/>
        <v>5</v>
      </c>
      <c r="V124" s="136">
        <f t="shared" si="31"/>
        <v>5</v>
      </c>
      <c r="W124" s="136">
        <f t="shared" si="31"/>
        <v>5</v>
      </c>
      <c r="X124" s="136">
        <f t="shared" si="31"/>
        <v>5</v>
      </c>
      <c r="Y124" s="136">
        <f t="shared" si="31"/>
        <v>5</v>
      </c>
      <c r="Z124" s="136">
        <f t="shared" si="31"/>
        <v>5</v>
      </c>
      <c r="AA124" s="136">
        <f t="shared" si="31"/>
        <v>5</v>
      </c>
      <c r="AB124" s="136">
        <f t="shared" si="31"/>
        <v>5</v>
      </c>
      <c r="AC124" s="136">
        <f t="shared" si="31"/>
        <v>5</v>
      </c>
      <c r="AD124" s="136">
        <f t="shared" si="31"/>
        <v>5</v>
      </c>
      <c r="AE124" s="136">
        <f t="shared" si="31"/>
        <v>5</v>
      </c>
      <c r="AF124" s="136">
        <f t="shared" si="31"/>
        <v>5</v>
      </c>
      <c r="AG124" s="139">
        <v>6.4</v>
      </c>
      <c r="AH124" s="54"/>
      <c r="AI124" s="55"/>
      <c r="AK124" s="56"/>
    </row>
    <row r="125" spans="1:37" x14ac:dyDescent="0.25">
      <c r="A125" s="124" t="s">
        <v>129</v>
      </c>
      <c r="B125" s="136">
        <f t="shared" si="29"/>
        <v>1</v>
      </c>
      <c r="C125" s="137">
        <v>1</v>
      </c>
      <c r="D125" s="136">
        <f t="shared" si="32"/>
        <v>1</v>
      </c>
      <c r="E125" s="136">
        <f t="shared" si="32"/>
        <v>1</v>
      </c>
      <c r="F125" s="136">
        <f t="shared" si="32"/>
        <v>1</v>
      </c>
      <c r="G125" s="136">
        <f t="shared" si="32"/>
        <v>1</v>
      </c>
      <c r="H125" s="136">
        <f t="shared" si="32"/>
        <v>1</v>
      </c>
      <c r="I125" s="136">
        <f t="shared" si="32"/>
        <v>1</v>
      </c>
      <c r="J125" s="136">
        <f t="shared" si="32"/>
        <v>1</v>
      </c>
      <c r="K125" s="136">
        <f t="shared" si="32"/>
        <v>1</v>
      </c>
      <c r="L125" s="136">
        <f t="shared" si="32"/>
        <v>1</v>
      </c>
      <c r="M125" s="136">
        <f t="shared" si="32"/>
        <v>1</v>
      </c>
      <c r="N125" s="136">
        <f t="shared" si="32"/>
        <v>1</v>
      </c>
      <c r="O125" s="136">
        <f t="shared" si="32"/>
        <v>1</v>
      </c>
      <c r="P125" s="136">
        <f t="shared" si="32"/>
        <v>1</v>
      </c>
      <c r="Q125" s="136">
        <f t="shared" si="32"/>
        <v>1</v>
      </c>
      <c r="R125" s="136">
        <f t="shared" si="32"/>
        <v>1</v>
      </c>
      <c r="S125" s="136">
        <f t="shared" si="32"/>
        <v>1</v>
      </c>
      <c r="T125" s="136">
        <f t="shared" si="31"/>
        <v>1</v>
      </c>
      <c r="U125" s="136">
        <f t="shared" si="31"/>
        <v>1</v>
      </c>
      <c r="V125" s="136">
        <f t="shared" si="31"/>
        <v>1</v>
      </c>
      <c r="W125" s="136">
        <f t="shared" si="31"/>
        <v>1</v>
      </c>
      <c r="X125" s="136">
        <f t="shared" si="31"/>
        <v>1</v>
      </c>
      <c r="Y125" s="136">
        <f t="shared" si="31"/>
        <v>1</v>
      </c>
      <c r="Z125" s="136">
        <f t="shared" si="31"/>
        <v>1</v>
      </c>
      <c r="AA125" s="136">
        <f t="shared" si="31"/>
        <v>1</v>
      </c>
      <c r="AB125" s="136">
        <f t="shared" si="31"/>
        <v>1</v>
      </c>
      <c r="AC125" s="136">
        <f t="shared" si="31"/>
        <v>1</v>
      </c>
      <c r="AD125" s="136">
        <f t="shared" si="31"/>
        <v>1</v>
      </c>
      <c r="AE125" s="136">
        <f t="shared" si="31"/>
        <v>1</v>
      </c>
      <c r="AF125" s="136">
        <f t="shared" si="31"/>
        <v>1</v>
      </c>
      <c r="AG125" s="139">
        <v>6</v>
      </c>
      <c r="AH125" s="54"/>
      <c r="AI125" s="55"/>
      <c r="AK125" s="56"/>
    </row>
    <row r="126" spans="1:37" x14ac:dyDescent="0.25">
      <c r="A126" s="124" t="s">
        <v>130</v>
      </c>
      <c r="B126" s="136">
        <f t="shared" si="29"/>
        <v>1.58</v>
      </c>
      <c r="C126" s="137">
        <v>1.58</v>
      </c>
      <c r="D126" s="136">
        <f t="shared" si="32"/>
        <v>1.58</v>
      </c>
      <c r="E126" s="136">
        <f t="shared" si="32"/>
        <v>1.58</v>
      </c>
      <c r="F126" s="136">
        <f t="shared" si="32"/>
        <v>1.58</v>
      </c>
      <c r="G126" s="136">
        <f t="shared" si="32"/>
        <v>1.58</v>
      </c>
      <c r="H126" s="136">
        <f t="shared" si="32"/>
        <v>1.58</v>
      </c>
      <c r="I126" s="136">
        <f t="shared" si="32"/>
        <v>1.58</v>
      </c>
      <c r="J126" s="136">
        <f t="shared" si="32"/>
        <v>1.58</v>
      </c>
      <c r="K126" s="136">
        <f t="shared" si="32"/>
        <v>1.58</v>
      </c>
      <c r="L126" s="136">
        <f t="shared" si="32"/>
        <v>1.58</v>
      </c>
      <c r="M126" s="136">
        <f t="shared" si="32"/>
        <v>1.58</v>
      </c>
      <c r="N126" s="136">
        <f t="shared" si="32"/>
        <v>1.58</v>
      </c>
      <c r="O126" s="136">
        <f t="shared" si="32"/>
        <v>1.58</v>
      </c>
      <c r="P126" s="136">
        <f t="shared" si="32"/>
        <v>1.58</v>
      </c>
      <c r="Q126" s="136">
        <f t="shared" si="32"/>
        <v>1.58</v>
      </c>
      <c r="R126" s="136">
        <f t="shared" si="32"/>
        <v>1.58</v>
      </c>
      <c r="S126" s="136">
        <f t="shared" si="32"/>
        <v>1.58</v>
      </c>
      <c r="T126" s="136">
        <f t="shared" si="31"/>
        <v>1.58</v>
      </c>
      <c r="U126" s="136">
        <f t="shared" si="31"/>
        <v>1.58</v>
      </c>
      <c r="V126" s="136">
        <f t="shared" si="31"/>
        <v>1.58</v>
      </c>
      <c r="W126" s="136">
        <f t="shared" si="31"/>
        <v>1.58</v>
      </c>
      <c r="X126" s="136">
        <f t="shared" si="31"/>
        <v>1.58</v>
      </c>
      <c r="Y126" s="136">
        <f t="shared" si="31"/>
        <v>1.58</v>
      </c>
      <c r="Z126" s="136">
        <f t="shared" si="31"/>
        <v>1.58</v>
      </c>
      <c r="AA126" s="136">
        <f t="shared" si="31"/>
        <v>1.58</v>
      </c>
      <c r="AB126" s="136">
        <f t="shared" si="31"/>
        <v>1.58</v>
      </c>
      <c r="AC126" s="136">
        <f t="shared" si="31"/>
        <v>1.58</v>
      </c>
      <c r="AD126" s="136">
        <f t="shared" si="31"/>
        <v>1.58</v>
      </c>
      <c r="AE126" s="136">
        <f t="shared" si="31"/>
        <v>1.58</v>
      </c>
      <c r="AF126" s="136">
        <f t="shared" si="31"/>
        <v>1.58</v>
      </c>
      <c r="AG126" s="139">
        <v>5.0999999999999996</v>
      </c>
      <c r="AH126" s="54"/>
      <c r="AI126" s="55"/>
      <c r="AK126" s="56"/>
    </row>
    <row r="127" spans="1:37" x14ac:dyDescent="0.25">
      <c r="A127" s="124" t="s">
        <v>131</v>
      </c>
      <c r="B127" s="136">
        <f t="shared" si="29"/>
        <v>1.46</v>
      </c>
      <c r="C127" s="137">
        <v>1.46</v>
      </c>
      <c r="D127" s="136">
        <f t="shared" si="32"/>
        <v>1.46</v>
      </c>
      <c r="E127" s="136">
        <f t="shared" si="32"/>
        <v>1.46</v>
      </c>
      <c r="F127" s="136">
        <f t="shared" si="32"/>
        <v>1.46</v>
      </c>
      <c r="G127" s="136">
        <f t="shared" si="32"/>
        <v>1.46</v>
      </c>
      <c r="H127" s="136">
        <f t="shared" si="32"/>
        <v>1.46</v>
      </c>
      <c r="I127" s="136">
        <f t="shared" si="32"/>
        <v>1.46</v>
      </c>
      <c r="J127" s="136">
        <f t="shared" si="32"/>
        <v>1.46</v>
      </c>
      <c r="K127" s="136">
        <f t="shared" si="32"/>
        <v>1.46</v>
      </c>
      <c r="L127" s="136">
        <f t="shared" si="32"/>
        <v>1.46</v>
      </c>
      <c r="M127" s="136">
        <f t="shared" si="32"/>
        <v>1.46</v>
      </c>
      <c r="N127" s="136">
        <f t="shared" si="32"/>
        <v>1.46</v>
      </c>
      <c r="O127" s="136">
        <f t="shared" si="32"/>
        <v>1.46</v>
      </c>
      <c r="P127" s="136">
        <f t="shared" si="32"/>
        <v>1.46</v>
      </c>
      <c r="Q127" s="136">
        <f t="shared" si="32"/>
        <v>1.46</v>
      </c>
      <c r="R127" s="136">
        <f t="shared" si="32"/>
        <v>1.46</v>
      </c>
      <c r="S127" s="136">
        <f t="shared" si="32"/>
        <v>1.46</v>
      </c>
      <c r="T127" s="136">
        <f t="shared" ref="T127:AF128" si="33">S127</f>
        <v>1.46</v>
      </c>
      <c r="U127" s="136">
        <f t="shared" si="33"/>
        <v>1.46</v>
      </c>
      <c r="V127" s="136">
        <f t="shared" si="33"/>
        <v>1.46</v>
      </c>
      <c r="W127" s="136">
        <f t="shared" si="33"/>
        <v>1.46</v>
      </c>
      <c r="X127" s="136">
        <f t="shared" si="33"/>
        <v>1.46</v>
      </c>
      <c r="Y127" s="136">
        <f t="shared" si="33"/>
        <v>1.46</v>
      </c>
      <c r="Z127" s="136">
        <f t="shared" si="33"/>
        <v>1.46</v>
      </c>
      <c r="AA127" s="136">
        <f t="shared" si="33"/>
        <v>1.46</v>
      </c>
      <c r="AB127" s="136">
        <f t="shared" si="33"/>
        <v>1.46</v>
      </c>
      <c r="AC127" s="136">
        <f t="shared" si="33"/>
        <v>1.46</v>
      </c>
      <c r="AD127" s="136">
        <f t="shared" si="33"/>
        <v>1.46</v>
      </c>
      <c r="AE127" s="136">
        <f t="shared" si="33"/>
        <v>1.46</v>
      </c>
      <c r="AF127" s="136">
        <f t="shared" si="33"/>
        <v>1.46</v>
      </c>
      <c r="AG127" s="139">
        <v>5</v>
      </c>
      <c r="AH127" s="54"/>
      <c r="AI127" s="55"/>
      <c r="AK127" s="56"/>
    </row>
    <row r="128" spans="1:37" x14ac:dyDescent="0.25">
      <c r="A128" s="122" t="s">
        <v>132</v>
      </c>
      <c r="B128" s="136">
        <f t="shared" si="29"/>
        <v>1.48</v>
      </c>
      <c r="C128" s="137">
        <v>1.48</v>
      </c>
      <c r="D128" s="136">
        <f t="shared" si="32"/>
        <v>1.48</v>
      </c>
      <c r="E128" s="136">
        <f t="shared" si="32"/>
        <v>1.48</v>
      </c>
      <c r="F128" s="136">
        <f t="shared" si="32"/>
        <v>1.48</v>
      </c>
      <c r="G128" s="136">
        <f t="shared" si="32"/>
        <v>1.48</v>
      </c>
      <c r="H128" s="136">
        <f t="shared" si="32"/>
        <v>1.48</v>
      </c>
      <c r="I128" s="136">
        <f t="shared" si="32"/>
        <v>1.48</v>
      </c>
      <c r="J128" s="136">
        <f t="shared" si="32"/>
        <v>1.48</v>
      </c>
      <c r="K128" s="136">
        <f t="shared" si="32"/>
        <v>1.48</v>
      </c>
      <c r="L128" s="136">
        <f t="shared" si="32"/>
        <v>1.48</v>
      </c>
      <c r="M128" s="136">
        <f t="shared" si="32"/>
        <v>1.48</v>
      </c>
      <c r="N128" s="136">
        <f t="shared" si="32"/>
        <v>1.48</v>
      </c>
      <c r="O128" s="136">
        <f t="shared" si="32"/>
        <v>1.48</v>
      </c>
      <c r="P128" s="136">
        <f t="shared" si="32"/>
        <v>1.48</v>
      </c>
      <c r="Q128" s="136">
        <f t="shared" si="32"/>
        <v>1.48</v>
      </c>
      <c r="R128" s="136">
        <f t="shared" si="32"/>
        <v>1.48</v>
      </c>
      <c r="S128" s="136">
        <f t="shared" si="32"/>
        <v>1.48</v>
      </c>
      <c r="T128" s="136">
        <f t="shared" si="33"/>
        <v>1.48</v>
      </c>
      <c r="U128" s="136">
        <f t="shared" si="33"/>
        <v>1.48</v>
      </c>
      <c r="V128" s="136">
        <f t="shared" si="33"/>
        <v>1.48</v>
      </c>
      <c r="W128" s="136">
        <f t="shared" si="33"/>
        <v>1.48</v>
      </c>
      <c r="X128" s="136">
        <f t="shared" si="33"/>
        <v>1.48</v>
      </c>
      <c r="Y128" s="136">
        <f t="shared" si="33"/>
        <v>1.48</v>
      </c>
      <c r="Z128" s="136">
        <f t="shared" si="33"/>
        <v>1.48</v>
      </c>
      <c r="AA128" s="136">
        <f t="shared" si="33"/>
        <v>1.48</v>
      </c>
      <c r="AB128" s="136">
        <f t="shared" si="33"/>
        <v>1.48</v>
      </c>
      <c r="AC128" s="136">
        <f t="shared" si="33"/>
        <v>1.48</v>
      </c>
      <c r="AD128" s="136">
        <f t="shared" si="33"/>
        <v>1.48</v>
      </c>
      <c r="AE128" s="136">
        <f t="shared" si="33"/>
        <v>1.48</v>
      </c>
      <c r="AF128" s="136">
        <f t="shared" si="33"/>
        <v>1.48</v>
      </c>
      <c r="AG128" s="138">
        <v>5</v>
      </c>
      <c r="AH128" s="54"/>
      <c r="AI128" s="55"/>
      <c r="AK128" s="56"/>
    </row>
    <row r="129" spans="1:37" x14ac:dyDescent="0.25">
      <c r="A129" s="124" t="s">
        <v>133</v>
      </c>
      <c r="B129" s="136"/>
      <c r="C129" s="137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9">
        <v>5</v>
      </c>
      <c r="AH129" s="54"/>
      <c r="AI129" s="55"/>
      <c r="AK129" s="56"/>
    </row>
    <row r="130" spans="1:37" x14ac:dyDescent="0.25">
      <c r="A130" s="124" t="s">
        <v>134</v>
      </c>
      <c r="B130" s="136">
        <f t="shared" ref="B130:B137" si="34">AF130</f>
        <v>2.2000000000000002</v>
      </c>
      <c r="C130" s="137">
        <v>2.2000000000000002</v>
      </c>
      <c r="D130" s="136">
        <f t="shared" ref="D130:S137" si="35">C130</f>
        <v>2.2000000000000002</v>
      </c>
      <c r="E130" s="136">
        <f t="shared" si="35"/>
        <v>2.2000000000000002</v>
      </c>
      <c r="F130" s="136">
        <f t="shared" si="35"/>
        <v>2.2000000000000002</v>
      </c>
      <c r="G130" s="136">
        <f t="shared" si="35"/>
        <v>2.2000000000000002</v>
      </c>
      <c r="H130" s="136">
        <f t="shared" si="35"/>
        <v>2.2000000000000002</v>
      </c>
      <c r="I130" s="136">
        <f t="shared" si="35"/>
        <v>2.2000000000000002</v>
      </c>
      <c r="J130" s="136">
        <f t="shared" si="35"/>
        <v>2.2000000000000002</v>
      </c>
      <c r="K130" s="136">
        <f t="shared" si="35"/>
        <v>2.2000000000000002</v>
      </c>
      <c r="L130" s="136">
        <f t="shared" si="35"/>
        <v>2.2000000000000002</v>
      </c>
      <c r="M130" s="136">
        <f t="shared" si="35"/>
        <v>2.2000000000000002</v>
      </c>
      <c r="N130" s="136">
        <f t="shared" si="35"/>
        <v>2.2000000000000002</v>
      </c>
      <c r="O130" s="136">
        <f t="shared" si="35"/>
        <v>2.2000000000000002</v>
      </c>
      <c r="P130" s="136">
        <f t="shared" si="35"/>
        <v>2.2000000000000002</v>
      </c>
      <c r="Q130" s="136">
        <f t="shared" si="35"/>
        <v>2.2000000000000002</v>
      </c>
      <c r="R130" s="136">
        <f t="shared" si="35"/>
        <v>2.2000000000000002</v>
      </c>
      <c r="S130" s="136">
        <f t="shared" si="35"/>
        <v>2.2000000000000002</v>
      </c>
      <c r="T130" s="136">
        <f t="shared" ref="T130:AF137" si="36">S130</f>
        <v>2.2000000000000002</v>
      </c>
      <c r="U130" s="136">
        <f t="shared" si="36"/>
        <v>2.2000000000000002</v>
      </c>
      <c r="V130" s="136">
        <f t="shared" si="36"/>
        <v>2.2000000000000002</v>
      </c>
      <c r="W130" s="136">
        <f t="shared" si="36"/>
        <v>2.2000000000000002</v>
      </c>
      <c r="X130" s="136">
        <f t="shared" si="36"/>
        <v>2.2000000000000002</v>
      </c>
      <c r="Y130" s="136">
        <f t="shared" si="36"/>
        <v>2.2000000000000002</v>
      </c>
      <c r="Z130" s="136">
        <f t="shared" si="36"/>
        <v>2.2000000000000002</v>
      </c>
      <c r="AA130" s="136">
        <f t="shared" si="36"/>
        <v>2.2000000000000002</v>
      </c>
      <c r="AB130" s="136">
        <f t="shared" si="36"/>
        <v>2.2000000000000002</v>
      </c>
      <c r="AC130" s="136">
        <f t="shared" si="36"/>
        <v>2.2000000000000002</v>
      </c>
      <c r="AD130" s="136">
        <f t="shared" si="36"/>
        <v>2.2000000000000002</v>
      </c>
      <c r="AE130" s="136">
        <f t="shared" si="36"/>
        <v>2.2000000000000002</v>
      </c>
      <c r="AF130" s="136">
        <f t="shared" si="36"/>
        <v>2.2000000000000002</v>
      </c>
      <c r="AG130" s="139">
        <v>5</v>
      </c>
      <c r="AH130" s="54"/>
      <c r="AI130" s="55"/>
      <c r="AK130" s="56"/>
    </row>
    <row r="131" spans="1:37" x14ac:dyDescent="0.25">
      <c r="A131" s="124" t="s">
        <v>135</v>
      </c>
      <c r="B131" s="136">
        <f t="shared" si="34"/>
        <v>2</v>
      </c>
      <c r="C131" s="137">
        <v>2</v>
      </c>
      <c r="D131" s="136">
        <f t="shared" si="35"/>
        <v>2</v>
      </c>
      <c r="E131" s="136">
        <f t="shared" si="35"/>
        <v>2</v>
      </c>
      <c r="F131" s="136">
        <f t="shared" si="35"/>
        <v>2</v>
      </c>
      <c r="G131" s="136">
        <f t="shared" si="35"/>
        <v>2</v>
      </c>
      <c r="H131" s="136">
        <f t="shared" si="35"/>
        <v>2</v>
      </c>
      <c r="I131" s="136">
        <f t="shared" si="35"/>
        <v>2</v>
      </c>
      <c r="J131" s="136">
        <f t="shared" si="35"/>
        <v>2</v>
      </c>
      <c r="K131" s="136">
        <f t="shared" si="35"/>
        <v>2</v>
      </c>
      <c r="L131" s="136">
        <f t="shared" si="35"/>
        <v>2</v>
      </c>
      <c r="M131" s="136">
        <f t="shared" si="35"/>
        <v>2</v>
      </c>
      <c r="N131" s="136">
        <f t="shared" si="35"/>
        <v>2</v>
      </c>
      <c r="O131" s="136">
        <f t="shared" si="35"/>
        <v>2</v>
      </c>
      <c r="P131" s="136">
        <f t="shared" si="35"/>
        <v>2</v>
      </c>
      <c r="Q131" s="136">
        <f t="shared" si="35"/>
        <v>2</v>
      </c>
      <c r="R131" s="136">
        <f t="shared" si="35"/>
        <v>2</v>
      </c>
      <c r="S131" s="136">
        <f t="shared" si="35"/>
        <v>2</v>
      </c>
      <c r="T131" s="136">
        <f t="shared" si="36"/>
        <v>2</v>
      </c>
      <c r="U131" s="136">
        <f t="shared" si="36"/>
        <v>2</v>
      </c>
      <c r="V131" s="136">
        <f t="shared" si="36"/>
        <v>2</v>
      </c>
      <c r="W131" s="136">
        <f t="shared" si="36"/>
        <v>2</v>
      </c>
      <c r="X131" s="136">
        <f t="shared" si="36"/>
        <v>2</v>
      </c>
      <c r="Y131" s="136">
        <f t="shared" si="36"/>
        <v>2</v>
      </c>
      <c r="Z131" s="136">
        <f t="shared" si="36"/>
        <v>2</v>
      </c>
      <c r="AA131" s="136">
        <f t="shared" si="36"/>
        <v>2</v>
      </c>
      <c r="AB131" s="136">
        <f t="shared" si="36"/>
        <v>2</v>
      </c>
      <c r="AC131" s="136">
        <f t="shared" si="36"/>
        <v>2</v>
      </c>
      <c r="AD131" s="136">
        <f t="shared" si="36"/>
        <v>2</v>
      </c>
      <c r="AE131" s="136">
        <f t="shared" si="36"/>
        <v>2</v>
      </c>
      <c r="AF131" s="136">
        <f t="shared" si="36"/>
        <v>2</v>
      </c>
      <c r="AG131" s="139">
        <v>5</v>
      </c>
      <c r="AH131" s="54"/>
      <c r="AI131" s="55"/>
      <c r="AK131" s="56"/>
    </row>
    <row r="132" spans="1:37" x14ac:dyDescent="0.25">
      <c r="A132" s="124" t="s">
        <v>136</v>
      </c>
      <c r="B132" s="136">
        <f t="shared" si="34"/>
        <v>1.25</v>
      </c>
      <c r="C132" s="137">
        <v>1.25</v>
      </c>
      <c r="D132" s="136">
        <f t="shared" si="35"/>
        <v>1.25</v>
      </c>
      <c r="E132" s="136">
        <f t="shared" si="35"/>
        <v>1.25</v>
      </c>
      <c r="F132" s="136">
        <f t="shared" si="35"/>
        <v>1.25</v>
      </c>
      <c r="G132" s="136">
        <f t="shared" si="35"/>
        <v>1.25</v>
      </c>
      <c r="H132" s="136">
        <f t="shared" si="35"/>
        <v>1.25</v>
      </c>
      <c r="I132" s="136">
        <f t="shared" si="35"/>
        <v>1.25</v>
      </c>
      <c r="J132" s="136">
        <f t="shared" si="35"/>
        <v>1.25</v>
      </c>
      <c r="K132" s="136">
        <f t="shared" si="35"/>
        <v>1.25</v>
      </c>
      <c r="L132" s="136">
        <f t="shared" si="35"/>
        <v>1.25</v>
      </c>
      <c r="M132" s="136">
        <f t="shared" si="35"/>
        <v>1.25</v>
      </c>
      <c r="N132" s="136">
        <f t="shared" si="35"/>
        <v>1.25</v>
      </c>
      <c r="O132" s="136">
        <f t="shared" si="35"/>
        <v>1.25</v>
      </c>
      <c r="P132" s="136">
        <f t="shared" si="35"/>
        <v>1.25</v>
      </c>
      <c r="Q132" s="136">
        <f t="shared" si="35"/>
        <v>1.25</v>
      </c>
      <c r="R132" s="136">
        <f t="shared" si="35"/>
        <v>1.25</v>
      </c>
      <c r="S132" s="136">
        <f t="shared" si="35"/>
        <v>1.25</v>
      </c>
      <c r="T132" s="136">
        <f t="shared" si="36"/>
        <v>1.25</v>
      </c>
      <c r="U132" s="136">
        <f t="shared" si="36"/>
        <v>1.25</v>
      </c>
      <c r="V132" s="136">
        <f t="shared" si="36"/>
        <v>1.25</v>
      </c>
      <c r="W132" s="136">
        <f t="shared" si="36"/>
        <v>1.25</v>
      </c>
      <c r="X132" s="136">
        <f t="shared" si="36"/>
        <v>1.25</v>
      </c>
      <c r="Y132" s="136">
        <f t="shared" si="36"/>
        <v>1.25</v>
      </c>
      <c r="Z132" s="136">
        <f t="shared" si="36"/>
        <v>1.25</v>
      </c>
      <c r="AA132" s="136">
        <f t="shared" si="36"/>
        <v>1.25</v>
      </c>
      <c r="AB132" s="136">
        <f t="shared" si="36"/>
        <v>1.25</v>
      </c>
      <c r="AC132" s="136">
        <f t="shared" si="36"/>
        <v>1.25</v>
      </c>
      <c r="AD132" s="136">
        <f t="shared" si="36"/>
        <v>1.25</v>
      </c>
      <c r="AE132" s="136">
        <f t="shared" si="36"/>
        <v>1.25</v>
      </c>
      <c r="AF132" s="136">
        <f t="shared" si="36"/>
        <v>1.25</v>
      </c>
      <c r="AG132" s="139">
        <v>5</v>
      </c>
      <c r="AH132" s="54"/>
      <c r="AI132" s="55"/>
      <c r="AK132" s="56"/>
    </row>
    <row r="133" spans="1:37" x14ac:dyDescent="0.25">
      <c r="A133" s="124" t="s">
        <v>137</v>
      </c>
      <c r="B133" s="136">
        <f t="shared" si="34"/>
        <v>1.1499999999999999</v>
      </c>
      <c r="C133" s="137">
        <v>1.1499999999999999</v>
      </c>
      <c r="D133" s="136">
        <f t="shared" si="35"/>
        <v>1.1499999999999999</v>
      </c>
      <c r="E133" s="136">
        <f t="shared" si="35"/>
        <v>1.1499999999999999</v>
      </c>
      <c r="F133" s="136">
        <f t="shared" si="35"/>
        <v>1.1499999999999999</v>
      </c>
      <c r="G133" s="136">
        <f t="shared" si="35"/>
        <v>1.1499999999999999</v>
      </c>
      <c r="H133" s="136">
        <f t="shared" si="35"/>
        <v>1.1499999999999999</v>
      </c>
      <c r="I133" s="136">
        <f t="shared" si="35"/>
        <v>1.1499999999999999</v>
      </c>
      <c r="J133" s="136">
        <f t="shared" si="35"/>
        <v>1.1499999999999999</v>
      </c>
      <c r="K133" s="136">
        <f t="shared" si="35"/>
        <v>1.1499999999999999</v>
      </c>
      <c r="L133" s="136">
        <f t="shared" si="35"/>
        <v>1.1499999999999999</v>
      </c>
      <c r="M133" s="136">
        <f t="shared" si="35"/>
        <v>1.1499999999999999</v>
      </c>
      <c r="N133" s="136">
        <f t="shared" si="35"/>
        <v>1.1499999999999999</v>
      </c>
      <c r="O133" s="136">
        <f t="shared" si="35"/>
        <v>1.1499999999999999</v>
      </c>
      <c r="P133" s="136">
        <f t="shared" si="35"/>
        <v>1.1499999999999999</v>
      </c>
      <c r="Q133" s="136">
        <f t="shared" si="35"/>
        <v>1.1499999999999999</v>
      </c>
      <c r="R133" s="136">
        <f t="shared" si="35"/>
        <v>1.1499999999999999</v>
      </c>
      <c r="S133" s="136">
        <f t="shared" si="35"/>
        <v>1.1499999999999999</v>
      </c>
      <c r="T133" s="136">
        <f t="shared" si="36"/>
        <v>1.1499999999999999</v>
      </c>
      <c r="U133" s="136">
        <f t="shared" si="36"/>
        <v>1.1499999999999999</v>
      </c>
      <c r="V133" s="136">
        <f t="shared" si="36"/>
        <v>1.1499999999999999</v>
      </c>
      <c r="W133" s="136">
        <f t="shared" si="36"/>
        <v>1.1499999999999999</v>
      </c>
      <c r="X133" s="136">
        <f t="shared" si="36"/>
        <v>1.1499999999999999</v>
      </c>
      <c r="Y133" s="136">
        <f t="shared" si="36"/>
        <v>1.1499999999999999</v>
      </c>
      <c r="Z133" s="136">
        <f t="shared" si="36"/>
        <v>1.1499999999999999</v>
      </c>
      <c r="AA133" s="136">
        <f t="shared" si="36"/>
        <v>1.1499999999999999</v>
      </c>
      <c r="AB133" s="136">
        <f t="shared" si="36"/>
        <v>1.1499999999999999</v>
      </c>
      <c r="AC133" s="136">
        <f t="shared" si="36"/>
        <v>1.1499999999999999</v>
      </c>
      <c r="AD133" s="136">
        <f t="shared" si="36"/>
        <v>1.1499999999999999</v>
      </c>
      <c r="AE133" s="136">
        <f t="shared" si="36"/>
        <v>1.1499999999999999</v>
      </c>
      <c r="AF133" s="136">
        <f t="shared" si="36"/>
        <v>1.1499999999999999</v>
      </c>
      <c r="AG133" s="139">
        <v>5</v>
      </c>
      <c r="AH133" s="54"/>
      <c r="AI133" s="55"/>
      <c r="AK133" s="56"/>
    </row>
    <row r="134" spans="1:37" x14ac:dyDescent="0.25">
      <c r="A134" s="124" t="s">
        <v>138</v>
      </c>
      <c r="B134" s="136">
        <f t="shared" si="34"/>
        <v>2.133</v>
      </c>
      <c r="C134" s="137">
        <v>2.133</v>
      </c>
      <c r="D134" s="136">
        <f t="shared" si="35"/>
        <v>2.133</v>
      </c>
      <c r="E134" s="136">
        <f t="shared" si="35"/>
        <v>2.133</v>
      </c>
      <c r="F134" s="136">
        <f t="shared" si="35"/>
        <v>2.133</v>
      </c>
      <c r="G134" s="136">
        <f t="shared" si="35"/>
        <v>2.133</v>
      </c>
      <c r="H134" s="136">
        <f t="shared" si="35"/>
        <v>2.133</v>
      </c>
      <c r="I134" s="136">
        <f t="shared" si="35"/>
        <v>2.133</v>
      </c>
      <c r="J134" s="136">
        <f t="shared" si="35"/>
        <v>2.133</v>
      </c>
      <c r="K134" s="136">
        <f t="shared" si="35"/>
        <v>2.133</v>
      </c>
      <c r="L134" s="136">
        <f t="shared" si="35"/>
        <v>2.133</v>
      </c>
      <c r="M134" s="136">
        <f t="shared" si="35"/>
        <v>2.133</v>
      </c>
      <c r="N134" s="136">
        <f t="shared" si="35"/>
        <v>2.133</v>
      </c>
      <c r="O134" s="136">
        <f t="shared" si="35"/>
        <v>2.133</v>
      </c>
      <c r="P134" s="136">
        <f t="shared" si="35"/>
        <v>2.133</v>
      </c>
      <c r="Q134" s="136">
        <f t="shared" si="35"/>
        <v>2.133</v>
      </c>
      <c r="R134" s="136">
        <f t="shared" si="35"/>
        <v>2.133</v>
      </c>
      <c r="S134" s="136">
        <f t="shared" si="35"/>
        <v>2.133</v>
      </c>
      <c r="T134" s="136">
        <f t="shared" si="36"/>
        <v>2.133</v>
      </c>
      <c r="U134" s="136">
        <f t="shared" si="36"/>
        <v>2.133</v>
      </c>
      <c r="V134" s="136">
        <f t="shared" si="36"/>
        <v>2.133</v>
      </c>
      <c r="W134" s="136">
        <f t="shared" si="36"/>
        <v>2.133</v>
      </c>
      <c r="X134" s="136">
        <f t="shared" si="36"/>
        <v>2.133</v>
      </c>
      <c r="Y134" s="136">
        <f t="shared" si="36"/>
        <v>2.133</v>
      </c>
      <c r="Z134" s="136">
        <f t="shared" si="36"/>
        <v>2.133</v>
      </c>
      <c r="AA134" s="136">
        <f t="shared" si="36"/>
        <v>2.133</v>
      </c>
      <c r="AB134" s="136">
        <f t="shared" si="36"/>
        <v>2.133</v>
      </c>
      <c r="AC134" s="136">
        <f t="shared" si="36"/>
        <v>2.133</v>
      </c>
      <c r="AD134" s="136">
        <f t="shared" si="36"/>
        <v>2.133</v>
      </c>
      <c r="AE134" s="136">
        <f t="shared" si="36"/>
        <v>2.133</v>
      </c>
      <c r="AF134" s="136">
        <f t="shared" si="36"/>
        <v>2.133</v>
      </c>
      <c r="AG134" s="139">
        <v>4.9930000000000003</v>
      </c>
      <c r="AH134" s="54"/>
      <c r="AI134" s="55"/>
      <c r="AK134" s="56"/>
    </row>
    <row r="135" spans="1:37" x14ac:dyDescent="0.25">
      <c r="A135" s="124" t="s">
        <v>139</v>
      </c>
      <c r="B135" s="136">
        <f t="shared" si="34"/>
        <v>2.09</v>
      </c>
      <c r="C135" s="137">
        <v>2.09</v>
      </c>
      <c r="D135" s="136">
        <f t="shared" si="35"/>
        <v>2.09</v>
      </c>
      <c r="E135" s="136">
        <f t="shared" si="35"/>
        <v>2.09</v>
      </c>
      <c r="F135" s="136">
        <f t="shared" si="35"/>
        <v>2.09</v>
      </c>
      <c r="G135" s="136">
        <f t="shared" si="35"/>
        <v>2.09</v>
      </c>
      <c r="H135" s="136">
        <f t="shared" si="35"/>
        <v>2.09</v>
      </c>
      <c r="I135" s="136">
        <f t="shared" si="35"/>
        <v>2.09</v>
      </c>
      <c r="J135" s="136">
        <f t="shared" si="35"/>
        <v>2.09</v>
      </c>
      <c r="K135" s="136">
        <f t="shared" si="35"/>
        <v>2.09</v>
      </c>
      <c r="L135" s="136">
        <f t="shared" si="35"/>
        <v>2.09</v>
      </c>
      <c r="M135" s="136">
        <f t="shared" si="35"/>
        <v>2.09</v>
      </c>
      <c r="N135" s="136">
        <f t="shared" si="35"/>
        <v>2.09</v>
      </c>
      <c r="O135" s="136">
        <f t="shared" si="35"/>
        <v>2.09</v>
      </c>
      <c r="P135" s="136">
        <f t="shared" si="35"/>
        <v>2.09</v>
      </c>
      <c r="Q135" s="136">
        <f t="shared" si="35"/>
        <v>2.09</v>
      </c>
      <c r="R135" s="136">
        <f t="shared" si="35"/>
        <v>2.09</v>
      </c>
      <c r="S135" s="136">
        <f t="shared" si="35"/>
        <v>2.09</v>
      </c>
      <c r="T135" s="136">
        <f t="shared" si="36"/>
        <v>2.09</v>
      </c>
      <c r="U135" s="136">
        <f t="shared" si="36"/>
        <v>2.09</v>
      </c>
      <c r="V135" s="136">
        <f t="shared" si="36"/>
        <v>2.09</v>
      </c>
      <c r="W135" s="136">
        <f t="shared" si="36"/>
        <v>2.09</v>
      </c>
      <c r="X135" s="136">
        <f t="shared" si="36"/>
        <v>2.09</v>
      </c>
      <c r="Y135" s="136">
        <f t="shared" si="36"/>
        <v>2.09</v>
      </c>
      <c r="Z135" s="136">
        <f t="shared" si="36"/>
        <v>2.09</v>
      </c>
      <c r="AA135" s="136">
        <f t="shared" si="36"/>
        <v>2.09</v>
      </c>
      <c r="AB135" s="136">
        <f t="shared" si="36"/>
        <v>2.09</v>
      </c>
      <c r="AC135" s="136">
        <f t="shared" si="36"/>
        <v>2.09</v>
      </c>
      <c r="AD135" s="136">
        <f t="shared" si="36"/>
        <v>2.09</v>
      </c>
      <c r="AE135" s="136">
        <f t="shared" si="36"/>
        <v>2.09</v>
      </c>
      <c r="AF135" s="136">
        <f t="shared" si="36"/>
        <v>2.09</v>
      </c>
      <c r="AG135" s="139">
        <v>4.9800000000000004</v>
      </c>
      <c r="AH135" s="54"/>
      <c r="AI135" s="55"/>
      <c r="AK135" s="56"/>
    </row>
    <row r="136" spans="1:37" x14ac:dyDescent="0.25">
      <c r="A136" s="124" t="s">
        <v>140</v>
      </c>
      <c r="B136" s="136">
        <f t="shared" si="34"/>
        <v>1.1399999999999999</v>
      </c>
      <c r="C136" s="137">
        <v>1.1399999999999999</v>
      </c>
      <c r="D136" s="136">
        <f t="shared" si="35"/>
        <v>1.1399999999999999</v>
      </c>
      <c r="E136" s="136">
        <f t="shared" si="35"/>
        <v>1.1399999999999999</v>
      </c>
      <c r="F136" s="136">
        <f t="shared" si="35"/>
        <v>1.1399999999999999</v>
      </c>
      <c r="G136" s="136">
        <f t="shared" si="35"/>
        <v>1.1399999999999999</v>
      </c>
      <c r="H136" s="136">
        <f t="shared" si="35"/>
        <v>1.1399999999999999</v>
      </c>
      <c r="I136" s="136">
        <f t="shared" si="35"/>
        <v>1.1399999999999999</v>
      </c>
      <c r="J136" s="136">
        <f t="shared" si="35"/>
        <v>1.1399999999999999</v>
      </c>
      <c r="K136" s="136">
        <f t="shared" si="35"/>
        <v>1.1399999999999999</v>
      </c>
      <c r="L136" s="136">
        <f t="shared" si="35"/>
        <v>1.1399999999999999</v>
      </c>
      <c r="M136" s="136">
        <f t="shared" si="35"/>
        <v>1.1399999999999999</v>
      </c>
      <c r="N136" s="136">
        <f t="shared" si="35"/>
        <v>1.1399999999999999</v>
      </c>
      <c r="O136" s="136">
        <f t="shared" si="35"/>
        <v>1.1399999999999999</v>
      </c>
      <c r="P136" s="136">
        <f t="shared" si="35"/>
        <v>1.1399999999999999</v>
      </c>
      <c r="Q136" s="136">
        <f t="shared" si="35"/>
        <v>1.1399999999999999</v>
      </c>
      <c r="R136" s="136">
        <f t="shared" si="35"/>
        <v>1.1399999999999999</v>
      </c>
      <c r="S136" s="136">
        <f t="shared" si="35"/>
        <v>1.1399999999999999</v>
      </c>
      <c r="T136" s="136">
        <f t="shared" si="36"/>
        <v>1.1399999999999999</v>
      </c>
      <c r="U136" s="136">
        <f t="shared" si="36"/>
        <v>1.1399999999999999</v>
      </c>
      <c r="V136" s="136">
        <f t="shared" si="36"/>
        <v>1.1399999999999999</v>
      </c>
      <c r="W136" s="136">
        <f t="shared" si="36"/>
        <v>1.1399999999999999</v>
      </c>
      <c r="X136" s="136">
        <f t="shared" si="36"/>
        <v>1.1399999999999999</v>
      </c>
      <c r="Y136" s="136">
        <f t="shared" si="36"/>
        <v>1.1399999999999999</v>
      </c>
      <c r="Z136" s="136">
        <f t="shared" si="36"/>
        <v>1.1399999999999999</v>
      </c>
      <c r="AA136" s="136">
        <f t="shared" si="36"/>
        <v>1.1399999999999999</v>
      </c>
      <c r="AB136" s="136">
        <f t="shared" si="36"/>
        <v>1.1399999999999999</v>
      </c>
      <c r="AC136" s="136">
        <f t="shared" si="36"/>
        <v>1.1399999999999999</v>
      </c>
      <c r="AD136" s="136">
        <f t="shared" si="36"/>
        <v>1.1399999999999999</v>
      </c>
      <c r="AE136" s="136">
        <f t="shared" si="36"/>
        <v>1.1399999999999999</v>
      </c>
      <c r="AF136" s="136">
        <f t="shared" si="36"/>
        <v>1.1399999999999999</v>
      </c>
      <c r="AG136" s="139">
        <v>4.95</v>
      </c>
      <c r="AH136" s="54"/>
      <c r="AI136" s="55"/>
      <c r="AK136" s="56"/>
    </row>
    <row r="137" spans="1:37" x14ac:dyDescent="0.25">
      <c r="A137" s="124" t="s">
        <v>141</v>
      </c>
      <c r="B137" s="136">
        <f t="shared" si="34"/>
        <v>0.82</v>
      </c>
      <c r="C137" s="137">
        <v>0.82</v>
      </c>
      <c r="D137" s="136">
        <f t="shared" si="35"/>
        <v>0.82</v>
      </c>
      <c r="E137" s="136">
        <f t="shared" si="35"/>
        <v>0.82</v>
      </c>
      <c r="F137" s="136">
        <f t="shared" si="35"/>
        <v>0.82</v>
      </c>
      <c r="G137" s="136">
        <f t="shared" si="35"/>
        <v>0.82</v>
      </c>
      <c r="H137" s="136">
        <f t="shared" si="35"/>
        <v>0.82</v>
      </c>
      <c r="I137" s="136">
        <f t="shared" si="35"/>
        <v>0.82</v>
      </c>
      <c r="J137" s="136">
        <f t="shared" si="35"/>
        <v>0.82</v>
      </c>
      <c r="K137" s="136">
        <f t="shared" si="35"/>
        <v>0.82</v>
      </c>
      <c r="L137" s="136">
        <f t="shared" si="35"/>
        <v>0.82</v>
      </c>
      <c r="M137" s="136">
        <f t="shared" si="35"/>
        <v>0.82</v>
      </c>
      <c r="N137" s="136">
        <f t="shared" si="35"/>
        <v>0.82</v>
      </c>
      <c r="O137" s="136">
        <f t="shared" si="35"/>
        <v>0.82</v>
      </c>
      <c r="P137" s="136">
        <f t="shared" si="35"/>
        <v>0.82</v>
      </c>
      <c r="Q137" s="136">
        <f t="shared" si="35"/>
        <v>0.82</v>
      </c>
      <c r="R137" s="136">
        <f t="shared" si="35"/>
        <v>0.82</v>
      </c>
      <c r="S137" s="136">
        <f t="shared" si="35"/>
        <v>0.82</v>
      </c>
      <c r="T137" s="136">
        <f t="shared" si="36"/>
        <v>0.82</v>
      </c>
      <c r="U137" s="136">
        <f t="shared" si="36"/>
        <v>0.82</v>
      </c>
      <c r="V137" s="136">
        <f t="shared" si="36"/>
        <v>0.82</v>
      </c>
      <c r="W137" s="136">
        <f t="shared" si="36"/>
        <v>0.82</v>
      </c>
      <c r="X137" s="136">
        <f t="shared" si="36"/>
        <v>0.82</v>
      </c>
      <c r="Y137" s="136">
        <f t="shared" si="36"/>
        <v>0.82</v>
      </c>
      <c r="Z137" s="136">
        <f t="shared" si="36"/>
        <v>0.82</v>
      </c>
      <c r="AA137" s="136">
        <f t="shared" si="36"/>
        <v>0.82</v>
      </c>
      <c r="AB137" s="136">
        <f t="shared" si="36"/>
        <v>0.82</v>
      </c>
      <c r="AC137" s="136">
        <f t="shared" si="36"/>
        <v>0.82</v>
      </c>
      <c r="AD137" s="136">
        <f t="shared" si="36"/>
        <v>0.82</v>
      </c>
      <c r="AE137" s="136">
        <f t="shared" si="36"/>
        <v>0.82</v>
      </c>
      <c r="AF137" s="136">
        <f t="shared" si="36"/>
        <v>0.82</v>
      </c>
      <c r="AG137" s="139">
        <v>4.95</v>
      </c>
      <c r="AH137" s="54"/>
      <c r="AI137" s="55"/>
      <c r="AK137" s="56"/>
    </row>
    <row r="138" spans="1:37" x14ac:dyDescent="0.25">
      <c r="A138" s="124" t="s">
        <v>142</v>
      </c>
      <c r="B138" s="136"/>
      <c r="C138" s="137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9">
        <v>4.8</v>
      </c>
      <c r="AH138" s="54"/>
      <c r="AI138" s="55"/>
      <c r="AK138" s="56"/>
    </row>
    <row r="139" spans="1:37" x14ac:dyDescent="0.25">
      <c r="A139" s="124" t="s">
        <v>143</v>
      </c>
      <c r="B139" s="136">
        <f t="shared" ref="B139:B145" si="37">AF139</f>
        <v>2</v>
      </c>
      <c r="C139" s="137">
        <v>2</v>
      </c>
      <c r="D139" s="136">
        <f t="shared" ref="D139:S145" si="38">C139</f>
        <v>2</v>
      </c>
      <c r="E139" s="136">
        <f t="shared" si="38"/>
        <v>2</v>
      </c>
      <c r="F139" s="136">
        <f t="shared" si="38"/>
        <v>2</v>
      </c>
      <c r="G139" s="136">
        <f t="shared" si="38"/>
        <v>2</v>
      </c>
      <c r="H139" s="136">
        <f t="shared" si="38"/>
        <v>2</v>
      </c>
      <c r="I139" s="136">
        <f t="shared" si="38"/>
        <v>2</v>
      </c>
      <c r="J139" s="136">
        <f t="shared" si="38"/>
        <v>2</v>
      </c>
      <c r="K139" s="136">
        <f t="shared" si="38"/>
        <v>2</v>
      </c>
      <c r="L139" s="136">
        <f t="shared" si="38"/>
        <v>2</v>
      </c>
      <c r="M139" s="136">
        <f t="shared" si="38"/>
        <v>2</v>
      </c>
      <c r="N139" s="136">
        <f t="shared" si="38"/>
        <v>2</v>
      </c>
      <c r="O139" s="136">
        <f t="shared" si="38"/>
        <v>2</v>
      </c>
      <c r="P139" s="136">
        <f t="shared" si="38"/>
        <v>2</v>
      </c>
      <c r="Q139" s="136">
        <f t="shared" si="38"/>
        <v>2</v>
      </c>
      <c r="R139" s="136">
        <f t="shared" si="38"/>
        <v>2</v>
      </c>
      <c r="S139" s="136">
        <f t="shared" si="38"/>
        <v>2</v>
      </c>
      <c r="T139" s="136">
        <f t="shared" ref="T139:AF145" si="39">S139</f>
        <v>2</v>
      </c>
      <c r="U139" s="136">
        <f t="shared" si="39"/>
        <v>2</v>
      </c>
      <c r="V139" s="136">
        <f t="shared" si="39"/>
        <v>2</v>
      </c>
      <c r="W139" s="136">
        <f t="shared" si="39"/>
        <v>2</v>
      </c>
      <c r="X139" s="136">
        <f t="shared" si="39"/>
        <v>2</v>
      </c>
      <c r="Y139" s="136">
        <f t="shared" si="39"/>
        <v>2</v>
      </c>
      <c r="Z139" s="136">
        <f t="shared" si="39"/>
        <v>2</v>
      </c>
      <c r="AA139" s="136">
        <f t="shared" si="39"/>
        <v>2</v>
      </c>
      <c r="AB139" s="136">
        <f t="shared" si="39"/>
        <v>2</v>
      </c>
      <c r="AC139" s="136">
        <f t="shared" si="39"/>
        <v>2</v>
      </c>
      <c r="AD139" s="136">
        <f t="shared" si="39"/>
        <v>2</v>
      </c>
      <c r="AE139" s="136">
        <f t="shared" si="39"/>
        <v>2</v>
      </c>
      <c r="AF139" s="136">
        <f t="shared" si="39"/>
        <v>2</v>
      </c>
      <c r="AG139" s="139">
        <v>4.8</v>
      </c>
      <c r="AH139" s="54"/>
      <c r="AI139" s="55"/>
      <c r="AK139" s="56"/>
    </row>
    <row r="140" spans="1:37" x14ac:dyDescent="0.25">
      <c r="A140" s="124" t="s">
        <v>144</v>
      </c>
      <c r="B140" s="136">
        <f t="shared" si="37"/>
        <v>5.61</v>
      </c>
      <c r="C140" s="137">
        <v>5.61</v>
      </c>
      <c r="D140" s="136">
        <f t="shared" si="38"/>
        <v>5.61</v>
      </c>
      <c r="E140" s="136">
        <f t="shared" si="38"/>
        <v>5.61</v>
      </c>
      <c r="F140" s="136">
        <f t="shared" si="38"/>
        <v>5.61</v>
      </c>
      <c r="G140" s="136">
        <f t="shared" si="38"/>
        <v>5.61</v>
      </c>
      <c r="H140" s="136">
        <f t="shared" si="38"/>
        <v>5.61</v>
      </c>
      <c r="I140" s="136">
        <f t="shared" si="38"/>
        <v>5.61</v>
      </c>
      <c r="J140" s="136">
        <f t="shared" si="38"/>
        <v>5.61</v>
      </c>
      <c r="K140" s="136">
        <f t="shared" si="38"/>
        <v>5.61</v>
      </c>
      <c r="L140" s="136">
        <f t="shared" si="38"/>
        <v>5.61</v>
      </c>
      <c r="M140" s="136">
        <f t="shared" si="38"/>
        <v>5.61</v>
      </c>
      <c r="N140" s="136">
        <f t="shared" si="38"/>
        <v>5.61</v>
      </c>
      <c r="O140" s="136">
        <f t="shared" si="38"/>
        <v>5.61</v>
      </c>
      <c r="P140" s="136">
        <f t="shared" si="38"/>
        <v>5.61</v>
      </c>
      <c r="Q140" s="136">
        <f t="shared" si="38"/>
        <v>5.61</v>
      </c>
      <c r="R140" s="136">
        <f t="shared" si="38"/>
        <v>5.61</v>
      </c>
      <c r="S140" s="136">
        <f t="shared" si="38"/>
        <v>5.61</v>
      </c>
      <c r="T140" s="136">
        <f t="shared" si="39"/>
        <v>5.61</v>
      </c>
      <c r="U140" s="136">
        <f t="shared" si="39"/>
        <v>5.61</v>
      </c>
      <c r="V140" s="136">
        <f t="shared" si="39"/>
        <v>5.61</v>
      </c>
      <c r="W140" s="136">
        <f t="shared" si="39"/>
        <v>5.61</v>
      </c>
      <c r="X140" s="136">
        <f t="shared" si="39"/>
        <v>5.61</v>
      </c>
      <c r="Y140" s="136">
        <f t="shared" si="39"/>
        <v>5.61</v>
      </c>
      <c r="Z140" s="136">
        <f t="shared" si="39"/>
        <v>5.61</v>
      </c>
      <c r="AA140" s="136">
        <f t="shared" si="39"/>
        <v>5.61</v>
      </c>
      <c r="AB140" s="136">
        <f t="shared" si="39"/>
        <v>5.61</v>
      </c>
      <c r="AC140" s="136">
        <f t="shared" si="39"/>
        <v>5.61</v>
      </c>
      <c r="AD140" s="136">
        <f t="shared" si="39"/>
        <v>5.61</v>
      </c>
      <c r="AE140" s="136">
        <f t="shared" si="39"/>
        <v>5.61</v>
      </c>
      <c r="AF140" s="136">
        <f t="shared" si="39"/>
        <v>5.61</v>
      </c>
      <c r="AG140" s="139">
        <v>4.8</v>
      </c>
      <c r="AH140" s="54"/>
      <c r="AI140" s="55"/>
      <c r="AK140" s="56"/>
    </row>
    <row r="141" spans="1:37" x14ac:dyDescent="0.25">
      <c r="A141" s="124" t="s">
        <v>145</v>
      </c>
      <c r="B141" s="136">
        <f t="shared" si="37"/>
        <v>1.25</v>
      </c>
      <c r="C141" s="137">
        <v>1.25</v>
      </c>
      <c r="D141" s="136">
        <f t="shared" si="38"/>
        <v>1.25</v>
      </c>
      <c r="E141" s="136">
        <f t="shared" si="38"/>
        <v>1.25</v>
      </c>
      <c r="F141" s="136">
        <f t="shared" si="38"/>
        <v>1.25</v>
      </c>
      <c r="G141" s="136">
        <f t="shared" si="38"/>
        <v>1.25</v>
      </c>
      <c r="H141" s="136">
        <f t="shared" si="38"/>
        <v>1.25</v>
      </c>
      <c r="I141" s="136">
        <f t="shared" si="38"/>
        <v>1.25</v>
      </c>
      <c r="J141" s="136">
        <f t="shared" si="38"/>
        <v>1.25</v>
      </c>
      <c r="K141" s="136">
        <f t="shared" si="38"/>
        <v>1.25</v>
      </c>
      <c r="L141" s="136">
        <f t="shared" si="38"/>
        <v>1.25</v>
      </c>
      <c r="M141" s="136">
        <f t="shared" si="38"/>
        <v>1.25</v>
      </c>
      <c r="N141" s="136">
        <f t="shared" si="38"/>
        <v>1.25</v>
      </c>
      <c r="O141" s="136">
        <f t="shared" si="38"/>
        <v>1.25</v>
      </c>
      <c r="P141" s="136">
        <f t="shared" si="38"/>
        <v>1.25</v>
      </c>
      <c r="Q141" s="136">
        <f t="shared" si="38"/>
        <v>1.25</v>
      </c>
      <c r="R141" s="136">
        <f t="shared" si="38"/>
        <v>1.25</v>
      </c>
      <c r="S141" s="136">
        <f t="shared" si="38"/>
        <v>1.25</v>
      </c>
      <c r="T141" s="136">
        <f t="shared" si="39"/>
        <v>1.25</v>
      </c>
      <c r="U141" s="136">
        <f t="shared" si="39"/>
        <v>1.25</v>
      </c>
      <c r="V141" s="136">
        <f t="shared" si="39"/>
        <v>1.25</v>
      </c>
      <c r="W141" s="136">
        <f t="shared" si="39"/>
        <v>1.25</v>
      </c>
      <c r="X141" s="136">
        <f t="shared" si="39"/>
        <v>1.25</v>
      </c>
      <c r="Y141" s="136">
        <f t="shared" si="39"/>
        <v>1.25</v>
      </c>
      <c r="Z141" s="136">
        <f t="shared" si="39"/>
        <v>1.25</v>
      </c>
      <c r="AA141" s="136">
        <f t="shared" si="39"/>
        <v>1.25</v>
      </c>
      <c r="AB141" s="136">
        <f t="shared" si="39"/>
        <v>1.25</v>
      </c>
      <c r="AC141" s="136">
        <f t="shared" si="39"/>
        <v>1.25</v>
      </c>
      <c r="AD141" s="136">
        <f t="shared" si="39"/>
        <v>1.25</v>
      </c>
      <c r="AE141" s="136">
        <f t="shared" si="39"/>
        <v>1.25</v>
      </c>
      <c r="AF141" s="136">
        <f t="shared" si="39"/>
        <v>1.25</v>
      </c>
      <c r="AG141" s="139">
        <v>4.5</v>
      </c>
      <c r="AH141" s="54"/>
      <c r="AI141" s="55"/>
      <c r="AK141" s="56"/>
    </row>
    <row r="142" spans="1:37" x14ac:dyDescent="0.25">
      <c r="A142" s="124" t="s">
        <v>146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147</v>
      </c>
      <c r="B143" s="136">
        <f t="shared" si="37"/>
        <v>1.46</v>
      </c>
      <c r="C143" s="137">
        <v>1.46</v>
      </c>
      <c r="D143" s="136">
        <f t="shared" si="38"/>
        <v>1.46</v>
      </c>
      <c r="E143" s="136">
        <f t="shared" si="38"/>
        <v>1.46</v>
      </c>
      <c r="F143" s="136">
        <f t="shared" si="38"/>
        <v>1.46</v>
      </c>
      <c r="G143" s="136">
        <f t="shared" si="38"/>
        <v>1.46</v>
      </c>
      <c r="H143" s="136">
        <f t="shared" si="38"/>
        <v>1.46</v>
      </c>
      <c r="I143" s="136">
        <f t="shared" si="38"/>
        <v>1.46</v>
      </c>
      <c r="J143" s="136">
        <f t="shared" si="38"/>
        <v>1.46</v>
      </c>
      <c r="K143" s="136">
        <f t="shared" si="38"/>
        <v>1.46</v>
      </c>
      <c r="L143" s="136">
        <f t="shared" si="38"/>
        <v>1.46</v>
      </c>
      <c r="M143" s="136">
        <f t="shared" si="38"/>
        <v>1.46</v>
      </c>
      <c r="N143" s="136">
        <f t="shared" si="38"/>
        <v>1.46</v>
      </c>
      <c r="O143" s="136">
        <f t="shared" si="38"/>
        <v>1.46</v>
      </c>
      <c r="P143" s="136">
        <f t="shared" si="38"/>
        <v>1.46</v>
      </c>
      <c r="Q143" s="136">
        <f t="shared" si="38"/>
        <v>1.46</v>
      </c>
      <c r="R143" s="136">
        <f t="shared" si="38"/>
        <v>1.46</v>
      </c>
      <c r="S143" s="136">
        <f t="shared" si="38"/>
        <v>1.46</v>
      </c>
      <c r="T143" s="136">
        <f t="shared" si="39"/>
        <v>1.46</v>
      </c>
      <c r="U143" s="136">
        <f t="shared" si="39"/>
        <v>1.46</v>
      </c>
      <c r="V143" s="136">
        <f t="shared" si="39"/>
        <v>1.46</v>
      </c>
      <c r="W143" s="136">
        <f t="shared" si="39"/>
        <v>1.46</v>
      </c>
      <c r="X143" s="136">
        <f t="shared" si="39"/>
        <v>1.46</v>
      </c>
      <c r="Y143" s="136">
        <f t="shared" si="39"/>
        <v>1.46</v>
      </c>
      <c r="Z143" s="136">
        <f t="shared" si="39"/>
        <v>1.46</v>
      </c>
      <c r="AA143" s="136">
        <f t="shared" si="39"/>
        <v>1.46</v>
      </c>
      <c r="AB143" s="136">
        <f t="shared" si="39"/>
        <v>1.46</v>
      </c>
      <c r="AC143" s="136">
        <f t="shared" si="39"/>
        <v>1.46</v>
      </c>
      <c r="AD143" s="136">
        <f t="shared" si="39"/>
        <v>1.46</v>
      </c>
      <c r="AE143" s="136">
        <f t="shared" si="39"/>
        <v>1.46</v>
      </c>
      <c r="AF143" s="136">
        <f t="shared" si="39"/>
        <v>1.46</v>
      </c>
      <c r="AG143" s="139">
        <v>4.4550000000000001</v>
      </c>
      <c r="AH143" s="54"/>
      <c r="AI143" s="55"/>
      <c r="AK143" s="56"/>
    </row>
    <row r="144" spans="1:37" x14ac:dyDescent="0.25">
      <c r="A144" s="124" t="s">
        <v>148</v>
      </c>
      <c r="B144" s="136">
        <f t="shared" si="37"/>
        <v>3</v>
      </c>
      <c r="C144" s="137">
        <v>3</v>
      </c>
      <c r="D144" s="136">
        <f t="shared" si="38"/>
        <v>3</v>
      </c>
      <c r="E144" s="136">
        <f t="shared" si="38"/>
        <v>3</v>
      </c>
      <c r="F144" s="136">
        <f t="shared" si="38"/>
        <v>3</v>
      </c>
      <c r="G144" s="136">
        <f t="shared" si="38"/>
        <v>3</v>
      </c>
      <c r="H144" s="136">
        <f t="shared" si="38"/>
        <v>3</v>
      </c>
      <c r="I144" s="136">
        <f t="shared" si="38"/>
        <v>3</v>
      </c>
      <c r="J144" s="136">
        <f t="shared" si="38"/>
        <v>3</v>
      </c>
      <c r="K144" s="136">
        <f t="shared" si="38"/>
        <v>3</v>
      </c>
      <c r="L144" s="136">
        <f t="shared" si="38"/>
        <v>3</v>
      </c>
      <c r="M144" s="136">
        <f t="shared" si="38"/>
        <v>3</v>
      </c>
      <c r="N144" s="136">
        <f t="shared" si="38"/>
        <v>3</v>
      </c>
      <c r="O144" s="136">
        <f t="shared" si="38"/>
        <v>3</v>
      </c>
      <c r="P144" s="136">
        <f t="shared" si="38"/>
        <v>3</v>
      </c>
      <c r="Q144" s="136">
        <f t="shared" si="38"/>
        <v>3</v>
      </c>
      <c r="R144" s="136">
        <f t="shared" si="38"/>
        <v>3</v>
      </c>
      <c r="S144" s="136">
        <f t="shared" si="38"/>
        <v>3</v>
      </c>
      <c r="T144" s="136">
        <f t="shared" si="39"/>
        <v>3</v>
      </c>
      <c r="U144" s="136">
        <f t="shared" si="39"/>
        <v>3</v>
      </c>
      <c r="V144" s="136">
        <f t="shared" si="39"/>
        <v>3</v>
      </c>
      <c r="W144" s="136">
        <f t="shared" si="39"/>
        <v>3</v>
      </c>
      <c r="X144" s="136">
        <f t="shared" si="39"/>
        <v>3</v>
      </c>
      <c r="Y144" s="136">
        <f t="shared" si="39"/>
        <v>3</v>
      </c>
      <c r="Z144" s="136">
        <f t="shared" si="39"/>
        <v>3</v>
      </c>
      <c r="AA144" s="136">
        <f t="shared" si="39"/>
        <v>3</v>
      </c>
      <c r="AB144" s="136">
        <f t="shared" si="39"/>
        <v>3</v>
      </c>
      <c r="AC144" s="136">
        <f t="shared" si="39"/>
        <v>3</v>
      </c>
      <c r="AD144" s="136">
        <f t="shared" si="39"/>
        <v>3</v>
      </c>
      <c r="AE144" s="136">
        <f t="shared" si="39"/>
        <v>3</v>
      </c>
      <c r="AF144" s="136">
        <f t="shared" si="39"/>
        <v>3</v>
      </c>
      <c r="AG144" s="139">
        <v>4.41</v>
      </c>
      <c r="AH144" s="54"/>
      <c r="AI144" s="55"/>
      <c r="AK144" s="56"/>
    </row>
    <row r="145" spans="1:37" x14ac:dyDescent="0.25">
      <c r="A145" s="124" t="s">
        <v>149</v>
      </c>
      <c r="B145" s="136">
        <f t="shared" si="37"/>
        <v>3.3</v>
      </c>
      <c r="C145" s="137">
        <v>3.3</v>
      </c>
      <c r="D145" s="136">
        <f t="shared" si="38"/>
        <v>3.3</v>
      </c>
      <c r="E145" s="136">
        <f t="shared" si="38"/>
        <v>3.3</v>
      </c>
      <c r="F145" s="136">
        <f t="shared" si="38"/>
        <v>3.3</v>
      </c>
      <c r="G145" s="136">
        <f t="shared" si="38"/>
        <v>3.3</v>
      </c>
      <c r="H145" s="136">
        <f t="shared" si="38"/>
        <v>3.3</v>
      </c>
      <c r="I145" s="136">
        <f t="shared" si="38"/>
        <v>3.3</v>
      </c>
      <c r="J145" s="136">
        <f t="shared" si="38"/>
        <v>3.3</v>
      </c>
      <c r="K145" s="136">
        <f t="shared" si="38"/>
        <v>3.3</v>
      </c>
      <c r="L145" s="136">
        <f t="shared" si="38"/>
        <v>3.3</v>
      </c>
      <c r="M145" s="136">
        <f t="shared" si="38"/>
        <v>3.3</v>
      </c>
      <c r="N145" s="136">
        <f t="shared" si="38"/>
        <v>3.3</v>
      </c>
      <c r="O145" s="136">
        <f t="shared" si="38"/>
        <v>3.3</v>
      </c>
      <c r="P145" s="136">
        <f t="shared" si="38"/>
        <v>3.3</v>
      </c>
      <c r="Q145" s="136">
        <f t="shared" si="38"/>
        <v>3.3</v>
      </c>
      <c r="R145" s="136">
        <f t="shared" si="38"/>
        <v>3.3</v>
      </c>
      <c r="S145" s="136">
        <f t="shared" si="38"/>
        <v>3.3</v>
      </c>
      <c r="T145" s="136">
        <f t="shared" si="39"/>
        <v>3.3</v>
      </c>
      <c r="U145" s="136">
        <f t="shared" si="39"/>
        <v>3.3</v>
      </c>
      <c r="V145" s="136">
        <f t="shared" si="39"/>
        <v>3.3</v>
      </c>
      <c r="W145" s="136">
        <f t="shared" si="39"/>
        <v>3.3</v>
      </c>
      <c r="X145" s="136">
        <f t="shared" si="39"/>
        <v>3.3</v>
      </c>
      <c r="Y145" s="136">
        <f t="shared" si="39"/>
        <v>3.3</v>
      </c>
      <c r="Z145" s="136">
        <f t="shared" si="39"/>
        <v>3.3</v>
      </c>
      <c r="AA145" s="136">
        <f t="shared" si="39"/>
        <v>3.3</v>
      </c>
      <c r="AB145" s="136">
        <f t="shared" si="39"/>
        <v>3.3</v>
      </c>
      <c r="AC145" s="136">
        <f t="shared" si="39"/>
        <v>3.3</v>
      </c>
      <c r="AD145" s="136">
        <f t="shared" si="39"/>
        <v>3.3</v>
      </c>
      <c r="AE145" s="136">
        <f t="shared" si="39"/>
        <v>3.3</v>
      </c>
      <c r="AF145" s="136">
        <f t="shared" si="39"/>
        <v>3.3</v>
      </c>
      <c r="AG145" s="139">
        <v>4.4000000000000004</v>
      </c>
      <c r="AH145" s="54"/>
      <c r="AI145" s="55"/>
      <c r="AK145" s="56"/>
    </row>
    <row r="146" spans="1:37" x14ac:dyDescent="0.25">
      <c r="A146" s="124" t="s">
        <v>150</v>
      </c>
      <c r="B146" s="136"/>
      <c r="C146" s="137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9">
        <v>4.3600000000000003</v>
      </c>
      <c r="AH146" s="54"/>
      <c r="AI146" s="55"/>
      <c r="AK146" s="56"/>
    </row>
    <row r="147" spans="1:37" x14ac:dyDescent="0.25">
      <c r="A147" s="124" t="s">
        <v>151</v>
      </c>
      <c r="B147" s="136">
        <f>AF147</f>
        <v>1.76</v>
      </c>
      <c r="C147" s="137">
        <v>1.76</v>
      </c>
      <c r="D147" s="136">
        <f t="shared" ref="D147:S148" si="40">C147</f>
        <v>1.76</v>
      </c>
      <c r="E147" s="136">
        <f t="shared" si="40"/>
        <v>1.76</v>
      </c>
      <c r="F147" s="136">
        <f t="shared" si="40"/>
        <v>1.76</v>
      </c>
      <c r="G147" s="136">
        <f t="shared" si="40"/>
        <v>1.76</v>
      </c>
      <c r="H147" s="136">
        <f t="shared" si="40"/>
        <v>1.76</v>
      </c>
      <c r="I147" s="136">
        <f t="shared" si="40"/>
        <v>1.76</v>
      </c>
      <c r="J147" s="136">
        <f t="shared" si="40"/>
        <v>1.76</v>
      </c>
      <c r="K147" s="136">
        <f t="shared" si="40"/>
        <v>1.76</v>
      </c>
      <c r="L147" s="136">
        <f t="shared" si="40"/>
        <v>1.76</v>
      </c>
      <c r="M147" s="136">
        <f t="shared" si="40"/>
        <v>1.76</v>
      </c>
      <c r="N147" s="136">
        <f t="shared" si="40"/>
        <v>1.76</v>
      </c>
      <c r="O147" s="136">
        <f t="shared" si="40"/>
        <v>1.76</v>
      </c>
      <c r="P147" s="136">
        <f t="shared" si="40"/>
        <v>1.76</v>
      </c>
      <c r="Q147" s="136">
        <f t="shared" si="40"/>
        <v>1.76</v>
      </c>
      <c r="R147" s="136">
        <f t="shared" si="40"/>
        <v>1.76</v>
      </c>
      <c r="S147" s="136">
        <f t="shared" si="40"/>
        <v>1.76</v>
      </c>
      <c r="T147" s="136">
        <f t="shared" ref="T147:AF148" si="41">S147</f>
        <v>1.76</v>
      </c>
      <c r="U147" s="136">
        <f t="shared" si="41"/>
        <v>1.76</v>
      </c>
      <c r="V147" s="136">
        <f t="shared" si="41"/>
        <v>1.76</v>
      </c>
      <c r="W147" s="136">
        <f t="shared" si="41"/>
        <v>1.76</v>
      </c>
      <c r="X147" s="136">
        <f t="shared" si="41"/>
        <v>1.76</v>
      </c>
      <c r="Y147" s="136">
        <f t="shared" si="41"/>
        <v>1.76</v>
      </c>
      <c r="Z147" s="136">
        <f t="shared" si="41"/>
        <v>1.76</v>
      </c>
      <c r="AA147" s="136">
        <f t="shared" si="41"/>
        <v>1.76</v>
      </c>
      <c r="AB147" s="136">
        <f t="shared" si="41"/>
        <v>1.76</v>
      </c>
      <c r="AC147" s="136">
        <f t="shared" si="41"/>
        <v>1.76</v>
      </c>
      <c r="AD147" s="136">
        <f t="shared" si="41"/>
        <v>1.76</v>
      </c>
      <c r="AE147" s="136">
        <f t="shared" si="41"/>
        <v>1.76</v>
      </c>
      <c r="AF147" s="136">
        <f t="shared" si="41"/>
        <v>1.76</v>
      </c>
      <c r="AG147" s="139">
        <v>4.2</v>
      </c>
      <c r="AH147" s="54"/>
      <c r="AI147" s="55"/>
      <c r="AK147" s="56"/>
    </row>
    <row r="148" spans="1:37" x14ac:dyDescent="0.25">
      <c r="A148" s="124" t="s">
        <v>152</v>
      </c>
      <c r="B148" s="136">
        <f>AF148</f>
        <v>0</v>
      </c>
      <c r="C148" s="137">
        <v>0</v>
      </c>
      <c r="D148" s="136">
        <f t="shared" si="40"/>
        <v>0</v>
      </c>
      <c r="E148" s="136">
        <f t="shared" si="40"/>
        <v>0</v>
      </c>
      <c r="F148" s="136">
        <f t="shared" si="40"/>
        <v>0</v>
      </c>
      <c r="G148" s="136">
        <f t="shared" si="40"/>
        <v>0</v>
      </c>
      <c r="H148" s="136">
        <f t="shared" si="40"/>
        <v>0</v>
      </c>
      <c r="I148" s="136">
        <f t="shared" si="40"/>
        <v>0</v>
      </c>
      <c r="J148" s="136">
        <f t="shared" si="40"/>
        <v>0</v>
      </c>
      <c r="K148" s="136">
        <f t="shared" si="40"/>
        <v>0</v>
      </c>
      <c r="L148" s="136">
        <f t="shared" si="40"/>
        <v>0</v>
      </c>
      <c r="M148" s="136">
        <f t="shared" si="40"/>
        <v>0</v>
      </c>
      <c r="N148" s="136">
        <f t="shared" si="40"/>
        <v>0</v>
      </c>
      <c r="O148" s="136">
        <f t="shared" si="40"/>
        <v>0</v>
      </c>
      <c r="P148" s="136">
        <f t="shared" si="40"/>
        <v>0</v>
      </c>
      <c r="Q148" s="136">
        <f t="shared" si="40"/>
        <v>0</v>
      </c>
      <c r="R148" s="136">
        <f t="shared" si="40"/>
        <v>0</v>
      </c>
      <c r="S148" s="136">
        <f t="shared" si="40"/>
        <v>0</v>
      </c>
      <c r="T148" s="136">
        <f t="shared" si="41"/>
        <v>0</v>
      </c>
      <c r="U148" s="136">
        <f t="shared" si="41"/>
        <v>0</v>
      </c>
      <c r="V148" s="136">
        <f t="shared" si="41"/>
        <v>0</v>
      </c>
      <c r="W148" s="136">
        <f t="shared" si="41"/>
        <v>0</v>
      </c>
      <c r="X148" s="136">
        <f t="shared" si="41"/>
        <v>0</v>
      </c>
      <c r="Y148" s="136">
        <f t="shared" si="41"/>
        <v>0</v>
      </c>
      <c r="Z148" s="136">
        <f t="shared" si="41"/>
        <v>0</v>
      </c>
      <c r="AA148" s="136">
        <f t="shared" si="41"/>
        <v>0</v>
      </c>
      <c r="AB148" s="136">
        <f t="shared" si="41"/>
        <v>0</v>
      </c>
      <c r="AC148" s="136">
        <f t="shared" si="41"/>
        <v>0</v>
      </c>
      <c r="AD148" s="136">
        <f t="shared" si="41"/>
        <v>0</v>
      </c>
      <c r="AE148" s="136">
        <f t="shared" si="41"/>
        <v>0</v>
      </c>
      <c r="AF148" s="136">
        <f t="shared" si="41"/>
        <v>0</v>
      </c>
      <c r="AG148" s="139">
        <v>4</v>
      </c>
      <c r="AH148" s="54"/>
      <c r="AI148" s="55"/>
      <c r="AK148" s="56"/>
    </row>
    <row r="149" spans="1:37" x14ac:dyDescent="0.25">
      <c r="A149" s="124" t="s">
        <v>153</v>
      </c>
      <c r="B149" s="136"/>
      <c r="C149" s="137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9">
        <v>4</v>
      </c>
      <c r="AH149" s="54"/>
      <c r="AI149" s="55"/>
      <c r="AK149" s="56"/>
    </row>
    <row r="150" spans="1:37" x14ac:dyDescent="0.25">
      <c r="A150" s="124" t="s">
        <v>154</v>
      </c>
      <c r="B150" s="136">
        <f>AF150</f>
        <v>0.1</v>
      </c>
      <c r="C150" s="137">
        <v>0.1</v>
      </c>
      <c r="D150" s="136">
        <f t="shared" ref="D150:S153" si="42">C150</f>
        <v>0.1</v>
      </c>
      <c r="E150" s="136">
        <f t="shared" si="42"/>
        <v>0.1</v>
      </c>
      <c r="F150" s="136">
        <f t="shared" si="42"/>
        <v>0.1</v>
      </c>
      <c r="G150" s="136">
        <f t="shared" si="42"/>
        <v>0.1</v>
      </c>
      <c r="H150" s="136">
        <f t="shared" si="42"/>
        <v>0.1</v>
      </c>
      <c r="I150" s="136">
        <f t="shared" si="42"/>
        <v>0.1</v>
      </c>
      <c r="J150" s="136">
        <f t="shared" si="42"/>
        <v>0.1</v>
      </c>
      <c r="K150" s="136">
        <f t="shared" si="42"/>
        <v>0.1</v>
      </c>
      <c r="L150" s="136">
        <f t="shared" si="42"/>
        <v>0.1</v>
      </c>
      <c r="M150" s="136">
        <f t="shared" si="42"/>
        <v>0.1</v>
      </c>
      <c r="N150" s="136">
        <f t="shared" si="42"/>
        <v>0.1</v>
      </c>
      <c r="O150" s="136">
        <f t="shared" si="42"/>
        <v>0.1</v>
      </c>
      <c r="P150" s="136">
        <f t="shared" si="42"/>
        <v>0.1</v>
      </c>
      <c r="Q150" s="136">
        <f t="shared" si="42"/>
        <v>0.1</v>
      </c>
      <c r="R150" s="136">
        <f t="shared" si="42"/>
        <v>0.1</v>
      </c>
      <c r="S150" s="136">
        <f t="shared" si="42"/>
        <v>0.1</v>
      </c>
      <c r="T150" s="136">
        <f t="shared" ref="T150:AF153" si="43">S150</f>
        <v>0.1</v>
      </c>
      <c r="U150" s="136">
        <f t="shared" si="43"/>
        <v>0.1</v>
      </c>
      <c r="V150" s="136">
        <f t="shared" si="43"/>
        <v>0.1</v>
      </c>
      <c r="W150" s="136">
        <f t="shared" si="43"/>
        <v>0.1</v>
      </c>
      <c r="X150" s="136">
        <f t="shared" si="43"/>
        <v>0.1</v>
      </c>
      <c r="Y150" s="136">
        <f t="shared" si="43"/>
        <v>0.1</v>
      </c>
      <c r="Z150" s="136">
        <f t="shared" si="43"/>
        <v>0.1</v>
      </c>
      <c r="AA150" s="136">
        <f t="shared" si="43"/>
        <v>0.1</v>
      </c>
      <c r="AB150" s="136">
        <f t="shared" si="43"/>
        <v>0.1</v>
      </c>
      <c r="AC150" s="136">
        <f t="shared" si="43"/>
        <v>0.1</v>
      </c>
      <c r="AD150" s="136">
        <f t="shared" si="43"/>
        <v>0.1</v>
      </c>
      <c r="AE150" s="136">
        <f t="shared" si="43"/>
        <v>0.1</v>
      </c>
      <c r="AF150" s="136">
        <f t="shared" si="43"/>
        <v>0.1</v>
      </c>
      <c r="AG150" s="139">
        <v>4</v>
      </c>
      <c r="AH150" s="54"/>
      <c r="AI150" s="55"/>
      <c r="AK150" s="56"/>
    </row>
    <row r="151" spans="1:37" x14ac:dyDescent="0.25">
      <c r="A151" s="124" t="s">
        <v>155</v>
      </c>
      <c r="B151" s="136">
        <f>AF151</f>
        <v>2.0499999999999998</v>
      </c>
      <c r="C151" s="137">
        <v>2.0499999999999998</v>
      </c>
      <c r="D151" s="136">
        <f t="shared" si="42"/>
        <v>2.0499999999999998</v>
      </c>
      <c r="E151" s="136">
        <f t="shared" si="42"/>
        <v>2.0499999999999998</v>
      </c>
      <c r="F151" s="136">
        <f t="shared" si="42"/>
        <v>2.0499999999999998</v>
      </c>
      <c r="G151" s="136">
        <f t="shared" si="42"/>
        <v>2.0499999999999998</v>
      </c>
      <c r="H151" s="136">
        <f t="shared" si="42"/>
        <v>2.0499999999999998</v>
      </c>
      <c r="I151" s="136">
        <f t="shared" si="42"/>
        <v>2.0499999999999998</v>
      </c>
      <c r="J151" s="136">
        <f t="shared" si="42"/>
        <v>2.0499999999999998</v>
      </c>
      <c r="K151" s="136">
        <f t="shared" si="42"/>
        <v>2.0499999999999998</v>
      </c>
      <c r="L151" s="136">
        <f t="shared" si="42"/>
        <v>2.0499999999999998</v>
      </c>
      <c r="M151" s="136">
        <f t="shared" si="42"/>
        <v>2.0499999999999998</v>
      </c>
      <c r="N151" s="136">
        <f t="shared" si="42"/>
        <v>2.0499999999999998</v>
      </c>
      <c r="O151" s="136">
        <f t="shared" si="42"/>
        <v>2.0499999999999998</v>
      </c>
      <c r="P151" s="136">
        <f t="shared" si="42"/>
        <v>2.0499999999999998</v>
      </c>
      <c r="Q151" s="136">
        <f t="shared" si="42"/>
        <v>2.0499999999999998</v>
      </c>
      <c r="R151" s="136">
        <f t="shared" si="42"/>
        <v>2.0499999999999998</v>
      </c>
      <c r="S151" s="136">
        <f t="shared" si="42"/>
        <v>2.0499999999999998</v>
      </c>
      <c r="T151" s="136">
        <f t="shared" si="43"/>
        <v>2.0499999999999998</v>
      </c>
      <c r="U151" s="136">
        <f t="shared" si="43"/>
        <v>2.0499999999999998</v>
      </c>
      <c r="V151" s="136">
        <f t="shared" si="43"/>
        <v>2.0499999999999998</v>
      </c>
      <c r="W151" s="136">
        <f t="shared" si="43"/>
        <v>2.0499999999999998</v>
      </c>
      <c r="X151" s="136">
        <f t="shared" si="43"/>
        <v>2.0499999999999998</v>
      </c>
      <c r="Y151" s="136">
        <f t="shared" si="43"/>
        <v>2.0499999999999998</v>
      </c>
      <c r="Z151" s="136">
        <f t="shared" si="43"/>
        <v>2.0499999999999998</v>
      </c>
      <c r="AA151" s="136">
        <f t="shared" si="43"/>
        <v>2.0499999999999998</v>
      </c>
      <c r="AB151" s="136">
        <f t="shared" si="43"/>
        <v>2.0499999999999998</v>
      </c>
      <c r="AC151" s="136">
        <f t="shared" si="43"/>
        <v>2.0499999999999998</v>
      </c>
      <c r="AD151" s="136">
        <f t="shared" si="43"/>
        <v>2.0499999999999998</v>
      </c>
      <c r="AE151" s="136">
        <f t="shared" si="43"/>
        <v>2.0499999999999998</v>
      </c>
      <c r="AF151" s="136">
        <f t="shared" si="43"/>
        <v>2.0499999999999998</v>
      </c>
      <c r="AG151" s="139">
        <v>4</v>
      </c>
      <c r="AH151" s="54"/>
      <c r="AI151" s="55"/>
      <c r="AK151" s="56"/>
    </row>
    <row r="152" spans="1:37" x14ac:dyDescent="0.25">
      <c r="A152" s="124" t="s">
        <v>156</v>
      </c>
      <c r="B152" s="136">
        <f>AF152</f>
        <v>2.7</v>
      </c>
      <c r="C152" s="137">
        <v>2.7</v>
      </c>
      <c r="D152" s="136">
        <f t="shared" si="42"/>
        <v>2.7</v>
      </c>
      <c r="E152" s="136">
        <f t="shared" si="42"/>
        <v>2.7</v>
      </c>
      <c r="F152" s="136">
        <f t="shared" si="42"/>
        <v>2.7</v>
      </c>
      <c r="G152" s="136">
        <f t="shared" si="42"/>
        <v>2.7</v>
      </c>
      <c r="H152" s="136">
        <f t="shared" si="42"/>
        <v>2.7</v>
      </c>
      <c r="I152" s="136">
        <f t="shared" si="42"/>
        <v>2.7</v>
      </c>
      <c r="J152" s="136">
        <f t="shared" si="42"/>
        <v>2.7</v>
      </c>
      <c r="K152" s="136">
        <f t="shared" si="42"/>
        <v>2.7</v>
      </c>
      <c r="L152" s="136">
        <f t="shared" si="42"/>
        <v>2.7</v>
      </c>
      <c r="M152" s="136">
        <f t="shared" si="42"/>
        <v>2.7</v>
      </c>
      <c r="N152" s="136">
        <f t="shared" si="42"/>
        <v>2.7</v>
      </c>
      <c r="O152" s="136">
        <f t="shared" si="42"/>
        <v>2.7</v>
      </c>
      <c r="P152" s="136">
        <f t="shared" si="42"/>
        <v>2.7</v>
      </c>
      <c r="Q152" s="136">
        <f t="shared" si="42"/>
        <v>2.7</v>
      </c>
      <c r="R152" s="136">
        <f t="shared" si="42"/>
        <v>2.7</v>
      </c>
      <c r="S152" s="136">
        <f t="shared" si="42"/>
        <v>2.7</v>
      </c>
      <c r="T152" s="136">
        <f t="shared" si="43"/>
        <v>2.7</v>
      </c>
      <c r="U152" s="136">
        <f t="shared" si="43"/>
        <v>2.7</v>
      </c>
      <c r="V152" s="136">
        <f t="shared" si="43"/>
        <v>2.7</v>
      </c>
      <c r="W152" s="136">
        <f t="shared" si="43"/>
        <v>2.7</v>
      </c>
      <c r="X152" s="136">
        <f t="shared" si="43"/>
        <v>2.7</v>
      </c>
      <c r="Y152" s="136">
        <f t="shared" si="43"/>
        <v>2.7</v>
      </c>
      <c r="Z152" s="136">
        <f t="shared" si="43"/>
        <v>2.7</v>
      </c>
      <c r="AA152" s="136">
        <f t="shared" si="43"/>
        <v>2.7</v>
      </c>
      <c r="AB152" s="136">
        <f t="shared" si="43"/>
        <v>2.7</v>
      </c>
      <c r="AC152" s="136">
        <f t="shared" si="43"/>
        <v>2.7</v>
      </c>
      <c r="AD152" s="136">
        <f t="shared" si="43"/>
        <v>2.7</v>
      </c>
      <c r="AE152" s="136">
        <f t="shared" si="43"/>
        <v>2.7</v>
      </c>
      <c r="AF152" s="136">
        <f t="shared" si="43"/>
        <v>2.7</v>
      </c>
      <c r="AG152" s="139">
        <v>4</v>
      </c>
      <c r="AH152" s="54"/>
      <c r="AI152" s="55"/>
      <c r="AK152" s="56"/>
    </row>
    <row r="153" spans="1:37" x14ac:dyDescent="0.25">
      <c r="A153" s="124" t="s">
        <v>157</v>
      </c>
      <c r="B153" s="136">
        <f>AF153</f>
        <v>2.15</v>
      </c>
      <c r="C153" s="137">
        <v>2.15</v>
      </c>
      <c r="D153" s="136">
        <f t="shared" si="42"/>
        <v>2.15</v>
      </c>
      <c r="E153" s="136">
        <f t="shared" si="42"/>
        <v>2.15</v>
      </c>
      <c r="F153" s="136">
        <f t="shared" si="42"/>
        <v>2.15</v>
      </c>
      <c r="G153" s="136">
        <f t="shared" si="42"/>
        <v>2.15</v>
      </c>
      <c r="H153" s="136">
        <f t="shared" si="42"/>
        <v>2.15</v>
      </c>
      <c r="I153" s="136">
        <f t="shared" si="42"/>
        <v>2.15</v>
      </c>
      <c r="J153" s="136">
        <f t="shared" si="42"/>
        <v>2.15</v>
      </c>
      <c r="K153" s="136">
        <f t="shared" si="42"/>
        <v>2.15</v>
      </c>
      <c r="L153" s="136">
        <f t="shared" si="42"/>
        <v>2.15</v>
      </c>
      <c r="M153" s="136">
        <f t="shared" si="42"/>
        <v>2.15</v>
      </c>
      <c r="N153" s="136">
        <f t="shared" si="42"/>
        <v>2.15</v>
      </c>
      <c r="O153" s="136">
        <f t="shared" si="42"/>
        <v>2.15</v>
      </c>
      <c r="P153" s="136">
        <f t="shared" si="42"/>
        <v>2.15</v>
      </c>
      <c r="Q153" s="136">
        <f t="shared" si="42"/>
        <v>2.15</v>
      </c>
      <c r="R153" s="136">
        <f t="shared" si="42"/>
        <v>2.15</v>
      </c>
      <c r="S153" s="136">
        <f t="shared" si="42"/>
        <v>2.15</v>
      </c>
      <c r="T153" s="136">
        <f t="shared" si="43"/>
        <v>2.15</v>
      </c>
      <c r="U153" s="136">
        <f t="shared" si="43"/>
        <v>2.15</v>
      </c>
      <c r="V153" s="136">
        <f t="shared" si="43"/>
        <v>2.15</v>
      </c>
      <c r="W153" s="136">
        <f t="shared" si="43"/>
        <v>2.15</v>
      </c>
      <c r="X153" s="136">
        <f t="shared" si="43"/>
        <v>2.15</v>
      </c>
      <c r="Y153" s="136">
        <f t="shared" si="43"/>
        <v>2.15</v>
      </c>
      <c r="Z153" s="136">
        <f t="shared" si="43"/>
        <v>2.15</v>
      </c>
      <c r="AA153" s="136">
        <f t="shared" si="43"/>
        <v>2.15</v>
      </c>
      <c r="AB153" s="136">
        <f t="shared" si="43"/>
        <v>2.15</v>
      </c>
      <c r="AC153" s="136">
        <f t="shared" si="43"/>
        <v>2.15</v>
      </c>
      <c r="AD153" s="136">
        <f t="shared" si="43"/>
        <v>2.15</v>
      </c>
      <c r="AE153" s="136">
        <f t="shared" si="43"/>
        <v>2.15</v>
      </c>
      <c r="AF153" s="136">
        <f t="shared" si="43"/>
        <v>2.15</v>
      </c>
      <c r="AG153" s="139">
        <v>4</v>
      </c>
      <c r="AH153" s="54"/>
      <c r="AI153" s="55"/>
      <c r="AK153" s="56"/>
    </row>
    <row r="154" spans="1:37" x14ac:dyDescent="0.25">
      <c r="A154" s="124" t="s">
        <v>158</v>
      </c>
      <c r="B154" s="136"/>
      <c r="C154" s="137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9">
        <v>4</v>
      </c>
      <c r="AH154" s="54"/>
      <c r="AI154" s="55"/>
      <c r="AK154" s="56"/>
    </row>
    <row r="155" spans="1:37" x14ac:dyDescent="0.25">
      <c r="A155" s="124" t="s">
        <v>159</v>
      </c>
      <c r="B155" s="136">
        <f t="shared" ref="B155:B167" si="44">AF155</f>
        <v>0.9</v>
      </c>
      <c r="C155" s="137">
        <v>0.9</v>
      </c>
      <c r="D155" s="136">
        <f t="shared" ref="D155:S167" si="45">C155</f>
        <v>0.9</v>
      </c>
      <c r="E155" s="136">
        <f t="shared" si="45"/>
        <v>0.9</v>
      </c>
      <c r="F155" s="136">
        <f t="shared" si="45"/>
        <v>0.9</v>
      </c>
      <c r="G155" s="136">
        <f t="shared" si="45"/>
        <v>0.9</v>
      </c>
      <c r="H155" s="136">
        <f t="shared" si="45"/>
        <v>0.9</v>
      </c>
      <c r="I155" s="136">
        <f t="shared" si="45"/>
        <v>0.9</v>
      </c>
      <c r="J155" s="136">
        <f t="shared" si="45"/>
        <v>0.9</v>
      </c>
      <c r="K155" s="136">
        <f t="shared" si="45"/>
        <v>0.9</v>
      </c>
      <c r="L155" s="136">
        <f t="shared" si="45"/>
        <v>0.9</v>
      </c>
      <c r="M155" s="136">
        <f t="shared" si="45"/>
        <v>0.9</v>
      </c>
      <c r="N155" s="136">
        <f t="shared" si="45"/>
        <v>0.9</v>
      </c>
      <c r="O155" s="136">
        <f t="shared" si="45"/>
        <v>0.9</v>
      </c>
      <c r="P155" s="136">
        <f t="shared" si="45"/>
        <v>0.9</v>
      </c>
      <c r="Q155" s="136">
        <f t="shared" si="45"/>
        <v>0.9</v>
      </c>
      <c r="R155" s="136">
        <f t="shared" si="45"/>
        <v>0.9</v>
      </c>
      <c r="S155" s="136">
        <f t="shared" si="45"/>
        <v>0.9</v>
      </c>
      <c r="T155" s="136">
        <f t="shared" ref="S155:AF167" si="46">S155</f>
        <v>0.9</v>
      </c>
      <c r="U155" s="136">
        <f t="shared" si="46"/>
        <v>0.9</v>
      </c>
      <c r="V155" s="136">
        <f t="shared" si="46"/>
        <v>0.9</v>
      </c>
      <c r="W155" s="136">
        <f t="shared" si="46"/>
        <v>0.9</v>
      </c>
      <c r="X155" s="136">
        <f t="shared" si="46"/>
        <v>0.9</v>
      </c>
      <c r="Y155" s="136">
        <f t="shared" si="46"/>
        <v>0.9</v>
      </c>
      <c r="Z155" s="136">
        <f t="shared" si="46"/>
        <v>0.9</v>
      </c>
      <c r="AA155" s="136">
        <f t="shared" si="46"/>
        <v>0.9</v>
      </c>
      <c r="AB155" s="136">
        <f t="shared" si="46"/>
        <v>0.9</v>
      </c>
      <c r="AC155" s="136">
        <f t="shared" si="46"/>
        <v>0.9</v>
      </c>
      <c r="AD155" s="136">
        <f t="shared" si="46"/>
        <v>0.9</v>
      </c>
      <c r="AE155" s="136">
        <f t="shared" si="46"/>
        <v>0.9</v>
      </c>
      <c r="AF155" s="136">
        <f t="shared" si="46"/>
        <v>0.9</v>
      </c>
      <c r="AG155" s="139">
        <v>4</v>
      </c>
      <c r="AH155" s="54"/>
      <c r="AI155" s="55"/>
      <c r="AK155" s="56"/>
    </row>
    <row r="156" spans="1:37" x14ac:dyDescent="0.25">
      <c r="A156" s="124" t="s">
        <v>160</v>
      </c>
      <c r="B156" s="136">
        <f t="shared" si="44"/>
        <v>1.08</v>
      </c>
      <c r="C156" s="137">
        <v>1.08</v>
      </c>
      <c r="D156" s="136">
        <f t="shared" si="45"/>
        <v>1.08</v>
      </c>
      <c r="E156" s="136">
        <f t="shared" si="45"/>
        <v>1.08</v>
      </c>
      <c r="F156" s="136">
        <f t="shared" si="45"/>
        <v>1.08</v>
      </c>
      <c r="G156" s="136">
        <f t="shared" si="45"/>
        <v>1.08</v>
      </c>
      <c r="H156" s="136">
        <f t="shared" si="45"/>
        <v>1.08</v>
      </c>
      <c r="I156" s="136">
        <f t="shared" si="45"/>
        <v>1.08</v>
      </c>
      <c r="J156" s="136">
        <f t="shared" si="45"/>
        <v>1.08</v>
      </c>
      <c r="K156" s="136">
        <f t="shared" si="45"/>
        <v>1.08</v>
      </c>
      <c r="L156" s="136">
        <f t="shared" si="45"/>
        <v>1.08</v>
      </c>
      <c r="M156" s="136">
        <f t="shared" si="45"/>
        <v>1.08</v>
      </c>
      <c r="N156" s="136">
        <f t="shared" si="45"/>
        <v>1.08</v>
      </c>
      <c r="O156" s="136">
        <f t="shared" si="45"/>
        <v>1.08</v>
      </c>
      <c r="P156" s="136">
        <f t="shared" si="45"/>
        <v>1.08</v>
      </c>
      <c r="Q156" s="136">
        <f t="shared" si="45"/>
        <v>1.08</v>
      </c>
      <c r="R156" s="136">
        <f t="shared" si="45"/>
        <v>1.08</v>
      </c>
      <c r="S156" s="136">
        <f t="shared" si="45"/>
        <v>1.08</v>
      </c>
      <c r="T156" s="136">
        <f t="shared" si="46"/>
        <v>1.08</v>
      </c>
      <c r="U156" s="136">
        <f t="shared" si="46"/>
        <v>1.08</v>
      </c>
      <c r="V156" s="136">
        <f t="shared" si="46"/>
        <v>1.08</v>
      </c>
      <c r="W156" s="136">
        <f t="shared" si="46"/>
        <v>1.08</v>
      </c>
      <c r="X156" s="136">
        <f t="shared" si="46"/>
        <v>1.08</v>
      </c>
      <c r="Y156" s="136">
        <f t="shared" si="46"/>
        <v>1.08</v>
      </c>
      <c r="Z156" s="136">
        <f t="shared" si="46"/>
        <v>1.08</v>
      </c>
      <c r="AA156" s="136">
        <f t="shared" si="46"/>
        <v>1.08</v>
      </c>
      <c r="AB156" s="136">
        <f t="shared" si="46"/>
        <v>1.08</v>
      </c>
      <c r="AC156" s="136">
        <f t="shared" si="46"/>
        <v>1.08</v>
      </c>
      <c r="AD156" s="136">
        <f t="shared" si="46"/>
        <v>1.08</v>
      </c>
      <c r="AE156" s="136">
        <f t="shared" si="46"/>
        <v>1.08</v>
      </c>
      <c r="AF156" s="136">
        <f t="shared" si="46"/>
        <v>1.08</v>
      </c>
      <c r="AG156" s="139">
        <v>3.75</v>
      </c>
      <c r="AH156" s="54"/>
      <c r="AI156" s="55"/>
      <c r="AK156" s="56"/>
    </row>
    <row r="157" spans="1:37" x14ac:dyDescent="0.25">
      <c r="A157" s="124" t="s">
        <v>161</v>
      </c>
      <c r="B157" s="136">
        <f t="shared" si="44"/>
        <v>2.37</v>
      </c>
      <c r="C157" s="137">
        <v>2.37</v>
      </c>
      <c r="D157" s="136">
        <f t="shared" si="45"/>
        <v>2.37</v>
      </c>
      <c r="E157" s="136">
        <f t="shared" si="45"/>
        <v>2.37</v>
      </c>
      <c r="F157" s="136">
        <f t="shared" si="45"/>
        <v>2.37</v>
      </c>
      <c r="G157" s="136">
        <f t="shared" si="45"/>
        <v>2.37</v>
      </c>
      <c r="H157" s="136">
        <f t="shared" si="45"/>
        <v>2.37</v>
      </c>
      <c r="I157" s="136">
        <f t="shared" si="45"/>
        <v>2.37</v>
      </c>
      <c r="J157" s="136">
        <f t="shared" si="45"/>
        <v>2.37</v>
      </c>
      <c r="K157" s="136">
        <f t="shared" si="45"/>
        <v>2.37</v>
      </c>
      <c r="L157" s="136">
        <f t="shared" si="45"/>
        <v>2.37</v>
      </c>
      <c r="M157" s="136">
        <f t="shared" si="45"/>
        <v>2.37</v>
      </c>
      <c r="N157" s="136">
        <f t="shared" si="45"/>
        <v>2.37</v>
      </c>
      <c r="O157" s="136">
        <f t="shared" si="45"/>
        <v>2.37</v>
      </c>
      <c r="P157" s="136">
        <f t="shared" si="45"/>
        <v>2.37</v>
      </c>
      <c r="Q157" s="136">
        <f t="shared" si="45"/>
        <v>2.37</v>
      </c>
      <c r="R157" s="136">
        <f t="shared" si="45"/>
        <v>2.37</v>
      </c>
      <c r="S157" s="136">
        <f t="shared" si="45"/>
        <v>2.37</v>
      </c>
      <c r="T157" s="136">
        <f t="shared" si="46"/>
        <v>2.37</v>
      </c>
      <c r="U157" s="136">
        <f t="shared" si="46"/>
        <v>2.37</v>
      </c>
      <c r="V157" s="136">
        <f t="shared" si="46"/>
        <v>2.37</v>
      </c>
      <c r="W157" s="136">
        <f t="shared" si="46"/>
        <v>2.37</v>
      </c>
      <c r="X157" s="136">
        <f t="shared" si="46"/>
        <v>2.37</v>
      </c>
      <c r="Y157" s="136">
        <f t="shared" si="46"/>
        <v>2.37</v>
      </c>
      <c r="Z157" s="136">
        <f t="shared" si="46"/>
        <v>2.37</v>
      </c>
      <c r="AA157" s="136">
        <f t="shared" si="46"/>
        <v>2.37</v>
      </c>
      <c r="AB157" s="136">
        <f t="shared" si="46"/>
        <v>2.37</v>
      </c>
      <c r="AC157" s="136">
        <f t="shared" si="46"/>
        <v>2.37</v>
      </c>
      <c r="AD157" s="136">
        <f t="shared" si="46"/>
        <v>2.37</v>
      </c>
      <c r="AE157" s="136">
        <f t="shared" si="46"/>
        <v>2.37</v>
      </c>
      <c r="AF157" s="136">
        <f t="shared" si="46"/>
        <v>2.37</v>
      </c>
      <c r="AG157" s="139">
        <v>3.52</v>
      </c>
      <c r="AH157" s="54"/>
      <c r="AI157" s="55"/>
      <c r="AK157" s="56"/>
    </row>
    <row r="158" spans="1:37" x14ac:dyDescent="0.25">
      <c r="A158" s="124" t="s">
        <v>162</v>
      </c>
      <c r="B158" s="136">
        <f t="shared" si="44"/>
        <v>1.81</v>
      </c>
      <c r="C158" s="137">
        <v>1.81</v>
      </c>
      <c r="D158" s="136">
        <f t="shared" si="45"/>
        <v>1.81</v>
      </c>
      <c r="E158" s="136">
        <f t="shared" si="45"/>
        <v>1.81</v>
      </c>
      <c r="F158" s="136">
        <f t="shared" si="45"/>
        <v>1.81</v>
      </c>
      <c r="G158" s="136">
        <f t="shared" si="45"/>
        <v>1.81</v>
      </c>
      <c r="H158" s="136">
        <f t="shared" si="45"/>
        <v>1.81</v>
      </c>
      <c r="I158" s="136">
        <f t="shared" si="45"/>
        <v>1.81</v>
      </c>
      <c r="J158" s="136">
        <f t="shared" si="45"/>
        <v>1.81</v>
      </c>
      <c r="K158" s="136">
        <f t="shared" si="45"/>
        <v>1.81</v>
      </c>
      <c r="L158" s="136">
        <f t="shared" si="45"/>
        <v>1.81</v>
      </c>
      <c r="M158" s="136">
        <f t="shared" si="45"/>
        <v>1.81</v>
      </c>
      <c r="N158" s="136">
        <f t="shared" si="45"/>
        <v>1.81</v>
      </c>
      <c r="O158" s="136">
        <f t="shared" si="45"/>
        <v>1.81</v>
      </c>
      <c r="P158" s="136">
        <f t="shared" si="45"/>
        <v>1.81</v>
      </c>
      <c r="Q158" s="136">
        <f t="shared" si="45"/>
        <v>1.81</v>
      </c>
      <c r="R158" s="136">
        <f t="shared" si="45"/>
        <v>1.81</v>
      </c>
      <c r="S158" s="136">
        <f t="shared" si="45"/>
        <v>1.81</v>
      </c>
      <c r="T158" s="136">
        <f t="shared" si="46"/>
        <v>1.81</v>
      </c>
      <c r="U158" s="136">
        <f t="shared" si="46"/>
        <v>1.81</v>
      </c>
      <c r="V158" s="136">
        <f t="shared" si="46"/>
        <v>1.81</v>
      </c>
      <c r="W158" s="136">
        <f t="shared" si="46"/>
        <v>1.81</v>
      </c>
      <c r="X158" s="136">
        <f t="shared" si="46"/>
        <v>1.81</v>
      </c>
      <c r="Y158" s="136">
        <f t="shared" si="46"/>
        <v>1.81</v>
      </c>
      <c r="Z158" s="136">
        <f t="shared" si="46"/>
        <v>1.81</v>
      </c>
      <c r="AA158" s="136">
        <f t="shared" si="46"/>
        <v>1.81</v>
      </c>
      <c r="AB158" s="136">
        <f t="shared" si="46"/>
        <v>1.81</v>
      </c>
      <c r="AC158" s="136">
        <f t="shared" si="46"/>
        <v>1.81</v>
      </c>
      <c r="AD158" s="136">
        <f t="shared" si="46"/>
        <v>1.81</v>
      </c>
      <c r="AE158" s="136">
        <f t="shared" si="46"/>
        <v>1.81</v>
      </c>
      <c r="AF158" s="136">
        <f t="shared" si="46"/>
        <v>1.81</v>
      </c>
      <c r="AG158" s="139">
        <v>3.33</v>
      </c>
      <c r="AH158" s="54"/>
      <c r="AI158" s="55"/>
      <c r="AK158" s="56"/>
    </row>
    <row r="159" spans="1:37" x14ac:dyDescent="0.25">
      <c r="A159" s="124" t="s">
        <v>163</v>
      </c>
      <c r="B159" s="136">
        <f t="shared" si="44"/>
        <v>1.0900000000000001</v>
      </c>
      <c r="C159" s="137">
        <v>1.0900000000000001</v>
      </c>
      <c r="D159" s="136">
        <f t="shared" si="45"/>
        <v>1.0900000000000001</v>
      </c>
      <c r="E159" s="136">
        <f t="shared" si="45"/>
        <v>1.0900000000000001</v>
      </c>
      <c r="F159" s="136">
        <f t="shared" si="45"/>
        <v>1.0900000000000001</v>
      </c>
      <c r="G159" s="136">
        <f t="shared" si="45"/>
        <v>1.0900000000000001</v>
      </c>
      <c r="H159" s="136">
        <f t="shared" si="45"/>
        <v>1.0900000000000001</v>
      </c>
      <c r="I159" s="136">
        <f t="shared" si="45"/>
        <v>1.0900000000000001</v>
      </c>
      <c r="J159" s="136">
        <f t="shared" si="45"/>
        <v>1.0900000000000001</v>
      </c>
      <c r="K159" s="136">
        <f t="shared" si="45"/>
        <v>1.0900000000000001</v>
      </c>
      <c r="L159" s="136">
        <f t="shared" si="45"/>
        <v>1.0900000000000001</v>
      </c>
      <c r="M159" s="136">
        <f t="shared" si="45"/>
        <v>1.0900000000000001</v>
      </c>
      <c r="N159" s="136">
        <f t="shared" si="45"/>
        <v>1.0900000000000001</v>
      </c>
      <c r="O159" s="136">
        <f t="shared" si="45"/>
        <v>1.0900000000000001</v>
      </c>
      <c r="P159" s="136">
        <f t="shared" si="45"/>
        <v>1.0900000000000001</v>
      </c>
      <c r="Q159" s="136">
        <f t="shared" si="45"/>
        <v>1.0900000000000001</v>
      </c>
      <c r="R159" s="136">
        <f t="shared" si="45"/>
        <v>1.0900000000000001</v>
      </c>
      <c r="S159" s="136">
        <f t="shared" si="45"/>
        <v>1.0900000000000001</v>
      </c>
      <c r="T159" s="136">
        <f t="shared" si="46"/>
        <v>1.0900000000000001</v>
      </c>
      <c r="U159" s="136">
        <f t="shared" si="46"/>
        <v>1.0900000000000001</v>
      </c>
      <c r="V159" s="136">
        <f t="shared" si="46"/>
        <v>1.0900000000000001</v>
      </c>
      <c r="W159" s="136">
        <f t="shared" si="46"/>
        <v>1.0900000000000001</v>
      </c>
      <c r="X159" s="136">
        <f t="shared" si="46"/>
        <v>1.0900000000000001</v>
      </c>
      <c r="Y159" s="136">
        <f t="shared" si="46"/>
        <v>1.0900000000000001</v>
      </c>
      <c r="Z159" s="136">
        <f t="shared" si="46"/>
        <v>1.0900000000000001</v>
      </c>
      <c r="AA159" s="136">
        <f t="shared" si="46"/>
        <v>1.0900000000000001</v>
      </c>
      <c r="AB159" s="136">
        <f t="shared" si="46"/>
        <v>1.0900000000000001</v>
      </c>
      <c r="AC159" s="136">
        <f t="shared" si="46"/>
        <v>1.0900000000000001</v>
      </c>
      <c r="AD159" s="136">
        <f t="shared" si="46"/>
        <v>1.0900000000000001</v>
      </c>
      <c r="AE159" s="136">
        <f t="shared" si="46"/>
        <v>1.0900000000000001</v>
      </c>
      <c r="AF159" s="136">
        <f t="shared" si="46"/>
        <v>1.0900000000000001</v>
      </c>
      <c r="AG159" s="139">
        <v>3.2</v>
      </c>
      <c r="AH159" s="54"/>
      <c r="AI159" s="55"/>
      <c r="AK159" s="56"/>
    </row>
    <row r="160" spans="1:37" x14ac:dyDescent="0.25">
      <c r="A160" s="124" t="s">
        <v>164</v>
      </c>
      <c r="B160" s="136">
        <f t="shared" si="44"/>
        <v>1.58</v>
      </c>
      <c r="C160" s="137">
        <v>1.58</v>
      </c>
      <c r="D160" s="136">
        <f t="shared" si="45"/>
        <v>1.58</v>
      </c>
      <c r="E160" s="136">
        <f t="shared" si="45"/>
        <v>1.58</v>
      </c>
      <c r="F160" s="136">
        <f t="shared" si="45"/>
        <v>1.58</v>
      </c>
      <c r="G160" s="136">
        <f t="shared" si="45"/>
        <v>1.58</v>
      </c>
      <c r="H160" s="136">
        <f t="shared" si="45"/>
        <v>1.58</v>
      </c>
      <c r="I160" s="136">
        <f t="shared" si="45"/>
        <v>1.58</v>
      </c>
      <c r="J160" s="136">
        <f t="shared" si="45"/>
        <v>1.58</v>
      </c>
      <c r="K160" s="136">
        <f t="shared" si="45"/>
        <v>1.58</v>
      </c>
      <c r="L160" s="136">
        <f t="shared" si="45"/>
        <v>1.58</v>
      </c>
      <c r="M160" s="136">
        <f t="shared" si="45"/>
        <v>1.58</v>
      </c>
      <c r="N160" s="136">
        <f t="shared" si="45"/>
        <v>1.58</v>
      </c>
      <c r="O160" s="136">
        <f t="shared" si="45"/>
        <v>1.58</v>
      </c>
      <c r="P160" s="136">
        <f t="shared" si="45"/>
        <v>1.58</v>
      </c>
      <c r="Q160" s="136">
        <f t="shared" si="45"/>
        <v>1.58</v>
      </c>
      <c r="R160" s="136">
        <f t="shared" si="45"/>
        <v>1.58</v>
      </c>
      <c r="S160" s="136">
        <f t="shared" si="45"/>
        <v>1.58</v>
      </c>
      <c r="T160" s="136">
        <f t="shared" si="46"/>
        <v>1.58</v>
      </c>
      <c r="U160" s="136">
        <f t="shared" si="46"/>
        <v>1.58</v>
      </c>
      <c r="V160" s="136">
        <f t="shared" si="46"/>
        <v>1.58</v>
      </c>
      <c r="W160" s="136">
        <f t="shared" si="46"/>
        <v>1.58</v>
      </c>
      <c r="X160" s="136">
        <f t="shared" si="46"/>
        <v>1.58</v>
      </c>
      <c r="Y160" s="136">
        <f t="shared" si="46"/>
        <v>1.58</v>
      </c>
      <c r="Z160" s="136">
        <f t="shared" si="46"/>
        <v>1.58</v>
      </c>
      <c r="AA160" s="136">
        <f t="shared" si="46"/>
        <v>1.58</v>
      </c>
      <c r="AB160" s="136">
        <f t="shared" si="46"/>
        <v>1.58</v>
      </c>
      <c r="AC160" s="136">
        <f t="shared" si="46"/>
        <v>1.58</v>
      </c>
      <c r="AD160" s="136">
        <f t="shared" si="46"/>
        <v>1.58</v>
      </c>
      <c r="AE160" s="136">
        <f t="shared" si="46"/>
        <v>1.58</v>
      </c>
      <c r="AF160" s="136">
        <f t="shared" si="46"/>
        <v>1.58</v>
      </c>
      <c r="AG160" s="139">
        <v>3</v>
      </c>
      <c r="AH160" s="54"/>
      <c r="AI160" s="55"/>
      <c r="AK160" s="56"/>
    </row>
    <row r="161" spans="1:37" x14ac:dyDescent="0.25">
      <c r="A161" s="124" t="s">
        <v>165</v>
      </c>
      <c r="B161" s="136">
        <f t="shared" si="44"/>
        <v>2</v>
      </c>
      <c r="C161" s="137">
        <v>2</v>
      </c>
      <c r="D161" s="136">
        <f t="shared" si="45"/>
        <v>2</v>
      </c>
      <c r="E161" s="136">
        <f t="shared" si="45"/>
        <v>2</v>
      </c>
      <c r="F161" s="136">
        <f t="shared" si="45"/>
        <v>2</v>
      </c>
      <c r="G161" s="136">
        <f t="shared" si="45"/>
        <v>2</v>
      </c>
      <c r="H161" s="136">
        <f t="shared" si="45"/>
        <v>2</v>
      </c>
      <c r="I161" s="136">
        <f t="shared" si="45"/>
        <v>2</v>
      </c>
      <c r="J161" s="136">
        <f t="shared" si="45"/>
        <v>2</v>
      </c>
      <c r="K161" s="136">
        <f t="shared" si="45"/>
        <v>2</v>
      </c>
      <c r="L161" s="136">
        <f t="shared" si="45"/>
        <v>2</v>
      </c>
      <c r="M161" s="136">
        <f t="shared" si="45"/>
        <v>2</v>
      </c>
      <c r="N161" s="136">
        <f t="shared" si="45"/>
        <v>2</v>
      </c>
      <c r="O161" s="136">
        <f t="shared" si="45"/>
        <v>2</v>
      </c>
      <c r="P161" s="136">
        <f t="shared" si="45"/>
        <v>2</v>
      </c>
      <c r="Q161" s="136">
        <f t="shared" si="45"/>
        <v>2</v>
      </c>
      <c r="R161" s="136">
        <f t="shared" si="45"/>
        <v>2</v>
      </c>
      <c r="S161" s="136">
        <f t="shared" si="45"/>
        <v>2</v>
      </c>
      <c r="T161" s="136">
        <f t="shared" si="46"/>
        <v>2</v>
      </c>
      <c r="U161" s="136">
        <f t="shared" si="46"/>
        <v>2</v>
      </c>
      <c r="V161" s="136">
        <f t="shared" si="46"/>
        <v>2</v>
      </c>
      <c r="W161" s="136">
        <f t="shared" si="46"/>
        <v>2</v>
      </c>
      <c r="X161" s="136">
        <f t="shared" si="46"/>
        <v>2</v>
      </c>
      <c r="Y161" s="136">
        <f t="shared" si="46"/>
        <v>2</v>
      </c>
      <c r="Z161" s="136">
        <f t="shared" si="46"/>
        <v>2</v>
      </c>
      <c r="AA161" s="136">
        <f t="shared" si="46"/>
        <v>2</v>
      </c>
      <c r="AB161" s="136">
        <f t="shared" si="46"/>
        <v>2</v>
      </c>
      <c r="AC161" s="136">
        <f t="shared" si="46"/>
        <v>2</v>
      </c>
      <c r="AD161" s="136">
        <f t="shared" si="46"/>
        <v>2</v>
      </c>
      <c r="AE161" s="136">
        <f t="shared" si="46"/>
        <v>2</v>
      </c>
      <c r="AF161" s="136">
        <f t="shared" si="46"/>
        <v>2</v>
      </c>
      <c r="AG161" s="139">
        <v>3</v>
      </c>
      <c r="AH161" s="54"/>
      <c r="AI161" s="55"/>
      <c r="AK161" s="56"/>
    </row>
    <row r="162" spans="1:37" x14ac:dyDescent="0.25">
      <c r="A162" s="124" t="s">
        <v>166</v>
      </c>
      <c r="B162" s="136">
        <f t="shared" si="44"/>
        <v>0.47</v>
      </c>
      <c r="C162" s="137">
        <v>0.47</v>
      </c>
      <c r="D162" s="136">
        <f t="shared" si="45"/>
        <v>0.47</v>
      </c>
      <c r="E162" s="136">
        <f t="shared" si="45"/>
        <v>0.47</v>
      </c>
      <c r="F162" s="136">
        <f t="shared" si="45"/>
        <v>0.47</v>
      </c>
      <c r="G162" s="136">
        <f t="shared" si="45"/>
        <v>0.47</v>
      </c>
      <c r="H162" s="136">
        <f t="shared" si="45"/>
        <v>0.47</v>
      </c>
      <c r="I162" s="136">
        <f t="shared" si="45"/>
        <v>0.47</v>
      </c>
      <c r="J162" s="136">
        <f t="shared" si="45"/>
        <v>0.47</v>
      </c>
      <c r="K162" s="136">
        <f t="shared" si="45"/>
        <v>0.47</v>
      </c>
      <c r="L162" s="136">
        <f t="shared" si="45"/>
        <v>0.47</v>
      </c>
      <c r="M162" s="136">
        <f t="shared" si="45"/>
        <v>0.47</v>
      </c>
      <c r="N162" s="136">
        <f t="shared" si="45"/>
        <v>0.47</v>
      </c>
      <c r="O162" s="136">
        <f t="shared" si="45"/>
        <v>0.47</v>
      </c>
      <c r="P162" s="136">
        <f t="shared" si="45"/>
        <v>0.47</v>
      </c>
      <c r="Q162" s="136">
        <f t="shared" si="45"/>
        <v>0.47</v>
      </c>
      <c r="R162" s="136">
        <f t="shared" si="45"/>
        <v>0.47</v>
      </c>
      <c r="S162" s="136">
        <f t="shared" si="45"/>
        <v>0.47</v>
      </c>
      <c r="T162" s="136">
        <f t="shared" si="46"/>
        <v>0.47</v>
      </c>
      <c r="U162" s="136">
        <f t="shared" si="46"/>
        <v>0.47</v>
      </c>
      <c r="V162" s="136">
        <f t="shared" si="46"/>
        <v>0.47</v>
      </c>
      <c r="W162" s="136">
        <f t="shared" si="46"/>
        <v>0.47</v>
      </c>
      <c r="X162" s="136">
        <f t="shared" si="46"/>
        <v>0.47</v>
      </c>
      <c r="Y162" s="136">
        <f t="shared" si="46"/>
        <v>0.47</v>
      </c>
      <c r="Z162" s="136">
        <f t="shared" si="46"/>
        <v>0.47</v>
      </c>
      <c r="AA162" s="136">
        <f t="shared" si="46"/>
        <v>0.47</v>
      </c>
      <c r="AB162" s="136">
        <f t="shared" si="46"/>
        <v>0.47</v>
      </c>
      <c r="AC162" s="136">
        <f t="shared" si="46"/>
        <v>0.47</v>
      </c>
      <c r="AD162" s="136">
        <f t="shared" si="46"/>
        <v>0.47</v>
      </c>
      <c r="AE162" s="136">
        <f t="shared" si="46"/>
        <v>0.47</v>
      </c>
      <c r="AF162" s="136">
        <f t="shared" si="46"/>
        <v>0.47</v>
      </c>
      <c r="AG162" s="139">
        <v>3</v>
      </c>
      <c r="AH162" s="54"/>
      <c r="AI162" s="55"/>
      <c r="AK162" s="56"/>
    </row>
    <row r="163" spans="1:37" x14ac:dyDescent="0.25">
      <c r="A163" s="124" t="s">
        <v>167</v>
      </c>
      <c r="B163" s="136">
        <f t="shared" si="44"/>
        <v>0</v>
      </c>
      <c r="C163" s="137">
        <v>0</v>
      </c>
      <c r="D163" s="136">
        <f t="shared" si="45"/>
        <v>0</v>
      </c>
      <c r="E163" s="136">
        <f t="shared" si="45"/>
        <v>0</v>
      </c>
      <c r="F163" s="136">
        <f t="shared" si="45"/>
        <v>0</v>
      </c>
      <c r="G163" s="136">
        <f t="shared" si="45"/>
        <v>0</v>
      </c>
      <c r="H163" s="136">
        <f t="shared" si="45"/>
        <v>0</v>
      </c>
      <c r="I163" s="136">
        <f t="shared" si="45"/>
        <v>0</v>
      </c>
      <c r="J163" s="136">
        <f t="shared" si="45"/>
        <v>0</v>
      </c>
      <c r="K163" s="136">
        <f t="shared" si="45"/>
        <v>0</v>
      </c>
      <c r="L163" s="136">
        <f t="shared" si="45"/>
        <v>0</v>
      </c>
      <c r="M163" s="136">
        <f t="shared" si="45"/>
        <v>0</v>
      </c>
      <c r="N163" s="136">
        <f t="shared" si="45"/>
        <v>0</v>
      </c>
      <c r="O163" s="136">
        <f t="shared" si="45"/>
        <v>0</v>
      </c>
      <c r="P163" s="136">
        <f t="shared" si="45"/>
        <v>0</v>
      </c>
      <c r="Q163" s="136">
        <f t="shared" si="45"/>
        <v>0</v>
      </c>
      <c r="R163" s="136">
        <f t="shared" si="45"/>
        <v>0</v>
      </c>
      <c r="S163" s="136">
        <f t="shared" si="45"/>
        <v>0</v>
      </c>
      <c r="T163" s="136">
        <f t="shared" si="46"/>
        <v>0</v>
      </c>
      <c r="U163" s="136">
        <f t="shared" si="46"/>
        <v>0</v>
      </c>
      <c r="V163" s="136">
        <f t="shared" si="46"/>
        <v>0</v>
      </c>
      <c r="W163" s="136">
        <f t="shared" si="46"/>
        <v>0</v>
      </c>
      <c r="X163" s="136">
        <f t="shared" si="46"/>
        <v>0</v>
      </c>
      <c r="Y163" s="136">
        <f t="shared" si="46"/>
        <v>0</v>
      </c>
      <c r="Z163" s="136">
        <f t="shared" si="46"/>
        <v>0</v>
      </c>
      <c r="AA163" s="136">
        <f t="shared" si="46"/>
        <v>0</v>
      </c>
      <c r="AB163" s="136">
        <f t="shared" si="46"/>
        <v>0</v>
      </c>
      <c r="AC163" s="136">
        <f t="shared" si="46"/>
        <v>0</v>
      </c>
      <c r="AD163" s="136">
        <f t="shared" si="46"/>
        <v>0</v>
      </c>
      <c r="AE163" s="136">
        <f t="shared" si="46"/>
        <v>0</v>
      </c>
      <c r="AF163" s="136">
        <f t="shared" si="46"/>
        <v>0</v>
      </c>
      <c r="AG163" s="139">
        <v>3</v>
      </c>
      <c r="AH163" s="54"/>
      <c r="AI163" s="55"/>
      <c r="AK163" s="56"/>
    </row>
    <row r="164" spans="1:37" x14ac:dyDescent="0.25">
      <c r="A164" s="124" t="s">
        <v>168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6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169</v>
      </c>
      <c r="B165" s="136">
        <f t="shared" si="44"/>
        <v>0.8</v>
      </c>
      <c r="C165" s="137">
        <v>0.8</v>
      </c>
      <c r="D165" s="136">
        <f t="shared" si="45"/>
        <v>0.8</v>
      </c>
      <c r="E165" s="136">
        <f t="shared" si="45"/>
        <v>0.8</v>
      </c>
      <c r="F165" s="136">
        <f t="shared" si="45"/>
        <v>0.8</v>
      </c>
      <c r="G165" s="136">
        <f t="shared" si="45"/>
        <v>0.8</v>
      </c>
      <c r="H165" s="136">
        <f t="shared" si="45"/>
        <v>0.8</v>
      </c>
      <c r="I165" s="136">
        <f t="shared" si="45"/>
        <v>0.8</v>
      </c>
      <c r="J165" s="136">
        <f t="shared" si="45"/>
        <v>0.8</v>
      </c>
      <c r="K165" s="136">
        <f t="shared" si="45"/>
        <v>0.8</v>
      </c>
      <c r="L165" s="136">
        <f t="shared" si="45"/>
        <v>0.8</v>
      </c>
      <c r="M165" s="136">
        <f t="shared" si="45"/>
        <v>0.8</v>
      </c>
      <c r="N165" s="136">
        <f t="shared" si="45"/>
        <v>0.8</v>
      </c>
      <c r="O165" s="136">
        <f t="shared" si="45"/>
        <v>0.8</v>
      </c>
      <c r="P165" s="136">
        <f t="shared" si="45"/>
        <v>0.8</v>
      </c>
      <c r="Q165" s="136">
        <f t="shared" si="45"/>
        <v>0.8</v>
      </c>
      <c r="R165" s="136">
        <f t="shared" si="45"/>
        <v>0.8</v>
      </c>
      <c r="S165" s="136">
        <f t="shared" si="46"/>
        <v>0.8</v>
      </c>
      <c r="T165" s="136">
        <f t="shared" si="46"/>
        <v>0.8</v>
      </c>
      <c r="U165" s="136">
        <f t="shared" si="46"/>
        <v>0.8</v>
      </c>
      <c r="V165" s="136">
        <f t="shared" si="46"/>
        <v>0.8</v>
      </c>
      <c r="W165" s="136">
        <f t="shared" si="46"/>
        <v>0.8</v>
      </c>
      <c r="X165" s="136">
        <f t="shared" si="46"/>
        <v>0.8</v>
      </c>
      <c r="Y165" s="136">
        <f t="shared" si="46"/>
        <v>0.8</v>
      </c>
      <c r="Z165" s="136">
        <f t="shared" si="46"/>
        <v>0.8</v>
      </c>
      <c r="AA165" s="136">
        <f t="shared" si="46"/>
        <v>0.8</v>
      </c>
      <c r="AB165" s="136">
        <f t="shared" si="46"/>
        <v>0.8</v>
      </c>
      <c r="AC165" s="136">
        <f t="shared" si="46"/>
        <v>0.8</v>
      </c>
      <c r="AD165" s="136">
        <f t="shared" si="46"/>
        <v>0.8</v>
      </c>
      <c r="AE165" s="136">
        <f t="shared" si="46"/>
        <v>0.8</v>
      </c>
      <c r="AF165" s="136">
        <f t="shared" si="46"/>
        <v>0.8</v>
      </c>
      <c r="AG165" s="139">
        <v>3</v>
      </c>
      <c r="AH165" s="54"/>
      <c r="AI165" s="55"/>
      <c r="AK165" s="56"/>
    </row>
    <row r="166" spans="1:37" x14ac:dyDescent="0.25">
      <c r="A166" s="124" t="s">
        <v>170</v>
      </c>
      <c r="B166" s="136">
        <f t="shared" si="44"/>
        <v>1.5</v>
      </c>
      <c r="C166" s="137">
        <v>1.5</v>
      </c>
      <c r="D166" s="136">
        <f t="shared" si="45"/>
        <v>1.5</v>
      </c>
      <c r="E166" s="136">
        <f t="shared" si="45"/>
        <v>1.5</v>
      </c>
      <c r="F166" s="136">
        <f t="shared" si="45"/>
        <v>1.5</v>
      </c>
      <c r="G166" s="136">
        <f t="shared" si="45"/>
        <v>1.5</v>
      </c>
      <c r="H166" s="136">
        <f t="shared" si="45"/>
        <v>1.5</v>
      </c>
      <c r="I166" s="136">
        <f t="shared" si="45"/>
        <v>1.5</v>
      </c>
      <c r="J166" s="136">
        <f t="shared" si="45"/>
        <v>1.5</v>
      </c>
      <c r="K166" s="136">
        <f t="shared" si="45"/>
        <v>1.5</v>
      </c>
      <c r="L166" s="136">
        <f t="shared" si="45"/>
        <v>1.5</v>
      </c>
      <c r="M166" s="136">
        <f t="shared" si="45"/>
        <v>1.5</v>
      </c>
      <c r="N166" s="136">
        <f t="shared" si="45"/>
        <v>1.5</v>
      </c>
      <c r="O166" s="136">
        <f t="shared" si="45"/>
        <v>1.5</v>
      </c>
      <c r="P166" s="136">
        <f t="shared" si="45"/>
        <v>1.5</v>
      </c>
      <c r="Q166" s="136">
        <f t="shared" si="45"/>
        <v>1.5</v>
      </c>
      <c r="R166" s="136">
        <f t="shared" si="45"/>
        <v>1.5</v>
      </c>
      <c r="S166" s="136">
        <f t="shared" si="46"/>
        <v>1.5</v>
      </c>
      <c r="T166" s="136">
        <f t="shared" si="46"/>
        <v>1.5</v>
      </c>
      <c r="U166" s="136">
        <f t="shared" si="46"/>
        <v>1.5</v>
      </c>
      <c r="V166" s="136">
        <f t="shared" si="46"/>
        <v>1.5</v>
      </c>
      <c r="W166" s="136">
        <f t="shared" si="46"/>
        <v>1.5</v>
      </c>
      <c r="X166" s="136">
        <f t="shared" si="46"/>
        <v>1.5</v>
      </c>
      <c r="Y166" s="136">
        <f t="shared" si="46"/>
        <v>1.5</v>
      </c>
      <c r="Z166" s="136">
        <f t="shared" si="46"/>
        <v>1.5</v>
      </c>
      <c r="AA166" s="136">
        <f t="shared" si="46"/>
        <v>1.5</v>
      </c>
      <c r="AB166" s="136">
        <f t="shared" si="46"/>
        <v>1.5</v>
      </c>
      <c r="AC166" s="136">
        <f t="shared" si="46"/>
        <v>1.5</v>
      </c>
      <c r="AD166" s="136">
        <f t="shared" si="46"/>
        <v>1.5</v>
      </c>
      <c r="AE166" s="136">
        <f t="shared" si="46"/>
        <v>1.5</v>
      </c>
      <c r="AF166" s="136">
        <f t="shared" si="46"/>
        <v>1.5</v>
      </c>
      <c r="AG166" s="139">
        <v>3</v>
      </c>
      <c r="AH166" s="54"/>
      <c r="AI166" s="55"/>
      <c r="AK166" s="56"/>
    </row>
    <row r="167" spans="1:37" x14ac:dyDescent="0.25">
      <c r="A167" s="124" t="s">
        <v>171</v>
      </c>
      <c r="B167" s="136">
        <f t="shared" si="44"/>
        <v>1</v>
      </c>
      <c r="C167" s="137">
        <v>1</v>
      </c>
      <c r="D167" s="136">
        <f t="shared" si="45"/>
        <v>1</v>
      </c>
      <c r="E167" s="136">
        <f t="shared" si="45"/>
        <v>1</v>
      </c>
      <c r="F167" s="136">
        <f t="shared" si="45"/>
        <v>1</v>
      </c>
      <c r="G167" s="136">
        <f t="shared" si="45"/>
        <v>1</v>
      </c>
      <c r="H167" s="136">
        <f t="shared" si="45"/>
        <v>1</v>
      </c>
      <c r="I167" s="136">
        <f t="shared" si="45"/>
        <v>1</v>
      </c>
      <c r="J167" s="136">
        <f t="shared" si="45"/>
        <v>1</v>
      </c>
      <c r="K167" s="136">
        <f t="shared" si="45"/>
        <v>1</v>
      </c>
      <c r="L167" s="136">
        <f t="shared" si="45"/>
        <v>1</v>
      </c>
      <c r="M167" s="136">
        <f t="shared" si="45"/>
        <v>1</v>
      </c>
      <c r="N167" s="136">
        <f t="shared" si="45"/>
        <v>1</v>
      </c>
      <c r="O167" s="136">
        <f t="shared" si="45"/>
        <v>1</v>
      </c>
      <c r="P167" s="136">
        <f t="shared" si="45"/>
        <v>1</v>
      </c>
      <c r="Q167" s="136">
        <f t="shared" si="45"/>
        <v>1</v>
      </c>
      <c r="R167" s="136">
        <f t="shared" si="45"/>
        <v>1</v>
      </c>
      <c r="S167" s="136">
        <f t="shared" si="46"/>
        <v>1</v>
      </c>
      <c r="T167" s="136">
        <f t="shared" si="46"/>
        <v>1</v>
      </c>
      <c r="U167" s="136">
        <f t="shared" si="46"/>
        <v>1</v>
      </c>
      <c r="V167" s="136">
        <f t="shared" si="46"/>
        <v>1</v>
      </c>
      <c r="W167" s="136">
        <f t="shared" si="46"/>
        <v>1</v>
      </c>
      <c r="X167" s="136">
        <f t="shared" si="46"/>
        <v>1</v>
      </c>
      <c r="Y167" s="136">
        <f t="shared" si="46"/>
        <v>1</v>
      </c>
      <c r="Z167" s="136">
        <f t="shared" si="46"/>
        <v>1</v>
      </c>
      <c r="AA167" s="136">
        <f t="shared" si="46"/>
        <v>1</v>
      </c>
      <c r="AB167" s="136">
        <f t="shared" si="46"/>
        <v>1</v>
      </c>
      <c r="AC167" s="136">
        <f t="shared" si="46"/>
        <v>1</v>
      </c>
      <c r="AD167" s="136">
        <f t="shared" si="46"/>
        <v>1</v>
      </c>
      <c r="AE167" s="136">
        <f t="shared" si="46"/>
        <v>1</v>
      </c>
      <c r="AF167" s="136">
        <f t="shared" si="46"/>
        <v>1</v>
      </c>
      <c r="AG167" s="139">
        <v>3</v>
      </c>
      <c r="AH167" s="54"/>
      <c r="AI167" s="55"/>
      <c r="AK167" s="56"/>
    </row>
    <row r="168" spans="1:37" x14ac:dyDescent="0.25">
      <c r="A168" s="124" t="s">
        <v>172</v>
      </c>
      <c r="B168" s="136"/>
      <c r="C168" s="137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9">
        <v>2.83</v>
      </c>
      <c r="AH168" s="54"/>
      <c r="AI168" s="55"/>
      <c r="AK168" s="56"/>
    </row>
    <row r="169" spans="1:37" x14ac:dyDescent="0.25">
      <c r="A169" s="124" t="s">
        <v>173</v>
      </c>
      <c r="B169" s="136">
        <f t="shared" ref="B169:B176" si="47">AF169</f>
        <v>1</v>
      </c>
      <c r="C169" s="137">
        <v>1</v>
      </c>
      <c r="D169" s="136">
        <f t="shared" ref="D169:S176" si="48">C169</f>
        <v>1</v>
      </c>
      <c r="E169" s="136">
        <f t="shared" si="48"/>
        <v>1</v>
      </c>
      <c r="F169" s="136">
        <f t="shared" si="48"/>
        <v>1</v>
      </c>
      <c r="G169" s="136">
        <f t="shared" si="48"/>
        <v>1</v>
      </c>
      <c r="H169" s="136">
        <f t="shared" si="48"/>
        <v>1</v>
      </c>
      <c r="I169" s="136">
        <f t="shared" si="48"/>
        <v>1</v>
      </c>
      <c r="J169" s="136">
        <f t="shared" si="48"/>
        <v>1</v>
      </c>
      <c r="K169" s="136">
        <f t="shared" si="48"/>
        <v>1</v>
      </c>
      <c r="L169" s="136">
        <f t="shared" si="48"/>
        <v>1</v>
      </c>
      <c r="M169" s="136">
        <f t="shared" si="48"/>
        <v>1</v>
      </c>
      <c r="N169" s="136">
        <f t="shared" si="48"/>
        <v>1</v>
      </c>
      <c r="O169" s="136">
        <f t="shared" si="48"/>
        <v>1</v>
      </c>
      <c r="P169" s="136">
        <f t="shared" si="48"/>
        <v>1</v>
      </c>
      <c r="Q169" s="136">
        <f t="shared" si="48"/>
        <v>1</v>
      </c>
      <c r="R169" s="136">
        <f t="shared" si="48"/>
        <v>1</v>
      </c>
      <c r="S169" s="136">
        <f t="shared" si="48"/>
        <v>1</v>
      </c>
      <c r="T169" s="136">
        <f t="shared" ref="S169:AF176" si="49">S169</f>
        <v>1</v>
      </c>
      <c r="U169" s="136">
        <f t="shared" si="49"/>
        <v>1</v>
      </c>
      <c r="V169" s="136">
        <f t="shared" si="49"/>
        <v>1</v>
      </c>
      <c r="W169" s="136">
        <f t="shared" si="49"/>
        <v>1</v>
      </c>
      <c r="X169" s="136">
        <f t="shared" si="49"/>
        <v>1</v>
      </c>
      <c r="Y169" s="136">
        <f t="shared" si="49"/>
        <v>1</v>
      </c>
      <c r="Z169" s="136">
        <f t="shared" si="49"/>
        <v>1</v>
      </c>
      <c r="AA169" s="136">
        <f t="shared" si="49"/>
        <v>1</v>
      </c>
      <c r="AB169" s="136">
        <f t="shared" si="49"/>
        <v>1</v>
      </c>
      <c r="AC169" s="136">
        <f t="shared" si="49"/>
        <v>1</v>
      </c>
      <c r="AD169" s="136">
        <f t="shared" si="49"/>
        <v>1</v>
      </c>
      <c r="AE169" s="136">
        <f t="shared" si="49"/>
        <v>1</v>
      </c>
      <c r="AF169" s="136">
        <f t="shared" si="49"/>
        <v>1</v>
      </c>
      <c r="AG169" s="139">
        <v>2.5</v>
      </c>
      <c r="AH169" s="54"/>
      <c r="AI169" s="55"/>
      <c r="AK169" s="56"/>
    </row>
    <row r="170" spans="1:37" x14ac:dyDescent="0.25">
      <c r="A170" s="124" t="s">
        <v>174</v>
      </c>
      <c r="B170" s="136">
        <f t="shared" si="47"/>
        <v>0.42</v>
      </c>
      <c r="C170" s="137">
        <v>0.42</v>
      </c>
      <c r="D170" s="136">
        <f t="shared" si="48"/>
        <v>0.42</v>
      </c>
      <c r="E170" s="136">
        <f t="shared" si="48"/>
        <v>0.42</v>
      </c>
      <c r="F170" s="136">
        <f t="shared" si="48"/>
        <v>0.42</v>
      </c>
      <c r="G170" s="136">
        <f t="shared" si="48"/>
        <v>0.42</v>
      </c>
      <c r="H170" s="136">
        <f t="shared" si="48"/>
        <v>0.42</v>
      </c>
      <c r="I170" s="136">
        <f t="shared" si="48"/>
        <v>0.42</v>
      </c>
      <c r="J170" s="136">
        <f t="shared" si="48"/>
        <v>0.42</v>
      </c>
      <c r="K170" s="136">
        <f t="shared" si="48"/>
        <v>0.42</v>
      </c>
      <c r="L170" s="136">
        <f t="shared" si="48"/>
        <v>0.42</v>
      </c>
      <c r="M170" s="136">
        <f t="shared" si="48"/>
        <v>0.42</v>
      </c>
      <c r="N170" s="136">
        <f t="shared" si="48"/>
        <v>0.42</v>
      </c>
      <c r="O170" s="136">
        <f t="shared" si="48"/>
        <v>0.42</v>
      </c>
      <c r="P170" s="136">
        <f t="shared" si="48"/>
        <v>0.42</v>
      </c>
      <c r="Q170" s="136">
        <f t="shared" si="48"/>
        <v>0.42</v>
      </c>
      <c r="R170" s="136">
        <f t="shared" si="48"/>
        <v>0.42</v>
      </c>
      <c r="S170" s="136">
        <f t="shared" si="49"/>
        <v>0.42</v>
      </c>
      <c r="T170" s="136">
        <f t="shared" si="49"/>
        <v>0.42</v>
      </c>
      <c r="U170" s="136">
        <f t="shared" si="49"/>
        <v>0.42</v>
      </c>
      <c r="V170" s="136">
        <f t="shared" si="49"/>
        <v>0.42</v>
      </c>
      <c r="W170" s="136">
        <f t="shared" si="49"/>
        <v>0.42</v>
      </c>
      <c r="X170" s="136">
        <f t="shared" si="49"/>
        <v>0.42</v>
      </c>
      <c r="Y170" s="136">
        <f t="shared" si="49"/>
        <v>0.42</v>
      </c>
      <c r="Z170" s="136">
        <f t="shared" si="49"/>
        <v>0.42</v>
      </c>
      <c r="AA170" s="136">
        <f t="shared" si="49"/>
        <v>0.42</v>
      </c>
      <c r="AB170" s="136">
        <f t="shared" si="49"/>
        <v>0.42</v>
      </c>
      <c r="AC170" s="136">
        <f t="shared" si="49"/>
        <v>0.42</v>
      </c>
      <c r="AD170" s="136">
        <f t="shared" si="49"/>
        <v>0.42</v>
      </c>
      <c r="AE170" s="136">
        <f t="shared" si="49"/>
        <v>0.42</v>
      </c>
      <c r="AF170" s="136">
        <f t="shared" si="49"/>
        <v>0.42</v>
      </c>
      <c r="AG170" s="139">
        <v>2.5</v>
      </c>
      <c r="AH170" s="54"/>
      <c r="AI170" s="55"/>
      <c r="AK170" s="56"/>
    </row>
    <row r="171" spans="1:37" x14ac:dyDescent="0.25">
      <c r="A171" s="124" t="s">
        <v>175</v>
      </c>
      <c r="B171" s="136">
        <f t="shared" si="47"/>
        <v>0.46</v>
      </c>
      <c r="C171" s="137">
        <v>0.46</v>
      </c>
      <c r="D171" s="136">
        <f t="shared" si="48"/>
        <v>0.46</v>
      </c>
      <c r="E171" s="136">
        <f t="shared" si="48"/>
        <v>0.46</v>
      </c>
      <c r="F171" s="136">
        <f t="shared" si="48"/>
        <v>0.46</v>
      </c>
      <c r="G171" s="136">
        <f t="shared" si="48"/>
        <v>0.46</v>
      </c>
      <c r="H171" s="136">
        <f t="shared" si="48"/>
        <v>0.46</v>
      </c>
      <c r="I171" s="136">
        <f t="shared" si="48"/>
        <v>0.46</v>
      </c>
      <c r="J171" s="136">
        <f t="shared" si="48"/>
        <v>0.46</v>
      </c>
      <c r="K171" s="136">
        <f t="shared" si="48"/>
        <v>0.46</v>
      </c>
      <c r="L171" s="136">
        <f t="shared" si="48"/>
        <v>0.46</v>
      </c>
      <c r="M171" s="136">
        <f t="shared" si="48"/>
        <v>0.46</v>
      </c>
      <c r="N171" s="136">
        <f t="shared" si="48"/>
        <v>0.46</v>
      </c>
      <c r="O171" s="136">
        <f t="shared" si="48"/>
        <v>0.46</v>
      </c>
      <c r="P171" s="136">
        <f t="shared" si="48"/>
        <v>0.46</v>
      </c>
      <c r="Q171" s="136">
        <f t="shared" si="48"/>
        <v>0.46</v>
      </c>
      <c r="R171" s="136">
        <f t="shared" si="48"/>
        <v>0.46</v>
      </c>
      <c r="S171" s="136">
        <f t="shared" si="49"/>
        <v>0.46</v>
      </c>
      <c r="T171" s="136">
        <f t="shared" si="49"/>
        <v>0.46</v>
      </c>
      <c r="U171" s="136">
        <f t="shared" si="49"/>
        <v>0.46</v>
      </c>
      <c r="V171" s="136">
        <f t="shared" si="49"/>
        <v>0.46</v>
      </c>
      <c r="W171" s="136">
        <f t="shared" si="49"/>
        <v>0.46</v>
      </c>
      <c r="X171" s="136">
        <f t="shared" si="49"/>
        <v>0.46</v>
      </c>
      <c r="Y171" s="136">
        <f t="shared" si="49"/>
        <v>0.46</v>
      </c>
      <c r="Z171" s="136">
        <f t="shared" si="49"/>
        <v>0.46</v>
      </c>
      <c r="AA171" s="136">
        <f t="shared" si="49"/>
        <v>0.46</v>
      </c>
      <c r="AB171" s="136">
        <f t="shared" si="49"/>
        <v>0.46</v>
      </c>
      <c r="AC171" s="136">
        <f t="shared" si="49"/>
        <v>0.46</v>
      </c>
      <c r="AD171" s="136">
        <f t="shared" si="49"/>
        <v>0.46</v>
      </c>
      <c r="AE171" s="136">
        <f t="shared" si="49"/>
        <v>0.46</v>
      </c>
      <c r="AF171" s="136">
        <f t="shared" si="49"/>
        <v>0.46</v>
      </c>
      <c r="AG171" s="139">
        <v>2.4</v>
      </c>
      <c r="AH171" s="54"/>
      <c r="AI171" s="55"/>
      <c r="AK171" s="56"/>
    </row>
    <row r="172" spans="1:37" x14ac:dyDescent="0.25">
      <c r="A172" s="124" t="s">
        <v>176</v>
      </c>
      <c r="B172" s="136">
        <f t="shared" si="47"/>
        <v>0.85</v>
      </c>
      <c r="C172" s="137">
        <v>0.85</v>
      </c>
      <c r="D172" s="136">
        <f t="shared" si="48"/>
        <v>0.85</v>
      </c>
      <c r="E172" s="136">
        <f t="shared" si="48"/>
        <v>0.85</v>
      </c>
      <c r="F172" s="136">
        <f t="shared" si="48"/>
        <v>0.85</v>
      </c>
      <c r="G172" s="136">
        <f t="shared" si="48"/>
        <v>0.85</v>
      </c>
      <c r="H172" s="136">
        <f t="shared" si="48"/>
        <v>0.85</v>
      </c>
      <c r="I172" s="136">
        <f t="shared" si="48"/>
        <v>0.85</v>
      </c>
      <c r="J172" s="136">
        <f t="shared" si="48"/>
        <v>0.85</v>
      </c>
      <c r="K172" s="136">
        <f t="shared" si="48"/>
        <v>0.85</v>
      </c>
      <c r="L172" s="136">
        <f t="shared" si="48"/>
        <v>0.85</v>
      </c>
      <c r="M172" s="136">
        <f t="shared" si="48"/>
        <v>0.85</v>
      </c>
      <c r="N172" s="136">
        <f t="shared" si="48"/>
        <v>0.85</v>
      </c>
      <c r="O172" s="136">
        <f t="shared" si="48"/>
        <v>0.85</v>
      </c>
      <c r="P172" s="136">
        <f t="shared" si="48"/>
        <v>0.85</v>
      </c>
      <c r="Q172" s="136">
        <f t="shared" si="48"/>
        <v>0.85</v>
      </c>
      <c r="R172" s="136">
        <f t="shared" si="48"/>
        <v>0.85</v>
      </c>
      <c r="S172" s="136">
        <f t="shared" si="49"/>
        <v>0.85</v>
      </c>
      <c r="T172" s="136">
        <f t="shared" si="49"/>
        <v>0.85</v>
      </c>
      <c r="U172" s="136">
        <f t="shared" si="49"/>
        <v>0.85</v>
      </c>
      <c r="V172" s="136">
        <f t="shared" si="49"/>
        <v>0.85</v>
      </c>
      <c r="W172" s="136">
        <f t="shared" si="49"/>
        <v>0.85</v>
      </c>
      <c r="X172" s="136">
        <f t="shared" si="49"/>
        <v>0.85</v>
      </c>
      <c r="Y172" s="136">
        <f t="shared" si="49"/>
        <v>0.85</v>
      </c>
      <c r="Z172" s="136">
        <f t="shared" si="49"/>
        <v>0.85</v>
      </c>
      <c r="AA172" s="136">
        <f t="shared" si="49"/>
        <v>0.85</v>
      </c>
      <c r="AB172" s="136">
        <f t="shared" si="49"/>
        <v>0.85</v>
      </c>
      <c r="AC172" s="136">
        <f t="shared" si="49"/>
        <v>0.85</v>
      </c>
      <c r="AD172" s="136">
        <f t="shared" si="49"/>
        <v>0.85</v>
      </c>
      <c r="AE172" s="136">
        <f t="shared" si="49"/>
        <v>0.85</v>
      </c>
      <c r="AF172" s="136">
        <f t="shared" si="49"/>
        <v>0.85</v>
      </c>
      <c r="AG172" s="139">
        <v>2.4</v>
      </c>
      <c r="AH172" s="54"/>
      <c r="AI172" s="55"/>
      <c r="AK172" s="56"/>
    </row>
    <row r="173" spans="1:37" x14ac:dyDescent="0.25">
      <c r="A173" s="124" t="s">
        <v>177</v>
      </c>
      <c r="B173" s="136">
        <f t="shared" si="47"/>
        <v>0.9</v>
      </c>
      <c r="C173" s="137">
        <v>0.9</v>
      </c>
      <c r="D173" s="136">
        <f t="shared" si="48"/>
        <v>0.9</v>
      </c>
      <c r="E173" s="136">
        <f t="shared" si="48"/>
        <v>0.9</v>
      </c>
      <c r="F173" s="136">
        <f t="shared" si="48"/>
        <v>0.9</v>
      </c>
      <c r="G173" s="136">
        <f t="shared" si="48"/>
        <v>0.9</v>
      </c>
      <c r="H173" s="136">
        <f t="shared" si="48"/>
        <v>0.9</v>
      </c>
      <c r="I173" s="136">
        <f t="shared" si="48"/>
        <v>0.9</v>
      </c>
      <c r="J173" s="136">
        <f t="shared" si="48"/>
        <v>0.9</v>
      </c>
      <c r="K173" s="136">
        <f t="shared" si="48"/>
        <v>0.9</v>
      </c>
      <c r="L173" s="136">
        <f t="shared" si="48"/>
        <v>0.9</v>
      </c>
      <c r="M173" s="136">
        <f t="shared" si="48"/>
        <v>0.9</v>
      </c>
      <c r="N173" s="136">
        <f t="shared" si="48"/>
        <v>0.9</v>
      </c>
      <c r="O173" s="136">
        <f t="shared" si="48"/>
        <v>0.9</v>
      </c>
      <c r="P173" s="136">
        <f t="shared" si="48"/>
        <v>0.9</v>
      </c>
      <c r="Q173" s="136">
        <f t="shared" si="48"/>
        <v>0.9</v>
      </c>
      <c r="R173" s="136">
        <f t="shared" si="48"/>
        <v>0.9</v>
      </c>
      <c r="S173" s="136">
        <f t="shared" si="49"/>
        <v>0.9</v>
      </c>
      <c r="T173" s="136">
        <f t="shared" si="49"/>
        <v>0.9</v>
      </c>
      <c r="U173" s="136">
        <f t="shared" si="49"/>
        <v>0.9</v>
      </c>
      <c r="V173" s="136">
        <f t="shared" si="49"/>
        <v>0.9</v>
      </c>
      <c r="W173" s="136">
        <f t="shared" si="49"/>
        <v>0.9</v>
      </c>
      <c r="X173" s="136">
        <f t="shared" si="49"/>
        <v>0.9</v>
      </c>
      <c r="Y173" s="136">
        <f t="shared" si="49"/>
        <v>0.9</v>
      </c>
      <c r="Z173" s="136">
        <f t="shared" si="49"/>
        <v>0.9</v>
      </c>
      <c r="AA173" s="136">
        <f t="shared" si="49"/>
        <v>0.9</v>
      </c>
      <c r="AB173" s="136">
        <f t="shared" si="49"/>
        <v>0.9</v>
      </c>
      <c r="AC173" s="136">
        <f t="shared" si="49"/>
        <v>0.9</v>
      </c>
      <c r="AD173" s="136">
        <f t="shared" si="49"/>
        <v>0.9</v>
      </c>
      <c r="AE173" s="136">
        <f t="shared" si="49"/>
        <v>0.9</v>
      </c>
      <c r="AF173" s="136">
        <f t="shared" si="49"/>
        <v>0.9</v>
      </c>
      <c r="AG173" s="139">
        <v>2.2000000000000002</v>
      </c>
      <c r="AH173" s="54"/>
      <c r="AI173" s="55"/>
      <c r="AK173" s="56"/>
    </row>
    <row r="174" spans="1:37" x14ac:dyDescent="0.25">
      <c r="A174" s="124" t="s">
        <v>178</v>
      </c>
      <c r="B174" s="136">
        <f t="shared" si="47"/>
        <v>0.44</v>
      </c>
      <c r="C174" s="137">
        <v>0.44</v>
      </c>
      <c r="D174" s="136">
        <f t="shared" si="48"/>
        <v>0.44</v>
      </c>
      <c r="E174" s="136">
        <f t="shared" si="48"/>
        <v>0.44</v>
      </c>
      <c r="F174" s="136">
        <f t="shared" si="48"/>
        <v>0.44</v>
      </c>
      <c r="G174" s="136">
        <f t="shared" si="48"/>
        <v>0.44</v>
      </c>
      <c r="H174" s="136">
        <f t="shared" si="48"/>
        <v>0.44</v>
      </c>
      <c r="I174" s="136">
        <f t="shared" si="48"/>
        <v>0.44</v>
      </c>
      <c r="J174" s="136">
        <f t="shared" si="48"/>
        <v>0.44</v>
      </c>
      <c r="K174" s="136">
        <f t="shared" si="48"/>
        <v>0.44</v>
      </c>
      <c r="L174" s="136">
        <f t="shared" si="48"/>
        <v>0.44</v>
      </c>
      <c r="M174" s="136">
        <f t="shared" si="48"/>
        <v>0.44</v>
      </c>
      <c r="N174" s="136">
        <f t="shared" si="48"/>
        <v>0.44</v>
      </c>
      <c r="O174" s="136">
        <f t="shared" si="48"/>
        <v>0.44</v>
      </c>
      <c r="P174" s="136">
        <f t="shared" si="48"/>
        <v>0.44</v>
      </c>
      <c r="Q174" s="136">
        <f t="shared" si="48"/>
        <v>0.44</v>
      </c>
      <c r="R174" s="136">
        <f t="shared" si="48"/>
        <v>0.44</v>
      </c>
      <c r="S174" s="136">
        <f t="shared" si="49"/>
        <v>0.44</v>
      </c>
      <c r="T174" s="136">
        <f t="shared" si="49"/>
        <v>0.44</v>
      </c>
      <c r="U174" s="136">
        <f t="shared" si="49"/>
        <v>0.44</v>
      </c>
      <c r="V174" s="136">
        <f t="shared" si="49"/>
        <v>0.44</v>
      </c>
      <c r="W174" s="136">
        <f t="shared" si="49"/>
        <v>0.44</v>
      </c>
      <c r="X174" s="136">
        <f t="shared" si="49"/>
        <v>0.44</v>
      </c>
      <c r="Y174" s="136">
        <f t="shared" si="49"/>
        <v>0.44</v>
      </c>
      <c r="Z174" s="136">
        <f t="shared" si="49"/>
        <v>0.44</v>
      </c>
      <c r="AA174" s="136">
        <f t="shared" si="49"/>
        <v>0.44</v>
      </c>
      <c r="AB174" s="136">
        <f t="shared" si="49"/>
        <v>0.44</v>
      </c>
      <c r="AC174" s="136">
        <f t="shared" si="49"/>
        <v>0.44</v>
      </c>
      <c r="AD174" s="136">
        <f t="shared" si="49"/>
        <v>0.44</v>
      </c>
      <c r="AE174" s="136">
        <f t="shared" si="49"/>
        <v>0.44</v>
      </c>
      <c r="AF174" s="136">
        <f t="shared" si="49"/>
        <v>0.44</v>
      </c>
      <c r="AG174" s="139">
        <v>2</v>
      </c>
      <c r="AH174" s="54"/>
      <c r="AI174" s="55"/>
      <c r="AK174" s="56"/>
    </row>
    <row r="175" spans="1:37" x14ac:dyDescent="0.25">
      <c r="A175" s="124" t="s">
        <v>179</v>
      </c>
      <c r="B175" s="136">
        <f t="shared" si="47"/>
        <v>2.1</v>
      </c>
      <c r="C175" s="137">
        <v>2.1</v>
      </c>
      <c r="D175" s="136">
        <f t="shared" si="48"/>
        <v>2.1</v>
      </c>
      <c r="E175" s="136">
        <f t="shared" si="48"/>
        <v>2.1</v>
      </c>
      <c r="F175" s="136">
        <f t="shared" si="48"/>
        <v>2.1</v>
      </c>
      <c r="G175" s="136">
        <f t="shared" si="48"/>
        <v>2.1</v>
      </c>
      <c r="H175" s="136">
        <f t="shared" si="48"/>
        <v>2.1</v>
      </c>
      <c r="I175" s="136">
        <f t="shared" si="48"/>
        <v>2.1</v>
      </c>
      <c r="J175" s="136">
        <f t="shared" si="48"/>
        <v>2.1</v>
      </c>
      <c r="K175" s="136">
        <f t="shared" si="48"/>
        <v>2.1</v>
      </c>
      <c r="L175" s="136">
        <f t="shared" si="48"/>
        <v>2.1</v>
      </c>
      <c r="M175" s="136">
        <f t="shared" si="48"/>
        <v>2.1</v>
      </c>
      <c r="N175" s="136">
        <f t="shared" si="48"/>
        <v>2.1</v>
      </c>
      <c r="O175" s="136">
        <f t="shared" si="48"/>
        <v>2.1</v>
      </c>
      <c r="P175" s="136">
        <f t="shared" si="48"/>
        <v>2.1</v>
      </c>
      <c r="Q175" s="136">
        <f t="shared" si="48"/>
        <v>2.1</v>
      </c>
      <c r="R175" s="136">
        <f t="shared" si="48"/>
        <v>2.1</v>
      </c>
      <c r="S175" s="136">
        <f t="shared" si="49"/>
        <v>2.1</v>
      </c>
      <c r="T175" s="136">
        <f t="shared" si="49"/>
        <v>2.1</v>
      </c>
      <c r="U175" s="136">
        <f t="shared" si="49"/>
        <v>2.1</v>
      </c>
      <c r="V175" s="136">
        <f t="shared" si="49"/>
        <v>2.1</v>
      </c>
      <c r="W175" s="136">
        <f t="shared" si="49"/>
        <v>2.1</v>
      </c>
      <c r="X175" s="136">
        <f t="shared" si="49"/>
        <v>2.1</v>
      </c>
      <c r="Y175" s="136">
        <f t="shared" si="49"/>
        <v>2.1</v>
      </c>
      <c r="Z175" s="136">
        <f t="shared" si="49"/>
        <v>2.1</v>
      </c>
      <c r="AA175" s="136">
        <f t="shared" si="49"/>
        <v>2.1</v>
      </c>
      <c r="AB175" s="136">
        <f t="shared" si="49"/>
        <v>2.1</v>
      </c>
      <c r="AC175" s="136">
        <f t="shared" si="49"/>
        <v>2.1</v>
      </c>
      <c r="AD175" s="136">
        <f t="shared" si="49"/>
        <v>2.1</v>
      </c>
      <c r="AE175" s="136">
        <f t="shared" si="49"/>
        <v>2.1</v>
      </c>
      <c r="AF175" s="136">
        <f t="shared" si="49"/>
        <v>2.1</v>
      </c>
      <c r="AG175" s="139">
        <v>2</v>
      </c>
      <c r="AH175" s="54"/>
      <c r="AI175" s="55"/>
      <c r="AK175" s="56"/>
    </row>
    <row r="176" spans="1:37" x14ac:dyDescent="0.25">
      <c r="A176" s="124" t="s">
        <v>180</v>
      </c>
      <c r="B176" s="136">
        <f t="shared" si="47"/>
        <v>0.9</v>
      </c>
      <c r="C176" s="137">
        <v>0.9</v>
      </c>
      <c r="D176" s="136">
        <f t="shared" si="48"/>
        <v>0.9</v>
      </c>
      <c r="E176" s="136">
        <f t="shared" si="48"/>
        <v>0.9</v>
      </c>
      <c r="F176" s="136">
        <f t="shared" si="48"/>
        <v>0.9</v>
      </c>
      <c r="G176" s="136">
        <f t="shared" si="48"/>
        <v>0.9</v>
      </c>
      <c r="H176" s="136">
        <f t="shared" si="48"/>
        <v>0.9</v>
      </c>
      <c r="I176" s="136">
        <f t="shared" si="48"/>
        <v>0.9</v>
      </c>
      <c r="J176" s="136">
        <f t="shared" si="48"/>
        <v>0.9</v>
      </c>
      <c r="K176" s="136">
        <f t="shared" si="48"/>
        <v>0.9</v>
      </c>
      <c r="L176" s="136">
        <f t="shared" si="48"/>
        <v>0.9</v>
      </c>
      <c r="M176" s="136">
        <f t="shared" si="48"/>
        <v>0.9</v>
      </c>
      <c r="N176" s="136">
        <f t="shared" si="48"/>
        <v>0.9</v>
      </c>
      <c r="O176" s="136">
        <f t="shared" si="48"/>
        <v>0.9</v>
      </c>
      <c r="P176" s="136">
        <f t="shared" si="48"/>
        <v>0.9</v>
      </c>
      <c r="Q176" s="136">
        <f t="shared" si="48"/>
        <v>0.9</v>
      </c>
      <c r="R176" s="136">
        <f t="shared" si="48"/>
        <v>0.9</v>
      </c>
      <c r="S176" s="136">
        <f t="shared" si="49"/>
        <v>0.9</v>
      </c>
      <c r="T176" s="136">
        <f t="shared" si="49"/>
        <v>0.9</v>
      </c>
      <c r="U176" s="136">
        <f t="shared" si="49"/>
        <v>0.9</v>
      </c>
      <c r="V176" s="136">
        <f t="shared" si="49"/>
        <v>0.9</v>
      </c>
      <c r="W176" s="136">
        <f t="shared" si="49"/>
        <v>0.9</v>
      </c>
      <c r="X176" s="136">
        <f t="shared" si="49"/>
        <v>0.9</v>
      </c>
      <c r="Y176" s="136">
        <f t="shared" si="49"/>
        <v>0.9</v>
      </c>
      <c r="Z176" s="136">
        <f t="shared" si="49"/>
        <v>0.9</v>
      </c>
      <c r="AA176" s="136">
        <f t="shared" si="49"/>
        <v>0.9</v>
      </c>
      <c r="AB176" s="136">
        <f t="shared" si="49"/>
        <v>0.9</v>
      </c>
      <c r="AC176" s="136">
        <f t="shared" si="49"/>
        <v>0.9</v>
      </c>
      <c r="AD176" s="136">
        <f t="shared" si="49"/>
        <v>0.9</v>
      </c>
      <c r="AE176" s="136">
        <f t="shared" si="49"/>
        <v>0.9</v>
      </c>
      <c r="AF176" s="136">
        <f t="shared" si="49"/>
        <v>0.9</v>
      </c>
      <c r="AG176" s="139">
        <v>2</v>
      </c>
      <c r="AH176" s="54"/>
      <c r="AI176" s="55"/>
      <c r="AK176" s="56"/>
    </row>
    <row r="177" spans="1:37" x14ac:dyDescent="0.25">
      <c r="A177" s="124" t="s">
        <v>181</v>
      </c>
      <c r="B177" s="136"/>
      <c r="C177" s="137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9">
        <v>1.8</v>
      </c>
      <c r="AH177" s="54"/>
      <c r="AI177" s="55"/>
      <c r="AK177" s="56"/>
    </row>
    <row r="178" spans="1:37" x14ac:dyDescent="0.25">
      <c r="A178" s="124" t="s">
        <v>182</v>
      </c>
      <c r="B178" s="136">
        <f t="shared" ref="B178:B190" si="50">AF178</f>
        <v>0.57999999999999996</v>
      </c>
      <c r="C178" s="137">
        <v>0.57999999999999996</v>
      </c>
      <c r="D178" s="136">
        <f t="shared" ref="D178:S190" si="51">C178</f>
        <v>0.57999999999999996</v>
      </c>
      <c r="E178" s="136">
        <f t="shared" si="51"/>
        <v>0.57999999999999996</v>
      </c>
      <c r="F178" s="136">
        <f t="shared" si="51"/>
        <v>0.57999999999999996</v>
      </c>
      <c r="G178" s="136">
        <f t="shared" si="51"/>
        <v>0.57999999999999996</v>
      </c>
      <c r="H178" s="136">
        <f t="shared" si="51"/>
        <v>0.57999999999999996</v>
      </c>
      <c r="I178" s="136">
        <f t="shared" si="51"/>
        <v>0.57999999999999996</v>
      </c>
      <c r="J178" s="136">
        <f t="shared" si="51"/>
        <v>0.57999999999999996</v>
      </c>
      <c r="K178" s="136">
        <f t="shared" si="51"/>
        <v>0.57999999999999996</v>
      </c>
      <c r="L178" s="136">
        <f t="shared" si="51"/>
        <v>0.57999999999999996</v>
      </c>
      <c r="M178" s="136">
        <f t="shared" si="51"/>
        <v>0.57999999999999996</v>
      </c>
      <c r="N178" s="136">
        <f t="shared" si="51"/>
        <v>0.57999999999999996</v>
      </c>
      <c r="O178" s="136">
        <f t="shared" si="51"/>
        <v>0.57999999999999996</v>
      </c>
      <c r="P178" s="136">
        <f t="shared" si="51"/>
        <v>0.57999999999999996</v>
      </c>
      <c r="Q178" s="136">
        <f t="shared" si="51"/>
        <v>0.57999999999999996</v>
      </c>
      <c r="R178" s="136">
        <f t="shared" si="51"/>
        <v>0.57999999999999996</v>
      </c>
      <c r="S178" s="136">
        <f t="shared" si="51"/>
        <v>0.57999999999999996</v>
      </c>
      <c r="T178" s="136">
        <f t="shared" ref="S178:AF190" si="52">S178</f>
        <v>0.57999999999999996</v>
      </c>
      <c r="U178" s="136">
        <f t="shared" si="52"/>
        <v>0.57999999999999996</v>
      </c>
      <c r="V178" s="136">
        <f t="shared" si="52"/>
        <v>0.57999999999999996</v>
      </c>
      <c r="W178" s="136">
        <f t="shared" si="52"/>
        <v>0.57999999999999996</v>
      </c>
      <c r="X178" s="136">
        <f t="shared" si="52"/>
        <v>0.57999999999999996</v>
      </c>
      <c r="Y178" s="136">
        <f t="shared" si="52"/>
        <v>0.57999999999999996</v>
      </c>
      <c r="Z178" s="136">
        <f t="shared" si="52"/>
        <v>0.57999999999999996</v>
      </c>
      <c r="AA178" s="136">
        <f t="shared" si="52"/>
        <v>0.57999999999999996</v>
      </c>
      <c r="AB178" s="136">
        <f t="shared" si="52"/>
        <v>0.57999999999999996</v>
      </c>
      <c r="AC178" s="136">
        <f t="shared" si="52"/>
        <v>0.57999999999999996</v>
      </c>
      <c r="AD178" s="136">
        <f t="shared" si="52"/>
        <v>0.57999999999999996</v>
      </c>
      <c r="AE178" s="136">
        <f t="shared" si="52"/>
        <v>0.57999999999999996</v>
      </c>
      <c r="AF178" s="136">
        <f t="shared" si="52"/>
        <v>0.57999999999999996</v>
      </c>
      <c r="AG178" s="139">
        <v>1.8</v>
      </c>
      <c r="AH178" s="54"/>
      <c r="AI178" s="55"/>
      <c r="AK178" s="56"/>
    </row>
    <row r="179" spans="1:37" x14ac:dyDescent="0.25">
      <c r="A179" s="124" t="s">
        <v>183</v>
      </c>
      <c r="B179" s="136">
        <f t="shared" si="50"/>
        <v>0.8</v>
      </c>
      <c r="C179" s="137">
        <v>0.8</v>
      </c>
      <c r="D179" s="136">
        <f t="shared" si="51"/>
        <v>0.8</v>
      </c>
      <c r="E179" s="136">
        <f t="shared" si="51"/>
        <v>0.8</v>
      </c>
      <c r="F179" s="136">
        <f t="shared" si="51"/>
        <v>0.8</v>
      </c>
      <c r="G179" s="136">
        <f t="shared" si="51"/>
        <v>0.8</v>
      </c>
      <c r="H179" s="136">
        <f t="shared" si="51"/>
        <v>0.8</v>
      </c>
      <c r="I179" s="136">
        <f t="shared" si="51"/>
        <v>0.8</v>
      </c>
      <c r="J179" s="136">
        <f t="shared" si="51"/>
        <v>0.8</v>
      </c>
      <c r="K179" s="136">
        <f t="shared" si="51"/>
        <v>0.8</v>
      </c>
      <c r="L179" s="136">
        <f t="shared" si="51"/>
        <v>0.8</v>
      </c>
      <c r="M179" s="136">
        <f t="shared" si="51"/>
        <v>0.8</v>
      </c>
      <c r="N179" s="136">
        <f t="shared" si="51"/>
        <v>0.8</v>
      </c>
      <c r="O179" s="136">
        <f t="shared" si="51"/>
        <v>0.8</v>
      </c>
      <c r="P179" s="136">
        <f t="shared" si="51"/>
        <v>0.8</v>
      </c>
      <c r="Q179" s="136">
        <f t="shared" si="51"/>
        <v>0.8</v>
      </c>
      <c r="R179" s="136">
        <f t="shared" si="51"/>
        <v>0.8</v>
      </c>
      <c r="S179" s="136">
        <f t="shared" si="51"/>
        <v>0.8</v>
      </c>
      <c r="T179" s="136">
        <f t="shared" si="52"/>
        <v>0.8</v>
      </c>
      <c r="U179" s="136">
        <f t="shared" si="52"/>
        <v>0.8</v>
      </c>
      <c r="V179" s="136">
        <f t="shared" si="52"/>
        <v>0.8</v>
      </c>
      <c r="W179" s="136">
        <f t="shared" si="52"/>
        <v>0.8</v>
      </c>
      <c r="X179" s="136">
        <f t="shared" si="52"/>
        <v>0.8</v>
      </c>
      <c r="Y179" s="136">
        <f t="shared" si="52"/>
        <v>0.8</v>
      </c>
      <c r="Z179" s="136">
        <f t="shared" si="52"/>
        <v>0.8</v>
      </c>
      <c r="AA179" s="136">
        <f t="shared" si="52"/>
        <v>0.8</v>
      </c>
      <c r="AB179" s="136">
        <f t="shared" si="52"/>
        <v>0.8</v>
      </c>
      <c r="AC179" s="136">
        <f t="shared" si="52"/>
        <v>0.8</v>
      </c>
      <c r="AD179" s="136">
        <f t="shared" si="52"/>
        <v>0.8</v>
      </c>
      <c r="AE179" s="136">
        <f t="shared" si="52"/>
        <v>0.8</v>
      </c>
      <c r="AF179" s="136">
        <f t="shared" si="52"/>
        <v>0.8</v>
      </c>
      <c r="AG179" s="139">
        <v>1.65</v>
      </c>
      <c r="AH179" s="54"/>
      <c r="AI179" s="55"/>
      <c r="AK179" s="56"/>
    </row>
    <row r="180" spans="1:37" x14ac:dyDescent="0.25">
      <c r="A180" s="124" t="s">
        <v>184</v>
      </c>
      <c r="B180" s="136">
        <f t="shared" si="50"/>
        <v>0</v>
      </c>
      <c r="C180" s="137">
        <v>0</v>
      </c>
      <c r="D180" s="136">
        <f t="shared" si="51"/>
        <v>0</v>
      </c>
      <c r="E180" s="136">
        <f t="shared" si="51"/>
        <v>0</v>
      </c>
      <c r="F180" s="136">
        <f t="shared" si="51"/>
        <v>0</v>
      </c>
      <c r="G180" s="136">
        <f t="shared" si="51"/>
        <v>0</v>
      </c>
      <c r="H180" s="136">
        <f t="shared" si="51"/>
        <v>0</v>
      </c>
      <c r="I180" s="136">
        <f t="shared" si="51"/>
        <v>0</v>
      </c>
      <c r="J180" s="136">
        <f t="shared" si="51"/>
        <v>0</v>
      </c>
      <c r="K180" s="136">
        <f t="shared" si="51"/>
        <v>0</v>
      </c>
      <c r="L180" s="136">
        <f t="shared" si="51"/>
        <v>0</v>
      </c>
      <c r="M180" s="136">
        <f t="shared" si="51"/>
        <v>0</v>
      </c>
      <c r="N180" s="136">
        <f t="shared" si="51"/>
        <v>0</v>
      </c>
      <c r="O180" s="136">
        <f t="shared" si="51"/>
        <v>0</v>
      </c>
      <c r="P180" s="136">
        <f t="shared" si="51"/>
        <v>0</v>
      </c>
      <c r="Q180" s="136">
        <f t="shared" si="51"/>
        <v>0</v>
      </c>
      <c r="R180" s="136">
        <f t="shared" si="51"/>
        <v>0</v>
      </c>
      <c r="S180" s="136">
        <f t="shared" si="51"/>
        <v>0</v>
      </c>
      <c r="T180" s="136">
        <f t="shared" si="52"/>
        <v>0</v>
      </c>
      <c r="U180" s="136">
        <f t="shared" si="52"/>
        <v>0</v>
      </c>
      <c r="V180" s="136">
        <f t="shared" si="52"/>
        <v>0</v>
      </c>
      <c r="W180" s="136">
        <f t="shared" si="52"/>
        <v>0</v>
      </c>
      <c r="X180" s="136">
        <f t="shared" si="52"/>
        <v>0</v>
      </c>
      <c r="Y180" s="136">
        <f t="shared" si="52"/>
        <v>0</v>
      </c>
      <c r="Z180" s="136">
        <f t="shared" si="52"/>
        <v>0</v>
      </c>
      <c r="AA180" s="136">
        <f t="shared" si="52"/>
        <v>0</v>
      </c>
      <c r="AB180" s="136">
        <f t="shared" si="52"/>
        <v>0</v>
      </c>
      <c r="AC180" s="136">
        <f t="shared" si="52"/>
        <v>0</v>
      </c>
      <c r="AD180" s="136">
        <f t="shared" si="52"/>
        <v>0</v>
      </c>
      <c r="AE180" s="136">
        <f t="shared" si="52"/>
        <v>0</v>
      </c>
      <c r="AF180" s="136">
        <f t="shared" si="52"/>
        <v>0</v>
      </c>
      <c r="AG180" s="139">
        <v>1.5</v>
      </c>
      <c r="AH180" s="54"/>
      <c r="AI180" s="55"/>
      <c r="AK180" s="56"/>
    </row>
    <row r="181" spans="1:37" x14ac:dyDescent="0.25">
      <c r="A181" s="124" t="s">
        <v>185</v>
      </c>
      <c r="B181" s="136">
        <f t="shared" si="50"/>
        <v>0.6</v>
      </c>
      <c r="C181" s="137">
        <v>0.6</v>
      </c>
      <c r="D181" s="136">
        <f t="shared" si="51"/>
        <v>0.6</v>
      </c>
      <c r="E181" s="136">
        <f t="shared" si="51"/>
        <v>0.6</v>
      </c>
      <c r="F181" s="136">
        <f t="shared" si="51"/>
        <v>0.6</v>
      </c>
      <c r="G181" s="136">
        <f t="shared" si="51"/>
        <v>0.6</v>
      </c>
      <c r="H181" s="136">
        <f t="shared" si="51"/>
        <v>0.6</v>
      </c>
      <c r="I181" s="136">
        <f t="shared" si="51"/>
        <v>0.6</v>
      </c>
      <c r="J181" s="136">
        <f t="shared" si="51"/>
        <v>0.6</v>
      </c>
      <c r="K181" s="136">
        <f t="shared" si="51"/>
        <v>0.6</v>
      </c>
      <c r="L181" s="136">
        <f t="shared" si="51"/>
        <v>0.6</v>
      </c>
      <c r="M181" s="136">
        <f t="shared" si="51"/>
        <v>0.6</v>
      </c>
      <c r="N181" s="136">
        <f t="shared" si="51"/>
        <v>0.6</v>
      </c>
      <c r="O181" s="136">
        <f t="shared" si="51"/>
        <v>0.6</v>
      </c>
      <c r="P181" s="136">
        <f t="shared" si="51"/>
        <v>0.6</v>
      </c>
      <c r="Q181" s="136">
        <f t="shared" si="51"/>
        <v>0.6</v>
      </c>
      <c r="R181" s="136">
        <f t="shared" si="51"/>
        <v>0.6</v>
      </c>
      <c r="S181" s="136">
        <f t="shared" si="51"/>
        <v>0.6</v>
      </c>
      <c r="T181" s="136">
        <f t="shared" si="52"/>
        <v>0.6</v>
      </c>
      <c r="U181" s="136">
        <f t="shared" si="52"/>
        <v>0.6</v>
      </c>
      <c r="V181" s="136">
        <f t="shared" si="52"/>
        <v>0.6</v>
      </c>
      <c r="W181" s="136">
        <f t="shared" si="52"/>
        <v>0.6</v>
      </c>
      <c r="X181" s="136">
        <f t="shared" si="52"/>
        <v>0.6</v>
      </c>
      <c r="Y181" s="136">
        <f t="shared" si="52"/>
        <v>0.6</v>
      </c>
      <c r="Z181" s="136">
        <f t="shared" si="52"/>
        <v>0.6</v>
      </c>
      <c r="AA181" s="136">
        <f t="shared" si="52"/>
        <v>0.6</v>
      </c>
      <c r="AB181" s="136">
        <f t="shared" si="52"/>
        <v>0.6</v>
      </c>
      <c r="AC181" s="136">
        <f t="shared" si="52"/>
        <v>0.6</v>
      </c>
      <c r="AD181" s="136">
        <f t="shared" si="52"/>
        <v>0.6</v>
      </c>
      <c r="AE181" s="136">
        <f t="shared" si="52"/>
        <v>0.6</v>
      </c>
      <c r="AF181" s="136">
        <f t="shared" si="52"/>
        <v>0.6</v>
      </c>
      <c r="AG181" s="139">
        <v>0.998</v>
      </c>
      <c r="AH181" s="54"/>
      <c r="AI181" s="55"/>
      <c r="AK181" s="56"/>
    </row>
    <row r="182" spans="1:37" x14ac:dyDescent="0.25">
      <c r="A182" s="124" t="s">
        <v>186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0.997</v>
      </c>
      <c r="AH182" s="54"/>
      <c r="AI182" s="55"/>
      <c r="AK182" s="56"/>
    </row>
    <row r="183" spans="1:37" x14ac:dyDescent="0.25">
      <c r="A183" s="124" t="s">
        <v>187</v>
      </c>
      <c r="B183" s="136">
        <f t="shared" si="50"/>
        <v>0.35</v>
      </c>
      <c r="C183" s="137">
        <v>0.35</v>
      </c>
      <c r="D183" s="136">
        <f t="shared" si="51"/>
        <v>0.35</v>
      </c>
      <c r="E183" s="136">
        <f t="shared" si="51"/>
        <v>0.35</v>
      </c>
      <c r="F183" s="136">
        <f t="shared" si="51"/>
        <v>0.35</v>
      </c>
      <c r="G183" s="136">
        <f t="shared" si="51"/>
        <v>0.35</v>
      </c>
      <c r="H183" s="136">
        <f t="shared" si="51"/>
        <v>0.35</v>
      </c>
      <c r="I183" s="136">
        <f t="shared" si="51"/>
        <v>0.35</v>
      </c>
      <c r="J183" s="136">
        <f t="shared" si="51"/>
        <v>0.35</v>
      </c>
      <c r="K183" s="136">
        <f t="shared" si="51"/>
        <v>0.35</v>
      </c>
      <c r="L183" s="136">
        <f t="shared" si="51"/>
        <v>0.35</v>
      </c>
      <c r="M183" s="136">
        <f t="shared" si="51"/>
        <v>0.35</v>
      </c>
      <c r="N183" s="136">
        <f t="shared" si="51"/>
        <v>0.35</v>
      </c>
      <c r="O183" s="136">
        <f t="shared" si="51"/>
        <v>0.35</v>
      </c>
      <c r="P183" s="136">
        <f t="shared" si="51"/>
        <v>0.35</v>
      </c>
      <c r="Q183" s="136">
        <f t="shared" si="51"/>
        <v>0.35</v>
      </c>
      <c r="R183" s="136">
        <f t="shared" si="51"/>
        <v>0.35</v>
      </c>
      <c r="S183" s="136">
        <f t="shared" si="51"/>
        <v>0.35</v>
      </c>
      <c r="T183" s="136">
        <f t="shared" si="52"/>
        <v>0.35</v>
      </c>
      <c r="U183" s="136">
        <f t="shared" si="52"/>
        <v>0.35</v>
      </c>
      <c r="V183" s="136">
        <f t="shared" si="52"/>
        <v>0.35</v>
      </c>
      <c r="W183" s="136">
        <f t="shared" si="52"/>
        <v>0.35</v>
      </c>
      <c r="X183" s="136">
        <f t="shared" si="52"/>
        <v>0.35</v>
      </c>
      <c r="Y183" s="136">
        <f t="shared" si="52"/>
        <v>0.35</v>
      </c>
      <c r="Z183" s="136">
        <f t="shared" si="52"/>
        <v>0.35</v>
      </c>
      <c r="AA183" s="136">
        <f t="shared" si="52"/>
        <v>0.35</v>
      </c>
      <c r="AB183" s="136">
        <f t="shared" si="52"/>
        <v>0.35</v>
      </c>
      <c r="AC183" s="136">
        <f t="shared" si="52"/>
        <v>0.35</v>
      </c>
      <c r="AD183" s="136">
        <f t="shared" si="52"/>
        <v>0.35</v>
      </c>
      <c r="AE183" s="136">
        <f t="shared" si="52"/>
        <v>0.35</v>
      </c>
      <c r="AF183" s="136">
        <f t="shared" si="52"/>
        <v>0.35</v>
      </c>
      <c r="AG183" s="139">
        <v>0.997</v>
      </c>
      <c r="AH183" s="54"/>
      <c r="AI183" s="55"/>
      <c r="AK183" s="56"/>
    </row>
    <row r="184" spans="1:37" x14ac:dyDescent="0.25">
      <c r="A184" s="124" t="s">
        <v>188</v>
      </c>
      <c r="B184" s="136">
        <f t="shared" si="50"/>
        <v>0.28999999999999998</v>
      </c>
      <c r="C184" s="137">
        <v>0.28999999999999998</v>
      </c>
      <c r="D184" s="136">
        <f t="shared" si="51"/>
        <v>0.28999999999999998</v>
      </c>
      <c r="E184" s="136">
        <f t="shared" si="51"/>
        <v>0.28999999999999998</v>
      </c>
      <c r="F184" s="136">
        <f t="shared" si="51"/>
        <v>0.28999999999999998</v>
      </c>
      <c r="G184" s="136">
        <f t="shared" si="51"/>
        <v>0.28999999999999998</v>
      </c>
      <c r="H184" s="136">
        <f t="shared" si="51"/>
        <v>0.28999999999999998</v>
      </c>
      <c r="I184" s="136">
        <f t="shared" si="51"/>
        <v>0.28999999999999998</v>
      </c>
      <c r="J184" s="136">
        <f t="shared" si="51"/>
        <v>0.28999999999999998</v>
      </c>
      <c r="K184" s="136">
        <f t="shared" si="51"/>
        <v>0.28999999999999998</v>
      </c>
      <c r="L184" s="136">
        <f t="shared" si="51"/>
        <v>0.28999999999999998</v>
      </c>
      <c r="M184" s="136">
        <f t="shared" si="51"/>
        <v>0.28999999999999998</v>
      </c>
      <c r="N184" s="136">
        <f t="shared" si="51"/>
        <v>0.28999999999999998</v>
      </c>
      <c r="O184" s="136">
        <f t="shared" si="51"/>
        <v>0.28999999999999998</v>
      </c>
      <c r="P184" s="136">
        <f t="shared" si="51"/>
        <v>0.28999999999999998</v>
      </c>
      <c r="Q184" s="136">
        <f t="shared" si="51"/>
        <v>0.28999999999999998</v>
      </c>
      <c r="R184" s="136">
        <f t="shared" si="51"/>
        <v>0.28999999999999998</v>
      </c>
      <c r="S184" s="136">
        <f t="shared" si="51"/>
        <v>0.28999999999999998</v>
      </c>
      <c r="T184" s="136">
        <f t="shared" si="52"/>
        <v>0.28999999999999998</v>
      </c>
      <c r="U184" s="136">
        <f t="shared" si="52"/>
        <v>0.28999999999999998</v>
      </c>
      <c r="V184" s="136">
        <f t="shared" si="52"/>
        <v>0.28999999999999998</v>
      </c>
      <c r="W184" s="136">
        <f t="shared" si="52"/>
        <v>0.28999999999999998</v>
      </c>
      <c r="X184" s="136">
        <f t="shared" si="52"/>
        <v>0.28999999999999998</v>
      </c>
      <c r="Y184" s="136">
        <f t="shared" si="52"/>
        <v>0.28999999999999998</v>
      </c>
      <c r="Z184" s="136">
        <f t="shared" si="52"/>
        <v>0.28999999999999998</v>
      </c>
      <c r="AA184" s="136">
        <f t="shared" si="52"/>
        <v>0.28999999999999998</v>
      </c>
      <c r="AB184" s="136">
        <f t="shared" si="52"/>
        <v>0.28999999999999998</v>
      </c>
      <c r="AC184" s="136">
        <f t="shared" si="52"/>
        <v>0.28999999999999998</v>
      </c>
      <c r="AD184" s="136">
        <f t="shared" si="52"/>
        <v>0.28999999999999998</v>
      </c>
      <c r="AE184" s="136">
        <f t="shared" si="52"/>
        <v>0.28999999999999998</v>
      </c>
      <c r="AF184" s="136">
        <f t="shared" si="52"/>
        <v>0.28999999999999998</v>
      </c>
      <c r="AG184" s="139">
        <v>0.996</v>
      </c>
      <c r="AH184" s="54"/>
      <c r="AI184" s="55"/>
      <c r="AK184" s="56"/>
    </row>
    <row r="185" spans="1:37" x14ac:dyDescent="0.25">
      <c r="A185" s="124" t="s">
        <v>189</v>
      </c>
      <c r="B185" s="136">
        <f t="shared" si="50"/>
        <v>0.06</v>
      </c>
      <c r="C185" s="137">
        <v>0.06</v>
      </c>
      <c r="D185" s="136">
        <f t="shared" si="51"/>
        <v>0.06</v>
      </c>
      <c r="E185" s="136">
        <f t="shared" si="51"/>
        <v>0.06</v>
      </c>
      <c r="F185" s="136">
        <f t="shared" si="51"/>
        <v>0.06</v>
      </c>
      <c r="G185" s="136">
        <f t="shared" si="51"/>
        <v>0.06</v>
      </c>
      <c r="H185" s="136">
        <f t="shared" si="51"/>
        <v>0.06</v>
      </c>
      <c r="I185" s="136">
        <f t="shared" si="51"/>
        <v>0.06</v>
      </c>
      <c r="J185" s="136">
        <f t="shared" si="51"/>
        <v>0.06</v>
      </c>
      <c r="K185" s="136">
        <f t="shared" si="51"/>
        <v>0.06</v>
      </c>
      <c r="L185" s="136">
        <f t="shared" si="51"/>
        <v>0.06</v>
      </c>
      <c r="M185" s="136">
        <f t="shared" si="51"/>
        <v>0.06</v>
      </c>
      <c r="N185" s="136">
        <f t="shared" si="51"/>
        <v>0.06</v>
      </c>
      <c r="O185" s="136">
        <f t="shared" si="51"/>
        <v>0.06</v>
      </c>
      <c r="P185" s="136">
        <f t="shared" si="51"/>
        <v>0.06</v>
      </c>
      <c r="Q185" s="136">
        <f t="shared" si="51"/>
        <v>0.06</v>
      </c>
      <c r="R185" s="136">
        <f t="shared" si="51"/>
        <v>0.06</v>
      </c>
      <c r="S185" s="136">
        <f t="shared" si="51"/>
        <v>0.06</v>
      </c>
      <c r="T185" s="136">
        <f t="shared" si="52"/>
        <v>0.06</v>
      </c>
      <c r="U185" s="136">
        <f t="shared" si="52"/>
        <v>0.06</v>
      </c>
      <c r="V185" s="136">
        <f t="shared" si="52"/>
        <v>0.06</v>
      </c>
      <c r="W185" s="136">
        <f t="shared" si="52"/>
        <v>0.06</v>
      </c>
      <c r="X185" s="136">
        <f t="shared" si="52"/>
        <v>0.06</v>
      </c>
      <c r="Y185" s="136">
        <f t="shared" si="52"/>
        <v>0.06</v>
      </c>
      <c r="Z185" s="136">
        <f t="shared" si="52"/>
        <v>0.06</v>
      </c>
      <c r="AA185" s="136">
        <f t="shared" si="52"/>
        <v>0.06</v>
      </c>
      <c r="AB185" s="136">
        <f t="shared" si="52"/>
        <v>0.06</v>
      </c>
      <c r="AC185" s="136">
        <f t="shared" si="52"/>
        <v>0.06</v>
      </c>
      <c r="AD185" s="136">
        <f t="shared" si="52"/>
        <v>0.06</v>
      </c>
      <c r="AE185" s="136">
        <f t="shared" si="52"/>
        <v>0.06</v>
      </c>
      <c r="AF185" s="136">
        <f t="shared" si="52"/>
        <v>0.06</v>
      </c>
      <c r="AG185" s="139">
        <v>0.996</v>
      </c>
      <c r="AH185" s="54"/>
      <c r="AI185" s="55"/>
      <c r="AK185" s="56"/>
    </row>
    <row r="186" spans="1:37" x14ac:dyDescent="0.25">
      <c r="A186" s="124" t="s">
        <v>190</v>
      </c>
      <c r="B186" s="136">
        <f t="shared" si="50"/>
        <v>0.11</v>
      </c>
      <c r="C186" s="137">
        <v>0.11</v>
      </c>
      <c r="D186" s="136">
        <f t="shared" si="51"/>
        <v>0.11</v>
      </c>
      <c r="E186" s="136">
        <f t="shared" si="51"/>
        <v>0.11</v>
      </c>
      <c r="F186" s="136">
        <f t="shared" si="51"/>
        <v>0.11</v>
      </c>
      <c r="G186" s="136">
        <f t="shared" si="51"/>
        <v>0.11</v>
      </c>
      <c r="H186" s="136">
        <f t="shared" si="51"/>
        <v>0.11</v>
      </c>
      <c r="I186" s="136">
        <f t="shared" si="51"/>
        <v>0.11</v>
      </c>
      <c r="J186" s="136">
        <f t="shared" si="51"/>
        <v>0.11</v>
      </c>
      <c r="K186" s="136">
        <f t="shared" si="51"/>
        <v>0.11</v>
      </c>
      <c r="L186" s="136">
        <f t="shared" si="51"/>
        <v>0.11</v>
      </c>
      <c r="M186" s="136">
        <f t="shared" si="51"/>
        <v>0.11</v>
      </c>
      <c r="N186" s="136">
        <f t="shared" si="51"/>
        <v>0.11</v>
      </c>
      <c r="O186" s="136">
        <f t="shared" si="51"/>
        <v>0.11</v>
      </c>
      <c r="P186" s="136">
        <f t="shared" si="51"/>
        <v>0.11</v>
      </c>
      <c r="Q186" s="136">
        <f t="shared" si="51"/>
        <v>0.11</v>
      </c>
      <c r="R186" s="136">
        <f t="shared" si="51"/>
        <v>0.11</v>
      </c>
      <c r="S186" s="136">
        <f t="shared" si="51"/>
        <v>0.11</v>
      </c>
      <c r="T186" s="136">
        <f t="shared" si="52"/>
        <v>0.11</v>
      </c>
      <c r="U186" s="136">
        <f t="shared" si="52"/>
        <v>0.11</v>
      </c>
      <c r="V186" s="136">
        <f t="shared" si="52"/>
        <v>0.11</v>
      </c>
      <c r="W186" s="136">
        <f t="shared" si="52"/>
        <v>0.11</v>
      </c>
      <c r="X186" s="136">
        <f t="shared" si="52"/>
        <v>0.11</v>
      </c>
      <c r="Y186" s="136">
        <f t="shared" si="52"/>
        <v>0.11</v>
      </c>
      <c r="Z186" s="136">
        <f t="shared" si="52"/>
        <v>0.11</v>
      </c>
      <c r="AA186" s="136">
        <f t="shared" si="52"/>
        <v>0.11</v>
      </c>
      <c r="AB186" s="136">
        <f t="shared" si="52"/>
        <v>0.11</v>
      </c>
      <c r="AC186" s="136">
        <f t="shared" si="52"/>
        <v>0.11</v>
      </c>
      <c r="AD186" s="136">
        <f t="shared" si="52"/>
        <v>0.11</v>
      </c>
      <c r="AE186" s="136">
        <f t="shared" si="52"/>
        <v>0.11</v>
      </c>
      <c r="AF186" s="136">
        <f t="shared" si="52"/>
        <v>0.11</v>
      </c>
      <c r="AG186" s="139">
        <v>0.996</v>
      </c>
      <c r="AH186" s="54"/>
      <c r="AI186" s="55"/>
      <c r="AK186" s="56"/>
    </row>
    <row r="187" spans="1:37" x14ac:dyDescent="0.25">
      <c r="A187" s="124" t="s">
        <v>191</v>
      </c>
      <c r="B187" s="136">
        <f t="shared" si="50"/>
        <v>0.1</v>
      </c>
      <c r="C187" s="137">
        <v>0.1</v>
      </c>
      <c r="D187" s="136">
        <f t="shared" si="51"/>
        <v>0.1</v>
      </c>
      <c r="E187" s="136">
        <f t="shared" si="51"/>
        <v>0.1</v>
      </c>
      <c r="F187" s="136">
        <f t="shared" si="51"/>
        <v>0.1</v>
      </c>
      <c r="G187" s="136">
        <f t="shared" si="51"/>
        <v>0.1</v>
      </c>
      <c r="H187" s="136">
        <f t="shared" si="51"/>
        <v>0.1</v>
      </c>
      <c r="I187" s="136">
        <f t="shared" si="51"/>
        <v>0.1</v>
      </c>
      <c r="J187" s="136">
        <f t="shared" si="51"/>
        <v>0.1</v>
      </c>
      <c r="K187" s="136">
        <f t="shared" si="51"/>
        <v>0.1</v>
      </c>
      <c r="L187" s="136">
        <f t="shared" si="51"/>
        <v>0.1</v>
      </c>
      <c r="M187" s="136">
        <f t="shared" si="51"/>
        <v>0.1</v>
      </c>
      <c r="N187" s="136">
        <f t="shared" si="51"/>
        <v>0.1</v>
      </c>
      <c r="O187" s="136">
        <f t="shared" si="51"/>
        <v>0.1</v>
      </c>
      <c r="P187" s="136">
        <f t="shared" si="51"/>
        <v>0.1</v>
      </c>
      <c r="Q187" s="136">
        <f t="shared" si="51"/>
        <v>0.1</v>
      </c>
      <c r="R187" s="136">
        <f t="shared" si="51"/>
        <v>0.1</v>
      </c>
      <c r="S187" s="136">
        <f t="shared" si="52"/>
        <v>0.1</v>
      </c>
      <c r="T187" s="136">
        <f t="shared" si="52"/>
        <v>0.1</v>
      </c>
      <c r="U187" s="136">
        <f t="shared" si="52"/>
        <v>0.1</v>
      </c>
      <c r="V187" s="136">
        <f t="shared" si="52"/>
        <v>0.1</v>
      </c>
      <c r="W187" s="136">
        <f t="shared" si="52"/>
        <v>0.1</v>
      </c>
      <c r="X187" s="136">
        <f t="shared" si="52"/>
        <v>0.1</v>
      </c>
      <c r="Y187" s="136">
        <f t="shared" si="52"/>
        <v>0.1</v>
      </c>
      <c r="Z187" s="136">
        <f t="shared" si="52"/>
        <v>0.1</v>
      </c>
      <c r="AA187" s="136">
        <f t="shared" si="52"/>
        <v>0.1</v>
      </c>
      <c r="AB187" s="136">
        <f t="shared" si="52"/>
        <v>0.1</v>
      </c>
      <c r="AC187" s="136">
        <f t="shared" si="52"/>
        <v>0.1</v>
      </c>
      <c r="AD187" s="136">
        <f t="shared" si="52"/>
        <v>0.1</v>
      </c>
      <c r="AE187" s="136">
        <f t="shared" si="52"/>
        <v>0.1</v>
      </c>
      <c r="AF187" s="136">
        <f t="shared" si="52"/>
        <v>0.1</v>
      </c>
      <c r="AG187" s="139">
        <v>0.995</v>
      </c>
      <c r="AH187" s="54"/>
      <c r="AI187" s="55"/>
      <c r="AK187" s="56"/>
    </row>
    <row r="188" spans="1:37" x14ac:dyDescent="0.25">
      <c r="A188" s="124" t="s">
        <v>192</v>
      </c>
      <c r="B188" s="136">
        <f t="shared" si="50"/>
        <v>0.09</v>
      </c>
      <c r="C188" s="137">
        <v>0.09</v>
      </c>
      <c r="D188" s="136">
        <f t="shared" si="51"/>
        <v>0.09</v>
      </c>
      <c r="E188" s="136">
        <f t="shared" si="51"/>
        <v>0.09</v>
      </c>
      <c r="F188" s="136">
        <f t="shared" si="51"/>
        <v>0.09</v>
      </c>
      <c r="G188" s="136">
        <f t="shared" si="51"/>
        <v>0.09</v>
      </c>
      <c r="H188" s="136">
        <f t="shared" si="51"/>
        <v>0.09</v>
      </c>
      <c r="I188" s="136">
        <f t="shared" si="51"/>
        <v>0.09</v>
      </c>
      <c r="J188" s="136">
        <f t="shared" si="51"/>
        <v>0.09</v>
      </c>
      <c r="K188" s="136">
        <f t="shared" si="51"/>
        <v>0.09</v>
      </c>
      <c r="L188" s="136">
        <f t="shared" si="51"/>
        <v>0.09</v>
      </c>
      <c r="M188" s="136">
        <f t="shared" si="51"/>
        <v>0.09</v>
      </c>
      <c r="N188" s="136">
        <f t="shared" si="51"/>
        <v>0.09</v>
      </c>
      <c r="O188" s="136">
        <f t="shared" si="51"/>
        <v>0.09</v>
      </c>
      <c r="P188" s="136">
        <f t="shared" si="51"/>
        <v>0.09</v>
      </c>
      <c r="Q188" s="136">
        <f t="shared" si="51"/>
        <v>0.09</v>
      </c>
      <c r="R188" s="136">
        <f t="shared" si="51"/>
        <v>0.09</v>
      </c>
      <c r="S188" s="136">
        <f t="shared" si="52"/>
        <v>0.09</v>
      </c>
      <c r="T188" s="136">
        <f t="shared" si="52"/>
        <v>0.09</v>
      </c>
      <c r="U188" s="136">
        <f t="shared" si="52"/>
        <v>0.09</v>
      </c>
      <c r="V188" s="136">
        <f t="shared" si="52"/>
        <v>0.09</v>
      </c>
      <c r="W188" s="136">
        <f t="shared" si="52"/>
        <v>0.09</v>
      </c>
      <c r="X188" s="136">
        <f t="shared" si="52"/>
        <v>0.09</v>
      </c>
      <c r="Y188" s="136">
        <f t="shared" si="52"/>
        <v>0.09</v>
      </c>
      <c r="Z188" s="136">
        <f t="shared" si="52"/>
        <v>0.09</v>
      </c>
      <c r="AA188" s="136">
        <f t="shared" si="52"/>
        <v>0.09</v>
      </c>
      <c r="AB188" s="136">
        <f t="shared" si="52"/>
        <v>0.09</v>
      </c>
      <c r="AC188" s="136">
        <f t="shared" si="52"/>
        <v>0.09</v>
      </c>
      <c r="AD188" s="136">
        <f t="shared" si="52"/>
        <v>0.09</v>
      </c>
      <c r="AE188" s="136">
        <f t="shared" si="52"/>
        <v>0.09</v>
      </c>
      <c r="AF188" s="136">
        <f t="shared" si="52"/>
        <v>0.09</v>
      </c>
      <c r="AG188" s="139">
        <v>0.99299999999999999</v>
      </c>
      <c r="AH188" s="54"/>
      <c r="AI188" s="55"/>
      <c r="AK188" s="56"/>
    </row>
    <row r="189" spans="1:37" x14ac:dyDescent="0.25">
      <c r="A189" s="124" t="s">
        <v>193</v>
      </c>
      <c r="B189" s="136">
        <f t="shared" si="50"/>
        <v>0.04</v>
      </c>
      <c r="C189" s="53">
        <v>0.04</v>
      </c>
      <c r="D189" s="136">
        <f t="shared" si="51"/>
        <v>0.04</v>
      </c>
      <c r="E189" s="136">
        <f t="shared" si="51"/>
        <v>0.04</v>
      </c>
      <c r="F189" s="136">
        <f t="shared" si="51"/>
        <v>0.04</v>
      </c>
      <c r="G189" s="136">
        <f t="shared" si="51"/>
        <v>0.04</v>
      </c>
      <c r="H189" s="136">
        <f t="shared" si="51"/>
        <v>0.04</v>
      </c>
      <c r="I189" s="136">
        <f t="shared" si="51"/>
        <v>0.04</v>
      </c>
      <c r="J189" s="136">
        <f t="shared" si="51"/>
        <v>0.04</v>
      </c>
      <c r="K189" s="136">
        <f t="shared" si="51"/>
        <v>0.04</v>
      </c>
      <c r="L189" s="136">
        <f t="shared" si="51"/>
        <v>0.04</v>
      </c>
      <c r="M189" s="136">
        <f t="shared" si="51"/>
        <v>0.04</v>
      </c>
      <c r="N189" s="136">
        <f t="shared" si="51"/>
        <v>0.04</v>
      </c>
      <c r="O189" s="136">
        <f t="shared" si="51"/>
        <v>0.04</v>
      </c>
      <c r="P189" s="136">
        <f t="shared" si="51"/>
        <v>0.04</v>
      </c>
      <c r="Q189" s="136">
        <f t="shared" si="51"/>
        <v>0.04</v>
      </c>
      <c r="R189" s="136">
        <f t="shared" si="51"/>
        <v>0.04</v>
      </c>
      <c r="S189" s="136">
        <f t="shared" si="52"/>
        <v>0.04</v>
      </c>
      <c r="T189" s="136">
        <f t="shared" si="52"/>
        <v>0.04</v>
      </c>
      <c r="U189" s="136">
        <f t="shared" si="52"/>
        <v>0.04</v>
      </c>
      <c r="V189" s="136">
        <f t="shared" si="52"/>
        <v>0.04</v>
      </c>
      <c r="W189" s="136">
        <f t="shared" si="52"/>
        <v>0.04</v>
      </c>
      <c r="X189" s="136">
        <f t="shared" si="52"/>
        <v>0.04</v>
      </c>
      <c r="Y189" s="136">
        <f t="shared" si="52"/>
        <v>0.04</v>
      </c>
      <c r="Z189" s="136">
        <f t="shared" si="52"/>
        <v>0.04</v>
      </c>
      <c r="AA189" s="136">
        <f t="shared" si="52"/>
        <v>0.04</v>
      </c>
      <c r="AB189" s="136">
        <f t="shared" si="52"/>
        <v>0.04</v>
      </c>
      <c r="AC189" s="136">
        <f t="shared" si="52"/>
        <v>0.04</v>
      </c>
      <c r="AD189" s="136">
        <f t="shared" si="52"/>
        <v>0.04</v>
      </c>
      <c r="AE189" s="136">
        <f t="shared" si="52"/>
        <v>0.04</v>
      </c>
      <c r="AF189" s="136">
        <f t="shared" si="52"/>
        <v>0.04</v>
      </c>
      <c r="AG189" s="139">
        <v>0.99</v>
      </c>
      <c r="AH189" s="54"/>
      <c r="AI189" s="55"/>
      <c r="AK189" s="56"/>
    </row>
    <row r="190" spans="1:37" x14ac:dyDescent="0.25">
      <c r="A190" s="124" t="s">
        <v>194</v>
      </c>
      <c r="B190" s="136">
        <f t="shared" si="50"/>
        <v>2.3E-2</v>
      </c>
      <c r="C190" s="53">
        <v>2.3E-2</v>
      </c>
      <c r="D190" s="136">
        <f>C190</f>
        <v>2.3E-2</v>
      </c>
      <c r="E190" s="136">
        <f t="shared" si="51"/>
        <v>2.3E-2</v>
      </c>
      <c r="F190" s="136">
        <f t="shared" si="51"/>
        <v>2.3E-2</v>
      </c>
      <c r="G190" s="136">
        <f t="shared" si="51"/>
        <v>2.3E-2</v>
      </c>
      <c r="H190" s="136">
        <f t="shared" si="51"/>
        <v>2.3E-2</v>
      </c>
      <c r="I190" s="136">
        <f t="shared" si="51"/>
        <v>2.3E-2</v>
      </c>
      <c r="J190" s="136">
        <f t="shared" si="51"/>
        <v>2.3E-2</v>
      </c>
      <c r="K190" s="136">
        <f t="shared" si="51"/>
        <v>2.3E-2</v>
      </c>
      <c r="L190" s="136">
        <f t="shared" si="51"/>
        <v>2.3E-2</v>
      </c>
      <c r="M190" s="136">
        <f t="shared" si="51"/>
        <v>2.3E-2</v>
      </c>
      <c r="N190" s="136">
        <f t="shared" si="51"/>
        <v>2.3E-2</v>
      </c>
      <c r="O190" s="136">
        <f t="shared" si="51"/>
        <v>2.3E-2</v>
      </c>
      <c r="P190" s="136">
        <f t="shared" si="51"/>
        <v>2.3E-2</v>
      </c>
      <c r="Q190" s="136">
        <f t="shared" si="51"/>
        <v>2.3E-2</v>
      </c>
      <c r="R190" s="136">
        <f t="shared" si="51"/>
        <v>2.3E-2</v>
      </c>
      <c r="S190" s="136">
        <f t="shared" si="52"/>
        <v>2.3E-2</v>
      </c>
      <c r="T190" s="136">
        <f t="shared" si="52"/>
        <v>2.3E-2</v>
      </c>
      <c r="U190" s="136">
        <f t="shared" si="52"/>
        <v>2.3E-2</v>
      </c>
      <c r="V190" s="136">
        <f t="shared" si="52"/>
        <v>2.3E-2</v>
      </c>
      <c r="W190" s="136">
        <f t="shared" si="52"/>
        <v>2.3E-2</v>
      </c>
      <c r="X190" s="136">
        <f t="shared" si="52"/>
        <v>2.3E-2</v>
      </c>
      <c r="Y190" s="136">
        <f t="shared" si="52"/>
        <v>2.3E-2</v>
      </c>
      <c r="Z190" s="136">
        <f t="shared" si="52"/>
        <v>2.3E-2</v>
      </c>
      <c r="AA190" s="136">
        <f t="shared" si="52"/>
        <v>2.3E-2</v>
      </c>
      <c r="AB190" s="136">
        <f t="shared" si="52"/>
        <v>2.3E-2</v>
      </c>
      <c r="AC190" s="136">
        <f t="shared" si="52"/>
        <v>2.3E-2</v>
      </c>
      <c r="AD190" s="136">
        <f t="shared" si="52"/>
        <v>2.3E-2</v>
      </c>
      <c r="AE190" s="136">
        <f t="shared" si="52"/>
        <v>2.3E-2</v>
      </c>
      <c r="AF190" s="136">
        <f t="shared" si="52"/>
        <v>2.3E-2</v>
      </c>
      <c r="AG190" s="139">
        <v>0.97899999999999998</v>
      </c>
      <c r="AH190" s="54"/>
      <c r="AI190" s="55"/>
      <c r="AK190" s="56"/>
    </row>
    <row r="191" spans="1:37" ht="15.75" thickBot="1" x14ac:dyDescent="0.3">
      <c r="A191" s="140" t="s">
        <v>195</v>
      </c>
      <c r="B191" s="141">
        <f>SUM(B101:B190)</f>
        <v>192.10600000000005</v>
      </c>
      <c r="C191" s="141">
        <f t="shared" ref="C191:AG191" si="53">SUM(C101:C190)</f>
        <v>194.70600000000002</v>
      </c>
      <c r="D191" s="141">
        <f t="shared" si="53"/>
        <v>194.70600000000002</v>
      </c>
      <c r="E191" s="141">
        <f t="shared" si="53"/>
        <v>194.70600000000002</v>
      </c>
      <c r="F191" s="141">
        <f t="shared" si="53"/>
        <v>194.70600000000002</v>
      </c>
      <c r="G191" s="141">
        <f t="shared" si="53"/>
        <v>194.70600000000002</v>
      </c>
      <c r="H191" s="141">
        <f t="shared" si="53"/>
        <v>194.70600000000002</v>
      </c>
      <c r="I191" s="141">
        <f t="shared" si="53"/>
        <v>194.70600000000002</v>
      </c>
      <c r="J191" s="141">
        <f t="shared" si="53"/>
        <v>192.10600000000005</v>
      </c>
      <c r="K191" s="141">
        <f t="shared" si="53"/>
        <v>192.10600000000005</v>
      </c>
      <c r="L191" s="141">
        <f t="shared" si="53"/>
        <v>192.10600000000005</v>
      </c>
      <c r="M191" s="141">
        <f t="shared" si="53"/>
        <v>192.10600000000005</v>
      </c>
      <c r="N191" s="141">
        <f t="shared" si="53"/>
        <v>192.10600000000005</v>
      </c>
      <c r="O191" s="141">
        <f t="shared" si="53"/>
        <v>192.10600000000005</v>
      </c>
      <c r="P191" s="141">
        <f t="shared" si="53"/>
        <v>192.10600000000005</v>
      </c>
      <c r="Q191" s="141">
        <f t="shared" si="53"/>
        <v>192.10600000000005</v>
      </c>
      <c r="R191" s="141">
        <f t="shared" si="53"/>
        <v>192.10600000000005</v>
      </c>
      <c r="S191" s="141">
        <f t="shared" si="53"/>
        <v>192.10600000000005</v>
      </c>
      <c r="T191" s="141">
        <f t="shared" si="53"/>
        <v>192.10600000000005</v>
      </c>
      <c r="U191" s="141">
        <f t="shared" si="53"/>
        <v>192.10600000000005</v>
      </c>
      <c r="V191" s="141">
        <f t="shared" si="53"/>
        <v>192.10600000000005</v>
      </c>
      <c r="W191" s="141">
        <f t="shared" si="53"/>
        <v>192.10600000000005</v>
      </c>
      <c r="X191" s="141">
        <f t="shared" si="53"/>
        <v>192.10600000000005</v>
      </c>
      <c r="Y191" s="141">
        <f t="shared" si="53"/>
        <v>192.10600000000005</v>
      </c>
      <c r="Z191" s="141">
        <f t="shared" si="53"/>
        <v>192.10600000000005</v>
      </c>
      <c r="AA191" s="141">
        <f t="shared" si="53"/>
        <v>192.10600000000005</v>
      </c>
      <c r="AB191" s="141">
        <f t="shared" si="53"/>
        <v>192.10600000000005</v>
      </c>
      <c r="AC191" s="141">
        <f t="shared" si="53"/>
        <v>192.10600000000005</v>
      </c>
      <c r="AD191" s="141">
        <f t="shared" si="53"/>
        <v>192.10600000000005</v>
      </c>
      <c r="AE191" s="141">
        <f t="shared" si="53"/>
        <v>192.10600000000005</v>
      </c>
      <c r="AF191" s="141">
        <f t="shared" si="53"/>
        <v>192.10600000000005</v>
      </c>
      <c r="AG191" s="142">
        <f t="shared" si="53"/>
        <v>412.72299999999984</v>
      </c>
      <c r="AH191" s="54"/>
      <c r="AI191" s="55"/>
      <c r="AK191" s="56"/>
    </row>
    <row r="192" spans="1:37" ht="15.75" thickBot="1" x14ac:dyDescent="0.3">
      <c r="A192" s="28" t="s">
        <v>59</v>
      </c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54"/>
      <c r="AI192" s="55"/>
      <c r="AK192" s="56"/>
    </row>
    <row r="193" spans="1:37" x14ac:dyDescent="0.25">
      <c r="A193" s="116" t="s">
        <v>196</v>
      </c>
      <c r="B193" s="143">
        <f t="shared" ref="B193:B198" si="54">AF193</f>
        <v>0.3</v>
      </c>
      <c r="C193" s="143">
        <v>0.3</v>
      </c>
      <c r="D193" s="143">
        <f t="shared" ref="D193:S198" si="55">C193</f>
        <v>0.3</v>
      </c>
      <c r="E193" s="143">
        <f t="shared" si="55"/>
        <v>0.3</v>
      </c>
      <c r="F193" s="143">
        <f t="shared" si="55"/>
        <v>0.3</v>
      </c>
      <c r="G193" s="143">
        <f t="shared" si="55"/>
        <v>0.3</v>
      </c>
      <c r="H193" s="143">
        <f t="shared" si="55"/>
        <v>0.3</v>
      </c>
      <c r="I193" s="143">
        <f t="shared" si="55"/>
        <v>0.3</v>
      </c>
      <c r="J193" s="143">
        <f t="shared" si="55"/>
        <v>0.3</v>
      </c>
      <c r="K193" s="143">
        <f t="shared" si="55"/>
        <v>0.3</v>
      </c>
      <c r="L193" s="143">
        <f t="shared" si="55"/>
        <v>0.3</v>
      </c>
      <c r="M193" s="143">
        <f t="shared" si="55"/>
        <v>0.3</v>
      </c>
      <c r="N193" s="143">
        <f t="shared" si="55"/>
        <v>0.3</v>
      </c>
      <c r="O193" s="143">
        <f t="shared" si="55"/>
        <v>0.3</v>
      </c>
      <c r="P193" s="143">
        <f t="shared" si="55"/>
        <v>0.3</v>
      </c>
      <c r="Q193" s="143">
        <f t="shared" si="55"/>
        <v>0.3</v>
      </c>
      <c r="R193" s="143">
        <f t="shared" si="55"/>
        <v>0.3</v>
      </c>
      <c r="S193" s="143">
        <f t="shared" si="55"/>
        <v>0.3</v>
      </c>
      <c r="T193" s="143">
        <f t="shared" ref="T193:AF198" si="56">S193</f>
        <v>0.3</v>
      </c>
      <c r="U193" s="143">
        <f t="shared" si="56"/>
        <v>0.3</v>
      </c>
      <c r="V193" s="143">
        <f t="shared" si="56"/>
        <v>0.3</v>
      </c>
      <c r="W193" s="143">
        <f t="shared" si="56"/>
        <v>0.3</v>
      </c>
      <c r="X193" s="143">
        <f t="shared" si="56"/>
        <v>0.3</v>
      </c>
      <c r="Y193" s="143">
        <f t="shared" si="56"/>
        <v>0.3</v>
      </c>
      <c r="Z193" s="143">
        <f t="shared" si="56"/>
        <v>0.3</v>
      </c>
      <c r="AA193" s="143">
        <f t="shared" si="56"/>
        <v>0.3</v>
      </c>
      <c r="AB193" s="143">
        <f t="shared" si="56"/>
        <v>0.3</v>
      </c>
      <c r="AC193" s="143">
        <f t="shared" si="56"/>
        <v>0.3</v>
      </c>
      <c r="AD193" s="143">
        <f t="shared" si="56"/>
        <v>0.3</v>
      </c>
      <c r="AE193" s="143">
        <f t="shared" si="56"/>
        <v>0.3</v>
      </c>
      <c r="AF193" s="143">
        <f t="shared" si="56"/>
        <v>0.3</v>
      </c>
      <c r="AG193" s="144">
        <v>2.4</v>
      </c>
      <c r="AH193" s="54"/>
      <c r="AI193" s="55"/>
      <c r="AK193" s="56"/>
    </row>
    <row r="194" spans="1:37" x14ac:dyDescent="0.25">
      <c r="A194" s="122" t="s">
        <v>197</v>
      </c>
      <c r="B194" s="136">
        <f t="shared" si="54"/>
        <v>0.4</v>
      </c>
      <c r="C194" s="136">
        <v>0.4</v>
      </c>
      <c r="D194" s="136">
        <f t="shared" si="55"/>
        <v>0.4</v>
      </c>
      <c r="E194" s="136">
        <f t="shared" si="55"/>
        <v>0.4</v>
      </c>
      <c r="F194" s="136">
        <f t="shared" si="55"/>
        <v>0.4</v>
      </c>
      <c r="G194" s="136">
        <f t="shared" si="55"/>
        <v>0.4</v>
      </c>
      <c r="H194" s="136">
        <f t="shared" si="55"/>
        <v>0.4</v>
      </c>
      <c r="I194" s="136">
        <f t="shared" si="55"/>
        <v>0.4</v>
      </c>
      <c r="J194" s="136">
        <f t="shared" si="55"/>
        <v>0.4</v>
      </c>
      <c r="K194" s="136">
        <f t="shared" si="55"/>
        <v>0.4</v>
      </c>
      <c r="L194" s="136">
        <f t="shared" si="55"/>
        <v>0.4</v>
      </c>
      <c r="M194" s="136">
        <f t="shared" si="55"/>
        <v>0.4</v>
      </c>
      <c r="N194" s="136">
        <f t="shared" si="55"/>
        <v>0.4</v>
      </c>
      <c r="O194" s="136">
        <f t="shared" si="55"/>
        <v>0.4</v>
      </c>
      <c r="P194" s="136">
        <f t="shared" si="55"/>
        <v>0.4</v>
      </c>
      <c r="Q194" s="136">
        <f t="shared" si="55"/>
        <v>0.4</v>
      </c>
      <c r="R194" s="136">
        <f t="shared" si="55"/>
        <v>0.4</v>
      </c>
      <c r="S194" s="136">
        <f t="shared" si="55"/>
        <v>0.4</v>
      </c>
      <c r="T194" s="136">
        <f t="shared" si="56"/>
        <v>0.4</v>
      </c>
      <c r="U194" s="136">
        <f t="shared" si="56"/>
        <v>0.4</v>
      </c>
      <c r="V194" s="136">
        <f t="shared" si="56"/>
        <v>0.4</v>
      </c>
      <c r="W194" s="136">
        <f>V194</f>
        <v>0.4</v>
      </c>
      <c r="X194" s="136">
        <f>W194</f>
        <v>0.4</v>
      </c>
      <c r="Y194" s="136">
        <f t="shared" si="56"/>
        <v>0.4</v>
      </c>
      <c r="Z194" s="136">
        <f t="shared" si="56"/>
        <v>0.4</v>
      </c>
      <c r="AA194" s="136">
        <f t="shared" si="56"/>
        <v>0.4</v>
      </c>
      <c r="AB194" s="136">
        <f t="shared" si="56"/>
        <v>0.4</v>
      </c>
      <c r="AC194" s="136">
        <f t="shared" si="56"/>
        <v>0.4</v>
      </c>
      <c r="AD194" s="136">
        <f t="shared" si="56"/>
        <v>0.4</v>
      </c>
      <c r="AE194" s="136">
        <f t="shared" si="56"/>
        <v>0.4</v>
      </c>
      <c r="AF194" s="136">
        <f t="shared" si="56"/>
        <v>0.4</v>
      </c>
      <c r="AG194" s="145">
        <v>2</v>
      </c>
      <c r="AH194" s="54"/>
      <c r="AI194" s="55"/>
      <c r="AK194" s="56"/>
    </row>
    <row r="195" spans="1:37" x14ac:dyDescent="0.25">
      <c r="A195" s="122" t="s">
        <v>198</v>
      </c>
      <c r="B195" s="136">
        <f t="shared" si="54"/>
        <v>1.5</v>
      </c>
      <c r="C195" s="136">
        <v>1.5</v>
      </c>
      <c r="D195" s="136">
        <f t="shared" si="55"/>
        <v>1.5</v>
      </c>
      <c r="E195" s="136">
        <f t="shared" si="55"/>
        <v>1.5</v>
      </c>
      <c r="F195" s="136">
        <f t="shared" si="55"/>
        <v>1.5</v>
      </c>
      <c r="G195" s="136">
        <f t="shared" si="55"/>
        <v>1.5</v>
      </c>
      <c r="H195" s="136">
        <f t="shared" si="55"/>
        <v>1.5</v>
      </c>
      <c r="I195" s="136">
        <f t="shared" si="55"/>
        <v>1.5</v>
      </c>
      <c r="J195" s="136">
        <f t="shared" si="55"/>
        <v>1.5</v>
      </c>
      <c r="K195" s="136">
        <f t="shared" si="55"/>
        <v>1.5</v>
      </c>
      <c r="L195" s="136">
        <f t="shared" si="55"/>
        <v>1.5</v>
      </c>
      <c r="M195" s="136">
        <f t="shared" si="55"/>
        <v>1.5</v>
      </c>
      <c r="N195" s="136">
        <f t="shared" si="55"/>
        <v>1.5</v>
      </c>
      <c r="O195" s="136">
        <f t="shared" si="55"/>
        <v>1.5</v>
      </c>
      <c r="P195" s="136">
        <f t="shared" si="55"/>
        <v>1.5</v>
      </c>
      <c r="Q195" s="136">
        <f t="shared" si="55"/>
        <v>1.5</v>
      </c>
      <c r="R195" s="136">
        <f t="shared" si="55"/>
        <v>1.5</v>
      </c>
      <c r="S195" s="136">
        <f t="shared" si="55"/>
        <v>1.5</v>
      </c>
      <c r="T195" s="136">
        <f t="shared" si="56"/>
        <v>1.5</v>
      </c>
      <c r="U195" s="136">
        <f t="shared" si="56"/>
        <v>1.5</v>
      </c>
      <c r="V195" s="136">
        <f t="shared" si="56"/>
        <v>1.5</v>
      </c>
      <c r="W195" s="136">
        <f t="shared" si="56"/>
        <v>1.5</v>
      </c>
      <c r="X195" s="136">
        <f t="shared" si="56"/>
        <v>1.5</v>
      </c>
      <c r="Y195" s="136">
        <f t="shared" si="56"/>
        <v>1.5</v>
      </c>
      <c r="Z195" s="136">
        <f t="shared" si="56"/>
        <v>1.5</v>
      </c>
      <c r="AA195" s="136">
        <f t="shared" si="56"/>
        <v>1.5</v>
      </c>
      <c r="AB195" s="136">
        <f t="shared" si="56"/>
        <v>1.5</v>
      </c>
      <c r="AC195" s="136">
        <f t="shared" si="56"/>
        <v>1.5</v>
      </c>
      <c r="AD195" s="136">
        <f t="shared" si="56"/>
        <v>1.5</v>
      </c>
      <c r="AE195" s="136">
        <f t="shared" si="56"/>
        <v>1.5</v>
      </c>
      <c r="AF195" s="136">
        <f t="shared" si="56"/>
        <v>1.5</v>
      </c>
      <c r="AG195" s="145">
        <v>1.5</v>
      </c>
      <c r="AH195" s="54"/>
      <c r="AI195" s="55"/>
      <c r="AK195" s="56"/>
    </row>
    <row r="196" spans="1:37" x14ac:dyDescent="0.25">
      <c r="A196" s="122" t="s">
        <v>199</v>
      </c>
      <c r="B196" s="136">
        <f t="shared" si="54"/>
        <v>0.3</v>
      </c>
      <c r="C196" s="136">
        <v>0.3</v>
      </c>
      <c r="D196" s="136">
        <f t="shared" si="55"/>
        <v>0.3</v>
      </c>
      <c r="E196" s="136">
        <f t="shared" si="55"/>
        <v>0.3</v>
      </c>
      <c r="F196" s="136">
        <f t="shared" si="55"/>
        <v>0.3</v>
      </c>
      <c r="G196" s="136">
        <f t="shared" si="55"/>
        <v>0.3</v>
      </c>
      <c r="H196" s="136">
        <f t="shared" si="55"/>
        <v>0.3</v>
      </c>
      <c r="I196" s="136">
        <f t="shared" si="55"/>
        <v>0.3</v>
      </c>
      <c r="J196" s="136">
        <f t="shared" si="55"/>
        <v>0.3</v>
      </c>
      <c r="K196" s="136">
        <f t="shared" si="55"/>
        <v>0.3</v>
      </c>
      <c r="L196" s="136">
        <f t="shared" si="55"/>
        <v>0.3</v>
      </c>
      <c r="M196" s="136">
        <f t="shared" si="55"/>
        <v>0.3</v>
      </c>
      <c r="N196" s="136">
        <f t="shared" si="55"/>
        <v>0.3</v>
      </c>
      <c r="O196" s="136">
        <f t="shared" si="55"/>
        <v>0.3</v>
      </c>
      <c r="P196" s="136">
        <f t="shared" si="55"/>
        <v>0.3</v>
      </c>
      <c r="Q196" s="136">
        <f t="shared" si="55"/>
        <v>0.3</v>
      </c>
      <c r="R196" s="136">
        <f t="shared" si="55"/>
        <v>0.3</v>
      </c>
      <c r="S196" s="136">
        <f t="shared" si="55"/>
        <v>0.3</v>
      </c>
      <c r="T196" s="136">
        <f t="shared" si="56"/>
        <v>0.3</v>
      </c>
      <c r="U196" s="136">
        <f t="shared" si="56"/>
        <v>0.3</v>
      </c>
      <c r="V196" s="136">
        <f t="shared" si="56"/>
        <v>0.3</v>
      </c>
      <c r="W196" s="136">
        <f t="shared" si="56"/>
        <v>0.3</v>
      </c>
      <c r="X196" s="136">
        <f t="shared" si="56"/>
        <v>0.3</v>
      </c>
      <c r="Y196" s="136">
        <f t="shared" si="56"/>
        <v>0.3</v>
      </c>
      <c r="Z196" s="136">
        <f t="shared" si="56"/>
        <v>0.3</v>
      </c>
      <c r="AA196" s="136">
        <f t="shared" si="56"/>
        <v>0.3</v>
      </c>
      <c r="AB196" s="136">
        <f t="shared" si="56"/>
        <v>0.3</v>
      </c>
      <c r="AC196" s="136">
        <f t="shared" si="56"/>
        <v>0.3</v>
      </c>
      <c r="AD196" s="136">
        <f t="shared" si="56"/>
        <v>0.3</v>
      </c>
      <c r="AE196" s="136">
        <f t="shared" si="56"/>
        <v>0.3</v>
      </c>
      <c r="AF196" s="136">
        <f t="shared" si="56"/>
        <v>0.3</v>
      </c>
      <c r="AG196" s="145">
        <v>1</v>
      </c>
      <c r="AH196" s="54"/>
      <c r="AI196" s="55"/>
      <c r="AK196" s="56"/>
    </row>
    <row r="197" spans="1:37" x14ac:dyDescent="0.25">
      <c r="A197" s="122" t="s">
        <v>200</v>
      </c>
      <c r="B197" s="136">
        <f t="shared" si="54"/>
        <v>0.4</v>
      </c>
      <c r="C197" s="136">
        <v>0.4</v>
      </c>
      <c r="D197" s="136">
        <f t="shared" si="55"/>
        <v>0.4</v>
      </c>
      <c r="E197" s="136">
        <f t="shared" si="55"/>
        <v>0.4</v>
      </c>
      <c r="F197" s="136">
        <f t="shared" si="55"/>
        <v>0.4</v>
      </c>
      <c r="G197" s="136">
        <f t="shared" si="55"/>
        <v>0.4</v>
      </c>
      <c r="H197" s="136">
        <f t="shared" si="55"/>
        <v>0.4</v>
      </c>
      <c r="I197" s="136">
        <f t="shared" si="55"/>
        <v>0.4</v>
      </c>
      <c r="J197" s="136">
        <f t="shared" si="55"/>
        <v>0.4</v>
      </c>
      <c r="K197" s="136">
        <f t="shared" si="55"/>
        <v>0.4</v>
      </c>
      <c r="L197" s="136">
        <f t="shared" si="55"/>
        <v>0.4</v>
      </c>
      <c r="M197" s="136">
        <f t="shared" si="55"/>
        <v>0.4</v>
      </c>
      <c r="N197" s="136">
        <f t="shared" si="55"/>
        <v>0.4</v>
      </c>
      <c r="O197" s="136">
        <f t="shared" si="55"/>
        <v>0.4</v>
      </c>
      <c r="P197" s="136">
        <f t="shared" si="55"/>
        <v>0.4</v>
      </c>
      <c r="Q197" s="136">
        <f t="shared" si="55"/>
        <v>0.4</v>
      </c>
      <c r="R197" s="136">
        <f t="shared" si="55"/>
        <v>0.4</v>
      </c>
      <c r="S197" s="136">
        <f t="shared" si="55"/>
        <v>0.4</v>
      </c>
      <c r="T197" s="136">
        <f t="shared" si="56"/>
        <v>0.4</v>
      </c>
      <c r="U197" s="136">
        <f t="shared" si="56"/>
        <v>0.4</v>
      </c>
      <c r="V197" s="136">
        <f t="shared" si="56"/>
        <v>0.4</v>
      </c>
      <c r="W197" s="136">
        <f t="shared" si="56"/>
        <v>0.4</v>
      </c>
      <c r="X197" s="136">
        <f t="shared" si="56"/>
        <v>0.4</v>
      </c>
      <c r="Y197" s="136">
        <f t="shared" si="56"/>
        <v>0.4</v>
      </c>
      <c r="Z197" s="136">
        <f t="shared" si="56"/>
        <v>0.4</v>
      </c>
      <c r="AA197" s="136">
        <f t="shared" si="56"/>
        <v>0.4</v>
      </c>
      <c r="AB197" s="136">
        <f t="shared" si="56"/>
        <v>0.4</v>
      </c>
      <c r="AC197" s="136">
        <f t="shared" si="56"/>
        <v>0.4</v>
      </c>
      <c r="AD197" s="136">
        <f t="shared" si="56"/>
        <v>0.4</v>
      </c>
      <c r="AE197" s="136">
        <f t="shared" si="56"/>
        <v>0.4</v>
      </c>
      <c r="AF197" s="136">
        <f t="shared" si="56"/>
        <v>0.4</v>
      </c>
      <c r="AG197" s="145">
        <v>1</v>
      </c>
      <c r="AH197" s="54"/>
      <c r="AI197" s="55"/>
      <c r="AK197" s="56"/>
    </row>
    <row r="198" spans="1:37" ht="15.75" thickBot="1" x14ac:dyDescent="0.3">
      <c r="A198" s="124" t="s">
        <v>201</v>
      </c>
      <c r="B198" s="146">
        <f t="shared" si="54"/>
        <v>0.64</v>
      </c>
      <c r="C198" s="146">
        <v>0.64</v>
      </c>
      <c r="D198" s="146">
        <f t="shared" si="55"/>
        <v>0.64</v>
      </c>
      <c r="E198" s="146">
        <f t="shared" si="55"/>
        <v>0.64</v>
      </c>
      <c r="F198" s="146">
        <f t="shared" si="55"/>
        <v>0.64</v>
      </c>
      <c r="G198" s="146">
        <f t="shared" si="55"/>
        <v>0.64</v>
      </c>
      <c r="H198" s="146">
        <f t="shared" si="55"/>
        <v>0.64</v>
      </c>
      <c r="I198" s="146">
        <f t="shared" si="55"/>
        <v>0.64</v>
      </c>
      <c r="J198" s="146">
        <f t="shared" si="55"/>
        <v>0.64</v>
      </c>
      <c r="K198" s="146">
        <f t="shared" si="55"/>
        <v>0.64</v>
      </c>
      <c r="L198" s="146">
        <f t="shared" si="55"/>
        <v>0.64</v>
      </c>
      <c r="M198" s="146">
        <f t="shared" si="55"/>
        <v>0.64</v>
      </c>
      <c r="N198" s="146">
        <f t="shared" si="55"/>
        <v>0.64</v>
      </c>
      <c r="O198" s="146">
        <f t="shared" si="55"/>
        <v>0.64</v>
      </c>
      <c r="P198" s="146">
        <f t="shared" si="55"/>
        <v>0.64</v>
      </c>
      <c r="Q198" s="146">
        <f t="shared" si="55"/>
        <v>0.64</v>
      </c>
      <c r="R198" s="146">
        <f t="shared" si="55"/>
        <v>0.64</v>
      </c>
      <c r="S198" s="146">
        <f t="shared" si="55"/>
        <v>0.64</v>
      </c>
      <c r="T198" s="146">
        <f t="shared" si="56"/>
        <v>0.64</v>
      </c>
      <c r="U198" s="146">
        <f t="shared" si="56"/>
        <v>0.64</v>
      </c>
      <c r="V198" s="146">
        <f t="shared" si="56"/>
        <v>0.64</v>
      </c>
      <c r="W198" s="146">
        <f t="shared" si="56"/>
        <v>0.64</v>
      </c>
      <c r="X198" s="146">
        <f t="shared" si="56"/>
        <v>0.64</v>
      </c>
      <c r="Y198" s="146">
        <f t="shared" si="56"/>
        <v>0.64</v>
      </c>
      <c r="Z198" s="146">
        <f t="shared" si="56"/>
        <v>0.64</v>
      </c>
      <c r="AA198" s="146">
        <f t="shared" si="56"/>
        <v>0.64</v>
      </c>
      <c r="AB198" s="146">
        <f t="shared" si="56"/>
        <v>0.64</v>
      </c>
      <c r="AC198" s="146">
        <f t="shared" si="56"/>
        <v>0.64</v>
      </c>
      <c r="AD198" s="146">
        <f t="shared" si="56"/>
        <v>0.64</v>
      </c>
      <c r="AE198" s="146">
        <f t="shared" si="56"/>
        <v>0.64</v>
      </c>
      <c r="AF198" s="146">
        <f t="shared" si="56"/>
        <v>0.64</v>
      </c>
      <c r="AG198" s="147">
        <v>0.66</v>
      </c>
      <c r="AH198" s="54"/>
      <c r="AI198" s="55"/>
    </row>
    <row r="199" spans="1:37" ht="15.75" thickBot="1" x14ac:dyDescent="0.3">
      <c r="A199" s="148" t="s">
        <v>59</v>
      </c>
      <c r="B199" s="149">
        <f>SUM(B193:B198)</f>
        <v>3.54</v>
      </c>
      <c r="C199" s="149">
        <f>SUM(C193:C198)</f>
        <v>3.54</v>
      </c>
      <c r="D199" s="149">
        <f t="shared" ref="D199:L199" si="57">SUM(D193:D198)</f>
        <v>3.54</v>
      </c>
      <c r="E199" s="149">
        <f t="shared" si="57"/>
        <v>3.54</v>
      </c>
      <c r="F199" s="149">
        <f t="shared" si="57"/>
        <v>3.54</v>
      </c>
      <c r="G199" s="149">
        <f t="shared" si="57"/>
        <v>3.54</v>
      </c>
      <c r="H199" s="149">
        <f t="shared" si="57"/>
        <v>3.54</v>
      </c>
      <c r="I199" s="149">
        <f t="shared" si="57"/>
        <v>3.54</v>
      </c>
      <c r="J199" s="149">
        <f t="shared" si="57"/>
        <v>3.54</v>
      </c>
      <c r="K199" s="149">
        <f t="shared" si="57"/>
        <v>3.54</v>
      </c>
      <c r="L199" s="149">
        <f t="shared" si="57"/>
        <v>3.54</v>
      </c>
      <c r="M199" s="149">
        <f>SUM(M193:M198)</f>
        <v>3.54</v>
      </c>
      <c r="N199" s="149">
        <f t="shared" ref="N199:S199" si="58">SUM(N193:N198)</f>
        <v>3.54</v>
      </c>
      <c r="O199" s="149">
        <f t="shared" si="58"/>
        <v>3.54</v>
      </c>
      <c r="P199" s="149">
        <f t="shared" si="58"/>
        <v>3.54</v>
      </c>
      <c r="Q199" s="149">
        <f t="shared" si="58"/>
        <v>3.54</v>
      </c>
      <c r="R199" s="149">
        <f t="shared" si="58"/>
        <v>3.54</v>
      </c>
      <c r="S199" s="149">
        <f t="shared" si="58"/>
        <v>3.54</v>
      </c>
      <c r="T199" s="149">
        <f>SUM(T193:T198)</f>
        <v>3.54</v>
      </c>
      <c r="U199" s="149">
        <f t="shared" ref="U199:AG199" si="59">SUM(U193:U198)</f>
        <v>3.54</v>
      </c>
      <c r="V199" s="149">
        <f t="shared" si="59"/>
        <v>3.54</v>
      </c>
      <c r="W199" s="149">
        <f t="shared" si="59"/>
        <v>3.54</v>
      </c>
      <c r="X199" s="149">
        <f t="shared" si="59"/>
        <v>3.54</v>
      </c>
      <c r="Y199" s="149">
        <f t="shared" si="59"/>
        <v>3.54</v>
      </c>
      <c r="Z199" s="149">
        <f t="shared" si="59"/>
        <v>3.54</v>
      </c>
      <c r="AA199" s="149">
        <f t="shared" si="59"/>
        <v>3.54</v>
      </c>
      <c r="AB199" s="149">
        <f t="shared" si="59"/>
        <v>3.54</v>
      </c>
      <c r="AC199" s="149">
        <f t="shared" si="59"/>
        <v>3.54</v>
      </c>
      <c r="AD199" s="149">
        <f t="shared" si="59"/>
        <v>3.54</v>
      </c>
      <c r="AE199" s="149">
        <f t="shared" si="59"/>
        <v>3.54</v>
      </c>
      <c r="AF199" s="149">
        <f t="shared" si="59"/>
        <v>3.54</v>
      </c>
      <c r="AG199" s="150">
        <f t="shared" si="59"/>
        <v>8.56</v>
      </c>
      <c r="AH199" s="54"/>
      <c r="AI199" s="55"/>
    </row>
    <row r="200" spans="1:37" ht="15.75" thickBot="1" x14ac:dyDescent="0.3"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11"/>
      <c r="AH200" s="47"/>
    </row>
    <row r="201" spans="1:37" x14ac:dyDescent="0.25">
      <c r="A201" s="94" t="s">
        <v>202</v>
      </c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2"/>
      <c r="AG201" s="47"/>
      <c r="AH201" s="54"/>
      <c r="AI201" s="55"/>
    </row>
    <row r="202" spans="1:37" x14ac:dyDescent="0.25">
      <c r="A202" s="153" t="s">
        <v>203</v>
      </c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5"/>
      <c r="AG202" s="156"/>
      <c r="AH202" s="54"/>
      <c r="AI202" s="55"/>
    </row>
    <row r="203" spans="1:37" x14ac:dyDescent="0.25">
      <c r="A203" s="98" t="s">
        <v>204</v>
      </c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8"/>
      <c r="AG203" s="156"/>
      <c r="AH203" s="54"/>
      <c r="AI203" s="55"/>
    </row>
    <row r="204" spans="1:37" x14ac:dyDescent="0.25">
      <c r="A204" s="98" t="s">
        <v>205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ht="15.75" thickBot="1" x14ac:dyDescent="0.3">
      <c r="A205" s="159" t="s">
        <v>206</v>
      </c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  <c r="AE205" s="160"/>
      <c r="AF205" s="161"/>
      <c r="AG205" s="156"/>
      <c r="AH205" s="54"/>
      <c r="AI205" s="55"/>
    </row>
    <row r="206" spans="1:37" x14ac:dyDescent="0.25"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</row>
    <row r="207" spans="1:37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162" t="s">
        <v>207</v>
      </c>
      <c r="B208" s="163">
        <f>MAX(G75:N75)</f>
        <v>1421.1399999999999</v>
      </c>
      <c r="C208" s="164">
        <f>INDEX(G9:N9,1,MATCH(MAX(G75:N75),G75:N75,0))</f>
        <v>0.3125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165" t="str">
        <f ca="1">MID(CELL("filename",C7),FIND("]",CELL("filename",C7))+1,600)</f>
        <v>22</v>
      </c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86" t="s">
        <v>208</v>
      </c>
      <c r="B210" s="186"/>
      <c r="C210" s="47"/>
      <c r="D210" s="165" t="str">
        <f ca="1">"Pie Chart of Daily Peak Demand(Inclusive of Export) of Nepal ("&amp;A4&amp;" "&amp;B4&amp;")"</f>
        <v>Pie Chart of Daily Peak Demand(Inclusive of Export) of Nepal (Nepali Date: 2078/11/22)</v>
      </c>
      <c r="E210" s="47"/>
      <c r="F210" s="47"/>
      <c r="G210" s="165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"Daily Load Curve(Excluding of Export) of Nepal ("&amp;A4&amp;" "&amp;B4&amp;")"</f>
        <v>Daily Load Curve(Excluding of Export) of Nepal (Nepali Date: 2078/11/22)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ht="12.75" customHeight="1" thickBot="1" x14ac:dyDescent="0.3">
      <c r="A211" s="166" t="s">
        <v>7</v>
      </c>
      <c r="B211" s="167"/>
      <c r="C211" s="47"/>
      <c r="D211" s="168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5.75" thickTop="1" x14ac:dyDescent="0.25">
      <c r="A212" s="166" t="s">
        <v>209</v>
      </c>
      <c r="B212" s="16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69" t="s">
        <v>210</v>
      </c>
      <c r="T212" s="170">
        <v>0</v>
      </c>
      <c r="U212" s="171">
        <v>4.1666666666666664E-2</v>
      </c>
      <c r="V212" s="172">
        <v>8.3333333333333301E-2</v>
      </c>
      <c r="W212" s="172">
        <v>0.125</v>
      </c>
      <c r="X212" s="172">
        <v>0.16666666666666699</v>
      </c>
      <c r="Y212" s="172">
        <v>0.20833333333333301</v>
      </c>
      <c r="Z212" s="172">
        <v>0.22916666666666666</v>
      </c>
      <c r="AA212" s="172">
        <v>0.25</v>
      </c>
      <c r="AB212" s="172">
        <v>0.27083333333333331</v>
      </c>
      <c r="AC212" s="172">
        <v>0.29166666666666669</v>
      </c>
      <c r="AD212" s="172">
        <v>0.3125</v>
      </c>
      <c r="AE212" s="173">
        <v>0.33333333333333331</v>
      </c>
      <c r="AF212" s="173">
        <v>0.375</v>
      </c>
      <c r="AG212" s="173">
        <v>0.41666666666666702</v>
      </c>
      <c r="AH212" s="173">
        <v>0.45833333333333298</v>
      </c>
      <c r="AI212" s="173">
        <v>0.5</v>
      </c>
      <c r="AJ212" s="173">
        <v>0.54166666666666696</v>
      </c>
      <c r="AK212" s="173">
        <v>0.58333333333333304</v>
      </c>
      <c r="AL212" s="173">
        <v>0.625</v>
      </c>
      <c r="AM212" s="173">
        <v>0.66666666666666696</v>
      </c>
      <c r="AN212" s="173">
        <v>0.70833333333333304</v>
      </c>
      <c r="AO212" s="173">
        <v>0.72916666666666663</v>
      </c>
      <c r="AP212" s="173">
        <v>0.75</v>
      </c>
      <c r="AQ212" s="173">
        <v>0.77083333333333337</v>
      </c>
      <c r="AR212" s="173">
        <v>0.79166666666666663</v>
      </c>
      <c r="AS212" s="173">
        <v>0.8125</v>
      </c>
      <c r="AT212" s="172">
        <v>0.83333333333333337</v>
      </c>
      <c r="AU212" s="172">
        <v>0.85416666666666663</v>
      </c>
      <c r="AV212" s="172">
        <v>0.875</v>
      </c>
      <c r="AW212" s="172">
        <v>0.91666666666666696</v>
      </c>
      <c r="AX212" s="172">
        <v>0.95833333333333304</v>
      </c>
    </row>
    <row r="213" spans="1:50" x14ac:dyDescent="0.25">
      <c r="A213" s="166" t="s">
        <v>211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 t="s">
        <v>212</v>
      </c>
      <c r="T213" s="174">
        <f t="shared" ref="T213:AX213" si="60">B75</f>
        <v>909.54000000000008</v>
      </c>
      <c r="U213" s="174">
        <f t="shared" si="60"/>
        <v>922.34</v>
      </c>
      <c r="V213" s="174">
        <f t="shared" si="60"/>
        <v>899.24</v>
      </c>
      <c r="W213" s="174">
        <f t="shared" si="60"/>
        <v>918.83999999999992</v>
      </c>
      <c r="X213" s="174">
        <f t="shared" si="60"/>
        <v>908.34</v>
      </c>
      <c r="Y213" s="174">
        <f t="shared" si="60"/>
        <v>932.54000000000008</v>
      </c>
      <c r="Z213" s="174">
        <f t="shared" si="60"/>
        <v>1007.74</v>
      </c>
      <c r="AA213" s="174">
        <f t="shared" si="60"/>
        <v>1120.1399999999999</v>
      </c>
      <c r="AB213" s="174">
        <f t="shared" si="60"/>
        <v>1257.94</v>
      </c>
      <c r="AC213" s="174">
        <f t="shared" si="60"/>
        <v>1356.64</v>
      </c>
      <c r="AD213" s="174">
        <f t="shared" si="60"/>
        <v>1421.1399999999999</v>
      </c>
      <c r="AE213" s="174">
        <f t="shared" si="60"/>
        <v>1418.64</v>
      </c>
      <c r="AF213" s="174">
        <f t="shared" si="60"/>
        <v>1324.54</v>
      </c>
      <c r="AG213" s="174">
        <f t="shared" si="60"/>
        <v>1317.54</v>
      </c>
      <c r="AH213" s="174">
        <f t="shared" si="60"/>
        <v>1265.8400000000001</v>
      </c>
      <c r="AI213" s="174">
        <f t="shared" si="60"/>
        <v>1236.8400000000001</v>
      </c>
      <c r="AJ213" s="174">
        <f t="shared" si="60"/>
        <v>1251.04</v>
      </c>
      <c r="AK213" s="174">
        <f t="shared" si="60"/>
        <v>1258.3399999999999</v>
      </c>
      <c r="AL213" s="174">
        <f t="shared" si="60"/>
        <v>1251.3400000000001</v>
      </c>
      <c r="AM213" s="174">
        <f t="shared" si="60"/>
        <v>1308.04</v>
      </c>
      <c r="AN213" s="174">
        <f t="shared" si="60"/>
        <v>1305.3400000000001</v>
      </c>
      <c r="AO213" s="174">
        <f t="shared" si="60"/>
        <v>1324.64</v>
      </c>
      <c r="AP213" s="174">
        <f t="shared" si="60"/>
        <v>1386.24</v>
      </c>
      <c r="AQ213" s="174">
        <f t="shared" si="60"/>
        <v>1510.3400000000001</v>
      </c>
      <c r="AR213" s="174">
        <f t="shared" si="60"/>
        <v>1562.74</v>
      </c>
      <c r="AS213" s="174">
        <f t="shared" si="60"/>
        <v>1499.8400000000001</v>
      </c>
      <c r="AT213" s="174">
        <f t="shared" si="60"/>
        <v>1348.64</v>
      </c>
      <c r="AU213" s="174">
        <f t="shared" si="60"/>
        <v>1285.44</v>
      </c>
      <c r="AV213" s="174">
        <f t="shared" si="60"/>
        <v>1246.94</v>
      </c>
      <c r="AW213" s="174">
        <f t="shared" si="60"/>
        <v>1075.1399999999999</v>
      </c>
      <c r="AX213" s="174">
        <f t="shared" si="60"/>
        <v>981.04</v>
      </c>
    </row>
    <row r="214" spans="1:50" x14ac:dyDescent="0.25">
      <c r="A214" s="166" t="s">
        <v>213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</row>
    <row r="215" spans="1:50" x14ac:dyDescent="0.25">
      <c r="A215" s="166" t="s">
        <v>214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215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216</v>
      </c>
      <c r="B217" s="175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217</v>
      </c>
      <c r="B218" s="16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4" customFormat="1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4" customFormat="1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4" customFormat="1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</row>
    <row r="228" spans="1:34" customFormat="1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</row>
    <row r="229" spans="1:34" customFormat="1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</row>
    <row r="230" spans="1:34" customFormat="1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</row>
    <row r="231" spans="1:34" customFormat="1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</row>
    <row r="232" spans="1:34" customFormat="1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</row>
    <row r="233" spans="1:34" customFormat="1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</row>
    <row r="234" spans="1:34" customFormat="1" x14ac:dyDescent="0.25">
      <c r="A234" s="176" t="s">
        <v>202</v>
      </c>
      <c r="B234" s="177">
        <f t="shared" ref="B234:AE234" si="61">C198</f>
        <v>0.64</v>
      </c>
      <c r="C234" s="177">
        <f t="shared" si="61"/>
        <v>0.64</v>
      </c>
      <c r="D234" s="177">
        <f t="shared" si="61"/>
        <v>0.64</v>
      </c>
      <c r="E234" s="177">
        <f t="shared" si="61"/>
        <v>0.64</v>
      </c>
      <c r="F234" s="177">
        <f t="shared" si="61"/>
        <v>0.64</v>
      </c>
      <c r="G234" s="177">
        <f t="shared" si="61"/>
        <v>0.64</v>
      </c>
      <c r="H234" s="177">
        <f t="shared" si="61"/>
        <v>0.64</v>
      </c>
      <c r="I234" s="177">
        <f t="shared" si="61"/>
        <v>0.64</v>
      </c>
      <c r="J234" s="177">
        <f t="shared" si="61"/>
        <v>0.64</v>
      </c>
      <c r="K234" s="177">
        <f t="shared" si="61"/>
        <v>0.64</v>
      </c>
      <c r="L234" s="177">
        <f t="shared" si="61"/>
        <v>0.64</v>
      </c>
      <c r="M234" s="177">
        <f t="shared" si="61"/>
        <v>0.64</v>
      </c>
      <c r="N234" s="177">
        <f t="shared" si="61"/>
        <v>0.64</v>
      </c>
      <c r="O234" s="177">
        <f t="shared" si="61"/>
        <v>0.64</v>
      </c>
      <c r="P234" s="177">
        <f t="shared" si="61"/>
        <v>0.64</v>
      </c>
      <c r="Q234" s="177">
        <f t="shared" si="61"/>
        <v>0.64</v>
      </c>
      <c r="R234" s="177">
        <f t="shared" si="61"/>
        <v>0.64</v>
      </c>
      <c r="S234" s="177">
        <f t="shared" si="61"/>
        <v>0.64</v>
      </c>
      <c r="T234" s="177">
        <f t="shared" si="61"/>
        <v>0.64</v>
      </c>
      <c r="U234" s="177">
        <f t="shared" si="61"/>
        <v>0.64</v>
      </c>
      <c r="V234" s="177">
        <f t="shared" si="61"/>
        <v>0.64</v>
      </c>
      <c r="W234" s="177">
        <f t="shared" si="61"/>
        <v>0.64</v>
      </c>
      <c r="X234" s="177">
        <f t="shared" si="61"/>
        <v>0.64</v>
      </c>
      <c r="Y234" s="177">
        <f t="shared" si="61"/>
        <v>0.64</v>
      </c>
      <c r="Z234" s="177">
        <f t="shared" si="61"/>
        <v>0.64</v>
      </c>
      <c r="AA234" s="177">
        <f t="shared" si="61"/>
        <v>0.64</v>
      </c>
      <c r="AB234" s="177">
        <f t="shared" si="61"/>
        <v>0.64</v>
      </c>
      <c r="AC234" s="177">
        <f t="shared" si="61"/>
        <v>0.64</v>
      </c>
      <c r="AD234" s="177">
        <f t="shared" si="61"/>
        <v>0.64</v>
      </c>
      <c r="AE234" s="177">
        <f t="shared" si="61"/>
        <v>0.64</v>
      </c>
      <c r="AF234" s="177">
        <f>B198</f>
        <v>0.64</v>
      </c>
      <c r="AG234" s="47"/>
      <c r="AH234" s="47"/>
    </row>
    <row r="235" spans="1:34" customFormat="1" x14ac:dyDescent="0.25">
      <c r="A235" s="120" t="str">
        <f>A202</f>
        <v>KGA</v>
      </c>
      <c r="B235" s="120" t="str">
        <f>IF(B202&lt;100,"",B202-520)</f>
        <v/>
      </c>
      <c r="C235" s="120" t="str">
        <f t="shared" ref="C235:AF235" si="62">IF(C202&lt;100,"",C202-520)</f>
        <v/>
      </c>
      <c r="D235" s="120" t="str">
        <f t="shared" si="62"/>
        <v/>
      </c>
      <c r="E235" s="120" t="str">
        <f t="shared" si="62"/>
        <v/>
      </c>
      <c r="F235" s="120" t="str">
        <f t="shared" si="62"/>
        <v/>
      </c>
      <c r="G235" s="120" t="str">
        <f t="shared" si="62"/>
        <v/>
      </c>
      <c r="H235" s="120" t="str">
        <f t="shared" si="62"/>
        <v/>
      </c>
      <c r="I235" s="120" t="str">
        <f t="shared" si="62"/>
        <v/>
      </c>
      <c r="J235" s="120" t="str">
        <f t="shared" si="62"/>
        <v/>
      </c>
      <c r="K235" s="120" t="str">
        <f t="shared" si="62"/>
        <v/>
      </c>
      <c r="L235" s="120" t="str">
        <f t="shared" si="62"/>
        <v/>
      </c>
      <c r="M235" s="120" t="str">
        <f t="shared" si="62"/>
        <v/>
      </c>
      <c r="N235" s="120" t="str">
        <f t="shared" si="62"/>
        <v/>
      </c>
      <c r="O235" s="120" t="str">
        <f t="shared" si="62"/>
        <v/>
      </c>
      <c r="P235" s="120" t="str">
        <f t="shared" si="62"/>
        <v/>
      </c>
      <c r="Q235" s="120" t="str">
        <f t="shared" si="62"/>
        <v/>
      </c>
      <c r="R235" s="120" t="str">
        <f t="shared" si="62"/>
        <v/>
      </c>
      <c r="S235" s="120" t="str">
        <f t="shared" si="62"/>
        <v/>
      </c>
      <c r="T235" s="120" t="str">
        <f t="shared" si="62"/>
        <v/>
      </c>
      <c r="U235" s="120" t="str">
        <f t="shared" si="62"/>
        <v/>
      </c>
      <c r="V235" s="120" t="str">
        <f t="shared" si="62"/>
        <v/>
      </c>
      <c r="W235" s="120" t="str">
        <f t="shared" si="62"/>
        <v/>
      </c>
      <c r="X235" s="120" t="str">
        <f t="shared" si="62"/>
        <v/>
      </c>
      <c r="Y235" s="120" t="str">
        <f t="shared" si="62"/>
        <v/>
      </c>
      <c r="Z235" s="120" t="str">
        <f t="shared" si="62"/>
        <v/>
      </c>
      <c r="AA235" s="120" t="str">
        <f t="shared" si="62"/>
        <v/>
      </c>
      <c r="AB235" s="120" t="str">
        <f t="shared" si="62"/>
        <v/>
      </c>
      <c r="AC235" s="120" t="str">
        <f t="shared" si="62"/>
        <v/>
      </c>
      <c r="AD235" s="120" t="str">
        <f t="shared" si="62"/>
        <v/>
      </c>
      <c r="AE235" s="120" t="str">
        <f t="shared" si="62"/>
        <v/>
      </c>
      <c r="AF235" s="120" t="str">
        <f t="shared" si="62"/>
        <v/>
      </c>
      <c r="AG235" s="47"/>
      <c r="AH235" s="47"/>
    </row>
    <row r="236" spans="1:34" customFormat="1" x14ac:dyDescent="0.25">
      <c r="A236" s="120" t="str">
        <f>A203</f>
        <v>MMRS</v>
      </c>
      <c r="B236" s="120" t="str">
        <f t="shared" ref="B236:AF236" si="63">IF(B203&lt;100,"",B203-620)</f>
        <v/>
      </c>
      <c r="C236" s="120" t="str">
        <f t="shared" si="63"/>
        <v/>
      </c>
      <c r="D236" s="120" t="str">
        <f t="shared" si="63"/>
        <v/>
      </c>
      <c r="E236" s="120" t="str">
        <f t="shared" si="63"/>
        <v/>
      </c>
      <c r="F236" s="120" t="str">
        <f t="shared" si="63"/>
        <v/>
      </c>
      <c r="G236" s="120" t="str">
        <f t="shared" si="63"/>
        <v/>
      </c>
      <c r="H236" s="120" t="str">
        <f t="shared" si="63"/>
        <v/>
      </c>
      <c r="I236" s="120" t="str">
        <f t="shared" si="63"/>
        <v/>
      </c>
      <c r="J236" s="120" t="str">
        <f t="shared" si="63"/>
        <v/>
      </c>
      <c r="K236" s="120" t="str">
        <f t="shared" si="63"/>
        <v/>
      </c>
      <c r="L236" s="120" t="str">
        <f t="shared" si="63"/>
        <v/>
      </c>
      <c r="M236" s="120" t="str">
        <f t="shared" si="63"/>
        <v/>
      </c>
      <c r="N236" s="120" t="str">
        <f t="shared" si="63"/>
        <v/>
      </c>
      <c r="O236" s="120" t="str">
        <f t="shared" si="63"/>
        <v/>
      </c>
      <c r="P236" s="120" t="str">
        <f t="shared" si="63"/>
        <v/>
      </c>
      <c r="Q236" s="120" t="str">
        <f t="shared" si="63"/>
        <v/>
      </c>
      <c r="R236" s="120" t="str">
        <f t="shared" si="63"/>
        <v/>
      </c>
      <c r="S236" s="120" t="str">
        <f t="shared" si="63"/>
        <v/>
      </c>
      <c r="T236" s="120" t="str">
        <f t="shared" si="63"/>
        <v/>
      </c>
      <c r="U236" s="120" t="str">
        <f t="shared" si="63"/>
        <v/>
      </c>
      <c r="V236" s="120" t="str">
        <f t="shared" si="63"/>
        <v/>
      </c>
      <c r="W236" s="120" t="str">
        <f t="shared" si="63"/>
        <v/>
      </c>
      <c r="X236" s="120" t="str">
        <f t="shared" si="63"/>
        <v/>
      </c>
      <c r="Y236" s="120" t="str">
        <f t="shared" si="63"/>
        <v/>
      </c>
      <c r="Z236" s="120" t="str">
        <f t="shared" si="63"/>
        <v/>
      </c>
      <c r="AA236" s="120" t="str">
        <f t="shared" si="63"/>
        <v/>
      </c>
      <c r="AB236" s="120" t="str">
        <f t="shared" si="63"/>
        <v/>
      </c>
      <c r="AC236" s="120" t="str">
        <f t="shared" si="63"/>
        <v/>
      </c>
      <c r="AD236" s="120" t="str">
        <f t="shared" si="63"/>
        <v/>
      </c>
      <c r="AE236" s="120" t="str">
        <f t="shared" si="63"/>
        <v/>
      </c>
      <c r="AF236" s="120" t="str">
        <f t="shared" si="63"/>
        <v/>
      </c>
      <c r="AG236" s="47"/>
      <c r="AH236" s="47"/>
    </row>
    <row r="237" spans="1:34" customFormat="1" x14ac:dyDescent="0.25">
      <c r="A237" s="120" t="str">
        <f>A204</f>
        <v>MRS</v>
      </c>
      <c r="B237" s="120" t="str">
        <f t="shared" ref="B237:AF237" si="64">IF(B204&lt;100,"",B204-330)</f>
        <v/>
      </c>
      <c r="C237" s="120" t="str">
        <f t="shared" si="64"/>
        <v/>
      </c>
      <c r="D237" s="120" t="str">
        <f t="shared" si="64"/>
        <v/>
      </c>
      <c r="E237" s="120" t="str">
        <f t="shared" si="64"/>
        <v/>
      </c>
      <c r="F237" s="120" t="str">
        <f t="shared" si="64"/>
        <v/>
      </c>
      <c r="G237" s="120" t="str">
        <f t="shared" si="64"/>
        <v/>
      </c>
      <c r="H237" s="120" t="str">
        <f t="shared" si="64"/>
        <v/>
      </c>
      <c r="I237" s="120" t="str">
        <f t="shared" si="64"/>
        <v/>
      </c>
      <c r="J237" s="120" t="str">
        <f t="shared" si="64"/>
        <v/>
      </c>
      <c r="K237" s="120" t="str">
        <f t="shared" si="64"/>
        <v/>
      </c>
      <c r="L237" s="120" t="str">
        <f t="shared" si="64"/>
        <v/>
      </c>
      <c r="M237" s="120" t="str">
        <f t="shared" si="64"/>
        <v/>
      </c>
      <c r="N237" s="120" t="str">
        <f t="shared" si="64"/>
        <v/>
      </c>
      <c r="O237" s="120" t="str">
        <f t="shared" si="64"/>
        <v/>
      </c>
      <c r="P237" s="120" t="str">
        <f t="shared" si="64"/>
        <v/>
      </c>
      <c r="Q237" s="120" t="str">
        <f t="shared" si="64"/>
        <v/>
      </c>
      <c r="R237" s="120" t="str">
        <f t="shared" si="64"/>
        <v/>
      </c>
      <c r="S237" s="120" t="str">
        <f t="shared" si="64"/>
        <v/>
      </c>
      <c r="T237" s="120" t="str">
        <f t="shared" si="64"/>
        <v/>
      </c>
      <c r="U237" s="120" t="str">
        <f t="shared" si="64"/>
        <v/>
      </c>
      <c r="V237" s="120" t="str">
        <f t="shared" si="64"/>
        <v/>
      </c>
      <c r="W237" s="120" t="str">
        <f t="shared" si="64"/>
        <v/>
      </c>
      <c r="X237" s="120" t="str">
        <f t="shared" si="64"/>
        <v/>
      </c>
      <c r="Y237" s="120" t="str">
        <f t="shared" si="64"/>
        <v/>
      </c>
      <c r="Z237" s="120" t="str">
        <f t="shared" si="64"/>
        <v/>
      </c>
      <c r="AA237" s="120" t="str">
        <f t="shared" si="64"/>
        <v/>
      </c>
      <c r="AB237" s="120" t="str">
        <f t="shared" si="64"/>
        <v/>
      </c>
      <c r="AC237" s="120" t="str">
        <f t="shared" si="64"/>
        <v/>
      </c>
      <c r="AD237" s="120" t="str">
        <f t="shared" si="64"/>
        <v/>
      </c>
      <c r="AE237" s="120" t="str">
        <f t="shared" si="64"/>
        <v/>
      </c>
      <c r="AF237" s="120" t="str">
        <f t="shared" si="64"/>
        <v/>
      </c>
      <c r="AG237" s="47"/>
      <c r="AH237" s="47"/>
    </row>
    <row r="238" spans="1:34" customFormat="1" x14ac:dyDescent="0.25">
      <c r="A238" s="120" t="str">
        <f>A205</f>
        <v>KL 1</v>
      </c>
      <c r="B238" s="120" t="str">
        <f>IF(B205&lt;100,"",B205-1500)</f>
        <v/>
      </c>
      <c r="C238" s="120" t="str">
        <f t="shared" ref="C238:AF238" si="65">IF(C205&lt;100,"",C205-1500)</f>
        <v/>
      </c>
      <c r="D238" s="120" t="str">
        <f t="shared" si="65"/>
        <v/>
      </c>
      <c r="E238" s="120" t="str">
        <f t="shared" si="65"/>
        <v/>
      </c>
      <c r="F238" s="120" t="str">
        <f t="shared" si="65"/>
        <v/>
      </c>
      <c r="G238" s="120" t="str">
        <f t="shared" si="65"/>
        <v/>
      </c>
      <c r="H238" s="120" t="str">
        <f t="shared" si="65"/>
        <v/>
      </c>
      <c r="I238" s="120" t="str">
        <f t="shared" si="65"/>
        <v/>
      </c>
      <c r="J238" s="120" t="str">
        <f t="shared" si="65"/>
        <v/>
      </c>
      <c r="K238" s="120" t="str">
        <f t="shared" si="65"/>
        <v/>
      </c>
      <c r="L238" s="120" t="str">
        <f t="shared" si="65"/>
        <v/>
      </c>
      <c r="M238" s="120" t="str">
        <f t="shared" si="65"/>
        <v/>
      </c>
      <c r="N238" s="120" t="str">
        <f t="shared" si="65"/>
        <v/>
      </c>
      <c r="O238" s="120" t="str">
        <f t="shared" si="65"/>
        <v/>
      </c>
      <c r="P238" s="120" t="str">
        <f t="shared" si="65"/>
        <v/>
      </c>
      <c r="Q238" s="120" t="str">
        <f t="shared" si="65"/>
        <v/>
      </c>
      <c r="R238" s="120" t="str">
        <f t="shared" si="65"/>
        <v/>
      </c>
      <c r="S238" s="120" t="str">
        <f t="shared" si="65"/>
        <v/>
      </c>
      <c r="T238" s="120" t="str">
        <f t="shared" si="65"/>
        <v/>
      </c>
      <c r="U238" s="120" t="str">
        <f t="shared" si="65"/>
        <v/>
      </c>
      <c r="V238" s="120" t="str">
        <f t="shared" si="65"/>
        <v/>
      </c>
      <c r="W238" s="120" t="str">
        <f t="shared" si="65"/>
        <v/>
      </c>
      <c r="X238" s="120" t="str">
        <f t="shared" si="65"/>
        <v/>
      </c>
      <c r="Y238" s="120" t="str">
        <f t="shared" si="65"/>
        <v/>
      </c>
      <c r="Z238" s="120" t="str">
        <f t="shared" si="65"/>
        <v/>
      </c>
      <c r="AA238" s="120" t="str">
        <f t="shared" si="65"/>
        <v/>
      </c>
      <c r="AB238" s="120" t="str">
        <f t="shared" si="65"/>
        <v/>
      </c>
      <c r="AC238" s="120" t="str">
        <f t="shared" si="65"/>
        <v/>
      </c>
      <c r="AD238" s="120" t="str">
        <f t="shared" si="65"/>
        <v/>
      </c>
      <c r="AE238" s="120" t="str">
        <f t="shared" si="65"/>
        <v/>
      </c>
      <c r="AF238" s="120" t="str">
        <f t="shared" si="65"/>
        <v/>
      </c>
      <c r="AG238" s="47"/>
      <c r="AH238" s="47"/>
    </row>
    <row r="239" spans="1:34" customFormat="1" x14ac:dyDescent="0.25"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</row>
    <row r="240" spans="1:34" customFormat="1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</row>
    <row r="241" spans="2:34" customFormat="1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</row>
    <row r="242" spans="2:34" customFormat="1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</row>
    <row r="243" spans="2:34" customFormat="1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</row>
    <row r="244" spans="2:34" customFormat="1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</row>
    <row r="245" spans="2:34" customFormat="1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</row>
    <row r="469" spans="36:38" x14ac:dyDescent="0.25">
      <c r="AK469" s="1"/>
    </row>
    <row r="470" spans="36:38" x14ac:dyDescent="0.25">
      <c r="AK470" s="1"/>
      <c r="AL470" s="1"/>
    </row>
    <row r="471" spans="36:38" x14ac:dyDescent="0.25">
      <c r="AJ471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0:B210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P39:R39 P40:Q42 X85:AA91 AB81:AF81 B81:R81 C56:AF56 B82:AF83 D193:AF199 B193:B199 C68:AF72 B84:B91 B73:AF80 B9:AF10 B191:AF191 AG73 AB94:AF99 B94:B99 U212:AF212 B53:B72 C53:E55 B36:L36 M39:P42 C57:P67 Q36:R37 S58:W59 Q58:R67 R39:W42 U40:Y42 N45:Y48 Y11:AD11 Z16:AA31 Z12:AD14 Z40:AE43 AB84:AF91 AB16:AE26 AE11:AE14 AB28:AF31 AF18:AF26 S36:AF36 M53:AF55 AF57:AF67">
    <cfRule type="expression" dxfId="2877" priority="274">
      <formula>B$9&gt;=20/24</formula>
    </cfRule>
    <cfRule type="expression" dxfId="2876" priority="275">
      <formula>AND(B$9&gt;=14/24,B$9&lt;20/24)</formula>
    </cfRule>
    <cfRule type="expression" dxfId="2875" priority="276">
      <formula>AND(B$9&gt;=8/24,B$9&lt;14/24)</formula>
    </cfRule>
    <cfRule type="expression" dxfId="2874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Q57:R57">
    <cfRule type="expression" dxfId="2873" priority="269">
      <formula>Q$9&gt;=20/24</formula>
    </cfRule>
    <cfRule type="expression" dxfId="2872" priority="270">
      <formula>AND(Q$9&gt;=14/24,Q$9&lt;20/24)</formula>
    </cfRule>
    <cfRule type="expression" dxfId="2871" priority="271">
      <formula>AND(Q$9&gt;=8/24,Q$9&lt;14/24)</formula>
    </cfRule>
    <cfRule type="expression" dxfId="2870" priority="272">
      <formula>Q$9&lt;8/24</formula>
    </cfRule>
  </conditionalFormatting>
  <conditionalFormatting sqref="M43:Y43">
    <cfRule type="expression" dxfId="2869" priority="265">
      <formula>M$9&gt;=20/24</formula>
    </cfRule>
    <cfRule type="expression" dxfId="2868" priority="266">
      <formula>AND(M$9&gt;=14/24,M$9&lt;20/24)</formula>
    </cfRule>
    <cfRule type="expression" dxfId="2867" priority="267">
      <formula>AND(M$9&gt;=8/24,M$9&lt;14/24)</formula>
    </cfRule>
    <cfRule type="expression" dxfId="2866" priority="268">
      <formula>M$9&lt;8/24</formula>
    </cfRule>
  </conditionalFormatting>
  <conditionalFormatting sqref="Z32:AF32">
    <cfRule type="expression" dxfId="2865" priority="261">
      <formula>Z$9&gt;=20/24</formula>
    </cfRule>
    <cfRule type="expression" dxfId="2864" priority="262">
      <formula>AND(Z$9&gt;=14/24,Z$9&lt;20/24)</formula>
    </cfRule>
    <cfRule type="expression" dxfId="2863" priority="263">
      <formula>AND(Z$9&gt;=8/24,Z$9&lt;14/24)</formula>
    </cfRule>
    <cfRule type="expression" dxfId="2862" priority="264">
      <formula>Z$9&lt;8/24</formula>
    </cfRule>
  </conditionalFormatting>
  <conditionalFormatting sqref="S39:AE39">
    <cfRule type="expression" dxfId="2861" priority="257">
      <formula>S$9&gt;=20/24</formula>
    </cfRule>
    <cfRule type="expression" dxfId="2860" priority="258">
      <formula>AND(S$9&gt;=14/24,S$9&lt;20/24)</formula>
    </cfRule>
    <cfRule type="expression" dxfId="2859" priority="259">
      <formula>AND(S$9&gt;=8/24,S$9&lt;14/24)</formula>
    </cfRule>
    <cfRule type="expression" dxfId="2858" priority="260">
      <formula>S$9&lt;8/24</formula>
    </cfRule>
  </conditionalFormatting>
  <conditionalFormatting sqref="S57:AE57">
    <cfRule type="expression" dxfId="2857" priority="253">
      <formula>S$9&gt;=20/24</formula>
    </cfRule>
    <cfRule type="expression" dxfId="2856" priority="254">
      <formula>AND(S$9&gt;=14/24,S$9&lt;20/24)</formula>
    </cfRule>
    <cfRule type="expression" dxfId="2855" priority="255">
      <formula>AND(S$9&gt;=8/24,S$9&lt;14/24)</formula>
    </cfRule>
    <cfRule type="expression" dxfId="2854" priority="256">
      <formula>S$9&lt;8/24</formula>
    </cfRule>
  </conditionalFormatting>
  <conditionalFormatting sqref="S81:AA81">
    <cfRule type="expression" dxfId="2853" priority="249">
      <formula>S$9&gt;=20/24</formula>
    </cfRule>
    <cfRule type="expression" dxfId="2852" priority="250">
      <formula>AND(S$9&gt;=14/24,S$9&lt;20/24)</formula>
    </cfRule>
    <cfRule type="expression" dxfId="2851" priority="251">
      <formula>AND(S$9&gt;=8/24,S$9&lt;14/24)</formula>
    </cfRule>
    <cfRule type="expression" dxfId="2850" priority="252">
      <formula>S$9&lt;8/24</formula>
    </cfRule>
  </conditionalFormatting>
  <conditionalFormatting sqref="U84:AA84">
    <cfRule type="expression" dxfId="2849" priority="245">
      <formula>U$9&gt;=20/24</formula>
    </cfRule>
    <cfRule type="expression" dxfId="2848" priority="246">
      <formula>AND(U$9&gt;=14/24,U$9&lt;20/24)</formula>
    </cfRule>
    <cfRule type="expression" dxfId="2847" priority="247">
      <formula>AND(U$9&gt;=8/24,U$9&lt;14/24)</formula>
    </cfRule>
    <cfRule type="expression" dxfId="2846" priority="248">
      <formula>U$9&lt;8/24</formula>
    </cfRule>
  </conditionalFormatting>
  <conditionalFormatting sqref="M49:Y49">
    <cfRule type="expression" dxfId="2845" priority="237">
      <formula>M$9&gt;=20/24</formula>
    </cfRule>
    <cfRule type="expression" dxfId="2844" priority="238">
      <formula>AND(M$9&gt;=14/24,M$9&lt;20/24)</formula>
    </cfRule>
    <cfRule type="expression" dxfId="2843" priority="239">
      <formula>AND(M$9&gt;=8/24,M$9&lt;14/24)</formula>
    </cfRule>
    <cfRule type="expression" dxfId="2842" priority="240">
      <formula>M$9&lt;8/24</formula>
    </cfRule>
  </conditionalFormatting>
  <conditionalFormatting sqref="M50:Y50">
    <cfRule type="expression" dxfId="2841" priority="233">
      <formula>M$9&gt;=20/24</formula>
    </cfRule>
    <cfRule type="expression" dxfId="2840" priority="234">
      <formula>AND(M$9&gt;=14/24,M$9&lt;20/24)</formula>
    </cfRule>
    <cfRule type="expression" dxfId="2839" priority="235">
      <formula>AND(M$9&gt;=8/24,M$9&lt;14/24)</formula>
    </cfRule>
    <cfRule type="expression" dxfId="2838" priority="236">
      <formula>M$9&lt;8/24</formula>
    </cfRule>
  </conditionalFormatting>
  <conditionalFormatting sqref="M45:Y48">
    <cfRule type="expression" dxfId="2837" priority="229">
      <formula>M$9&gt;=20/24</formula>
    </cfRule>
    <cfRule type="expression" dxfId="2836" priority="230">
      <formula>AND(M$9&gt;=14/24,M$9&lt;20/24)</formula>
    </cfRule>
    <cfRule type="expression" dxfId="2835" priority="231">
      <formula>AND(M$9&gt;=8/24,M$9&lt;14/24)</formula>
    </cfRule>
    <cfRule type="expression" dxfId="2834" priority="232">
      <formula>M$9&lt;8/24</formula>
    </cfRule>
  </conditionalFormatting>
  <conditionalFormatting sqref="S37:AF37">
    <cfRule type="expression" dxfId="2833" priority="225">
      <formula>S$9&gt;=20/24</formula>
    </cfRule>
    <cfRule type="expression" dxfId="2832" priority="226">
      <formula>AND(S$9&gt;=14/24,S$9&lt;20/24)</formula>
    </cfRule>
    <cfRule type="expression" dxfId="2831" priority="227">
      <formula>AND(S$9&gt;=8/24,S$9&lt;14/24)</formula>
    </cfRule>
    <cfRule type="expression" dxfId="2830" priority="228">
      <formula>S$9&lt;8/24</formula>
    </cfRule>
  </conditionalFormatting>
  <conditionalFormatting sqref="Z35:AF35">
    <cfRule type="expression" dxfId="2829" priority="221">
      <formula>Z$9&gt;=20/24</formula>
    </cfRule>
    <cfRule type="expression" dxfId="2828" priority="222">
      <formula>AND(Z$9&gt;=14/24,Z$9&lt;20/24)</formula>
    </cfRule>
    <cfRule type="expression" dxfId="2827" priority="223">
      <formula>AND(Z$9&gt;=8/24,Z$9&lt;14/24)</formula>
    </cfRule>
    <cfRule type="expression" dxfId="2826" priority="224">
      <formula>Z$9&lt;8/24</formula>
    </cfRule>
  </conditionalFormatting>
  <conditionalFormatting sqref="S42:Y43 S45:AE48 AF46:AF48">
    <cfRule type="expression" dxfId="2825" priority="217">
      <formula>S$9&gt;=20/24</formula>
    </cfRule>
    <cfRule type="expression" dxfId="2824" priority="218">
      <formula>AND(S$9&gt;=14/24,S$9&lt;20/24)</formula>
    </cfRule>
    <cfRule type="expression" dxfId="2823" priority="219">
      <formula>AND(S$9&gt;=8/24,S$9&lt;14/24)</formula>
    </cfRule>
    <cfRule type="expression" dxfId="2822" priority="220">
      <formula>S$9&lt;8/24</formula>
    </cfRule>
  </conditionalFormatting>
  <conditionalFormatting sqref="S49:AF49">
    <cfRule type="expression" dxfId="2821" priority="213">
      <formula>S$9&gt;=20/24</formula>
    </cfRule>
    <cfRule type="expression" dxfId="2820" priority="214">
      <formula>AND(S$9&gt;=14/24,S$9&lt;20/24)</formula>
    </cfRule>
    <cfRule type="expression" dxfId="2819" priority="215">
      <formula>AND(S$9&gt;=8/24,S$9&lt;14/24)</formula>
    </cfRule>
    <cfRule type="expression" dxfId="2818" priority="216">
      <formula>S$9&lt;8/24</formula>
    </cfRule>
  </conditionalFormatting>
  <conditionalFormatting sqref="S50:AF50">
    <cfRule type="expression" dxfId="2817" priority="209">
      <formula>S$9&gt;=20/24</formula>
    </cfRule>
    <cfRule type="expression" dxfId="2816" priority="210">
      <formula>AND(S$9&gt;=14/24,S$9&lt;20/24)</formula>
    </cfRule>
    <cfRule type="expression" dxfId="2815" priority="211">
      <formula>AND(S$9&gt;=8/24,S$9&lt;14/24)</formula>
    </cfRule>
    <cfRule type="expression" dxfId="2814" priority="212">
      <formula>S$9&lt;8/24</formula>
    </cfRule>
  </conditionalFormatting>
  <conditionalFormatting sqref="S60:T67 U62:U67 X60:AE67">
    <cfRule type="expression" dxfId="2813" priority="205">
      <formula>S$9&gt;=20/24</formula>
    </cfRule>
    <cfRule type="expression" dxfId="2812" priority="206">
      <formula>AND(S$9&gt;=14/24,S$9&lt;20/24)</formula>
    </cfRule>
    <cfRule type="expression" dxfId="2811" priority="207">
      <formula>AND(S$9&gt;=8/24,S$9&lt;14/24)</formula>
    </cfRule>
    <cfRule type="expression" dxfId="2810" priority="208">
      <formula>S$9&lt;8/24</formula>
    </cfRule>
  </conditionalFormatting>
  <conditionalFormatting sqref="U94:AA97">
    <cfRule type="expression" dxfId="2809" priority="197">
      <formula>U$9&gt;=20/24</formula>
    </cfRule>
    <cfRule type="expression" dxfId="2808" priority="198">
      <formula>AND(U$9&gt;=14/24,U$9&lt;20/24)</formula>
    </cfRule>
    <cfRule type="expression" dxfId="2807" priority="199">
      <formula>AND(U$9&gt;=8/24,U$9&lt;14/24)</formula>
    </cfRule>
    <cfRule type="expression" dxfId="2806" priority="200">
      <formula>U$9&lt;8/24</formula>
    </cfRule>
  </conditionalFormatting>
  <conditionalFormatting sqref="AG51 B11:L32 B34:L37 S37:AB37 Q36:R37 S36:Y36 Y11:AD11 Z34:AB36 Z12:AD32 AC34:AF37 AE11:AF32 B38:AF56">
    <cfRule type="expression" dxfId="2805" priority="196">
      <formula>B11&gt;$AG11</formula>
    </cfRule>
  </conditionalFormatting>
  <conditionalFormatting sqref="A100:A156 A84:A97 A11:A14 A16:A32 A45:A72 A80:A82 A74:A78 A35:A43 A169:A199">
    <cfRule type="expression" dxfId="2804" priority="195">
      <formula>$AH11=0</formula>
    </cfRule>
  </conditionalFormatting>
  <conditionalFormatting sqref="U98:AA98">
    <cfRule type="expression" dxfId="2803" priority="191">
      <formula>U$9&gt;=20/24</formula>
    </cfRule>
    <cfRule type="expression" dxfId="2802" priority="192">
      <formula>AND(U$9&gt;=14/24,U$9&lt;20/24)</formula>
    </cfRule>
    <cfRule type="expression" dxfId="2801" priority="193">
      <formula>AND(U$9&gt;=8/24,U$9&lt;14/24)</formula>
    </cfRule>
    <cfRule type="expression" dxfId="2800" priority="194">
      <formula>U$9&lt;8/24</formula>
    </cfRule>
  </conditionalFormatting>
  <conditionalFormatting sqref="A98">
    <cfRule type="expression" dxfId="2799" priority="190">
      <formula>$AH98=0</formula>
    </cfRule>
  </conditionalFormatting>
  <conditionalFormatting sqref="Z15:AE15">
    <cfRule type="expression" dxfId="2798" priority="159">
      <formula>Z$9&gt;=20/24</formula>
    </cfRule>
    <cfRule type="expression" dxfId="2797" priority="160">
      <formula>AND(Z$9&gt;=14/24,Z$9&lt;20/24)</formula>
    </cfRule>
    <cfRule type="expression" dxfId="2796" priority="161">
      <formula>AND(Z$9&gt;=8/24,Z$9&lt;14/24)</formula>
    </cfRule>
    <cfRule type="expression" dxfId="2795" priority="162">
      <formula>Z$9&lt;8/24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2794" priority="173">
      <formula>Z$9&gt;=20/24</formula>
    </cfRule>
    <cfRule type="expression" dxfId="2793" priority="174">
      <formula>AND(Z$9&gt;=14/24,Z$9&lt;20/24)</formula>
    </cfRule>
    <cfRule type="expression" dxfId="2792" priority="175">
      <formula>AND(Z$9&gt;=8/24,Z$9&lt;14/24)</formula>
    </cfRule>
    <cfRule type="expression" dxfId="2791" priority="176">
      <formula>Z$9&lt;8/24</formula>
    </cfRule>
  </conditionalFormatting>
  <conditionalFormatting sqref="A34">
    <cfRule type="expression" dxfId="2790" priority="164">
      <formula>$AH34=0</formula>
    </cfRule>
  </conditionalFormatting>
  <conditionalFormatting sqref="A83">
    <cfRule type="expression" dxfId="2789" priority="163">
      <formula>$AH83=0</formula>
    </cfRule>
  </conditionalFormatting>
  <conditionalFormatting sqref="A15">
    <cfRule type="expression" dxfId="2788" priority="153">
      <formula>$AH15=0</formula>
    </cfRule>
  </conditionalFormatting>
  <conditionalFormatting sqref="A163:A168">
    <cfRule type="expression" dxfId="2787" priority="152">
      <formula>$AH163=0</formula>
    </cfRule>
  </conditionalFormatting>
  <conditionalFormatting sqref="A157:A162">
    <cfRule type="expression" dxfId="2786" priority="151">
      <formula>$AH157=0</formula>
    </cfRule>
  </conditionalFormatting>
  <conditionalFormatting sqref="Z44:AE44">
    <cfRule type="expression" dxfId="2785" priority="147">
      <formula>Z$9&gt;=20/24</formula>
    </cfRule>
    <cfRule type="expression" dxfId="2784" priority="148">
      <formula>AND(Z$9&gt;=14/24,Z$9&lt;20/24)</formula>
    </cfRule>
    <cfRule type="expression" dxfId="2783" priority="149">
      <formula>AND(Z$9&gt;=8/24,Z$9&lt;14/24)</formula>
    </cfRule>
    <cfRule type="expression" dxfId="2782" priority="150">
      <formula>Z$9&lt;8/24</formula>
    </cfRule>
  </conditionalFormatting>
  <conditionalFormatting sqref="M44:Y44">
    <cfRule type="expression" dxfId="2781" priority="143">
      <formula>M$9&gt;=20/24</formula>
    </cfRule>
    <cfRule type="expression" dxfId="2780" priority="144">
      <formula>AND(M$9&gt;=14/24,M$9&lt;20/24)</formula>
    </cfRule>
    <cfRule type="expression" dxfId="2779" priority="145">
      <formula>AND(M$9&gt;=8/24,M$9&lt;14/24)</formula>
    </cfRule>
    <cfRule type="expression" dxfId="2778" priority="146">
      <formula>M$9&lt;8/24</formula>
    </cfRule>
  </conditionalFormatting>
  <conditionalFormatting sqref="S44:Y44">
    <cfRule type="expression" dxfId="2777" priority="139">
      <formula>S$9&gt;=20/24</formula>
    </cfRule>
    <cfRule type="expression" dxfId="2776" priority="140">
      <formula>AND(S$9&gt;=14/24,S$9&lt;20/24)</formula>
    </cfRule>
    <cfRule type="expression" dxfId="2775" priority="141">
      <formula>AND(S$9&gt;=8/24,S$9&lt;14/24)</formula>
    </cfRule>
    <cfRule type="expression" dxfId="2774" priority="142">
      <formula>S$9&lt;8/24</formula>
    </cfRule>
  </conditionalFormatting>
  <conditionalFormatting sqref="A44">
    <cfRule type="expression" dxfId="2773" priority="138">
      <formula>$AH44=0</formula>
    </cfRule>
  </conditionalFormatting>
  <conditionalFormatting sqref="A79">
    <cfRule type="expression" dxfId="2772" priority="137">
      <formula>$AH79=0</formula>
    </cfRule>
  </conditionalFormatting>
  <conditionalFormatting sqref="A73">
    <cfRule type="expression" dxfId="2771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 V62:W67">
    <cfRule type="expression" dxfId="2770" priority="132">
      <formula>U$9&gt;=20/24</formula>
    </cfRule>
    <cfRule type="expression" dxfId="2769" priority="133">
      <formula>AND(U$9&gt;=14/24,U$9&lt;20/24)</formula>
    </cfRule>
    <cfRule type="expression" dxfId="2768" priority="134">
      <formula>AND(U$9&gt;=8/24,U$9&lt;14/24)</formula>
    </cfRule>
    <cfRule type="expression" dxfId="2767" priority="135">
      <formula>U$9&lt;8/24</formula>
    </cfRule>
  </conditionalFormatting>
  <conditionalFormatting sqref="U85:W91">
    <cfRule type="expression" dxfId="2766" priority="128">
      <formula>U$9&gt;=20/24</formula>
    </cfRule>
    <cfRule type="expression" dxfId="2765" priority="129">
      <formula>AND(U$9&gt;=14/24,U$9&lt;20/24)</formula>
    </cfRule>
    <cfRule type="expression" dxfId="2764" priority="130">
      <formula>AND(U$9&gt;=8/24,U$9&lt;14/24)</formula>
    </cfRule>
    <cfRule type="expression" dxfId="2763" priority="131">
      <formula>U$9&lt;8/24</formula>
    </cfRule>
  </conditionalFormatting>
  <conditionalFormatting sqref="S85:T91 C84:R91">
    <cfRule type="expression" dxfId="2762" priority="124">
      <formula>C$9&gt;=20/24</formula>
    </cfRule>
    <cfRule type="expression" dxfId="2761" priority="125">
      <formula>AND(C$9&gt;=14/24,C$9&lt;20/24)</formula>
    </cfRule>
    <cfRule type="expression" dxfId="2760" priority="126">
      <formula>AND(C$9&gt;=8/24,C$9&lt;14/24)</formula>
    </cfRule>
    <cfRule type="expression" dxfId="2759" priority="127">
      <formula>C$9&lt;8/24</formula>
    </cfRule>
  </conditionalFormatting>
  <conditionalFormatting sqref="S84:T84">
    <cfRule type="expression" dxfId="2758" priority="120">
      <formula>S$9&gt;=20/24</formula>
    </cfRule>
    <cfRule type="expression" dxfId="2757" priority="121">
      <formula>AND(S$9&gt;=14/24,S$9&lt;20/24)</formula>
    </cfRule>
    <cfRule type="expression" dxfId="2756" priority="122">
      <formula>AND(S$9&gt;=8/24,S$9&lt;14/24)</formula>
    </cfRule>
    <cfRule type="expression" dxfId="2755" priority="123">
      <formula>S$9&lt;8/24</formula>
    </cfRule>
  </conditionalFormatting>
  <conditionalFormatting sqref="C94:F94 C95:O97">
    <cfRule type="expression" dxfId="2754" priority="116">
      <formula>C$9&gt;=20/24</formula>
    </cfRule>
    <cfRule type="expression" dxfId="2753" priority="117">
      <formula>AND(C$9&gt;=14/24,C$9&lt;20/24)</formula>
    </cfRule>
    <cfRule type="expression" dxfId="2752" priority="118">
      <formula>AND(C$9&gt;=8/24,C$9&lt;14/24)</formula>
    </cfRule>
    <cfRule type="expression" dxfId="2751" priority="119">
      <formula>C$9&lt;8/24</formula>
    </cfRule>
  </conditionalFormatting>
  <conditionalFormatting sqref="P94:R97">
    <cfRule type="expression" dxfId="2750" priority="112">
      <formula>P$9&gt;=20/24</formula>
    </cfRule>
    <cfRule type="expression" dxfId="2749" priority="113">
      <formula>AND(P$9&gt;=14/24,P$9&lt;20/24)</formula>
    </cfRule>
    <cfRule type="expression" dxfId="2748" priority="114">
      <formula>AND(P$9&gt;=8/24,P$9&lt;14/24)</formula>
    </cfRule>
    <cfRule type="expression" dxfId="2747" priority="115">
      <formula>P$9&lt;8/24</formula>
    </cfRule>
  </conditionalFormatting>
  <conditionalFormatting sqref="S94:T97">
    <cfRule type="expression" dxfId="2746" priority="108">
      <formula>S$9&gt;=20/24</formula>
    </cfRule>
    <cfRule type="expression" dxfId="2745" priority="109">
      <formula>AND(S$9&gt;=14/24,S$9&lt;20/24)</formula>
    </cfRule>
    <cfRule type="expression" dxfId="2744" priority="110">
      <formula>AND(S$9&gt;=8/24,S$9&lt;14/24)</formula>
    </cfRule>
    <cfRule type="expression" dxfId="2743" priority="111">
      <formula>S$9&lt;8/24</formula>
    </cfRule>
  </conditionalFormatting>
  <conditionalFormatting sqref="C98:O98">
    <cfRule type="expression" dxfId="2742" priority="104">
      <formula>C$9&gt;=20/24</formula>
    </cfRule>
    <cfRule type="expression" dxfId="2741" priority="105">
      <formula>AND(C$9&gt;=14/24,C$9&lt;20/24)</formula>
    </cfRule>
    <cfRule type="expression" dxfId="2740" priority="106">
      <formula>AND(C$9&gt;=8/24,C$9&lt;14/24)</formula>
    </cfRule>
    <cfRule type="expression" dxfId="2739" priority="107">
      <formula>C$9&lt;8/24</formula>
    </cfRule>
  </conditionalFormatting>
  <conditionalFormatting sqref="P98:R98">
    <cfRule type="expression" dxfId="2738" priority="100">
      <formula>P$9&gt;=20/24</formula>
    </cfRule>
    <cfRule type="expression" dxfId="2737" priority="101">
      <formula>AND(P$9&gt;=14/24,P$9&lt;20/24)</formula>
    </cfRule>
    <cfRule type="expression" dxfId="2736" priority="102">
      <formula>AND(P$9&gt;=8/24,P$9&lt;14/24)</formula>
    </cfRule>
    <cfRule type="expression" dxfId="2735" priority="103">
      <formula>P$9&lt;8/24</formula>
    </cfRule>
  </conditionalFormatting>
  <conditionalFormatting sqref="S98:T98">
    <cfRule type="expression" dxfId="2734" priority="96">
      <formula>S$9&gt;=20/24</formula>
    </cfRule>
    <cfRule type="expression" dxfId="2733" priority="97">
      <formula>AND(S$9&gt;=14/24,S$9&lt;20/24)</formula>
    </cfRule>
    <cfRule type="expression" dxfId="2732" priority="98">
      <formula>AND(S$9&gt;=8/24,S$9&lt;14/24)</formula>
    </cfRule>
    <cfRule type="expression" dxfId="2731" priority="99">
      <formula>S$9&lt;8/24</formula>
    </cfRule>
  </conditionalFormatting>
  <conditionalFormatting sqref="G94:O94">
    <cfRule type="expression" dxfId="2730" priority="88">
      <formula>G$9&gt;=20/24</formula>
    </cfRule>
    <cfRule type="expression" dxfId="2729" priority="89">
      <formula>AND(G$9&gt;=14/24,G$9&lt;20/24)</formula>
    </cfRule>
    <cfRule type="expression" dxfId="2728" priority="90">
      <formula>AND(G$9&gt;=8/24,G$9&lt;14/24)</formula>
    </cfRule>
    <cfRule type="expression" dxfId="2727" priority="91">
      <formula>G$9&lt;8/24</formula>
    </cfRule>
  </conditionalFormatting>
  <conditionalFormatting sqref="U94:W94">
    <cfRule type="expression" dxfId="2726" priority="84">
      <formula>U$9&gt;=20/24</formula>
    </cfRule>
    <cfRule type="expression" dxfId="2725" priority="85">
      <formula>AND(U$9&gt;=14/24,U$9&lt;20/24)</formula>
    </cfRule>
    <cfRule type="expression" dxfId="2724" priority="86">
      <formula>AND(U$9&gt;=8/24,U$9&lt;14/24)</formula>
    </cfRule>
    <cfRule type="expression" dxfId="2723" priority="87">
      <formula>U$9&lt;8/24</formula>
    </cfRule>
  </conditionalFormatting>
  <conditionalFormatting sqref="P94:T94">
    <cfRule type="expression" dxfId="2722" priority="80">
      <formula>P$9&gt;=20/24</formula>
    </cfRule>
    <cfRule type="expression" dxfId="2721" priority="81">
      <formula>AND(P$9&gt;=14/24,P$9&lt;20/24)</formula>
    </cfRule>
    <cfRule type="expression" dxfId="2720" priority="82">
      <formula>AND(P$9&gt;=8/24,P$9&lt;14/24)</formula>
    </cfRule>
    <cfRule type="expression" dxfId="2719" priority="83">
      <formula>P$9&lt;8/24</formula>
    </cfRule>
  </conditionalFormatting>
  <conditionalFormatting sqref="U99:AA99">
    <cfRule type="expression" dxfId="2718" priority="76">
      <formula>U$9&gt;=20/24</formula>
    </cfRule>
    <cfRule type="expression" dxfId="2717" priority="77">
      <formula>AND(U$9&gt;=14/24,U$9&lt;20/24)</formula>
    </cfRule>
    <cfRule type="expression" dxfId="2716" priority="78">
      <formula>AND(U$9&gt;=8/24,U$9&lt;14/24)</formula>
    </cfRule>
    <cfRule type="expression" dxfId="2715" priority="79">
      <formula>U$9&lt;8/24</formula>
    </cfRule>
  </conditionalFormatting>
  <conditionalFormatting sqref="C99:O99">
    <cfRule type="expression" dxfId="2714" priority="72">
      <formula>C$9&gt;=20/24</formula>
    </cfRule>
    <cfRule type="expression" dxfId="2713" priority="73">
      <formula>AND(C$9&gt;=14/24,C$9&lt;20/24)</formula>
    </cfRule>
    <cfRule type="expression" dxfId="2712" priority="74">
      <formula>AND(C$9&gt;=8/24,C$9&lt;14/24)</formula>
    </cfRule>
    <cfRule type="expression" dxfId="2711" priority="75">
      <formula>C$9&lt;8/24</formula>
    </cfRule>
  </conditionalFormatting>
  <conditionalFormatting sqref="P99:R99">
    <cfRule type="expression" dxfId="2710" priority="68">
      <formula>P$9&gt;=20/24</formula>
    </cfRule>
    <cfRule type="expression" dxfId="2709" priority="69">
      <formula>AND(P$9&gt;=14/24,P$9&lt;20/24)</formula>
    </cfRule>
    <cfRule type="expression" dxfId="2708" priority="70">
      <formula>AND(P$9&gt;=8/24,P$9&lt;14/24)</formula>
    </cfRule>
    <cfRule type="expression" dxfId="2707" priority="71">
      <formula>P$9&lt;8/24</formula>
    </cfRule>
  </conditionalFormatting>
  <conditionalFormatting sqref="S99:T99">
    <cfRule type="expression" dxfId="2706" priority="64">
      <formula>S$9&gt;=20/24</formula>
    </cfRule>
    <cfRule type="expression" dxfId="2705" priority="65">
      <formula>AND(S$9&gt;=14/24,S$9&lt;20/24)</formula>
    </cfRule>
    <cfRule type="expression" dxfId="2704" priority="66">
      <formula>AND(S$9&gt;=8/24,S$9&lt;14/24)</formula>
    </cfRule>
    <cfRule type="expression" dxfId="2703" priority="67">
      <formula>S$9&lt;8/24</formula>
    </cfRule>
  </conditionalFormatting>
  <conditionalFormatting sqref="AB58:AE59">
    <cfRule type="expression" dxfId="2702" priority="48">
      <formula>AB$9&gt;=20/24</formula>
    </cfRule>
    <cfRule type="expression" dxfId="2701" priority="49">
      <formula>AND(AB$9&gt;=14/24,AB$9&lt;20/24)</formula>
    </cfRule>
    <cfRule type="expression" dxfId="2700" priority="50">
      <formula>AND(AB$9&gt;=8/24,AB$9&lt;14/24)</formula>
    </cfRule>
    <cfRule type="expression" dxfId="2699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98" priority="281">
      <formula>C$9&gt;=20/24</formula>
    </cfRule>
    <cfRule type="expression" dxfId="2697" priority="282">
      <formula>AND(C$9&gt;=14/24,C$9&lt;20/24)</formula>
    </cfRule>
    <cfRule type="expression" dxfId="2696" priority="283">
      <formula>AND(C$9&gt;=8/24,C$9&lt;14/24)</formula>
    </cfRule>
    <cfRule type="expression" dxfId="2695" priority="284">
      <formula>C$9&lt;8/24</formula>
    </cfRule>
  </conditionalFormatting>
  <conditionalFormatting sqref="A200">
    <cfRule type="expression" dxfId="2694" priority="285">
      <formula>$AH200=0</formula>
    </cfRule>
  </conditionalFormatting>
  <conditionalFormatting sqref="AG212">
    <cfRule type="expression" dxfId="2693" priority="286">
      <formula>B$9&gt;=20/24</formula>
    </cfRule>
    <cfRule type="expression" dxfId="2692" priority="287">
      <formula>AND(B$9&gt;=14/24,B$9&lt;20/24)</formula>
    </cfRule>
    <cfRule type="expression" dxfId="2691" priority="288">
      <formula>AND(B$9&gt;=8/24,B$9&lt;14/24)</formula>
    </cfRule>
    <cfRule type="expression" dxfId="2690" priority="289">
      <formula>B$9&lt;8/24</formula>
    </cfRule>
  </conditionalFormatting>
  <conditionalFormatting sqref="S8">
    <cfRule type="expression" dxfId="2689" priority="42">
      <formula>U$9&gt;=20/24</formula>
    </cfRule>
    <cfRule type="expression" dxfId="2688" priority="43">
      <formula>AND(U$9&gt;=14/24,U$9&lt;20/24)</formula>
    </cfRule>
    <cfRule type="expression" dxfId="2687" priority="44">
      <formula>AND(U$9&gt;=8/24,U$9&lt;14/24)</formula>
    </cfRule>
    <cfRule type="expression" dxfId="2686" priority="45">
      <formula>U$9&lt;8/24</formula>
    </cfRule>
  </conditionalFormatting>
  <conditionalFormatting sqref="AB8">
    <cfRule type="expression" dxfId="2685" priority="38">
      <formula>AD$9&gt;=20/24</formula>
    </cfRule>
    <cfRule type="expression" dxfId="2684" priority="39">
      <formula>AND(AD$9&gt;=14/24,AD$9&lt;20/24)</formula>
    </cfRule>
    <cfRule type="expression" dxfId="2683" priority="40">
      <formula>AND(AD$9&gt;=8/24,AD$9&lt;14/24)</formula>
    </cfRule>
    <cfRule type="expression" dxfId="2682" priority="41">
      <formula>AD$9&lt;8/24</formula>
    </cfRule>
  </conditionalFormatting>
  <conditionalFormatting sqref="AH212:AX212">
    <cfRule type="expression" dxfId="2681" priority="290">
      <formula>AG$9&gt;=20/24</formula>
    </cfRule>
    <cfRule type="expression" dxfId="2680" priority="291">
      <formula>AND(AG$9&gt;=14/24,AG$9&lt;20/24)</formula>
    </cfRule>
    <cfRule type="expression" dxfId="2679" priority="292">
      <formula>AND(AG$9&gt;=8/24,AG$9&lt;14/24)</formula>
    </cfRule>
    <cfRule type="expression" dxfId="2678" priority="293">
      <formula>AG$9&lt;8/24</formula>
    </cfRule>
  </conditionalFormatting>
  <conditionalFormatting sqref="T212">
    <cfRule type="expression" dxfId="2677" priority="294">
      <formula>AX$9&gt;=20/24</formula>
    </cfRule>
    <cfRule type="expression" dxfId="2676" priority="295">
      <formula>AND(AX$9&gt;=14/24,AX$9&lt;20/24)</formula>
    </cfRule>
    <cfRule type="expression" dxfId="2675" priority="296">
      <formula>AND(AX$9&gt;=8/24,AX$9&lt;14/24)</formula>
    </cfRule>
    <cfRule type="expression" dxfId="2674" priority="297">
      <formula>AX$9&lt;8/24</formula>
    </cfRule>
  </conditionalFormatting>
  <conditionalFormatting sqref="A99">
    <cfRule type="expression" dxfId="2673" priority="37">
      <formula>$AH99=0</formula>
    </cfRule>
  </conditionalFormatting>
  <conditionalFormatting sqref="Z33:AF33">
    <cfRule type="expression" dxfId="2672" priority="29">
      <formula>Z$9&gt;=20/24</formula>
    </cfRule>
    <cfRule type="expression" dxfId="2671" priority="30">
      <formula>AND(Z$9&gt;=14/24,Z$9&lt;20/24)</formula>
    </cfRule>
    <cfRule type="expression" dxfId="2670" priority="31">
      <formula>AND(Z$9&gt;=8/24,Z$9&lt;14/24)</formula>
    </cfRule>
    <cfRule type="expression" dxfId="2669" priority="32">
      <formula>Z$9&lt;8/24</formula>
    </cfRule>
  </conditionalFormatting>
  <conditionalFormatting sqref="B33:L33 Z33:AF33">
    <cfRule type="expression" dxfId="2668" priority="24">
      <formula>B33&gt;$AG33</formula>
    </cfRule>
  </conditionalFormatting>
  <conditionalFormatting sqref="M36:P37 M11:X14 Y12:Y14 M16:Y32">
    <cfRule type="expression" dxfId="2667" priority="20">
      <formula>M$9&gt;=20/24</formula>
    </cfRule>
    <cfRule type="expression" dxfId="2666" priority="21">
      <formula>AND(M$9&gt;=14/24,M$9&lt;20/24)</formula>
    </cfRule>
    <cfRule type="expression" dxfId="2665" priority="22">
      <formula>AND(M$9&gt;=8/24,M$9&lt;14/24)</formula>
    </cfRule>
    <cfRule type="expression" dxfId="2664" priority="23">
      <formula>M$9&lt;8/24</formula>
    </cfRule>
  </conditionalFormatting>
  <conditionalFormatting sqref="M35:Y35">
    <cfRule type="expression" dxfId="2663" priority="16">
      <formula>M$9&gt;=20/24</formula>
    </cfRule>
    <cfRule type="expression" dxfId="2662" priority="17">
      <formula>AND(M$9&gt;=14/24,M$9&lt;20/24)</formula>
    </cfRule>
    <cfRule type="expression" dxfId="2661" priority="18">
      <formula>AND(M$9&gt;=8/24,M$9&lt;14/24)</formula>
    </cfRule>
    <cfRule type="expression" dxfId="2660" priority="19">
      <formula>M$9&lt;8/24</formula>
    </cfRule>
  </conditionalFormatting>
  <conditionalFormatting sqref="M34:P37 M11:X14 Y12:Y14 M16:Y32 Q34:Y35">
    <cfRule type="expression" dxfId="2659" priority="15">
      <formula>M11&gt;$AG11</formula>
    </cfRule>
  </conditionalFormatting>
  <conditionalFormatting sqref="M34:Y34">
    <cfRule type="expression" dxfId="2658" priority="11">
      <formula>M$9&gt;=20/24</formula>
    </cfRule>
    <cfRule type="expression" dxfId="2657" priority="12">
      <formula>AND(M$9&gt;=14/24,M$9&lt;20/24)</formula>
    </cfRule>
    <cfRule type="expression" dxfId="2656" priority="13">
      <formula>AND(M$9&gt;=8/24,M$9&lt;14/24)</formula>
    </cfRule>
    <cfRule type="expression" dxfId="2655" priority="14">
      <formula>M$9&lt;8/24</formula>
    </cfRule>
  </conditionalFormatting>
  <conditionalFormatting sqref="M15:Y15">
    <cfRule type="expression" dxfId="2654" priority="7">
      <formula>M$9&gt;=20/24</formula>
    </cfRule>
    <cfRule type="expression" dxfId="2653" priority="8">
      <formula>AND(M$9&gt;=14/24,M$9&lt;20/24)</formula>
    </cfRule>
    <cfRule type="expression" dxfId="2652" priority="9">
      <formula>AND(M$9&gt;=8/24,M$9&lt;14/24)</formula>
    </cfRule>
    <cfRule type="expression" dxfId="2651" priority="10">
      <formula>M$9&lt;8/24</formula>
    </cfRule>
  </conditionalFormatting>
  <conditionalFormatting sqref="M15:Y15">
    <cfRule type="expression" dxfId="2650" priority="6">
      <formula>M15&gt;$AG15</formula>
    </cfRule>
  </conditionalFormatting>
  <conditionalFormatting sqref="M33:Y33">
    <cfRule type="expression" dxfId="2649" priority="2">
      <formula>M$9&gt;=20/24</formula>
    </cfRule>
    <cfRule type="expression" dxfId="2648" priority="3">
      <formula>AND(M$9&gt;=14/24,M$9&lt;20/24)</formula>
    </cfRule>
    <cfRule type="expression" dxfId="2647" priority="4">
      <formula>AND(M$9&gt;=8/24,M$9&lt;14/24)</formula>
    </cfRule>
    <cfRule type="expression" dxfId="2646" priority="5">
      <formula>M$9&lt;8/24</formula>
    </cfRule>
  </conditionalFormatting>
  <conditionalFormatting sqref="M33:Y33">
    <cfRule type="expression" dxfId="2645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E8852CA2-BCDD-4BCA-BE10-422EC29A9CE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B61" sqref="A61:B6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2078/11/23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465.5</v>
      </c>
      <c r="C5" s="32">
        <f t="shared" si="0"/>
        <v>461.48</v>
      </c>
      <c r="D5" s="32">
        <f t="shared" si="0"/>
        <v>461.4</v>
      </c>
      <c r="E5" s="32">
        <f t="shared" si="0"/>
        <v>455.9</v>
      </c>
      <c r="F5" s="32">
        <f t="shared" si="0"/>
        <v>463.99</v>
      </c>
      <c r="G5" s="32">
        <f t="shared" si="0"/>
        <v>464.7</v>
      </c>
      <c r="H5" s="32">
        <f t="shared" si="0"/>
        <v>192.6</v>
      </c>
      <c r="I5" s="32">
        <f t="shared" si="0"/>
        <v>195.5</v>
      </c>
      <c r="J5" s="32">
        <f t="shared" si="0"/>
        <v>192.6</v>
      </c>
      <c r="K5" s="32">
        <f t="shared" si="0"/>
        <v>200</v>
      </c>
      <c r="L5" s="32">
        <f t="shared" si="0"/>
        <v>353.20000000000005</v>
      </c>
      <c r="M5" s="32">
        <f t="shared" si="0"/>
        <v>382.65999999999997</v>
      </c>
      <c r="N5" s="32">
        <f t="shared" si="0"/>
        <v>519.5</v>
      </c>
      <c r="O5" s="32">
        <f t="shared" si="0"/>
        <v>523.70000000000005</v>
      </c>
      <c r="P5" s="32">
        <f t="shared" si="0"/>
        <v>553.04</v>
      </c>
      <c r="Q5" s="32">
        <f t="shared" si="0"/>
        <v>546.37</v>
      </c>
      <c r="R5" s="32">
        <f t="shared" si="0"/>
        <v>593.50000000000011</v>
      </c>
      <c r="S5" s="32">
        <f t="shared" si="0"/>
        <v>598.59999999999991</v>
      </c>
      <c r="T5" s="32">
        <f t="shared" si="0"/>
        <v>621.70000000000005</v>
      </c>
      <c r="U5" s="32">
        <f t="shared" si="0"/>
        <v>621.70000000000005</v>
      </c>
      <c r="V5" s="32">
        <f t="shared" si="0"/>
        <v>392.40000000000003</v>
      </c>
      <c r="W5" s="32">
        <f t="shared" si="0"/>
        <v>275</v>
      </c>
      <c r="X5" s="32">
        <f t="shared" si="0"/>
        <v>328.6</v>
      </c>
      <c r="Y5" s="32">
        <f t="shared" si="0"/>
        <v>342.5</v>
      </c>
      <c r="Z5" s="32">
        <f t="shared" si="0"/>
        <v>393.70000000000005</v>
      </c>
      <c r="AA5" s="32">
        <f t="shared" si="0"/>
        <v>393.70000000000005</v>
      </c>
      <c r="AB5" s="32">
        <f t="shared" si="0"/>
        <v>820.5</v>
      </c>
      <c r="AC5" s="32">
        <f t="shared" si="0"/>
        <v>488.7</v>
      </c>
      <c r="AD5" s="32">
        <f t="shared" si="0"/>
        <v>576.20000000000005</v>
      </c>
      <c r="AE5" s="32">
        <f t="shared" si="0"/>
        <v>527.4</v>
      </c>
      <c r="AF5" s="32">
        <f>B68</f>
        <v>450.6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Load=949</v>
      </c>
      <c r="B7" s="37">
        <f>B75</f>
        <v>977.24</v>
      </c>
      <c r="C7" s="37">
        <f t="shared" ref="C7:AF7" si="1">C75</f>
        <v>966.14</v>
      </c>
      <c r="D7" s="37">
        <f t="shared" si="1"/>
        <v>961.92000000000007</v>
      </c>
      <c r="E7" s="37">
        <f t="shared" si="1"/>
        <v>948.94</v>
      </c>
      <c r="F7" s="37">
        <f t="shared" si="1"/>
        <v>953.44</v>
      </c>
      <c r="G7" s="37">
        <f t="shared" si="1"/>
        <v>1017.83</v>
      </c>
      <c r="H7" s="37">
        <f t="shared" si="1"/>
        <v>1098.94</v>
      </c>
      <c r="I7" s="37">
        <f t="shared" si="1"/>
        <v>1191.94</v>
      </c>
      <c r="J7" s="37">
        <f t="shared" si="1"/>
        <v>1292.04</v>
      </c>
      <c r="K7" s="37">
        <f t="shared" si="1"/>
        <v>1385.24</v>
      </c>
      <c r="L7" s="37">
        <f t="shared" si="1"/>
        <v>1444.1399999999999</v>
      </c>
      <c r="M7" s="37">
        <f t="shared" si="1"/>
        <v>1445.84</v>
      </c>
      <c r="N7" s="37">
        <f t="shared" si="1"/>
        <v>1394.4</v>
      </c>
      <c r="O7" s="37">
        <f t="shared" si="1"/>
        <v>1309.74</v>
      </c>
      <c r="P7" s="37">
        <f t="shared" si="1"/>
        <v>1282.74</v>
      </c>
      <c r="Q7" s="37">
        <f t="shared" si="1"/>
        <v>1260.0800000000002</v>
      </c>
      <c r="R7" s="37">
        <f t="shared" si="1"/>
        <v>1218.1099999999999</v>
      </c>
      <c r="S7" s="37">
        <f t="shared" si="1"/>
        <v>1238.94</v>
      </c>
      <c r="T7" s="37">
        <f t="shared" si="1"/>
        <v>1249.2399999999998</v>
      </c>
      <c r="U7" s="37">
        <f t="shared" si="1"/>
        <v>1262.94</v>
      </c>
      <c r="V7" s="37">
        <f t="shared" si="1"/>
        <v>1337.74</v>
      </c>
      <c r="W7" s="37">
        <f t="shared" si="1"/>
        <v>1316.8400000000001</v>
      </c>
      <c r="X7" s="37">
        <f t="shared" si="1"/>
        <v>1361.3400000000001</v>
      </c>
      <c r="Y7" s="37">
        <f t="shared" si="1"/>
        <v>1518.2400000000002</v>
      </c>
      <c r="Z7" s="37">
        <f t="shared" si="1"/>
        <v>1543.74</v>
      </c>
      <c r="AA7" s="37">
        <f t="shared" si="1"/>
        <v>1504.5400000000002</v>
      </c>
      <c r="AB7" s="37">
        <f t="shared" si="1"/>
        <v>1466.64</v>
      </c>
      <c r="AC7" s="37">
        <f t="shared" si="1"/>
        <v>1620.74</v>
      </c>
      <c r="AD7" s="37">
        <f t="shared" si="1"/>
        <v>1206.3400000000001</v>
      </c>
      <c r="AE7" s="37">
        <f t="shared" si="1"/>
        <v>1091.7400000000002</v>
      </c>
      <c r="AF7" s="37">
        <f t="shared" si="1"/>
        <v>1020.34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15</v>
      </c>
      <c r="F11" s="49">
        <v>15</v>
      </c>
      <c r="G11" s="49">
        <v>15</v>
      </c>
      <c r="H11" s="49">
        <v>50</v>
      </c>
      <c r="I11" s="49">
        <v>304</v>
      </c>
      <c r="J11" s="49">
        <v>330</v>
      </c>
      <c r="K11" s="49">
        <v>380</v>
      </c>
      <c r="L11" s="49">
        <v>380</v>
      </c>
      <c r="M11" s="50">
        <v>270</v>
      </c>
      <c r="N11" s="50">
        <v>270</v>
      </c>
      <c r="O11" s="50">
        <v>110</v>
      </c>
      <c r="P11" s="50">
        <v>85</v>
      </c>
      <c r="Q11" s="50">
        <v>50</v>
      </c>
      <c r="R11" s="51">
        <v>40</v>
      </c>
      <c r="S11" s="50">
        <v>10</v>
      </c>
      <c r="T11" s="50">
        <v>30</v>
      </c>
      <c r="U11" s="50">
        <v>12</v>
      </c>
      <c r="V11" s="50">
        <v>50</v>
      </c>
      <c r="W11" s="50">
        <v>220</v>
      </c>
      <c r="X11" s="50">
        <v>290</v>
      </c>
      <c r="Y11" s="50">
        <v>340</v>
      </c>
      <c r="Z11" s="52">
        <v>330</v>
      </c>
      <c r="AA11" s="52">
        <v>250</v>
      </c>
      <c r="AB11" s="52">
        <v>250</v>
      </c>
      <c r="AC11" s="52">
        <v>12</v>
      </c>
      <c r="AD11" s="52">
        <v>12</v>
      </c>
      <c r="AE11" s="52">
        <v>12</v>
      </c>
      <c r="AF11" s="52">
        <v>12</v>
      </c>
      <c r="AG11" s="53">
        <v>456</v>
      </c>
      <c r="AH11" s="54">
        <f>MAX(B11:AF11)</f>
        <v>380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30</v>
      </c>
      <c r="C12" s="49">
        <v>30</v>
      </c>
      <c r="D12" s="49">
        <v>30</v>
      </c>
      <c r="E12" s="49">
        <v>30</v>
      </c>
      <c r="F12" s="49">
        <v>30</v>
      </c>
      <c r="G12" s="49">
        <v>30</v>
      </c>
      <c r="H12" s="49">
        <v>30</v>
      </c>
      <c r="I12" s="49">
        <v>30</v>
      </c>
      <c r="J12" s="49">
        <v>30</v>
      </c>
      <c r="K12" s="49">
        <v>30</v>
      </c>
      <c r="L12" s="49">
        <v>30</v>
      </c>
      <c r="M12" s="182">
        <v>31</v>
      </c>
      <c r="N12" s="182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16.100000000000001</v>
      </c>
      <c r="C13" s="49">
        <v>16.399999999999999</v>
      </c>
      <c r="D13" s="49">
        <v>16.899999999999999</v>
      </c>
      <c r="E13" s="49">
        <v>16.899999999999999</v>
      </c>
      <c r="F13" s="49">
        <v>16.899999999999999</v>
      </c>
      <c r="G13" s="49">
        <v>16.899999999999999</v>
      </c>
      <c r="H13" s="49">
        <v>16.899999999999999</v>
      </c>
      <c r="I13" s="49">
        <v>16.899999999999999</v>
      </c>
      <c r="J13" s="49">
        <v>16.899999999999999</v>
      </c>
      <c r="K13" s="49">
        <v>16.899999999999999</v>
      </c>
      <c r="L13" s="49">
        <v>16.899999999999999</v>
      </c>
      <c r="M13" s="182">
        <v>17.7</v>
      </c>
      <c r="N13" s="182">
        <v>18.100000000000001</v>
      </c>
      <c r="O13" s="49">
        <v>18.100000000000001</v>
      </c>
      <c r="P13" s="49">
        <v>18</v>
      </c>
      <c r="Q13" s="49">
        <v>17.2</v>
      </c>
      <c r="R13" s="49">
        <v>16.600000000000001</v>
      </c>
      <c r="S13" s="58">
        <v>16.5</v>
      </c>
      <c r="T13" s="58">
        <v>16.5</v>
      </c>
      <c r="U13" s="58">
        <v>16.5</v>
      </c>
      <c r="V13" s="58">
        <v>16.5</v>
      </c>
      <c r="W13" s="58">
        <v>16.5</v>
      </c>
      <c r="X13" s="58">
        <v>16.5</v>
      </c>
      <c r="Y13" s="58">
        <v>16.5</v>
      </c>
      <c r="Z13" s="50">
        <v>16.5</v>
      </c>
      <c r="AA13" s="50">
        <v>16.5</v>
      </c>
      <c r="AB13" s="50">
        <v>16.5</v>
      </c>
      <c r="AC13" s="50">
        <v>16.5</v>
      </c>
      <c r="AD13" s="50">
        <v>16.5</v>
      </c>
      <c r="AE13" s="50">
        <v>16.5</v>
      </c>
      <c r="AF13" s="50">
        <v>16.5</v>
      </c>
      <c r="AG13" s="59">
        <v>52.4</v>
      </c>
      <c r="AH13" s="54">
        <f t="shared" si="2"/>
        <v>18.100000000000001</v>
      </c>
      <c r="AI13" s="55">
        <f t="shared" si="3"/>
        <v>16.100000000000001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34.9</v>
      </c>
      <c r="C14" s="49">
        <v>34.9</v>
      </c>
      <c r="D14" s="49">
        <v>34.700000000000003</v>
      </c>
      <c r="E14" s="49">
        <v>34.700000000000003</v>
      </c>
      <c r="F14" s="49">
        <v>34.700000000000003</v>
      </c>
      <c r="G14" s="49">
        <v>34.700000000000003</v>
      </c>
      <c r="H14" s="49">
        <v>34.700000000000003</v>
      </c>
      <c r="I14" s="49">
        <v>34.700000000000003</v>
      </c>
      <c r="J14" s="49">
        <v>34.700000000000003</v>
      </c>
      <c r="K14" s="49">
        <v>34.700000000000003</v>
      </c>
      <c r="L14" s="49">
        <v>34.700000000000003</v>
      </c>
      <c r="M14" s="182">
        <v>34.799999999999997</v>
      </c>
      <c r="N14" s="182">
        <v>34.799999999999997</v>
      </c>
      <c r="O14" s="50">
        <v>34.6</v>
      </c>
      <c r="P14" s="50">
        <v>34.6</v>
      </c>
      <c r="Q14" s="50">
        <v>34.9</v>
      </c>
      <c r="R14" s="50">
        <v>34.9</v>
      </c>
      <c r="S14" s="60">
        <v>34.4</v>
      </c>
      <c r="T14" s="60">
        <v>34.4</v>
      </c>
      <c r="U14" s="60">
        <v>34.4</v>
      </c>
      <c r="V14" s="60">
        <v>34.4</v>
      </c>
      <c r="W14" s="60">
        <v>34.4</v>
      </c>
      <c r="X14" s="60">
        <v>34.4</v>
      </c>
      <c r="Y14" s="60">
        <v>34.4</v>
      </c>
      <c r="Z14" s="50">
        <v>34.4</v>
      </c>
      <c r="AA14" s="50">
        <v>34.4</v>
      </c>
      <c r="AB14" s="50">
        <v>34.4</v>
      </c>
      <c r="AC14" s="50">
        <v>34.4</v>
      </c>
      <c r="AD14" s="50">
        <v>34.4</v>
      </c>
      <c r="AE14" s="50">
        <v>34.4</v>
      </c>
      <c r="AF14" s="50">
        <v>34.4</v>
      </c>
      <c r="AG14" s="59">
        <v>50</v>
      </c>
      <c r="AH14" s="54">
        <f t="shared" si="2"/>
        <v>34.9</v>
      </c>
      <c r="AI14" s="55">
        <f t="shared" si="3"/>
        <v>34.4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23.1</v>
      </c>
      <c r="C15" s="61">
        <v>23.1</v>
      </c>
      <c r="D15" s="61">
        <v>21.4</v>
      </c>
      <c r="E15" s="61">
        <v>21.4</v>
      </c>
      <c r="F15" s="61">
        <v>21.4</v>
      </c>
      <c r="G15" s="61">
        <v>21.4</v>
      </c>
      <c r="H15" s="61">
        <v>21.4</v>
      </c>
      <c r="I15" s="61">
        <v>21.4</v>
      </c>
      <c r="J15" s="61">
        <v>21.4</v>
      </c>
      <c r="K15" s="61">
        <v>21.4</v>
      </c>
      <c r="L15" s="61">
        <v>21.4</v>
      </c>
      <c r="M15" s="183">
        <v>21.4</v>
      </c>
      <c r="N15" s="183">
        <v>21.4</v>
      </c>
      <c r="O15" s="50">
        <v>19.8</v>
      </c>
      <c r="P15" s="50">
        <v>19.8</v>
      </c>
      <c r="Q15" s="50">
        <v>18.899999999999999</v>
      </c>
      <c r="R15" s="50">
        <v>18.899999999999999</v>
      </c>
      <c r="S15" s="60">
        <v>18.899999999999999</v>
      </c>
      <c r="T15" s="60">
        <v>18.899999999999999</v>
      </c>
      <c r="U15" s="60">
        <v>20</v>
      </c>
      <c r="V15" s="60">
        <v>20</v>
      </c>
      <c r="W15" s="60">
        <v>20</v>
      </c>
      <c r="X15" s="60">
        <v>20</v>
      </c>
      <c r="Y15" s="60">
        <v>20</v>
      </c>
      <c r="Z15" s="50">
        <v>20</v>
      </c>
      <c r="AA15" s="50">
        <v>20</v>
      </c>
      <c r="AB15" s="50">
        <v>20</v>
      </c>
      <c r="AC15" s="50">
        <v>20</v>
      </c>
      <c r="AD15" s="50">
        <v>20</v>
      </c>
      <c r="AE15" s="50">
        <v>20</v>
      </c>
      <c r="AF15" s="50">
        <v>20</v>
      </c>
      <c r="AG15" s="62">
        <v>45</v>
      </c>
      <c r="AH15" s="54">
        <f t="shared" si="2"/>
        <v>23.1</v>
      </c>
      <c r="AI15" s="55">
        <f t="shared" si="3"/>
        <v>18.899999999999999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182">
        <v>8.5</v>
      </c>
      <c r="N16" s="182">
        <v>8.5</v>
      </c>
      <c r="O16" s="182">
        <v>8.5</v>
      </c>
      <c r="P16" s="182">
        <v>8.5</v>
      </c>
      <c r="Q16" s="182">
        <v>8.5</v>
      </c>
      <c r="R16" s="182">
        <v>8.5</v>
      </c>
      <c r="S16" s="182">
        <v>8.5</v>
      </c>
      <c r="T16" s="182">
        <v>8.5</v>
      </c>
      <c r="U16" s="182">
        <v>8.5</v>
      </c>
      <c r="V16" s="182">
        <v>8.5</v>
      </c>
      <c r="W16" s="182">
        <v>8.5</v>
      </c>
      <c r="X16" s="182">
        <v>8.5</v>
      </c>
      <c r="Y16" s="182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182">
        <v>6.5</v>
      </c>
      <c r="N17" s="182">
        <v>6.5</v>
      </c>
      <c r="O17" s="182">
        <v>6.5</v>
      </c>
      <c r="P17" s="182">
        <v>6.5</v>
      </c>
      <c r="Q17" s="182">
        <v>6.5</v>
      </c>
      <c r="R17" s="182">
        <v>6.5</v>
      </c>
      <c r="S17" s="182">
        <v>6.5</v>
      </c>
      <c r="T17" s="182">
        <v>6.5</v>
      </c>
      <c r="U17" s="182">
        <v>6.5</v>
      </c>
      <c r="V17" s="182">
        <v>6.5</v>
      </c>
      <c r="W17" s="182">
        <v>6.5</v>
      </c>
      <c r="X17" s="182">
        <v>6.5</v>
      </c>
      <c r="Y17" s="182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12</v>
      </c>
      <c r="C19" s="50">
        <v>11.8</v>
      </c>
      <c r="D19" s="50">
        <v>11.9</v>
      </c>
      <c r="E19" s="50">
        <v>11.9</v>
      </c>
      <c r="F19" s="50">
        <v>11.9</v>
      </c>
      <c r="G19" s="50">
        <v>11.9</v>
      </c>
      <c r="H19" s="50">
        <v>11.9</v>
      </c>
      <c r="I19" s="50">
        <v>11.9</v>
      </c>
      <c r="J19" s="50">
        <v>11.9</v>
      </c>
      <c r="K19" s="50">
        <v>11.9</v>
      </c>
      <c r="L19" s="50">
        <v>11.9</v>
      </c>
      <c r="M19" s="50">
        <v>11.9</v>
      </c>
      <c r="N19" s="50">
        <v>11.9</v>
      </c>
      <c r="O19" s="50">
        <v>11.9</v>
      </c>
      <c r="P19" s="50">
        <v>11.9</v>
      </c>
      <c r="Q19" s="50">
        <v>11.9</v>
      </c>
      <c r="R19" s="50">
        <v>11.9</v>
      </c>
      <c r="S19" s="50">
        <v>10.3</v>
      </c>
      <c r="T19" s="50">
        <v>10.3</v>
      </c>
      <c r="U19" s="50">
        <v>10.3</v>
      </c>
      <c r="V19" s="50">
        <v>10.3</v>
      </c>
      <c r="W19" s="50">
        <v>10.3</v>
      </c>
      <c r="X19" s="50">
        <v>10.3</v>
      </c>
      <c r="Y19" s="50">
        <v>10.3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9">
        <v>30</v>
      </c>
      <c r="AH19" s="54">
        <f t="shared" si="2"/>
        <v>12</v>
      </c>
      <c r="AI19" s="55">
        <f t="shared" si="3"/>
        <v>10.3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11.5</v>
      </c>
      <c r="C22" s="50">
        <v>11.6</v>
      </c>
      <c r="D22" s="50">
        <v>11.8</v>
      </c>
      <c r="E22" s="50">
        <v>11.8</v>
      </c>
      <c r="F22" s="50">
        <v>11.8</v>
      </c>
      <c r="G22" s="50">
        <v>11.8</v>
      </c>
      <c r="H22" s="50">
        <v>11.8</v>
      </c>
      <c r="I22" s="50">
        <v>11.8</v>
      </c>
      <c r="J22" s="50">
        <v>11.8</v>
      </c>
      <c r="K22" s="50">
        <v>11.8</v>
      </c>
      <c r="L22" s="50">
        <v>11.8</v>
      </c>
      <c r="M22" s="50">
        <v>11.8</v>
      </c>
      <c r="N22" s="50">
        <v>11.8</v>
      </c>
      <c r="O22" s="50">
        <v>11.8</v>
      </c>
      <c r="P22" s="50">
        <v>11.8</v>
      </c>
      <c r="Q22" s="50">
        <v>11.8</v>
      </c>
      <c r="R22" s="50">
        <v>11.8</v>
      </c>
      <c r="S22" s="50">
        <v>11.8</v>
      </c>
      <c r="T22" s="50">
        <v>11.8</v>
      </c>
      <c r="U22" s="50">
        <v>11.8</v>
      </c>
      <c r="V22" s="50">
        <v>11.8</v>
      </c>
      <c r="W22" s="50">
        <v>11.8</v>
      </c>
      <c r="X22" s="50">
        <v>11.8</v>
      </c>
      <c r="Y22" s="50">
        <v>11.8</v>
      </c>
      <c r="Z22" s="50">
        <v>11.8</v>
      </c>
      <c r="AA22" s="50">
        <v>11.8</v>
      </c>
      <c r="AB22" s="50">
        <v>11.8</v>
      </c>
      <c r="AC22" s="50">
        <v>11.8</v>
      </c>
      <c r="AD22" s="50">
        <v>11.8</v>
      </c>
      <c r="AE22" s="50">
        <v>11.8</v>
      </c>
      <c r="AF22" s="50">
        <v>11.8</v>
      </c>
      <c r="AG22" s="59">
        <v>25</v>
      </c>
      <c r="AH22" s="54">
        <f t="shared" si="2"/>
        <v>11.8</v>
      </c>
      <c r="AI22" s="55">
        <f t="shared" si="3"/>
        <v>11.5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</v>
      </c>
      <c r="C24" s="50">
        <v>10</v>
      </c>
      <c r="D24" s="50">
        <v>9.3000000000000007</v>
      </c>
      <c r="E24" s="50">
        <v>9.3000000000000007</v>
      </c>
      <c r="F24" s="50">
        <v>9.3000000000000007</v>
      </c>
      <c r="G24" s="50">
        <v>9.3000000000000007</v>
      </c>
      <c r="H24" s="50">
        <v>7</v>
      </c>
      <c r="I24" s="50">
        <v>7</v>
      </c>
      <c r="J24" s="50">
        <v>7</v>
      </c>
      <c r="K24" s="50">
        <v>7</v>
      </c>
      <c r="L24" s="50">
        <v>7</v>
      </c>
      <c r="M24" s="50">
        <v>7</v>
      </c>
      <c r="N24" s="50">
        <v>7</v>
      </c>
      <c r="O24" s="50">
        <v>7</v>
      </c>
      <c r="P24" s="50">
        <v>7</v>
      </c>
      <c r="Q24" s="50">
        <v>7</v>
      </c>
      <c r="R24" s="50">
        <v>7</v>
      </c>
      <c r="S24" s="50">
        <v>7</v>
      </c>
      <c r="T24" s="50">
        <v>7</v>
      </c>
      <c r="U24" s="50">
        <v>7</v>
      </c>
      <c r="V24" s="50">
        <v>7</v>
      </c>
      <c r="W24" s="50">
        <v>7</v>
      </c>
      <c r="X24" s="50">
        <v>7</v>
      </c>
      <c r="Y24" s="50">
        <v>7</v>
      </c>
      <c r="Z24" s="50">
        <v>7</v>
      </c>
      <c r="AA24" s="50">
        <v>7</v>
      </c>
      <c r="AB24" s="50">
        <v>7</v>
      </c>
      <c r="AC24" s="50">
        <v>7</v>
      </c>
      <c r="AD24" s="50">
        <v>7</v>
      </c>
      <c r="AE24" s="50">
        <v>7</v>
      </c>
      <c r="AF24" s="50">
        <v>7</v>
      </c>
      <c r="AG24" s="59">
        <v>25</v>
      </c>
      <c r="AH24" s="54">
        <f t="shared" si="2"/>
        <v>10</v>
      </c>
      <c r="AI24" s="55">
        <f t="shared" si="3"/>
        <v>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182">
        <v>2.5</v>
      </c>
      <c r="N27" s="182">
        <v>2.5</v>
      </c>
      <c r="O27" s="182">
        <v>2.5</v>
      </c>
      <c r="P27" s="182">
        <v>2.5</v>
      </c>
      <c r="Q27" s="182">
        <v>2.5</v>
      </c>
      <c r="R27" s="182">
        <v>2.5</v>
      </c>
      <c r="S27" s="182">
        <v>2.5</v>
      </c>
      <c r="T27" s="182">
        <v>2.5</v>
      </c>
      <c r="U27" s="182">
        <v>2.5</v>
      </c>
      <c r="V27" s="182">
        <v>2.5</v>
      </c>
      <c r="W27" s="182">
        <v>2.5</v>
      </c>
      <c r="X27" s="182">
        <v>2.5</v>
      </c>
      <c r="Y27" s="182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70">
        <v>32.299999999999997</v>
      </c>
      <c r="C37" s="70">
        <v>32.299999999999997</v>
      </c>
      <c r="D37" s="70">
        <f>11.6+22.7</f>
        <v>34.299999999999997</v>
      </c>
      <c r="E37" s="70">
        <v>34.700000000000003</v>
      </c>
      <c r="F37" s="70">
        <v>34.700000000000003</v>
      </c>
      <c r="G37" s="70">
        <v>33.799999999999997</v>
      </c>
      <c r="H37" s="70">
        <v>34.799999999999997</v>
      </c>
      <c r="I37" s="70">
        <v>37.1</v>
      </c>
      <c r="J37" s="70">
        <v>37.1</v>
      </c>
      <c r="K37" s="70">
        <v>39</v>
      </c>
      <c r="L37" s="61">
        <v>35</v>
      </c>
      <c r="M37" s="70">
        <v>34.6</v>
      </c>
      <c r="N37" s="70">
        <v>34.799999999999997</v>
      </c>
      <c r="O37" s="70">
        <v>34.700000000000003</v>
      </c>
      <c r="P37" s="70">
        <v>33.6</v>
      </c>
      <c r="Q37" s="70">
        <v>34.6</v>
      </c>
      <c r="R37" s="70">
        <v>34.5</v>
      </c>
      <c r="S37" s="70">
        <v>34.1</v>
      </c>
      <c r="T37" s="70">
        <f>11.7+21.9</f>
        <v>33.599999999999994</v>
      </c>
      <c r="U37" s="70">
        <f>11.7+22.5</f>
        <v>34.200000000000003</v>
      </c>
      <c r="V37" s="70">
        <f>12+22.3</f>
        <v>34.299999999999997</v>
      </c>
      <c r="W37" s="70">
        <f>12+22.3</f>
        <v>34.299999999999997</v>
      </c>
      <c r="X37" s="70">
        <f>12+22.3</f>
        <v>34.299999999999997</v>
      </c>
      <c r="Y37" s="70">
        <f>10.1+18.4</f>
        <v>28.5</v>
      </c>
      <c r="Z37" s="70">
        <v>48.8</v>
      </c>
      <c r="AA37" s="70">
        <v>48.8</v>
      </c>
      <c r="AB37" s="70">
        <v>48.8</v>
      </c>
      <c r="AC37" s="70">
        <v>27.3</v>
      </c>
      <c r="AD37" s="70">
        <v>28.2</v>
      </c>
      <c r="AE37" s="70">
        <v>29.2</v>
      </c>
      <c r="AF37" s="61">
        <v>30</v>
      </c>
      <c r="AG37" s="67">
        <v>240</v>
      </c>
      <c r="AH37" s="54">
        <f t="shared" si="2"/>
        <v>48.8</v>
      </c>
      <c r="AI37" s="55">
        <f t="shared" si="3"/>
        <v>27.3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393.79999999999995</v>
      </c>
      <c r="C38" s="72">
        <f t="shared" ref="C38:AF38" si="5">SUM(C11:C36)</f>
        <v>394</v>
      </c>
      <c r="D38" s="72">
        <f t="shared" si="5"/>
        <v>392.20000000000005</v>
      </c>
      <c r="E38" s="72">
        <f t="shared" si="5"/>
        <v>395.20000000000005</v>
      </c>
      <c r="F38" s="72">
        <f t="shared" si="5"/>
        <v>395.20000000000005</v>
      </c>
      <c r="G38" s="72">
        <f t="shared" si="5"/>
        <v>395.20000000000005</v>
      </c>
      <c r="H38" s="72">
        <f t="shared" si="5"/>
        <v>427.90000000000003</v>
      </c>
      <c r="I38" s="72">
        <f t="shared" si="5"/>
        <v>681.9</v>
      </c>
      <c r="J38" s="72">
        <f t="shared" si="5"/>
        <v>707.9</v>
      </c>
      <c r="K38" s="72">
        <f t="shared" si="5"/>
        <v>757.9</v>
      </c>
      <c r="L38" s="72">
        <f t="shared" si="5"/>
        <v>757.9</v>
      </c>
      <c r="M38" s="72">
        <f t="shared" si="5"/>
        <v>649.79999999999995</v>
      </c>
      <c r="N38" s="72">
        <f t="shared" si="5"/>
        <v>650.20000000000005</v>
      </c>
      <c r="O38" s="72">
        <f t="shared" si="5"/>
        <v>488.4</v>
      </c>
      <c r="P38" s="72">
        <f t="shared" si="5"/>
        <v>463.3</v>
      </c>
      <c r="Q38" s="72">
        <f t="shared" si="5"/>
        <v>426.90000000000003</v>
      </c>
      <c r="R38" s="72">
        <f t="shared" si="5"/>
        <v>416.3</v>
      </c>
      <c r="S38" s="72">
        <f t="shared" si="5"/>
        <v>384.1</v>
      </c>
      <c r="T38" s="72">
        <f t="shared" si="5"/>
        <v>404.1</v>
      </c>
      <c r="U38" s="72">
        <f t="shared" si="5"/>
        <v>387.20000000000005</v>
      </c>
      <c r="V38" s="72">
        <f t="shared" si="5"/>
        <v>425.2</v>
      </c>
      <c r="W38" s="72">
        <f t="shared" si="5"/>
        <v>595.20000000000005</v>
      </c>
      <c r="X38" s="72">
        <f t="shared" si="5"/>
        <v>665.2</v>
      </c>
      <c r="Y38" s="72">
        <f t="shared" si="5"/>
        <v>715.2</v>
      </c>
      <c r="Z38" s="72">
        <v>715.2</v>
      </c>
      <c r="AA38" s="72">
        <f t="shared" si="5"/>
        <v>625.20000000000005</v>
      </c>
      <c r="AB38" s="72">
        <f t="shared" si="5"/>
        <v>625.20000000000005</v>
      </c>
      <c r="AC38" s="72">
        <f t="shared" si="5"/>
        <v>387.20000000000005</v>
      </c>
      <c r="AD38" s="72">
        <f t="shared" si="5"/>
        <v>387.20000000000005</v>
      </c>
      <c r="AE38" s="72">
        <f t="shared" si="5"/>
        <v>387.20000000000005</v>
      </c>
      <c r="AF38" s="72">
        <f t="shared" si="5"/>
        <v>387.20000000000005</v>
      </c>
      <c r="AG38" s="67">
        <f>SUM(AG11:AG37)</f>
        <v>1492.8299999999997</v>
      </c>
      <c r="AH38" s="54">
        <f t="shared" si="2"/>
        <v>757.9</v>
      </c>
      <c r="AI38" s="55">
        <f t="shared" si="3"/>
        <v>384.1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33.799999999999997</v>
      </c>
      <c r="H39" s="61">
        <v>45.5</v>
      </c>
      <c r="I39" s="61">
        <v>107.5</v>
      </c>
      <c r="J39" s="61">
        <v>120</v>
      </c>
      <c r="K39" s="61">
        <v>145.5</v>
      </c>
      <c r="L39" s="61">
        <v>145.80000000000001</v>
      </c>
      <c r="M39" s="61">
        <v>145.80000000000001</v>
      </c>
      <c r="N39" s="50">
        <v>120.9</v>
      </c>
      <c r="O39" s="50">
        <v>97.7</v>
      </c>
      <c r="P39" s="50">
        <v>91.2</v>
      </c>
      <c r="Q39" s="50">
        <v>90.9</v>
      </c>
      <c r="R39" s="50">
        <v>91.1</v>
      </c>
      <c r="S39" s="50">
        <v>97.3</v>
      </c>
      <c r="T39" s="50">
        <v>96</v>
      </c>
      <c r="U39" s="50">
        <v>75</v>
      </c>
      <c r="V39" s="50">
        <v>100</v>
      </c>
      <c r="W39" s="50">
        <v>111.5</v>
      </c>
      <c r="X39" s="50">
        <v>145.19999999999999</v>
      </c>
      <c r="Y39" s="50">
        <v>145.1</v>
      </c>
      <c r="Z39" s="50">
        <v>145</v>
      </c>
      <c r="AA39" s="50">
        <v>144.30000000000001</v>
      </c>
      <c r="AB39" s="50">
        <v>132</v>
      </c>
      <c r="AC39" s="50">
        <v>132</v>
      </c>
      <c r="AD39" s="50">
        <v>81.099999999999994</v>
      </c>
      <c r="AE39" s="50">
        <v>0</v>
      </c>
      <c r="AF39" s="50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22.4</v>
      </c>
      <c r="H40" s="61">
        <v>34.799999999999997</v>
      </c>
      <c r="I40" s="61">
        <v>45.7</v>
      </c>
      <c r="J40" s="61">
        <v>59.6</v>
      </c>
      <c r="K40" s="61">
        <v>70.3</v>
      </c>
      <c r="L40" s="61">
        <v>71</v>
      </c>
      <c r="M40" s="61">
        <v>59.5</v>
      </c>
      <c r="N40" s="73">
        <v>59.2</v>
      </c>
      <c r="O40" s="73">
        <v>50.3</v>
      </c>
      <c r="P40" s="73">
        <v>60</v>
      </c>
      <c r="Q40" s="73">
        <v>44.4</v>
      </c>
      <c r="R40" s="73">
        <v>30.1</v>
      </c>
      <c r="S40" s="73">
        <v>30.3</v>
      </c>
      <c r="T40" s="73">
        <v>30.3</v>
      </c>
      <c r="U40" s="73">
        <v>34.6</v>
      </c>
      <c r="V40" s="73">
        <v>34.799999999999997</v>
      </c>
      <c r="W40" s="73">
        <v>43.4</v>
      </c>
      <c r="X40" s="73">
        <v>63.7</v>
      </c>
      <c r="Y40" s="73">
        <v>69.099999999999994</v>
      </c>
      <c r="Z40" s="73">
        <v>68.3</v>
      </c>
      <c r="AA40" s="73">
        <v>69.400000000000006</v>
      </c>
      <c r="AB40" s="73">
        <v>50.7</v>
      </c>
      <c r="AC40" s="73">
        <v>50.7</v>
      </c>
      <c r="AD40" s="73">
        <v>30</v>
      </c>
      <c r="AE40" s="73">
        <v>0</v>
      </c>
      <c r="AF40" s="73">
        <v>0</v>
      </c>
      <c r="AG40" s="67">
        <v>70</v>
      </c>
      <c r="AH40" s="54">
        <f t="shared" si="2"/>
        <v>71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46.1</v>
      </c>
      <c r="C41" s="61">
        <v>16</v>
      </c>
      <c r="D41" s="61">
        <v>15.8</v>
      </c>
      <c r="E41" s="61">
        <v>0</v>
      </c>
      <c r="F41" s="61">
        <v>0</v>
      </c>
      <c r="G41" s="61">
        <v>0</v>
      </c>
      <c r="H41" s="61">
        <v>18.600000000000001</v>
      </c>
      <c r="I41" s="61">
        <v>56.8</v>
      </c>
      <c r="J41" s="61">
        <v>61.3</v>
      </c>
      <c r="K41" s="61">
        <v>66.2</v>
      </c>
      <c r="L41" s="61">
        <v>67.5</v>
      </c>
      <c r="M41" s="61">
        <v>62.4</v>
      </c>
      <c r="N41" s="73">
        <v>56.3</v>
      </c>
      <c r="O41" s="73">
        <v>46.1</v>
      </c>
      <c r="P41" s="73">
        <v>46.1</v>
      </c>
      <c r="Q41" s="73">
        <v>46.4</v>
      </c>
      <c r="R41" s="73">
        <v>34.6</v>
      </c>
      <c r="S41" s="73">
        <v>34.700000000000003</v>
      </c>
      <c r="T41" s="73">
        <v>23.2</v>
      </c>
      <c r="U41" s="73">
        <v>23.2</v>
      </c>
      <c r="V41" s="73">
        <v>23.2</v>
      </c>
      <c r="W41" s="73">
        <v>41.6</v>
      </c>
      <c r="X41" s="73">
        <v>51.6</v>
      </c>
      <c r="Y41" s="73">
        <v>68.400000000000006</v>
      </c>
      <c r="Z41" s="73">
        <v>68.3</v>
      </c>
      <c r="AA41" s="73">
        <v>67.099999999999994</v>
      </c>
      <c r="AB41" s="73">
        <v>61.9</v>
      </c>
      <c r="AC41" s="73">
        <v>61.9</v>
      </c>
      <c r="AD41" s="73">
        <v>38.1</v>
      </c>
      <c r="AE41" s="73">
        <v>33.1</v>
      </c>
      <c r="AF41" s="73">
        <v>17</v>
      </c>
      <c r="AG41" s="67">
        <v>69</v>
      </c>
      <c r="AH41" s="54">
        <f t="shared" si="2"/>
        <v>68.400000000000006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45.3</v>
      </c>
      <c r="C42" s="61">
        <v>46.3</v>
      </c>
      <c r="D42" s="61">
        <v>48.1</v>
      </c>
      <c r="E42" s="61">
        <v>48</v>
      </c>
      <c r="F42" s="61">
        <v>48</v>
      </c>
      <c r="G42" s="61">
        <v>48.1</v>
      </c>
      <c r="H42" s="61">
        <v>48.1</v>
      </c>
      <c r="I42" s="61">
        <v>48.1</v>
      </c>
      <c r="J42" s="61">
        <v>45.3</v>
      </c>
      <c r="K42" s="61">
        <v>45.4</v>
      </c>
      <c r="L42" s="61">
        <v>45.6</v>
      </c>
      <c r="M42" s="61">
        <v>47.4</v>
      </c>
      <c r="N42" s="73">
        <v>49.1</v>
      </c>
      <c r="O42" s="73">
        <v>48.4</v>
      </c>
      <c r="P42" s="73">
        <v>44.1</v>
      </c>
      <c r="Q42" s="73">
        <v>44.1</v>
      </c>
      <c r="R42" s="73">
        <v>45.3</v>
      </c>
      <c r="S42" s="73">
        <v>48.1</v>
      </c>
      <c r="T42" s="73">
        <v>46.1</v>
      </c>
      <c r="U42" s="73">
        <v>46.1</v>
      </c>
      <c r="V42" s="73">
        <v>44.3</v>
      </c>
      <c r="W42" s="73">
        <v>44.3</v>
      </c>
      <c r="X42" s="73">
        <v>44.3</v>
      </c>
      <c r="Y42" s="73">
        <v>44.3</v>
      </c>
      <c r="Z42" s="73">
        <v>46.4</v>
      </c>
      <c r="AA42" s="73">
        <v>46.4</v>
      </c>
      <c r="AB42" s="73">
        <v>44.4</v>
      </c>
      <c r="AC42" s="73">
        <v>44.4</v>
      </c>
      <c r="AD42" s="73">
        <v>44.4</v>
      </c>
      <c r="AE42" s="73">
        <v>44.4</v>
      </c>
      <c r="AF42" s="73">
        <v>44.4</v>
      </c>
      <c r="AG42" s="67">
        <v>60</v>
      </c>
      <c r="AH42" s="54">
        <f t="shared" si="2"/>
        <v>49.1</v>
      </c>
      <c r="AI42" s="55">
        <f t="shared" si="3"/>
        <v>44.1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10</v>
      </c>
      <c r="G43" s="61">
        <v>10</v>
      </c>
      <c r="H43" s="61">
        <v>15</v>
      </c>
      <c r="I43" s="61">
        <v>15</v>
      </c>
      <c r="J43" s="61">
        <v>10</v>
      </c>
      <c r="K43" s="61">
        <v>15</v>
      </c>
      <c r="L43" s="61">
        <v>15</v>
      </c>
      <c r="M43" s="61">
        <v>15</v>
      </c>
      <c r="N43" s="50">
        <v>15</v>
      </c>
      <c r="O43" s="50">
        <v>15</v>
      </c>
      <c r="P43" s="50">
        <v>10</v>
      </c>
      <c r="Q43" s="50">
        <v>10</v>
      </c>
      <c r="R43" s="50">
        <v>10</v>
      </c>
      <c r="S43" s="50">
        <v>6.6</v>
      </c>
      <c r="T43" s="50">
        <v>6.6</v>
      </c>
      <c r="U43" s="50">
        <v>6.6</v>
      </c>
      <c r="V43" s="50">
        <v>6.6</v>
      </c>
      <c r="W43" s="50">
        <v>6.6</v>
      </c>
      <c r="X43" s="50">
        <v>6.6</v>
      </c>
      <c r="Y43" s="50">
        <v>6.6</v>
      </c>
      <c r="Z43" s="73">
        <v>14.6</v>
      </c>
      <c r="AA43" s="73">
        <v>14.6</v>
      </c>
      <c r="AB43" s="73">
        <v>14.9</v>
      </c>
      <c r="AC43" s="73">
        <v>14.9</v>
      </c>
      <c r="AD43" s="73">
        <v>14.9</v>
      </c>
      <c r="AE43" s="73">
        <v>6.5</v>
      </c>
      <c r="AF43" s="73">
        <v>0</v>
      </c>
      <c r="AG43" s="67">
        <v>30</v>
      </c>
      <c r="AH43" s="54">
        <f t="shared" si="2"/>
        <v>15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74">
        <v>13</v>
      </c>
      <c r="D45" s="74">
        <v>13</v>
      </c>
      <c r="E45" s="74">
        <v>13</v>
      </c>
      <c r="F45" s="74">
        <v>13</v>
      </c>
      <c r="G45" s="74">
        <v>13</v>
      </c>
      <c r="H45" s="74">
        <v>13</v>
      </c>
      <c r="I45" s="74">
        <v>13</v>
      </c>
      <c r="J45" s="74">
        <v>13</v>
      </c>
      <c r="K45" s="74">
        <v>13</v>
      </c>
      <c r="L45" s="74">
        <v>13</v>
      </c>
      <c r="M45" s="74">
        <v>13</v>
      </c>
      <c r="N45" s="74">
        <v>13</v>
      </c>
      <c r="O45" s="74">
        <v>13</v>
      </c>
      <c r="P45" s="74">
        <v>13</v>
      </c>
      <c r="Q45" s="74">
        <v>13</v>
      </c>
      <c r="R45" s="74">
        <v>13</v>
      </c>
      <c r="S45" s="74">
        <v>13</v>
      </c>
      <c r="T45" s="74">
        <v>13</v>
      </c>
      <c r="U45" s="74">
        <v>13</v>
      </c>
      <c r="V45" s="74">
        <v>13</v>
      </c>
      <c r="W45" s="74">
        <v>13</v>
      </c>
      <c r="X45" s="74">
        <v>13</v>
      </c>
      <c r="Y45" s="74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50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61">
        <v>5.5</v>
      </c>
      <c r="P46" s="61">
        <v>5.5</v>
      </c>
      <c r="Q46" s="61">
        <v>5.5</v>
      </c>
      <c r="R46" s="61">
        <v>5.5</v>
      </c>
      <c r="S46" s="61">
        <v>5.5</v>
      </c>
      <c r="T46" s="61">
        <v>5.5</v>
      </c>
      <c r="U46" s="61">
        <v>5.5</v>
      </c>
      <c r="V46" s="61">
        <v>5.5</v>
      </c>
      <c r="W46" s="61">
        <v>5.5</v>
      </c>
      <c r="X46" s="61">
        <v>5.5</v>
      </c>
      <c r="Y46" s="61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61">
        <v>10</v>
      </c>
      <c r="T47" s="61">
        <v>10</v>
      </c>
      <c r="U47" s="61">
        <v>10</v>
      </c>
      <c r="V47" s="61">
        <v>10</v>
      </c>
      <c r="W47" s="61">
        <v>10</v>
      </c>
      <c r="X47" s="61">
        <v>10</v>
      </c>
      <c r="Y47" s="61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74">
        <v>5</v>
      </c>
      <c r="D48" s="74">
        <v>5</v>
      </c>
      <c r="E48" s="74">
        <v>5</v>
      </c>
      <c r="F48" s="74">
        <v>5</v>
      </c>
      <c r="G48" s="74">
        <v>5</v>
      </c>
      <c r="H48" s="74">
        <v>5</v>
      </c>
      <c r="I48" s="74">
        <v>5</v>
      </c>
      <c r="J48" s="74">
        <v>5</v>
      </c>
      <c r="K48" s="74">
        <v>5</v>
      </c>
      <c r="L48" s="74">
        <v>5</v>
      </c>
      <c r="M48" s="74">
        <v>5</v>
      </c>
      <c r="N48" s="74">
        <v>5</v>
      </c>
      <c r="O48" s="74">
        <v>5</v>
      </c>
      <c r="P48" s="74">
        <v>5</v>
      </c>
      <c r="Q48" s="74">
        <v>5</v>
      </c>
      <c r="R48" s="74">
        <v>5</v>
      </c>
      <c r="S48" s="74">
        <v>5</v>
      </c>
      <c r="T48" s="74">
        <v>5</v>
      </c>
      <c r="U48" s="74">
        <v>5</v>
      </c>
      <c r="V48" s="74">
        <v>5</v>
      </c>
      <c r="W48" s="74">
        <v>5</v>
      </c>
      <c r="X48" s="74">
        <v>5</v>
      </c>
      <c r="Y48" s="74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61">
        <v>4.8</v>
      </c>
      <c r="S49" s="61">
        <v>4.8</v>
      </c>
      <c r="T49" s="61">
        <v>4.8</v>
      </c>
      <c r="U49" s="61">
        <v>4.8</v>
      </c>
      <c r="V49" s="61">
        <v>4.8</v>
      </c>
      <c r="W49" s="61">
        <v>4.8</v>
      </c>
      <c r="X49" s="61">
        <v>4.8</v>
      </c>
      <c r="Y49" s="61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50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B199</f>
        <v>0.64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U200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0.64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132.84</v>
      </c>
      <c r="C52" s="72">
        <f t="shared" ref="C52:AF52" si="9">SUM(C39:C51)</f>
        <v>106.64</v>
      </c>
      <c r="D52" s="72">
        <f t="shared" ref="D52" si="10">SUM(D39:D51)</f>
        <v>108.24000000000001</v>
      </c>
      <c r="E52" s="72">
        <f t="shared" si="9"/>
        <v>92.34</v>
      </c>
      <c r="F52" s="72">
        <f t="shared" si="9"/>
        <v>102.34</v>
      </c>
      <c r="G52" s="72">
        <f t="shared" si="9"/>
        <v>158.64000000000001</v>
      </c>
      <c r="H52" s="72">
        <f t="shared" si="9"/>
        <v>206.34</v>
      </c>
      <c r="I52" s="72">
        <f t="shared" si="9"/>
        <v>317.44000000000005</v>
      </c>
      <c r="J52" s="72">
        <f t="shared" si="9"/>
        <v>340.54</v>
      </c>
      <c r="K52" s="72">
        <f t="shared" si="9"/>
        <v>386.74</v>
      </c>
      <c r="L52" s="72">
        <f t="shared" si="9"/>
        <v>389.24000000000007</v>
      </c>
      <c r="M52" s="72">
        <f t="shared" si="9"/>
        <v>374.44</v>
      </c>
      <c r="N52" s="72">
        <f t="shared" si="9"/>
        <v>344.84000000000009</v>
      </c>
      <c r="O52" s="72">
        <f t="shared" si="9"/>
        <v>301.84000000000003</v>
      </c>
      <c r="P52" s="72">
        <f t="shared" si="9"/>
        <v>295.74</v>
      </c>
      <c r="Q52" s="72">
        <f t="shared" si="9"/>
        <v>280.14000000000004</v>
      </c>
      <c r="R52" s="72">
        <f t="shared" si="9"/>
        <v>255.43999999999997</v>
      </c>
      <c r="S52" s="72">
        <f t="shared" si="9"/>
        <v>261.34000000000003</v>
      </c>
      <c r="T52" s="72">
        <f t="shared" si="9"/>
        <v>246.54</v>
      </c>
      <c r="U52" s="72">
        <f t="shared" si="9"/>
        <v>229.83999999999997</v>
      </c>
      <c r="V52" s="72">
        <f t="shared" si="9"/>
        <v>253.24</v>
      </c>
      <c r="W52" s="72">
        <f t="shared" si="9"/>
        <v>291.74</v>
      </c>
      <c r="X52" s="72">
        <f t="shared" si="9"/>
        <v>355.74000000000007</v>
      </c>
      <c r="Y52" s="72">
        <f t="shared" si="9"/>
        <v>377.84000000000009</v>
      </c>
      <c r="Z52" s="72">
        <v>387.84000000000003</v>
      </c>
      <c r="AA52" s="72">
        <f t="shared" si="9"/>
        <v>386.14000000000004</v>
      </c>
      <c r="AB52" s="72">
        <f t="shared" si="9"/>
        <v>348.24</v>
      </c>
      <c r="AC52" s="72">
        <f t="shared" si="9"/>
        <v>348.24</v>
      </c>
      <c r="AD52" s="72">
        <f t="shared" si="9"/>
        <v>252.84</v>
      </c>
      <c r="AE52" s="72">
        <f t="shared" si="9"/>
        <v>128.34</v>
      </c>
      <c r="AF52" s="72">
        <f t="shared" si="9"/>
        <v>105.74000000000001</v>
      </c>
      <c r="AG52" s="78">
        <f>SUM(AG39:AG51)</f>
        <v>489.91</v>
      </c>
      <c r="AH52" s="54">
        <f t="shared" si="2"/>
        <v>389.24000000000007</v>
      </c>
      <c r="AI52" s="55">
        <f t="shared" si="3"/>
        <v>92.34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29</v>
      </c>
      <c r="K53" s="61">
        <v>29</v>
      </c>
      <c r="L53" s="61">
        <v>60</v>
      </c>
      <c r="M53" s="79">
        <v>42.7</v>
      </c>
      <c r="N53" s="79">
        <v>10</v>
      </c>
      <c r="O53" s="79">
        <v>0</v>
      </c>
      <c r="P53" s="79">
        <v>0</v>
      </c>
      <c r="Q53" s="79">
        <v>0</v>
      </c>
      <c r="R53" s="79">
        <v>0</v>
      </c>
      <c r="S53" s="50">
        <v>0</v>
      </c>
      <c r="T53" s="50">
        <v>0</v>
      </c>
      <c r="U53" s="50">
        <v>14</v>
      </c>
      <c r="V53" s="50">
        <v>20</v>
      </c>
      <c r="W53" s="50">
        <v>19.899999999999999</v>
      </c>
      <c r="X53" s="50">
        <v>39.9</v>
      </c>
      <c r="Y53" s="50">
        <v>60</v>
      </c>
      <c r="Z53" s="50">
        <v>59.4</v>
      </c>
      <c r="AA53" s="50">
        <v>59.4</v>
      </c>
      <c r="AB53" s="50">
        <v>59.4</v>
      </c>
      <c r="AC53" s="50">
        <v>39.4</v>
      </c>
      <c r="AD53" s="50">
        <v>49.2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14</v>
      </c>
      <c r="K54" s="61">
        <v>14</v>
      </c>
      <c r="L54" s="61">
        <v>27</v>
      </c>
      <c r="M54" s="79">
        <v>18.8</v>
      </c>
      <c r="N54" s="79">
        <v>4.9000000000000004</v>
      </c>
      <c r="O54" s="79">
        <v>0</v>
      </c>
      <c r="P54" s="79">
        <v>0</v>
      </c>
      <c r="Q54" s="79">
        <v>0</v>
      </c>
      <c r="R54" s="79">
        <v>0</v>
      </c>
      <c r="S54" s="50">
        <v>0</v>
      </c>
      <c r="T54" s="50">
        <v>0</v>
      </c>
      <c r="U54" s="50">
        <v>7.8</v>
      </c>
      <c r="V54" s="50">
        <v>12.9</v>
      </c>
      <c r="W54" s="73">
        <v>12.9</v>
      </c>
      <c r="X54" s="73">
        <v>18.8</v>
      </c>
      <c r="Y54" s="73">
        <v>26.8</v>
      </c>
      <c r="Z54" s="73">
        <v>28.4</v>
      </c>
      <c r="AA54" s="73">
        <v>29.4</v>
      </c>
      <c r="AB54" s="73">
        <v>29.4</v>
      </c>
      <c r="AC54" s="73">
        <v>18.600000000000001</v>
      </c>
      <c r="AD54" s="73">
        <v>20.8</v>
      </c>
      <c r="AE54" s="73">
        <v>0</v>
      </c>
      <c r="AF54" s="73">
        <v>0</v>
      </c>
      <c r="AG54" s="67">
        <v>32</v>
      </c>
      <c r="AH54" s="54">
        <f t="shared" si="2"/>
        <v>29.4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5.0999999999999996</v>
      </c>
      <c r="K55" s="74">
        <v>5</v>
      </c>
      <c r="L55" s="74">
        <v>10</v>
      </c>
      <c r="M55" s="81">
        <v>6.9</v>
      </c>
      <c r="N55" s="81">
        <v>1.8</v>
      </c>
      <c r="O55" s="81">
        <v>0</v>
      </c>
      <c r="P55" s="81">
        <v>0</v>
      </c>
      <c r="Q55" s="81">
        <v>0</v>
      </c>
      <c r="R55" s="81">
        <v>0</v>
      </c>
      <c r="S55" s="50">
        <v>0</v>
      </c>
      <c r="T55" s="50">
        <v>0</v>
      </c>
      <c r="U55" s="50">
        <v>2.4</v>
      </c>
      <c r="V55" s="50">
        <v>4.7</v>
      </c>
      <c r="W55" s="80">
        <v>4.7</v>
      </c>
      <c r="X55" s="80">
        <v>6.7</v>
      </c>
      <c r="Y55" s="80">
        <v>9.8000000000000007</v>
      </c>
      <c r="Z55" s="80">
        <v>10.4</v>
      </c>
      <c r="AA55" s="80">
        <v>10.7</v>
      </c>
      <c r="AB55" s="80">
        <v>10.7</v>
      </c>
      <c r="AC55" s="80">
        <v>6.8</v>
      </c>
      <c r="AD55" s="80">
        <v>7.6</v>
      </c>
      <c r="AE55" s="80">
        <v>0</v>
      </c>
      <c r="AF55" s="80">
        <v>0</v>
      </c>
      <c r="AG55" s="82">
        <v>14</v>
      </c>
      <c r="AH55" s="54">
        <f t="shared" si="2"/>
        <v>10.7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1">SUM(B53:B55)</f>
        <v>0</v>
      </c>
      <c r="C56" s="72">
        <f>SUM(C53:C55)</f>
        <v>0</v>
      </c>
      <c r="D56" s="72">
        <f t="shared" ref="D56:AF56" si="12">SUM(D53:D55)</f>
        <v>0</v>
      </c>
      <c r="E56" s="72">
        <f t="shared" si="12"/>
        <v>0</v>
      </c>
      <c r="F56" s="72">
        <f t="shared" si="12"/>
        <v>0</v>
      </c>
      <c r="G56" s="72">
        <f t="shared" si="12"/>
        <v>0</v>
      </c>
      <c r="H56" s="72">
        <f t="shared" si="12"/>
        <v>0</v>
      </c>
      <c r="I56" s="72">
        <f t="shared" si="12"/>
        <v>0</v>
      </c>
      <c r="J56" s="72">
        <f t="shared" si="12"/>
        <v>48.1</v>
      </c>
      <c r="K56" s="72">
        <f t="shared" si="12"/>
        <v>48</v>
      </c>
      <c r="L56" s="72">
        <f t="shared" si="12"/>
        <v>97</v>
      </c>
      <c r="M56" s="72">
        <f t="shared" si="12"/>
        <v>68.400000000000006</v>
      </c>
      <c r="N56" s="72">
        <f t="shared" si="12"/>
        <v>16.7</v>
      </c>
      <c r="O56" s="72">
        <f t="shared" si="12"/>
        <v>0</v>
      </c>
      <c r="P56" s="72">
        <f t="shared" si="12"/>
        <v>0</v>
      </c>
      <c r="Q56" s="72">
        <f t="shared" si="12"/>
        <v>0</v>
      </c>
      <c r="R56" s="72">
        <f t="shared" si="12"/>
        <v>0</v>
      </c>
      <c r="S56" s="72">
        <f t="shared" si="12"/>
        <v>0</v>
      </c>
      <c r="T56" s="72">
        <f t="shared" si="12"/>
        <v>0</v>
      </c>
      <c r="U56" s="72">
        <f t="shared" si="12"/>
        <v>24.2</v>
      </c>
      <c r="V56" s="72">
        <f t="shared" si="12"/>
        <v>37.6</v>
      </c>
      <c r="W56" s="72">
        <f t="shared" si="12"/>
        <v>37.5</v>
      </c>
      <c r="X56" s="72">
        <f t="shared" si="12"/>
        <v>65.400000000000006</v>
      </c>
      <c r="Y56" s="72">
        <f t="shared" si="12"/>
        <v>96.6</v>
      </c>
      <c r="Z56" s="72">
        <v>98.2</v>
      </c>
      <c r="AA56" s="72">
        <f t="shared" si="12"/>
        <v>99.5</v>
      </c>
      <c r="AB56" s="72">
        <f t="shared" si="12"/>
        <v>99.5</v>
      </c>
      <c r="AC56" s="72">
        <f t="shared" si="12"/>
        <v>64.8</v>
      </c>
      <c r="AD56" s="72">
        <f t="shared" si="12"/>
        <v>77.599999999999994</v>
      </c>
      <c r="AE56" s="72">
        <f t="shared" si="12"/>
        <v>0</v>
      </c>
      <c r="AF56" s="72">
        <f t="shared" si="12"/>
        <v>0</v>
      </c>
      <c r="AG56" s="78">
        <f>SUM(AG53:AG55)</f>
        <v>106</v>
      </c>
      <c r="AH56" s="54">
        <f t="shared" si="2"/>
        <v>99.5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75</v>
      </c>
      <c r="C57" s="50">
        <v>73.5</v>
      </c>
      <c r="D57" s="50">
        <v>73.48</v>
      </c>
      <c r="E57" s="50">
        <v>69.5</v>
      </c>
      <c r="F57" s="50">
        <v>63.9</v>
      </c>
      <c r="G57" s="50">
        <v>70.989999999999995</v>
      </c>
      <c r="H57" s="50">
        <v>72</v>
      </c>
      <c r="I57" s="50">
        <v>62</v>
      </c>
      <c r="J57" s="50">
        <v>22</v>
      </c>
      <c r="K57" s="50">
        <v>18</v>
      </c>
      <c r="L57" s="50">
        <v>16</v>
      </c>
      <c r="M57" s="50">
        <v>16</v>
      </c>
      <c r="N57" s="50">
        <v>61.16</v>
      </c>
      <c r="O57" s="50">
        <v>62.8</v>
      </c>
      <c r="P57" s="50">
        <v>65.2</v>
      </c>
      <c r="Q57" s="50">
        <v>68.44</v>
      </c>
      <c r="R57" s="50">
        <v>72.77</v>
      </c>
      <c r="S57" s="50">
        <v>76.400000000000006</v>
      </c>
      <c r="T57" s="50">
        <v>62.5</v>
      </c>
      <c r="U57" s="50">
        <v>75.3</v>
      </c>
      <c r="V57" s="50">
        <v>75.3</v>
      </c>
      <c r="W57" s="50">
        <v>55.3</v>
      </c>
      <c r="X57" s="50">
        <v>16.8</v>
      </c>
      <c r="Y57" s="50">
        <v>21</v>
      </c>
      <c r="Z57" s="50">
        <v>27.2</v>
      </c>
      <c r="AA57" s="50">
        <v>22</v>
      </c>
      <c r="AB57" s="50">
        <v>22</v>
      </c>
      <c r="AC57" s="50">
        <v>58.7</v>
      </c>
      <c r="AD57" s="50">
        <v>58.3</v>
      </c>
      <c r="AE57" s="50">
        <v>65.5</v>
      </c>
      <c r="AF57" s="50">
        <v>68</v>
      </c>
      <c r="AG57" s="62"/>
      <c r="AH57" s="54">
        <f t="shared" si="2"/>
        <v>76.400000000000006</v>
      </c>
      <c r="AI57" s="55">
        <f t="shared" si="3"/>
        <v>16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0</v>
      </c>
      <c r="K58" s="73">
        <v>0</v>
      </c>
      <c r="L58" s="73">
        <v>0</v>
      </c>
      <c r="M58" s="73">
        <v>135</v>
      </c>
      <c r="N58" s="50">
        <v>128</v>
      </c>
      <c r="O58" s="50">
        <v>66.7</v>
      </c>
      <c r="P58" s="50">
        <v>69</v>
      </c>
      <c r="Q58" s="50">
        <v>0</v>
      </c>
      <c r="R58" s="50">
        <v>0</v>
      </c>
      <c r="S58" s="50">
        <v>58</v>
      </c>
      <c r="T58" s="50">
        <v>89.7</v>
      </c>
      <c r="U58" s="50">
        <v>89.7</v>
      </c>
      <c r="V58" s="50">
        <v>89.7</v>
      </c>
      <c r="W58" s="50">
        <v>89.7</v>
      </c>
      <c r="X58" s="50">
        <v>85.5</v>
      </c>
      <c r="Y58" s="50">
        <v>101</v>
      </c>
      <c r="Z58" s="83">
        <v>97.1</v>
      </c>
      <c r="AA58" s="83">
        <v>86.1</v>
      </c>
      <c r="AB58" s="184">
        <v>86.1</v>
      </c>
      <c r="AC58" s="73">
        <v>318.5</v>
      </c>
      <c r="AD58" s="73">
        <v>51.2</v>
      </c>
      <c r="AE58" s="73">
        <v>58.4</v>
      </c>
      <c r="AF58" s="73">
        <v>0</v>
      </c>
      <c r="AG58" s="67"/>
      <c r="AH58" s="54">
        <f t="shared" si="2"/>
        <v>318.5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375.6</v>
      </c>
      <c r="C59" s="73">
        <v>344</v>
      </c>
      <c r="D59" s="73">
        <v>342</v>
      </c>
      <c r="E59" s="73">
        <v>348.9</v>
      </c>
      <c r="F59" s="73">
        <v>349</v>
      </c>
      <c r="G59" s="73">
        <v>348</v>
      </c>
      <c r="H59" s="50">
        <v>344.5</v>
      </c>
      <c r="I59" s="50">
        <v>0</v>
      </c>
      <c r="J59" s="50">
        <v>45</v>
      </c>
      <c r="K59" s="50">
        <v>48</v>
      </c>
      <c r="L59" s="50">
        <v>52</v>
      </c>
      <c r="M59" s="50">
        <v>63.1</v>
      </c>
      <c r="N59" s="73">
        <v>59.8</v>
      </c>
      <c r="O59" s="73">
        <v>260.5</v>
      </c>
      <c r="P59" s="73">
        <v>264</v>
      </c>
      <c r="Q59" s="73">
        <v>355.5</v>
      </c>
      <c r="R59" s="73">
        <v>356.7</v>
      </c>
      <c r="S59" s="73">
        <v>343.8</v>
      </c>
      <c r="T59" s="73">
        <v>320</v>
      </c>
      <c r="U59" s="73">
        <v>327</v>
      </c>
      <c r="V59" s="73">
        <v>327</v>
      </c>
      <c r="W59" s="73">
        <v>130.1</v>
      </c>
      <c r="X59" s="73">
        <v>54</v>
      </c>
      <c r="Y59" s="73">
        <v>79</v>
      </c>
      <c r="Z59" s="84">
        <v>92.3</v>
      </c>
      <c r="AA59" s="84">
        <v>154</v>
      </c>
      <c r="AB59" s="79">
        <v>154</v>
      </c>
      <c r="AC59" s="73">
        <v>323.8</v>
      </c>
      <c r="AD59" s="73">
        <v>267</v>
      </c>
      <c r="AE59" s="73">
        <v>324.10000000000002</v>
      </c>
      <c r="AF59" s="73">
        <v>338</v>
      </c>
      <c r="AG59" s="85"/>
      <c r="AH59" s="54">
        <f t="shared" si="2"/>
        <v>375.6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48</v>
      </c>
      <c r="D60" s="58">
        <v>46</v>
      </c>
      <c r="E60" s="58">
        <v>43</v>
      </c>
      <c r="F60" s="58">
        <v>43</v>
      </c>
      <c r="G60" s="58">
        <v>45</v>
      </c>
      <c r="H60" s="58">
        <v>48.2</v>
      </c>
      <c r="I60" s="58">
        <v>50</v>
      </c>
      <c r="J60" s="58">
        <v>52</v>
      </c>
      <c r="K60" s="58">
        <v>54</v>
      </c>
      <c r="L60" s="58">
        <v>58</v>
      </c>
      <c r="M60" s="58">
        <v>58</v>
      </c>
      <c r="N60" s="73">
        <v>55</v>
      </c>
      <c r="O60" s="73">
        <v>55</v>
      </c>
      <c r="P60" s="73">
        <v>51</v>
      </c>
      <c r="Q60" s="73">
        <v>51</v>
      </c>
      <c r="R60" s="73">
        <v>51</v>
      </c>
      <c r="S60" s="73">
        <v>45.2</v>
      </c>
      <c r="T60" s="73">
        <v>50.6</v>
      </c>
      <c r="U60" s="73">
        <v>50</v>
      </c>
      <c r="V60" s="73">
        <v>50</v>
      </c>
      <c r="W60" s="73">
        <v>40.299999999999997</v>
      </c>
      <c r="X60" s="73">
        <v>40.799999999999997</v>
      </c>
      <c r="Y60" s="73">
        <v>47.4</v>
      </c>
      <c r="Z60" s="73">
        <v>47.3</v>
      </c>
      <c r="AA60" s="73">
        <v>50</v>
      </c>
      <c r="AB60" s="79">
        <v>50</v>
      </c>
      <c r="AC60" s="73">
        <v>44.2</v>
      </c>
      <c r="AD60" s="73">
        <v>38.5</v>
      </c>
      <c r="AE60" s="73">
        <v>44.7</v>
      </c>
      <c r="AF60" s="58">
        <v>46</v>
      </c>
      <c r="AG60" s="85"/>
      <c r="AH60" s="54">
        <f t="shared" si="2"/>
        <v>58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80.599999999999994</v>
      </c>
      <c r="J61" s="58">
        <v>76.5</v>
      </c>
      <c r="K61" s="58">
        <v>72.599999999999994</v>
      </c>
      <c r="L61" s="58">
        <v>74</v>
      </c>
      <c r="M61" s="58">
        <v>81.099999999999994</v>
      </c>
      <c r="N61" s="50">
        <v>78.7</v>
      </c>
      <c r="O61" s="50">
        <v>74.5</v>
      </c>
      <c r="P61" s="50">
        <v>74.5</v>
      </c>
      <c r="Q61" s="50">
        <v>78.099999999999994</v>
      </c>
      <c r="R61" s="50">
        <v>65.900000000000006</v>
      </c>
      <c r="S61" s="50">
        <v>70.099999999999994</v>
      </c>
      <c r="T61" s="50">
        <v>75.8</v>
      </c>
      <c r="U61" s="50">
        <v>79.7</v>
      </c>
      <c r="V61" s="50">
        <v>79.7</v>
      </c>
      <c r="W61" s="50">
        <v>77</v>
      </c>
      <c r="X61" s="50">
        <v>77.900000000000006</v>
      </c>
      <c r="Y61" s="50">
        <v>80.2</v>
      </c>
      <c r="Z61" s="50">
        <v>80.099999999999994</v>
      </c>
      <c r="AA61" s="50">
        <v>73.599999999999994</v>
      </c>
      <c r="AB61" s="50">
        <v>73.599999999999994</v>
      </c>
      <c r="AC61" s="50">
        <v>75.3</v>
      </c>
      <c r="AD61" s="50">
        <v>73.7</v>
      </c>
      <c r="AE61" s="50">
        <v>83.5</v>
      </c>
      <c r="AF61" s="50">
        <v>75.400000000000006</v>
      </c>
      <c r="AG61" s="85"/>
      <c r="AH61" s="54">
        <f t="shared" si="2"/>
        <v>83.5</v>
      </c>
      <c r="AI61" s="55">
        <f t="shared" si="3"/>
        <v>0</v>
      </c>
      <c r="AK61" s="56"/>
    </row>
    <row r="62" spans="1:37" x14ac:dyDescent="0.25">
      <c r="A62" s="66" t="s">
        <v>70</v>
      </c>
      <c r="B62" s="5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0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60">
        <v>8</v>
      </c>
      <c r="AA62" s="60">
        <v>8</v>
      </c>
      <c r="AB62" s="60">
        <v>8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6" t="s">
        <v>71</v>
      </c>
      <c r="B63" s="5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50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50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3">SUM(B57:B67)</f>
        <v>450.6</v>
      </c>
      <c r="C68" s="72">
        <f>SUM(C57:C67)</f>
        <v>465.5</v>
      </c>
      <c r="D68" s="72">
        <f t="shared" ref="D68:AF68" si="14">SUM(D57:D67)</f>
        <v>461.48</v>
      </c>
      <c r="E68" s="72">
        <f t="shared" si="14"/>
        <v>461.4</v>
      </c>
      <c r="F68" s="72">
        <f t="shared" si="14"/>
        <v>455.9</v>
      </c>
      <c r="G68" s="72">
        <f t="shared" si="14"/>
        <v>463.99</v>
      </c>
      <c r="H68" s="72">
        <f t="shared" si="14"/>
        <v>464.7</v>
      </c>
      <c r="I68" s="72">
        <f t="shared" si="14"/>
        <v>192.6</v>
      </c>
      <c r="J68" s="72">
        <f t="shared" si="14"/>
        <v>195.5</v>
      </c>
      <c r="K68" s="72">
        <f t="shared" si="14"/>
        <v>192.6</v>
      </c>
      <c r="L68" s="72">
        <f t="shared" si="14"/>
        <v>200</v>
      </c>
      <c r="M68" s="72">
        <f t="shared" si="14"/>
        <v>353.20000000000005</v>
      </c>
      <c r="N68" s="72">
        <f t="shared" si="14"/>
        <v>382.65999999999997</v>
      </c>
      <c r="O68" s="72">
        <f t="shared" si="14"/>
        <v>519.5</v>
      </c>
      <c r="P68" s="72">
        <f t="shared" si="14"/>
        <v>523.70000000000005</v>
      </c>
      <c r="Q68" s="72">
        <f t="shared" si="14"/>
        <v>553.04</v>
      </c>
      <c r="R68" s="72">
        <f t="shared" si="14"/>
        <v>546.37</v>
      </c>
      <c r="S68" s="72">
        <f t="shared" si="14"/>
        <v>593.50000000000011</v>
      </c>
      <c r="T68" s="72">
        <f t="shared" si="14"/>
        <v>598.59999999999991</v>
      </c>
      <c r="U68" s="72">
        <f t="shared" si="14"/>
        <v>621.70000000000005</v>
      </c>
      <c r="V68" s="72">
        <f t="shared" si="14"/>
        <v>621.70000000000005</v>
      </c>
      <c r="W68" s="72">
        <f t="shared" si="14"/>
        <v>392.40000000000003</v>
      </c>
      <c r="X68" s="72">
        <f t="shared" si="14"/>
        <v>275</v>
      </c>
      <c r="Y68" s="72">
        <f t="shared" si="14"/>
        <v>328.6</v>
      </c>
      <c r="Z68" s="72">
        <v>342.5</v>
      </c>
      <c r="AA68" s="72">
        <f t="shared" si="14"/>
        <v>393.70000000000005</v>
      </c>
      <c r="AB68" s="72">
        <f t="shared" si="14"/>
        <v>393.70000000000005</v>
      </c>
      <c r="AC68" s="72">
        <f t="shared" si="14"/>
        <v>820.5</v>
      </c>
      <c r="AD68" s="72">
        <f t="shared" si="14"/>
        <v>488.7</v>
      </c>
      <c r="AE68" s="72">
        <f t="shared" si="14"/>
        <v>576.20000000000005</v>
      </c>
      <c r="AF68" s="72">
        <f t="shared" si="14"/>
        <v>527.4</v>
      </c>
      <c r="AG68" s="78">
        <f>SUM(AG57:AG67)</f>
        <v>0</v>
      </c>
      <c r="AH68" s="54">
        <f t="shared" si="2"/>
        <v>820.5</v>
      </c>
      <c r="AI68" s="55">
        <f t="shared" si="3"/>
        <v>192.6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5">SUM(B69:B71)</f>
        <v>0</v>
      </c>
      <c r="C72" s="72">
        <f>SUM(C69:C71)</f>
        <v>0</v>
      </c>
      <c r="D72" s="72">
        <f t="shared" ref="D72:AF72" si="16">SUM(D69:D71)</f>
        <v>0</v>
      </c>
      <c r="E72" s="72">
        <f t="shared" si="16"/>
        <v>0</v>
      </c>
      <c r="F72" s="72">
        <f t="shared" si="16"/>
        <v>0</v>
      </c>
      <c r="G72" s="72">
        <f t="shared" si="16"/>
        <v>0</v>
      </c>
      <c r="H72" s="72">
        <f t="shared" si="16"/>
        <v>0</v>
      </c>
      <c r="I72" s="72">
        <f t="shared" si="16"/>
        <v>0</v>
      </c>
      <c r="J72" s="72">
        <f t="shared" si="16"/>
        <v>0</v>
      </c>
      <c r="K72" s="72">
        <f t="shared" si="16"/>
        <v>0</v>
      </c>
      <c r="L72" s="72">
        <f t="shared" si="16"/>
        <v>0</v>
      </c>
      <c r="M72" s="72">
        <f t="shared" si="16"/>
        <v>0</v>
      </c>
      <c r="N72" s="72">
        <f t="shared" si="16"/>
        <v>0</v>
      </c>
      <c r="O72" s="72">
        <f t="shared" si="16"/>
        <v>0</v>
      </c>
      <c r="P72" s="72">
        <f t="shared" si="16"/>
        <v>0</v>
      </c>
      <c r="Q72" s="72">
        <f t="shared" si="16"/>
        <v>0</v>
      </c>
      <c r="R72" s="72">
        <f t="shared" si="16"/>
        <v>0</v>
      </c>
      <c r="S72" s="72">
        <f t="shared" si="16"/>
        <v>0</v>
      </c>
      <c r="T72" s="72">
        <f t="shared" si="16"/>
        <v>0</v>
      </c>
      <c r="U72" s="72">
        <f t="shared" si="16"/>
        <v>0</v>
      </c>
      <c r="V72" s="72">
        <f t="shared" si="16"/>
        <v>0</v>
      </c>
      <c r="W72" s="72">
        <f t="shared" si="16"/>
        <v>0</v>
      </c>
      <c r="X72" s="72">
        <f t="shared" si="16"/>
        <v>0</v>
      </c>
      <c r="Y72" s="72">
        <f t="shared" si="16"/>
        <v>0</v>
      </c>
      <c r="Z72" s="72">
        <v>0</v>
      </c>
      <c r="AA72" s="72">
        <f t="shared" si="16"/>
        <v>0</v>
      </c>
      <c r="AB72" s="72">
        <f t="shared" si="16"/>
        <v>0</v>
      </c>
      <c r="AC72" s="72">
        <f t="shared" si="16"/>
        <v>0</v>
      </c>
      <c r="AD72" s="72">
        <f t="shared" si="16"/>
        <v>0</v>
      </c>
      <c r="AE72" s="72">
        <f t="shared" si="16"/>
        <v>0</v>
      </c>
      <c r="AF72" s="72">
        <f t="shared" si="16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7">B68+B56+B52+B38+B72</f>
        <v>977.24</v>
      </c>
      <c r="C73" s="89">
        <f>C68+C56+C52+C38+C72</f>
        <v>966.14</v>
      </c>
      <c r="D73" s="89">
        <f t="shared" ref="D73:AG73" si="18">D68+D56+D52+D38+D72</f>
        <v>961.92000000000007</v>
      </c>
      <c r="E73" s="89">
        <f t="shared" si="18"/>
        <v>948.94</v>
      </c>
      <c r="F73" s="89">
        <f t="shared" si="18"/>
        <v>953.44</v>
      </c>
      <c r="G73" s="89">
        <f t="shared" si="18"/>
        <v>1017.83</v>
      </c>
      <c r="H73" s="89">
        <f t="shared" si="18"/>
        <v>1098.94</v>
      </c>
      <c r="I73" s="89">
        <f t="shared" si="18"/>
        <v>1191.94</v>
      </c>
      <c r="J73" s="89">
        <f t="shared" si="18"/>
        <v>1292.04</v>
      </c>
      <c r="K73" s="89">
        <f t="shared" si="18"/>
        <v>1385.24</v>
      </c>
      <c r="L73" s="89">
        <f t="shared" si="18"/>
        <v>1444.1399999999999</v>
      </c>
      <c r="M73" s="89">
        <f t="shared" si="18"/>
        <v>1445.84</v>
      </c>
      <c r="N73" s="89">
        <f t="shared" si="18"/>
        <v>1394.4</v>
      </c>
      <c r="O73" s="89">
        <f t="shared" si="18"/>
        <v>1309.74</v>
      </c>
      <c r="P73" s="89">
        <f t="shared" si="18"/>
        <v>1282.74</v>
      </c>
      <c r="Q73" s="89">
        <f t="shared" si="18"/>
        <v>1260.0800000000002</v>
      </c>
      <c r="R73" s="89">
        <f t="shared" si="18"/>
        <v>1218.1099999999999</v>
      </c>
      <c r="S73" s="89">
        <f t="shared" si="18"/>
        <v>1238.94</v>
      </c>
      <c r="T73" s="89">
        <f t="shared" si="18"/>
        <v>1249.2399999999998</v>
      </c>
      <c r="U73" s="89">
        <f t="shared" si="18"/>
        <v>1262.94</v>
      </c>
      <c r="V73" s="89">
        <f t="shared" si="18"/>
        <v>1337.74</v>
      </c>
      <c r="W73" s="89">
        <f t="shared" si="18"/>
        <v>1316.8400000000001</v>
      </c>
      <c r="X73" s="89">
        <f t="shared" si="18"/>
        <v>1361.3400000000001</v>
      </c>
      <c r="Y73" s="89">
        <f t="shared" si="18"/>
        <v>1518.2400000000002</v>
      </c>
      <c r="Z73" s="89">
        <v>1543.74</v>
      </c>
      <c r="AA73" s="89">
        <f t="shared" si="18"/>
        <v>1504.5400000000002</v>
      </c>
      <c r="AB73" s="89">
        <f t="shared" si="18"/>
        <v>1466.64</v>
      </c>
      <c r="AC73" s="89">
        <f t="shared" si="18"/>
        <v>1620.74</v>
      </c>
      <c r="AD73" s="89">
        <f t="shared" si="18"/>
        <v>1206.3400000000001</v>
      </c>
      <c r="AE73" s="89">
        <f t="shared" si="18"/>
        <v>1091.7400000000002</v>
      </c>
      <c r="AF73" s="89">
        <f t="shared" si="18"/>
        <v>1020.34</v>
      </c>
      <c r="AG73" s="89">
        <f t="shared" si="18"/>
        <v>2144.14</v>
      </c>
      <c r="AH73" s="54">
        <f t="shared" si="2"/>
        <v>1620.74</v>
      </c>
      <c r="AI73" s="55">
        <f t="shared" si="3"/>
        <v>948.94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9">B72+B68+B56+B52+B38+B74</f>
        <v>977.24</v>
      </c>
      <c r="C75" s="89">
        <f>C73+C74</f>
        <v>966.14</v>
      </c>
      <c r="D75" s="89">
        <f t="shared" ref="D75:AF75" si="20">D72+D68+D56+D52+D38+D74</f>
        <v>961.92000000000007</v>
      </c>
      <c r="E75" s="89">
        <f t="shared" si="20"/>
        <v>948.94</v>
      </c>
      <c r="F75" s="89">
        <f t="shared" si="20"/>
        <v>953.44</v>
      </c>
      <c r="G75" s="89">
        <f t="shared" si="20"/>
        <v>1017.83</v>
      </c>
      <c r="H75" s="89">
        <f t="shared" si="20"/>
        <v>1098.94</v>
      </c>
      <c r="I75" s="89">
        <f t="shared" si="20"/>
        <v>1191.94</v>
      </c>
      <c r="J75" s="89">
        <f t="shared" si="20"/>
        <v>1292.04</v>
      </c>
      <c r="K75" s="89">
        <f t="shared" si="20"/>
        <v>1385.24</v>
      </c>
      <c r="L75" s="89">
        <f t="shared" si="20"/>
        <v>1444.1399999999999</v>
      </c>
      <c r="M75" s="89">
        <f t="shared" si="20"/>
        <v>1445.84</v>
      </c>
      <c r="N75" s="89">
        <f t="shared" si="20"/>
        <v>1394.4</v>
      </c>
      <c r="O75" s="89">
        <f t="shared" si="20"/>
        <v>1309.74</v>
      </c>
      <c r="P75" s="89">
        <f t="shared" si="20"/>
        <v>1282.74</v>
      </c>
      <c r="Q75" s="89">
        <f t="shared" si="20"/>
        <v>1260.0800000000002</v>
      </c>
      <c r="R75" s="89">
        <f t="shared" si="20"/>
        <v>1218.1099999999999</v>
      </c>
      <c r="S75" s="89">
        <f t="shared" si="20"/>
        <v>1238.94</v>
      </c>
      <c r="T75" s="89">
        <f t="shared" si="20"/>
        <v>1249.2399999999998</v>
      </c>
      <c r="U75" s="89">
        <f t="shared" si="20"/>
        <v>1262.94</v>
      </c>
      <c r="V75" s="89">
        <f t="shared" si="20"/>
        <v>1337.74</v>
      </c>
      <c r="W75" s="89">
        <f t="shared" si="20"/>
        <v>1316.8400000000001</v>
      </c>
      <c r="X75" s="89">
        <f t="shared" si="20"/>
        <v>1361.3400000000001</v>
      </c>
      <c r="Y75" s="89">
        <f t="shared" si="20"/>
        <v>1518.2400000000002</v>
      </c>
      <c r="Z75" s="89">
        <v>1543.74</v>
      </c>
      <c r="AA75" s="89">
        <f t="shared" si="20"/>
        <v>1504.5400000000002</v>
      </c>
      <c r="AB75" s="89">
        <f t="shared" si="20"/>
        <v>1466.64</v>
      </c>
      <c r="AC75" s="89">
        <f t="shared" si="20"/>
        <v>1620.74</v>
      </c>
      <c r="AD75" s="89">
        <f t="shared" si="20"/>
        <v>1206.3400000000001</v>
      </c>
      <c r="AE75" s="89">
        <f t="shared" si="20"/>
        <v>1091.7400000000002</v>
      </c>
      <c r="AF75" s="89">
        <f t="shared" si="20"/>
        <v>1020.34</v>
      </c>
      <c r="AG75" s="78">
        <f>AG72+AG68+AG56+AG52+AG38+AG74</f>
        <v>2144.14</v>
      </c>
      <c r="AH75" s="54">
        <f t="shared" si="2"/>
        <v>1620.74</v>
      </c>
      <c r="AI75" s="55">
        <f t="shared" si="3"/>
        <v>948.94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1">IF(B60&lt;0,B60*-1,0)</f>
        <v>0</v>
      </c>
      <c r="C76" s="58">
        <f>IF(C60&lt;0,C60*-1,0)</f>
        <v>0</v>
      </c>
      <c r="D76" s="58">
        <f t="shared" ref="D76:AF76" si="22">IF(D60&lt;0,D60*-1,0)</f>
        <v>0</v>
      </c>
      <c r="E76" s="58">
        <f t="shared" si="22"/>
        <v>0</v>
      </c>
      <c r="F76" s="58">
        <f t="shared" si="22"/>
        <v>0</v>
      </c>
      <c r="G76" s="58">
        <f t="shared" si="22"/>
        <v>0</v>
      </c>
      <c r="H76" s="58">
        <f t="shared" si="22"/>
        <v>0</v>
      </c>
      <c r="I76" s="58">
        <f t="shared" si="22"/>
        <v>0</v>
      </c>
      <c r="J76" s="58">
        <f t="shared" si="22"/>
        <v>0</v>
      </c>
      <c r="K76" s="58">
        <f t="shared" si="22"/>
        <v>0</v>
      </c>
      <c r="L76" s="58">
        <f t="shared" si="22"/>
        <v>0</v>
      </c>
      <c r="M76" s="58">
        <f t="shared" si="22"/>
        <v>0</v>
      </c>
      <c r="N76" s="58">
        <f t="shared" si="22"/>
        <v>0</v>
      </c>
      <c r="O76" s="58">
        <f t="shared" si="22"/>
        <v>0</v>
      </c>
      <c r="P76" s="58">
        <f t="shared" si="22"/>
        <v>0</v>
      </c>
      <c r="Q76" s="58">
        <f t="shared" si="22"/>
        <v>0</v>
      </c>
      <c r="R76" s="58">
        <f t="shared" si="22"/>
        <v>0</v>
      </c>
      <c r="S76" s="58">
        <f t="shared" si="22"/>
        <v>0</v>
      </c>
      <c r="T76" s="58">
        <f t="shared" si="22"/>
        <v>0</v>
      </c>
      <c r="U76" s="58">
        <f t="shared" si="22"/>
        <v>0</v>
      </c>
      <c r="V76" s="58">
        <f t="shared" si="22"/>
        <v>0</v>
      </c>
      <c r="W76" s="58">
        <f t="shared" si="22"/>
        <v>0</v>
      </c>
      <c r="X76" s="58">
        <f t="shared" si="22"/>
        <v>0</v>
      </c>
      <c r="Y76" s="58">
        <f t="shared" si="22"/>
        <v>0</v>
      </c>
      <c r="Z76" s="58"/>
      <c r="AA76" s="58">
        <f t="shared" si="22"/>
        <v>0</v>
      </c>
      <c r="AB76" s="58">
        <f t="shared" si="22"/>
        <v>0</v>
      </c>
      <c r="AC76" s="58">
        <f t="shared" si="22"/>
        <v>0</v>
      </c>
      <c r="AD76" s="58">
        <f t="shared" si="22"/>
        <v>0</v>
      </c>
      <c r="AE76" s="58">
        <f t="shared" si="22"/>
        <v>0</v>
      </c>
      <c r="AF76" s="58">
        <f t="shared" si="22"/>
        <v>0</v>
      </c>
      <c r="AG76" s="62"/>
      <c r="AH76" s="54">
        <f t="shared" ref="AH76:AH91" si="23">MAX(B76:AF76)</f>
        <v>0</v>
      </c>
      <c r="AI76" s="55">
        <f t="shared" ref="AI76:AI91" si="2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5">IF(B58&lt;0,B58*-1,0)</f>
        <v>0</v>
      </c>
      <c r="C77" s="58">
        <f>IF(C58&lt;0,C58*-1,0)</f>
        <v>0</v>
      </c>
      <c r="D77" s="58">
        <f t="shared" ref="D77:AF77" si="26">IF(D58&lt;0,D58*-1,0)</f>
        <v>0</v>
      </c>
      <c r="E77" s="58">
        <f t="shared" si="26"/>
        <v>0</v>
      </c>
      <c r="F77" s="58">
        <f t="shared" si="26"/>
        <v>0</v>
      </c>
      <c r="G77" s="58">
        <f t="shared" si="26"/>
        <v>0</v>
      </c>
      <c r="H77" s="58">
        <f t="shared" si="26"/>
        <v>0</v>
      </c>
      <c r="I77" s="58">
        <f t="shared" si="26"/>
        <v>0</v>
      </c>
      <c r="J77" s="58">
        <f t="shared" si="26"/>
        <v>0</v>
      </c>
      <c r="K77" s="58">
        <f t="shared" si="26"/>
        <v>0</v>
      </c>
      <c r="L77" s="58">
        <f t="shared" si="26"/>
        <v>0</v>
      </c>
      <c r="M77" s="58">
        <f t="shared" si="26"/>
        <v>0</v>
      </c>
      <c r="N77" s="58">
        <f t="shared" si="26"/>
        <v>0</v>
      </c>
      <c r="O77" s="58">
        <f t="shared" si="26"/>
        <v>0</v>
      </c>
      <c r="P77" s="58">
        <f t="shared" si="26"/>
        <v>0</v>
      </c>
      <c r="Q77" s="58">
        <f t="shared" si="26"/>
        <v>0</v>
      </c>
      <c r="R77" s="58">
        <f t="shared" si="26"/>
        <v>0</v>
      </c>
      <c r="S77" s="58">
        <f t="shared" si="26"/>
        <v>0</v>
      </c>
      <c r="T77" s="58">
        <f t="shared" si="26"/>
        <v>0</v>
      </c>
      <c r="U77" s="58">
        <f t="shared" si="26"/>
        <v>0</v>
      </c>
      <c r="V77" s="58">
        <f t="shared" si="26"/>
        <v>0</v>
      </c>
      <c r="W77" s="58">
        <f t="shared" si="26"/>
        <v>0</v>
      </c>
      <c r="X77" s="58">
        <f t="shared" si="26"/>
        <v>0</v>
      </c>
      <c r="Y77" s="58">
        <f t="shared" si="26"/>
        <v>0</v>
      </c>
      <c r="Z77" s="58">
        <v>0</v>
      </c>
      <c r="AA77" s="58">
        <f t="shared" si="26"/>
        <v>0</v>
      </c>
      <c r="AB77" s="58">
        <f t="shared" si="26"/>
        <v>0</v>
      </c>
      <c r="AC77" s="58">
        <f t="shared" si="26"/>
        <v>0</v>
      </c>
      <c r="AD77" s="58">
        <f t="shared" si="26"/>
        <v>0</v>
      </c>
      <c r="AE77" s="58">
        <f t="shared" si="26"/>
        <v>0</v>
      </c>
      <c r="AF77" s="58">
        <f t="shared" si="26"/>
        <v>0</v>
      </c>
      <c r="AG77" s="67"/>
      <c r="AH77" s="54">
        <f t="shared" si="23"/>
        <v>0</v>
      </c>
      <c r="AI77" s="55">
        <f t="shared" si="2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7">IF(B61&lt;0,B61*-1,0)</f>
        <v>0</v>
      </c>
      <c r="C78" s="58">
        <f>IF(C61&lt;0,C61*-1,0)</f>
        <v>0</v>
      </c>
      <c r="D78" s="58">
        <f t="shared" ref="D78:AF78" si="28">IF(D61&lt;0,D61*-1,0)</f>
        <v>0</v>
      </c>
      <c r="E78" s="58">
        <f t="shared" si="28"/>
        <v>0</v>
      </c>
      <c r="F78" s="58">
        <f t="shared" si="28"/>
        <v>0</v>
      </c>
      <c r="G78" s="58">
        <f t="shared" si="28"/>
        <v>0</v>
      </c>
      <c r="H78" s="58">
        <f t="shared" si="28"/>
        <v>0</v>
      </c>
      <c r="I78" s="58">
        <f t="shared" si="28"/>
        <v>0</v>
      </c>
      <c r="J78" s="58">
        <f t="shared" si="28"/>
        <v>0</v>
      </c>
      <c r="K78" s="58">
        <f t="shared" si="28"/>
        <v>0</v>
      </c>
      <c r="L78" s="58">
        <f t="shared" si="28"/>
        <v>0</v>
      </c>
      <c r="M78" s="58">
        <f t="shared" si="28"/>
        <v>0</v>
      </c>
      <c r="N78" s="58">
        <f t="shared" si="28"/>
        <v>0</v>
      </c>
      <c r="O78" s="58">
        <f t="shared" si="28"/>
        <v>0</v>
      </c>
      <c r="P78" s="58">
        <f t="shared" si="28"/>
        <v>0</v>
      </c>
      <c r="Q78" s="58">
        <f t="shared" si="28"/>
        <v>0</v>
      </c>
      <c r="R78" s="58">
        <f t="shared" si="28"/>
        <v>0</v>
      </c>
      <c r="S78" s="58">
        <f t="shared" si="28"/>
        <v>0</v>
      </c>
      <c r="T78" s="58">
        <f t="shared" si="28"/>
        <v>0</v>
      </c>
      <c r="U78" s="58">
        <f t="shared" si="28"/>
        <v>0</v>
      </c>
      <c r="V78" s="58">
        <f t="shared" si="28"/>
        <v>0</v>
      </c>
      <c r="W78" s="58">
        <f t="shared" si="28"/>
        <v>0</v>
      </c>
      <c r="X78" s="58">
        <f t="shared" si="28"/>
        <v>0</v>
      </c>
      <c r="Y78" s="58">
        <f t="shared" si="28"/>
        <v>0</v>
      </c>
      <c r="Z78" s="58">
        <v>0</v>
      </c>
      <c r="AA78" s="58">
        <f t="shared" si="28"/>
        <v>0</v>
      </c>
      <c r="AB78" s="58">
        <f t="shared" si="28"/>
        <v>0</v>
      </c>
      <c r="AC78" s="58">
        <f t="shared" si="28"/>
        <v>0</v>
      </c>
      <c r="AD78" s="58">
        <f t="shared" si="28"/>
        <v>0</v>
      </c>
      <c r="AE78" s="58">
        <f t="shared" si="28"/>
        <v>0</v>
      </c>
      <c r="AF78" s="58">
        <f t="shared" si="28"/>
        <v>0</v>
      </c>
      <c r="AG78" s="92"/>
      <c r="AH78" s="54">
        <f t="shared" si="23"/>
        <v>0</v>
      </c>
      <c r="AI78" s="55">
        <f t="shared" si="2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9">IF(B59&lt;0,B59*-1,0)</f>
        <v>0</v>
      </c>
      <c r="C79" s="58">
        <f>IF(C59&lt;0,C59*-1,0)</f>
        <v>0</v>
      </c>
      <c r="D79" s="58">
        <f t="shared" ref="D79:AF79" si="30">IF(D59&lt;0,D59*-1,0)</f>
        <v>0</v>
      </c>
      <c r="E79" s="58">
        <f t="shared" si="30"/>
        <v>0</v>
      </c>
      <c r="F79" s="58">
        <f t="shared" si="30"/>
        <v>0</v>
      </c>
      <c r="G79" s="58">
        <f t="shared" si="30"/>
        <v>0</v>
      </c>
      <c r="H79" s="58">
        <f t="shared" si="30"/>
        <v>0</v>
      </c>
      <c r="I79" s="58">
        <f t="shared" si="30"/>
        <v>0</v>
      </c>
      <c r="J79" s="58">
        <f t="shared" si="30"/>
        <v>0</v>
      </c>
      <c r="K79" s="58">
        <f t="shared" si="30"/>
        <v>0</v>
      </c>
      <c r="L79" s="58">
        <f t="shared" si="30"/>
        <v>0</v>
      </c>
      <c r="M79" s="58">
        <f t="shared" si="30"/>
        <v>0</v>
      </c>
      <c r="N79" s="58">
        <f t="shared" si="30"/>
        <v>0</v>
      </c>
      <c r="O79" s="58">
        <f t="shared" si="30"/>
        <v>0</v>
      </c>
      <c r="P79" s="58">
        <f t="shared" si="30"/>
        <v>0</v>
      </c>
      <c r="Q79" s="58">
        <f t="shared" si="30"/>
        <v>0</v>
      </c>
      <c r="R79" s="58">
        <f t="shared" si="30"/>
        <v>0</v>
      </c>
      <c r="S79" s="58">
        <f t="shared" si="30"/>
        <v>0</v>
      </c>
      <c r="T79" s="58">
        <f t="shared" si="30"/>
        <v>0</v>
      </c>
      <c r="U79" s="58">
        <f t="shared" si="30"/>
        <v>0</v>
      </c>
      <c r="V79" s="58">
        <f t="shared" si="30"/>
        <v>0</v>
      </c>
      <c r="W79" s="58">
        <f t="shared" si="30"/>
        <v>0</v>
      </c>
      <c r="X79" s="58">
        <f t="shared" si="30"/>
        <v>0</v>
      </c>
      <c r="Y79" s="58">
        <f t="shared" si="30"/>
        <v>0</v>
      </c>
      <c r="Z79" s="58">
        <v>0</v>
      </c>
      <c r="AA79" s="58">
        <f t="shared" si="30"/>
        <v>0</v>
      </c>
      <c r="AB79" s="58">
        <f t="shared" si="30"/>
        <v>0</v>
      </c>
      <c r="AC79" s="58">
        <f t="shared" si="30"/>
        <v>0</v>
      </c>
      <c r="AD79" s="58">
        <f t="shared" si="30"/>
        <v>0</v>
      </c>
      <c r="AE79" s="58">
        <f t="shared" si="30"/>
        <v>0</v>
      </c>
      <c r="AF79" s="58">
        <f t="shared" si="30"/>
        <v>0</v>
      </c>
      <c r="AG79" s="92"/>
      <c r="AH79" s="54">
        <f t="shared" si="23"/>
        <v>0</v>
      </c>
      <c r="AI79" s="55">
        <f t="shared" si="2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1">IF(B57&lt;0,B57*-1,0)</f>
        <v>0</v>
      </c>
      <c r="C80" s="58">
        <f>IF(C57&lt;0,C57*-1,0)</f>
        <v>0</v>
      </c>
      <c r="D80" s="58">
        <f t="shared" ref="D80:AF80" si="32">IF(D57&lt;0,D57*-1,0)</f>
        <v>0</v>
      </c>
      <c r="E80" s="58">
        <f t="shared" si="32"/>
        <v>0</v>
      </c>
      <c r="F80" s="58">
        <f t="shared" si="32"/>
        <v>0</v>
      </c>
      <c r="G80" s="58">
        <f t="shared" si="32"/>
        <v>0</v>
      </c>
      <c r="H80" s="58">
        <f t="shared" si="32"/>
        <v>0</v>
      </c>
      <c r="I80" s="58">
        <f t="shared" si="32"/>
        <v>0</v>
      </c>
      <c r="J80" s="58">
        <f t="shared" si="32"/>
        <v>0</v>
      </c>
      <c r="K80" s="58">
        <f t="shared" si="32"/>
        <v>0</v>
      </c>
      <c r="L80" s="58">
        <f t="shared" si="32"/>
        <v>0</v>
      </c>
      <c r="M80" s="58">
        <f t="shared" si="32"/>
        <v>0</v>
      </c>
      <c r="N80" s="58">
        <f t="shared" si="32"/>
        <v>0</v>
      </c>
      <c r="O80" s="58">
        <f t="shared" si="32"/>
        <v>0</v>
      </c>
      <c r="P80" s="58">
        <f t="shared" si="32"/>
        <v>0</v>
      </c>
      <c r="Q80" s="58">
        <f t="shared" si="32"/>
        <v>0</v>
      </c>
      <c r="R80" s="58">
        <f t="shared" si="32"/>
        <v>0</v>
      </c>
      <c r="S80" s="58">
        <f t="shared" si="32"/>
        <v>0</v>
      </c>
      <c r="T80" s="58">
        <f t="shared" si="32"/>
        <v>0</v>
      </c>
      <c r="U80" s="58">
        <f t="shared" si="32"/>
        <v>0</v>
      </c>
      <c r="V80" s="58">
        <f t="shared" si="32"/>
        <v>0</v>
      </c>
      <c r="W80" s="58">
        <f t="shared" si="32"/>
        <v>0</v>
      </c>
      <c r="X80" s="58">
        <f t="shared" si="32"/>
        <v>0</v>
      </c>
      <c r="Y80" s="58">
        <f t="shared" si="32"/>
        <v>0</v>
      </c>
      <c r="Z80" s="58">
        <v>0</v>
      </c>
      <c r="AA80" s="58">
        <f t="shared" si="32"/>
        <v>0</v>
      </c>
      <c r="AB80" s="58">
        <f t="shared" si="32"/>
        <v>0</v>
      </c>
      <c r="AC80" s="58">
        <f t="shared" si="32"/>
        <v>0</v>
      </c>
      <c r="AD80" s="58">
        <f t="shared" si="32"/>
        <v>0</v>
      </c>
      <c r="AE80" s="58">
        <f t="shared" si="32"/>
        <v>0</v>
      </c>
      <c r="AF80" s="58">
        <f t="shared" si="32"/>
        <v>0</v>
      </c>
      <c r="AG80" s="92"/>
      <c r="AH80" s="54">
        <f t="shared" si="23"/>
        <v>0</v>
      </c>
      <c r="AI80" s="55">
        <f t="shared" si="2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>
        <v>0</v>
      </c>
      <c r="AA81" s="50"/>
      <c r="AB81" s="63"/>
      <c r="AC81" s="63"/>
      <c r="AD81" s="63"/>
      <c r="AE81" s="63"/>
      <c r="AF81" s="63"/>
      <c r="AG81" s="87"/>
      <c r="AH81" s="54">
        <f t="shared" si="23"/>
        <v>0</v>
      </c>
      <c r="AI81" s="55">
        <f t="shared" si="2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3">SUM(B76:B81)</f>
        <v>0</v>
      </c>
      <c r="C82" s="72">
        <f t="shared" ref="C82:AG82" si="34">SUM(C76:C81)</f>
        <v>0</v>
      </c>
      <c r="D82" s="72">
        <f t="shared" si="34"/>
        <v>0</v>
      </c>
      <c r="E82" s="72">
        <f t="shared" si="34"/>
        <v>0</v>
      </c>
      <c r="F82" s="72">
        <f t="shared" si="34"/>
        <v>0</v>
      </c>
      <c r="G82" s="72">
        <f t="shared" si="34"/>
        <v>0</v>
      </c>
      <c r="H82" s="72">
        <f t="shared" si="34"/>
        <v>0</v>
      </c>
      <c r="I82" s="72">
        <f t="shared" si="34"/>
        <v>0</v>
      </c>
      <c r="J82" s="72">
        <f t="shared" si="34"/>
        <v>0</v>
      </c>
      <c r="K82" s="72">
        <f t="shared" si="34"/>
        <v>0</v>
      </c>
      <c r="L82" s="72">
        <f t="shared" si="34"/>
        <v>0</v>
      </c>
      <c r="M82" s="72">
        <f t="shared" si="34"/>
        <v>0</v>
      </c>
      <c r="N82" s="72">
        <f t="shared" si="34"/>
        <v>0</v>
      </c>
      <c r="O82" s="72">
        <f t="shared" si="34"/>
        <v>0</v>
      </c>
      <c r="P82" s="72">
        <f t="shared" si="34"/>
        <v>0</v>
      </c>
      <c r="Q82" s="72">
        <f t="shared" si="34"/>
        <v>0</v>
      </c>
      <c r="R82" s="72">
        <f t="shared" si="34"/>
        <v>0</v>
      </c>
      <c r="S82" s="72">
        <f t="shared" si="34"/>
        <v>0</v>
      </c>
      <c r="T82" s="72">
        <f t="shared" si="34"/>
        <v>0</v>
      </c>
      <c r="U82" s="72">
        <f t="shared" si="34"/>
        <v>0</v>
      </c>
      <c r="V82" s="72">
        <f t="shared" si="34"/>
        <v>0</v>
      </c>
      <c r="W82" s="72">
        <f t="shared" si="34"/>
        <v>0</v>
      </c>
      <c r="X82" s="72">
        <f t="shared" si="34"/>
        <v>0</v>
      </c>
      <c r="Y82" s="72">
        <f t="shared" si="34"/>
        <v>0</v>
      </c>
      <c r="Z82" s="72">
        <v>0</v>
      </c>
      <c r="AA82" s="72">
        <f t="shared" si="34"/>
        <v>0</v>
      </c>
      <c r="AB82" s="72">
        <f t="shared" si="34"/>
        <v>0</v>
      </c>
      <c r="AC82" s="72">
        <f t="shared" si="34"/>
        <v>0</v>
      </c>
      <c r="AD82" s="72">
        <f t="shared" si="34"/>
        <v>0</v>
      </c>
      <c r="AE82" s="72">
        <f t="shared" si="34"/>
        <v>0</v>
      </c>
      <c r="AF82" s="72">
        <f t="shared" si="34"/>
        <v>0</v>
      </c>
      <c r="AG82" s="78">
        <f t="shared" si="34"/>
        <v>0</v>
      </c>
      <c r="AH82" s="54">
        <f t="shared" si="23"/>
        <v>0</v>
      </c>
      <c r="AI82" s="55">
        <f t="shared" si="24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5">SUM(B70:B82)</f>
        <v>1954.48</v>
      </c>
      <c r="C83" s="72">
        <f t="shared" ref="C83:AG83" si="36">SUM(C70:C82)</f>
        <v>1932.28</v>
      </c>
      <c r="D83" s="72">
        <f t="shared" si="36"/>
        <v>1923.8400000000001</v>
      </c>
      <c r="E83" s="72">
        <f t="shared" si="36"/>
        <v>1897.88</v>
      </c>
      <c r="F83" s="72">
        <f t="shared" si="36"/>
        <v>1906.88</v>
      </c>
      <c r="G83" s="72">
        <f t="shared" si="36"/>
        <v>2035.66</v>
      </c>
      <c r="H83" s="72">
        <f t="shared" si="36"/>
        <v>2197.88</v>
      </c>
      <c r="I83" s="72">
        <f t="shared" si="36"/>
        <v>2383.88</v>
      </c>
      <c r="J83" s="72">
        <f t="shared" si="36"/>
        <v>2584.08</v>
      </c>
      <c r="K83" s="72">
        <f t="shared" si="36"/>
        <v>2770.48</v>
      </c>
      <c r="L83" s="72">
        <f t="shared" si="36"/>
        <v>2888.2799999999997</v>
      </c>
      <c r="M83" s="72">
        <f t="shared" si="36"/>
        <v>2891.68</v>
      </c>
      <c r="N83" s="72">
        <f t="shared" si="36"/>
        <v>2788.8</v>
      </c>
      <c r="O83" s="72">
        <f t="shared" si="36"/>
        <v>2619.48</v>
      </c>
      <c r="P83" s="72">
        <f t="shared" si="36"/>
        <v>2565.48</v>
      </c>
      <c r="Q83" s="72">
        <f t="shared" si="36"/>
        <v>2520.1600000000003</v>
      </c>
      <c r="R83" s="72">
        <f t="shared" si="36"/>
        <v>2436.2199999999998</v>
      </c>
      <c r="S83" s="72">
        <f t="shared" si="36"/>
        <v>2477.88</v>
      </c>
      <c r="T83" s="72">
        <f t="shared" si="36"/>
        <v>2498.4799999999996</v>
      </c>
      <c r="U83" s="72">
        <f t="shared" si="36"/>
        <v>2525.88</v>
      </c>
      <c r="V83" s="72">
        <f t="shared" si="36"/>
        <v>2675.48</v>
      </c>
      <c r="W83" s="72">
        <f t="shared" si="36"/>
        <v>2633.6800000000003</v>
      </c>
      <c r="X83" s="72">
        <f t="shared" si="36"/>
        <v>2722.6800000000003</v>
      </c>
      <c r="Y83" s="72">
        <f t="shared" si="36"/>
        <v>3036.4800000000005</v>
      </c>
      <c r="Z83" s="72">
        <v>342.5</v>
      </c>
      <c r="AA83" s="72">
        <f t="shared" si="36"/>
        <v>3009.0800000000004</v>
      </c>
      <c r="AB83" s="72">
        <f t="shared" si="36"/>
        <v>2933.28</v>
      </c>
      <c r="AC83" s="72">
        <f t="shared" si="36"/>
        <v>3241.48</v>
      </c>
      <c r="AD83" s="72">
        <f t="shared" si="36"/>
        <v>2412.6800000000003</v>
      </c>
      <c r="AE83" s="72">
        <f t="shared" si="36"/>
        <v>2183.4800000000005</v>
      </c>
      <c r="AF83" s="72">
        <f t="shared" si="36"/>
        <v>2040.68</v>
      </c>
      <c r="AG83" s="78">
        <f t="shared" si="36"/>
        <v>4360.08</v>
      </c>
      <c r="AH83" s="54">
        <f t="shared" si="23"/>
        <v>3241.48</v>
      </c>
      <c r="AI83" s="55">
        <f t="shared" si="24"/>
        <v>342.5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50.03</v>
      </c>
      <c r="C84" s="96">
        <v>49.93</v>
      </c>
      <c r="D84" s="96">
        <v>49.99</v>
      </c>
      <c r="E84" s="96">
        <v>49.994</v>
      </c>
      <c r="F84" s="96">
        <v>50.3</v>
      </c>
      <c r="G84" s="96">
        <v>49.972999999999999</v>
      </c>
      <c r="H84" s="96">
        <v>50</v>
      </c>
      <c r="I84" s="96">
        <v>50.031999999999996</v>
      </c>
      <c r="J84" s="96">
        <v>49.96</v>
      </c>
      <c r="K84" s="96">
        <v>50.04</v>
      </c>
      <c r="L84" s="96">
        <v>49.889000000000003</v>
      </c>
      <c r="M84" s="96">
        <v>50.064999999999998</v>
      </c>
      <c r="N84" s="96">
        <v>50.067</v>
      </c>
      <c r="O84" s="96">
        <v>49.987000000000002</v>
      </c>
      <c r="P84" s="96">
        <v>50.02</v>
      </c>
      <c r="Q84" s="96">
        <v>50.052999999999997</v>
      </c>
      <c r="R84" s="96">
        <v>50.015000000000001</v>
      </c>
      <c r="S84" s="96">
        <v>49.923999999999999</v>
      </c>
      <c r="T84" s="96">
        <v>49.89</v>
      </c>
      <c r="U84" s="96">
        <v>49.91</v>
      </c>
      <c r="V84" s="96">
        <v>49.81</v>
      </c>
      <c r="W84" s="96">
        <v>50.06</v>
      </c>
      <c r="X84" s="96">
        <v>49.94</v>
      </c>
      <c r="Y84" s="96">
        <v>50.02</v>
      </c>
      <c r="Z84" s="96">
        <v>50.02</v>
      </c>
      <c r="AA84" s="96">
        <v>50.06</v>
      </c>
      <c r="AB84" s="96">
        <v>50.045000000000002</v>
      </c>
      <c r="AC84" s="96">
        <v>49.97</v>
      </c>
      <c r="AD84" s="96">
        <v>49.98</v>
      </c>
      <c r="AE84" s="96">
        <v>50.026000000000003</v>
      </c>
      <c r="AF84" s="96">
        <v>50.033999999999999</v>
      </c>
      <c r="AG84" s="97"/>
      <c r="AH84" s="54">
        <f t="shared" si="23"/>
        <v>50.3</v>
      </c>
      <c r="AI84" s="55">
        <f t="shared" si="24"/>
        <v>49.81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123.3</v>
      </c>
      <c r="C85" s="73">
        <v>125.5</v>
      </c>
      <c r="D85" s="73">
        <v>126</v>
      </c>
      <c r="E85" s="73">
        <v>126</v>
      </c>
      <c r="F85" s="73">
        <v>126.9</v>
      </c>
      <c r="G85" s="73">
        <v>126.5</v>
      </c>
      <c r="H85" s="73">
        <v>123.8</v>
      </c>
      <c r="I85" s="73">
        <v>126.7</v>
      </c>
      <c r="J85" s="73">
        <v>126.7</v>
      </c>
      <c r="K85" s="73">
        <v>126</v>
      </c>
      <c r="L85" s="73">
        <v>125</v>
      </c>
      <c r="M85" s="73">
        <v>124.7</v>
      </c>
      <c r="N85" s="73">
        <v>122.7</v>
      </c>
      <c r="O85" s="73">
        <v>121</v>
      </c>
      <c r="P85" s="73">
        <v>121.5</v>
      </c>
      <c r="Q85" s="73">
        <v>123.7</v>
      </c>
      <c r="R85" s="73">
        <v>122.7</v>
      </c>
      <c r="S85" s="73">
        <v>122</v>
      </c>
      <c r="T85" s="73">
        <v>121.2</v>
      </c>
      <c r="U85" s="73">
        <v>124.1</v>
      </c>
      <c r="V85" s="73">
        <v>125.4</v>
      </c>
      <c r="W85" s="73">
        <v>125.8</v>
      </c>
      <c r="X85" s="73">
        <v>126.6</v>
      </c>
      <c r="Y85" s="73">
        <v>124.7</v>
      </c>
      <c r="Z85" s="100">
        <v>126.4</v>
      </c>
      <c r="AA85" s="100">
        <v>129.80000000000001</v>
      </c>
      <c r="AB85" s="73">
        <v>128</v>
      </c>
      <c r="AC85" s="73">
        <v>127.8</v>
      </c>
      <c r="AD85" s="73">
        <v>129.5</v>
      </c>
      <c r="AE85" s="73">
        <v>127.6</v>
      </c>
      <c r="AF85" s="73">
        <v>127.7</v>
      </c>
      <c r="AG85" s="101"/>
      <c r="AH85" s="54">
        <f t="shared" si="23"/>
        <v>129.80000000000001</v>
      </c>
      <c r="AI85" s="55">
        <f t="shared" si="24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128.4</v>
      </c>
      <c r="C86" s="73">
        <v>130.4</v>
      </c>
      <c r="D86" s="73">
        <v>130.5</v>
      </c>
      <c r="E86" s="73">
        <v>130.5</v>
      </c>
      <c r="F86" s="73">
        <v>130.5</v>
      </c>
      <c r="G86" s="73">
        <v>130.6</v>
      </c>
      <c r="H86" s="73">
        <v>128</v>
      </c>
      <c r="I86" s="73">
        <v>130</v>
      </c>
      <c r="J86" s="73">
        <v>130</v>
      </c>
      <c r="K86" s="73">
        <v>129.5</v>
      </c>
      <c r="L86" s="73">
        <v>127.6</v>
      </c>
      <c r="M86" s="73">
        <v>127.9</v>
      </c>
      <c r="N86" s="73">
        <v>126.1</v>
      </c>
      <c r="O86" s="73">
        <v>123.6</v>
      </c>
      <c r="P86" s="73">
        <v>124.5</v>
      </c>
      <c r="Q86" s="73">
        <v>125.9</v>
      </c>
      <c r="R86" s="73">
        <v>125.1</v>
      </c>
      <c r="S86" s="73">
        <v>125.1</v>
      </c>
      <c r="T86" s="73">
        <v>123.8</v>
      </c>
      <c r="U86" s="73">
        <v>127.1</v>
      </c>
      <c r="V86" s="73">
        <v>128.6</v>
      </c>
      <c r="W86" s="73">
        <v>129.5</v>
      </c>
      <c r="X86" s="73">
        <v>129.6</v>
      </c>
      <c r="Y86" s="73">
        <v>127.4</v>
      </c>
      <c r="Z86" s="100">
        <v>128.9</v>
      </c>
      <c r="AA86" s="100">
        <v>128.9</v>
      </c>
      <c r="AB86" s="73">
        <v>131</v>
      </c>
      <c r="AC86" s="73">
        <v>130</v>
      </c>
      <c r="AD86" s="73">
        <v>131.69999999999999</v>
      </c>
      <c r="AE86" s="73">
        <v>130.9</v>
      </c>
      <c r="AF86" s="73">
        <v>131.19999999999999</v>
      </c>
      <c r="AG86" s="101"/>
      <c r="AH86" s="54">
        <f t="shared" si="23"/>
        <v>131.69999999999999</v>
      </c>
      <c r="AI86" s="55">
        <f t="shared" si="24"/>
        <v>123.6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128.30000000000001</v>
      </c>
      <c r="C87" s="73">
        <v>129.1</v>
      </c>
      <c r="D87" s="73">
        <v>130.6</v>
      </c>
      <c r="E87" s="73">
        <v>130.6</v>
      </c>
      <c r="F87" s="73">
        <v>129</v>
      </c>
      <c r="G87" s="73">
        <v>127.5</v>
      </c>
      <c r="H87" s="73">
        <v>126</v>
      </c>
      <c r="I87" s="73">
        <v>126</v>
      </c>
      <c r="J87" s="73">
        <v>126</v>
      </c>
      <c r="K87" s="73">
        <v>126.8</v>
      </c>
      <c r="L87" s="73">
        <v>124.7</v>
      </c>
      <c r="M87" s="73">
        <v>128.5</v>
      </c>
      <c r="N87" s="73">
        <v>128.1</v>
      </c>
      <c r="O87" s="73">
        <v>127.3</v>
      </c>
      <c r="P87" s="73">
        <v>126.6</v>
      </c>
      <c r="Q87" s="73">
        <v>128.6</v>
      </c>
      <c r="R87" s="73">
        <v>127.9</v>
      </c>
      <c r="S87" s="73">
        <v>129.5</v>
      </c>
      <c r="T87" s="73">
        <v>128.19999999999999</v>
      </c>
      <c r="U87" s="73">
        <v>127.8</v>
      </c>
      <c r="V87" s="73">
        <v>129.4</v>
      </c>
      <c r="W87" s="73">
        <v>128.30000000000001</v>
      </c>
      <c r="X87" s="73">
        <v>127.5</v>
      </c>
      <c r="Y87" s="73">
        <v>126.1</v>
      </c>
      <c r="Z87" s="100">
        <v>128.30000000000001</v>
      </c>
      <c r="AA87" s="100">
        <v>128.30000000000001</v>
      </c>
      <c r="AB87" s="73">
        <v>130</v>
      </c>
      <c r="AC87" s="73">
        <v>132.30000000000001</v>
      </c>
      <c r="AD87" s="73">
        <v>130.1</v>
      </c>
      <c r="AE87" s="73">
        <v>130.69999999999999</v>
      </c>
      <c r="AF87" s="73">
        <v>130</v>
      </c>
      <c r="AG87" s="101"/>
      <c r="AH87" s="54">
        <f t="shared" si="23"/>
        <v>132.30000000000001</v>
      </c>
      <c r="AI87" s="55">
        <f t="shared" si="24"/>
        <v>124.7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130.9</v>
      </c>
      <c r="C88" s="73">
        <v>131.6</v>
      </c>
      <c r="D88" s="73">
        <v>133</v>
      </c>
      <c r="E88" s="73">
        <v>133</v>
      </c>
      <c r="F88" s="73">
        <v>131</v>
      </c>
      <c r="G88" s="73">
        <v>129</v>
      </c>
      <c r="H88" s="73">
        <v>128.69999999999999</v>
      </c>
      <c r="I88" s="73">
        <v>128</v>
      </c>
      <c r="J88" s="73">
        <v>128</v>
      </c>
      <c r="K88" s="73">
        <v>130</v>
      </c>
      <c r="L88" s="73">
        <v>128</v>
      </c>
      <c r="M88" s="73">
        <v>130.4</v>
      </c>
      <c r="N88" s="73">
        <v>10.3</v>
      </c>
      <c r="O88" s="73">
        <v>129.9</v>
      </c>
      <c r="P88" s="73">
        <v>129.4</v>
      </c>
      <c r="Q88" s="73">
        <v>131.69999999999999</v>
      </c>
      <c r="R88" s="73">
        <v>131.69999999999999</v>
      </c>
      <c r="S88" s="73">
        <v>131.5</v>
      </c>
      <c r="T88" s="73">
        <v>131.19999999999999</v>
      </c>
      <c r="U88" s="73">
        <v>130.6</v>
      </c>
      <c r="V88" s="73">
        <v>131.9</v>
      </c>
      <c r="W88" s="73">
        <v>130.9</v>
      </c>
      <c r="X88" s="73">
        <v>130</v>
      </c>
      <c r="Y88" s="73">
        <v>130.9</v>
      </c>
      <c r="Z88" s="100">
        <v>131.4</v>
      </c>
      <c r="AA88" s="100">
        <v>131.4</v>
      </c>
      <c r="AB88" s="73">
        <v>132.9</v>
      </c>
      <c r="AC88" s="73">
        <v>133.80000000000001</v>
      </c>
      <c r="AD88" s="73">
        <v>135</v>
      </c>
      <c r="AE88" s="73">
        <v>133.19999999999999</v>
      </c>
      <c r="AF88" s="73">
        <v>132</v>
      </c>
      <c r="AG88" s="101"/>
      <c r="AH88" s="54">
        <f t="shared" si="23"/>
        <v>135</v>
      </c>
      <c r="AI88" s="55">
        <f t="shared" si="24"/>
        <v>10.3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126.7</v>
      </c>
      <c r="C89" s="104">
        <v>131.19999999999999</v>
      </c>
      <c r="D89" s="104">
        <v>130.69999999999999</v>
      </c>
      <c r="E89" s="104">
        <v>130.69999999999999</v>
      </c>
      <c r="F89" s="104">
        <v>130.4</v>
      </c>
      <c r="G89" s="104">
        <v>134.69999999999999</v>
      </c>
      <c r="H89" s="104">
        <v>134</v>
      </c>
      <c r="I89" s="104">
        <v>136</v>
      </c>
      <c r="J89" s="104">
        <v>136</v>
      </c>
      <c r="K89" s="104">
        <v>134</v>
      </c>
      <c r="L89" s="104">
        <v>131</v>
      </c>
      <c r="M89" s="104">
        <v>136.5</v>
      </c>
      <c r="N89" s="104">
        <v>133.1</v>
      </c>
      <c r="O89" s="104">
        <v>130.9</v>
      </c>
      <c r="P89" s="104">
        <v>135</v>
      </c>
      <c r="Q89" s="104">
        <v>132.4</v>
      </c>
      <c r="R89" s="104">
        <v>132.69999999999999</v>
      </c>
      <c r="S89" s="104">
        <v>131.1</v>
      </c>
      <c r="T89" s="104">
        <v>130.6</v>
      </c>
      <c r="U89" s="104">
        <v>131.9</v>
      </c>
      <c r="V89" s="104">
        <v>136.69999999999999</v>
      </c>
      <c r="W89" s="104">
        <v>136.9</v>
      </c>
      <c r="X89" s="104">
        <v>136.9</v>
      </c>
      <c r="Y89" s="104">
        <v>134.4</v>
      </c>
      <c r="Z89" s="100">
        <v>135.69999999999999</v>
      </c>
      <c r="AA89" s="100">
        <v>135.69999999999999</v>
      </c>
      <c r="AB89" s="104">
        <v>137</v>
      </c>
      <c r="AC89" s="104">
        <v>137</v>
      </c>
      <c r="AD89" s="104">
        <v>132</v>
      </c>
      <c r="AE89" s="104">
        <v>131.1</v>
      </c>
      <c r="AF89" s="104">
        <v>128.19999999999999</v>
      </c>
      <c r="AG89" s="105"/>
      <c r="AH89" s="54">
        <f t="shared" si="23"/>
        <v>137</v>
      </c>
      <c r="AI89" s="55">
        <f t="shared" si="24"/>
        <v>126.7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133.9</v>
      </c>
      <c r="C90" s="73">
        <v>133.80000000000001</v>
      </c>
      <c r="D90" s="73">
        <v>134.9</v>
      </c>
      <c r="E90" s="73">
        <v>134.9</v>
      </c>
      <c r="F90" s="73">
        <v>135.80000000000001</v>
      </c>
      <c r="G90" s="73">
        <v>133</v>
      </c>
      <c r="H90" s="73">
        <v>131.80000000000001</v>
      </c>
      <c r="I90" s="73">
        <v>134</v>
      </c>
      <c r="J90" s="73">
        <v>134</v>
      </c>
      <c r="K90" s="73">
        <v>131.5</v>
      </c>
      <c r="L90" s="73">
        <v>127</v>
      </c>
      <c r="M90" s="73">
        <v>133.6</v>
      </c>
      <c r="N90" s="73">
        <v>130.6</v>
      </c>
      <c r="O90" s="73">
        <v>132.6</v>
      </c>
      <c r="P90" s="73">
        <v>130.4</v>
      </c>
      <c r="Q90" s="73">
        <v>132.5</v>
      </c>
      <c r="R90" s="73">
        <v>131.9</v>
      </c>
      <c r="S90" s="73">
        <v>133.30000000000001</v>
      </c>
      <c r="T90" s="73">
        <v>134</v>
      </c>
      <c r="U90" s="73">
        <v>131.80000000000001</v>
      </c>
      <c r="V90" s="73">
        <v>131</v>
      </c>
      <c r="W90" s="73">
        <v>135.30000000000001</v>
      </c>
      <c r="X90" s="73">
        <v>136.9</v>
      </c>
      <c r="Y90" s="73">
        <v>129.6</v>
      </c>
      <c r="Z90" s="100">
        <v>133.30000000000001</v>
      </c>
      <c r="AA90" s="100">
        <v>133.9</v>
      </c>
      <c r="AB90" s="73">
        <v>133.69999999999999</v>
      </c>
      <c r="AC90" s="73">
        <v>135.19999999999999</v>
      </c>
      <c r="AD90" s="73">
        <v>134.4</v>
      </c>
      <c r="AE90" s="73">
        <v>134.30000000000001</v>
      </c>
      <c r="AF90" s="73">
        <v>135.5</v>
      </c>
      <c r="AG90" s="101"/>
      <c r="AH90" s="54">
        <f t="shared" si="23"/>
        <v>136.9</v>
      </c>
      <c r="AI90" s="55">
        <f t="shared" si="24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64.900000000000006</v>
      </c>
      <c r="C91" s="107">
        <v>66</v>
      </c>
      <c r="D91" s="107">
        <v>65.900000000000006</v>
      </c>
      <c r="E91" s="107">
        <v>66</v>
      </c>
      <c r="F91" s="107">
        <v>66</v>
      </c>
      <c r="G91" s="107">
        <v>65.7</v>
      </c>
      <c r="H91" s="107">
        <v>64.900000000000006</v>
      </c>
      <c r="I91" s="107">
        <v>66</v>
      </c>
      <c r="J91" s="107">
        <v>66</v>
      </c>
      <c r="K91" s="107">
        <v>65.5</v>
      </c>
      <c r="L91" s="107">
        <v>64.8</v>
      </c>
      <c r="M91" s="107">
        <v>64.599999999999994</v>
      </c>
      <c r="N91" s="107">
        <v>63.8</v>
      </c>
      <c r="O91" s="107">
        <v>62.2</v>
      </c>
      <c r="P91" s="107">
        <v>62.6</v>
      </c>
      <c r="Q91" s="107">
        <v>63</v>
      </c>
      <c r="R91" s="107">
        <v>62.6</v>
      </c>
      <c r="S91" s="107">
        <v>62.9</v>
      </c>
      <c r="T91" s="107">
        <v>62.2</v>
      </c>
      <c r="U91" s="107">
        <v>64.3</v>
      </c>
      <c r="V91" s="107">
        <v>65.099999999999994</v>
      </c>
      <c r="W91" s="107">
        <v>65.599999999999994</v>
      </c>
      <c r="X91" s="107">
        <v>65.400000000000006</v>
      </c>
      <c r="Y91" s="107">
        <v>64.599999999999994</v>
      </c>
      <c r="Z91" s="107">
        <v>65.400000000000006</v>
      </c>
      <c r="AA91" s="107">
        <v>65.400000000000006</v>
      </c>
      <c r="AB91" s="107">
        <v>66.8</v>
      </c>
      <c r="AC91" s="107">
        <v>66.099999999999994</v>
      </c>
      <c r="AD91" s="107">
        <v>66.7</v>
      </c>
      <c r="AE91" s="107">
        <v>66.599999999999994</v>
      </c>
      <c r="AF91" s="107">
        <v>66.8</v>
      </c>
      <c r="AG91" s="108"/>
      <c r="AH91" s="54">
        <f t="shared" si="23"/>
        <v>66.8</v>
      </c>
      <c r="AI91" s="55">
        <f t="shared" si="24"/>
        <v>62.2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" si="37">SUM(B15,B18,B21:B22,B42,B44:B45,B47,B49,B94:B97,B102,B108,B114,B123,B125,B137,B144,B147:B148,B155,B157,B159,B163:B165,B167:B169,B174,B180:B181,B183:B185,B193,B198)</f>
        <v>172.86</v>
      </c>
      <c r="C93" s="114">
        <f t="shared" ref="C93:AF93" si="38">SUM(C15,C18,C21:C22,C42,C44:C45,C47,C49,C94:C97,C103,C109,C115,C124,C126,C138,C145,C148:C149,C156,C158,C160,C164:C166,C168:C170,C175,C181:C182,C184:C186,C194,C199)</f>
        <v>164.83999999999997</v>
      </c>
      <c r="D93" s="114">
        <f t="shared" si="38"/>
        <v>170.53999999999996</v>
      </c>
      <c r="E93" s="114">
        <f t="shared" si="38"/>
        <v>157.94</v>
      </c>
      <c r="F93" s="114">
        <f t="shared" si="38"/>
        <v>162.83999999999997</v>
      </c>
      <c r="G93" s="113">
        <f t="shared" si="38"/>
        <v>188.73999999999998</v>
      </c>
      <c r="H93" s="113">
        <f t="shared" si="38"/>
        <v>212.93999999999997</v>
      </c>
      <c r="I93" s="113">
        <f t="shared" si="38"/>
        <v>248.53999999999996</v>
      </c>
      <c r="J93" s="113">
        <f t="shared" si="38"/>
        <v>301.04000000000002</v>
      </c>
      <c r="K93" s="113">
        <f t="shared" si="38"/>
        <v>329.04</v>
      </c>
      <c r="L93" s="113">
        <f t="shared" si="38"/>
        <v>354.44000000000005</v>
      </c>
      <c r="M93" s="113">
        <f t="shared" si="38"/>
        <v>351.24</v>
      </c>
      <c r="N93" s="113">
        <f t="shared" si="38"/>
        <v>322.94000000000005</v>
      </c>
      <c r="O93" s="113">
        <f t="shared" si="38"/>
        <v>313.94000000000005</v>
      </c>
      <c r="P93" s="113">
        <f t="shared" si="38"/>
        <v>302.54000000000002</v>
      </c>
      <c r="Q93" s="113">
        <f t="shared" si="38"/>
        <v>294.94000000000005</v>
      </c>
      <c r="R93" s="113">
        <f t="shared" si="38"/>
        <v>291.64000000000004</v>
      </c>
      <c r="S93" s="113">
        <f t="shared" si="38"/>
        <v>289.04000000000002</v>
      </c>
      <c r="T93" s="113">
        <f t="shared" si="38"/>
        <v>289.64000000000004</v>
      </c>
      <c r="U93" s="113">
        <f t="shared" si="38"/>
        <v>307.04000000000008</v>
      </c>
      <c r="V93" s="113">
        <f t="shared" si="38"/>
        <v>300.74</v>
      </c>
      <c r="W93" s="113">
        <f t="shared" si="38"/>
        <v>319.04000000000002</v>
      </c>
      <c r="X93" s="113">
        <f t="shared" si="38"/>
        <v>342.74</v>
      </c>
      <c r="Y93" s="113">
        <f t="shared" si="38"/>
        <v>390.94000000000005</v>
      </c>
      <c r="Z93" s="113">
        <f t="shared" si="38"/>
        <v>389.44000000000005</v>
      </c>
      <c r="AA93" s="113">
        <f t="shared" si="38"/>
        <v>390.44000000000005</v>
      </c>
      <c r="AB93" s="113">
        <f t="shared" si="38"/>
        <v>341.94000000000005</v>
      </c>
      <c r="AC93" s="113">
        <f t="shared" si="38"/>
        <v>312.24</v>
      </c>
      <c r="AD93" s="113">
        <f t="shared" si="38"/>
        <v>286.24</v>
      </c>
      <c r="AE93" s="113">
        <f t="shared" si="38"/>
        <v>224.73999999999995</v>
      </c>
      <c r="AF93" s="113">
        <f t="shared" si="38"/>
        <v>183.33999999999997</v>
      </c>
      <c r="AG93" s="115"/>
      <c r="AH93" s="54">
        <f>MAX(C93:AF93)</f>
        <v>390.94000000000005</v>
      </c>
      <c r="AI93" s="55">
        <f>MIN(C93:AF93)</f>
        <v>157.94</v>
      </c>
    </row>
    <row r="94" spans="1:88" x14ac:dyDescent="0.25">
      <c r="A94" s="116" t="s">
        <v>98</v>
      </c>
      <c r="B94" s="119">
        <v>-19.2</v>
      </c>
      <c r="C94" s="58">
        <v>-13.9</v>
      </c>
      <c r="D94" s="58">
        <v>-13.9</v>
      </c>
      <c r="E94" s="58">
        <v>-21</v>
      </c>
      <c r="F94" s="58">
        <v>-24.8</v>
      </c>
      <c r="G94" s="118">
        <v>-0.7</v>
      </c>
      <c r="H94" s="118">
        <v>13.8</v>
      </c>
      <c r="I94" s="118">
        <v>43.4</v>
      </c>
      <c r="J94" s="118">
        <v>30.4</v>
      </c>
      <c r="K94" s="118">
        <v>37.700000000000003</v>
      </c>
      <c r="L94" s="118">
        <v>34.299999999999997</v>
      </c>
      <c r="M94" s="119">
        <v>47.6</v>
      </c>
      <c r="N94" s="118">
        <v>49.4</v>
      </c>
      <c r="O94" s="118">
        <v>40.799999999999997</v>
      </c>
      <c r="P94" s="118">
        <v>51.7</v>
      </c>
      <c r="Q94" s="118">
        <v>37.6</v>
      </c>
      <c r="R94" s="118">
        <v>36.6</v>
      </c>
      <c r="S94" s="118">
        <v>36.1</v>
      </c>
      <c r="T94" s="118">
        <v>25.6</v>
      </c>
      <c r="U94" s="119">
        <v>16.600000000000001</v>
      </c>
      <c r="V94" s="119">
        <v>20.3</v>
      </c>
      <c r="W94" s="119">
        <v>31.4</v>
      </c>
      <c r="X94" s="118">
        <v>33.700000000000003</v>
      </c>
      <c r="Y94" s="118">
        <v>30.6</v>
      </c>
      <c r="Z94" s="118">
        <v>28</v>
      </c>
      <c r="AA94" s="118">
        <v>29</v>
      </c>
      <c r="AB94" s="119">
        <v>34.299999999999997</v>
      </c>
      <c r="AC94" s="119">
        <v>60</v>
      </c>
      <c r="AD94" s="119">
        <v>20.9</v>
      </c>
      <c r="AE94" s="119">
        <v>-19.100000000000001</v>
      </c>
      <c r="AF94" s="119">
        <v>-26.4</v>
      </c>
      <c r="AG94" s="120">
        <v>75</v>
      </c>
      <c r="AH94" s="54">
        <f>IF(ABS(MAX(C94:AF94))&gt;ABS(MIN(C94:AF94)),MAX(C94:AF94),MIN(C94:AF94))</f>
        <v>60</v>
      </c>
      <c r="AI94" s="121">
        <f>INDEX($C$9:$AF$9,1,MATCH(AH94,C94:AF94,0))</f>
        <v>0.85416666666666663</v>
      </c>
    </row>
    <row r="95" spans="1:88" x14ac:dyDescent="0.25">
      <c r="A95" s="122" t="s">
        <v>99</v>
      </c>
      <c r="B95" s="73">
        <f>-19.3-21.7</f>
        <v>-41</v>
      </c>
      <c r="C95" s="60">
        <f>-21.2-22.9</f>
        <v>-44.099999999999994</v>
      </c>
      <c r="D95" s="60">
        <v>-44</v>
      </c>
      <c r="E95" s="60">
        <v>-44.8</v>
      </c>
      <c r="F95" s="60">
        <v>-42.2</v>
      </c>
      <c r="G95" s="60">
        <v>-38</v>
      </c>
      <c r="H95" s="60">
        <v>-35.4</v>
      </c>
      <c r="I95" s="60">
        <v>-18.8</v>
      </c>
      <c r="J95" s="60">
        <v>16</v>
      </c>
      <c r="K95" s="60">
        <v>17.5</v>
      </c>
      <c r="L95" s="60">
        <v>34.700000000000003</v>
      </c>
      <c r="M95" s="60">
        <v>32.700000000000003</v>
      </c>
      <c r="N95" s="60">
        <v>17.7</v>
      </c>
      <c r="O95" s="60">
        <v>34.4</v>
      </c>
      <c r="P95" s="60">
        <v>26</v>
      </c>
      <c r="Q95" s="60">
        <v>15.6</v>
      </c>
      <c r="R95" s="60">
        <v>15.8</v>
      </c>
      <c r="S95" s="60">
        <v>15</v>
      </c>
      <c r="T95" s="60">
        <f>14.5+16.3</f>
        <v>30.8</v>
      </c>
      <c r="U95" s="60">
        <f>11.7+10.4</f>
        <v>22.1</v>
      </c>
      <c r="V95" s="60">
        <f>7.6+5.4</f>
        <v>13</v>
      </c>
      <c r="W95" s="60">
        <f>11.9+11</f>
        <v>22.9</v>
      </c>
      <c r="X95" s="60">
        <f>19.3+14.8</f>
        <v>34.1</v>
      </c>
      <c r="Y95" s="60">
        <f>34.5+29.9</f>
        <v>64.400000000000006</v>
      </c>
      <c r="Z95" s="60">
        <f>32+28.4</f>
        <v>60.4</v>
      </c>
      <c r="AA95" s="60">
        <f>32+28.4</f>
        <v>60.4</v>
      </c>
      <c r="AB95" s="73">
        <v>38</v>
      </c>
      <c r="AC95" s="73">
        <v>6</v>
      </c>
      <c r="AD95" s="73">
        <v>26</v>
      </c>
      <c r="AE95" s="73">
        <v>-2</v>
      </c>
      <c r="AF95" s="73">
        <v>-19</v>
      </c>
      <c r="AG95" s="120">
        <v>240</v>
      </c>
      <c r="AH95" s="54">
        <f>IF(ABS(MAX(C95:AF95))&gt;ABS(MIN(C95:AF95)),MAX(C95:AF95),MIN(C95:AF95))</f>
        <v>64.400000000000006</v>
      </c>
      <c r="AI95" s="121">
        <f>INDEX($C$9:$AF$9,1,MATCH(AH95,C95:AF95,0))</f>
        <v>0.77083333333333337</v>
      </c>
    </row>
    <row r="96" spans="1:88" x14ac:dyDescent="0.25">
      <c r="A96" s="122" t="s">
        <v>100</v>
      </c>
      <c r="B96" s="73">
        <v>-10.199999999999999</v>
      </c>
      <c r="C96" s="60">
        <v>-11.6</v>
      </c>
      <c r="D96" s="60">
        <v>-11.5</v>
      </c>
      <c r="E96" s="60">
        <v>-11.3</v>
      </c>
      <c r="F96" s="60">
        <v>-11.9</v>
      </c>
      <c r="G96" s="60">
        <v>-12.5</v>
      </c>
      <c r="H96" s="60">
        <v>-10.9</v>
      </c>
      <c r="I96" s="60">
        <v>-4</v>
      </c>
      <c r="J96" s="60">
        <v>16</v>
      </c>
      <c r="K96" s="60">
        <v>20.8</v>
      </c>
      <c r="L96" s="60">
        <v>34.4</v>
      </c>
      <c r="M96" s="60">
        <v>19.7</v>
      </c>
      <c r="N96" s="60">
        <v>8.4</v>
      </c>
      <c r="O96" s="60">
        <v>0</v>
      </c>
      <c r="P96" s="60">
        <v>0</v>
      </c>
      <c r="Q96" s="60">
        <v>0</v>
      </c>
      <c r="R96" s="60">
        <v>0</v>
      </c>
      <c r="S96" s="60">
        <v>0</v>
      </c>
      <c r="T96" s="60">
        <v>0</v>
      </c>
      <c r="U96" s="60">
        <v>18.399999999999999</v>
      </c>
      <c r="V96" s="60">
        <v>17</v>
      </c>
      <c r="W96" s="60">
        <v>14.6</v>
      </c>
      <c r="X96" s="60">
        <v>28.3</v>
      </c>
      <c r="Y96" s="60">
        <v>45.6</v>
      </c>
      <c r="Z96" s="60">
        <v>52.9</v>
      </c>
      <c r="AA96" s="60">
        <v>52.9</v>
      </c>
      <c r="AB96" s="73">
        <v>27.4</v>
      </c>
      <c r="AC96" s="73">
        <v>35</v>
      </c>
      <c r="AD96" s="73">
        <v>41.5</v>
      </c>
      <c r="AE96" s="73">
        <v>6.4</v>
      </c>
      <c r="AF96" s="73">
        <v>-0.6</v>
      </c>
      <c r="AG96" s="120">
        <v>60</v>
      </c>
      <c r="AH96" s="54">
        <f>IF(ABS(MAX(C96:AF96))&gt;ABS(MIN(C96:AF96)),MAX(C96:AF96),MIN(C96:AF96))</f>
        <v>52.9</v>
      </c>
      <c r="AI96" s="121">
        <f>INDEX($C$9:$AF$9,1,MATCH(AH96,C96:AF96,0))</f>
        <v>0.79166666666666663</v>
      </c>
    </row>
    <row r="97" spans="1:37" x14ac:dyDescent="0.25">
      <c r="A97" s="124" t="s">
        <v>101</v>
      </c>
      <c r="B97" s="126">
        <v>89.7</v>
      </c>
      <c r="C97" s="63">
        <v>78.8</v>
      </c>
      <c r="D97" s="63">
        <v>84</v>
      </c>
      <c r="E97" s="63">
        <v>79.2</v>
      </c>
      <c r="F97" s="63">
        <v>85.9</v>
      </c>
      <c r="G97" s="63">
        <v>84</v>
      </c>
      <c r="H97" s="63">
        <v>89.5</v>
      </c>
      <c r="I97" s="63">
        <v>72</v>
      </c>
      <c r="J97" s="63">
        <v>85.5</v>
      </c>
      <c r="K97" s="63">
        <v>99.8</v>
      </c>
      <c r="L97" s="63">
        <v>97.6</v>
      </c>
      <c r="M97" s="63">
        <v>96</v>
      </c>
      <c r="N97" s="63">
        <v>90.5</v>
      </c>
      <c r="O97" s="63">
        <v>84.1</v>
      </c>
      <c r="P97" s="63">
        <v>74.5</v>
      </c>
      <c r="Q97" s="63">
        <v>92.3</v>
      </c>
      <c r="R97" s="63">
        <v>88.6</v>
      </c>
      <c r="S97" s="63">
        <v>84.5</v>
      </c>
      <c r="T97" s="63">
        <v>81.8</v>
      </c>
      <c r="U97" s="63">
        <v>97.4</v>
      </c>
      <c r="V97" s="63">
        <v>99.7</v>
      </c>
      <c r="W97" s="63">
        <v>99.4</v>
      </c>
      <c r="X97" s="63">
        <v>95.9</v>
      </c>
      <c r="Y97" s="63">
        <v>99.6</v>
      </c>
      <c r="Z97" s="63">
        <v>95.3</v>
      </c>
      <c r="AA97" s="63">
        <v>95.3</v>
      </c>
      <c r="AB97" s="126">
        <v>91.4</v>
      </c>
      <c r="AC97" s="126">
        <v>60.4</v>
      </c>
      <c r="AD97" s="126">
        <v>47</v>
      </c>
      <c r="AE97" s="126">
        <v>88.6</v>
      </c>
      <c r="AF97" s="126">
        <v>78.5</v>
      </c>
      <c r="AG97" s="127">
        <v>120</v>
      </c>
      <c r="AH97" s="54">
        <f>IF(ABS(MAX(C97:AF97))&gt;ABS(MIN(C97:AF97)),MAX(C97:AF97),MIN(C97:AF97))</f>
        <v>99.8</v>
      </c>
      <c r="AI97" s="121">
        <f>INDEX($C$9:$AF$9,1,MATCH(AH97,C97:AF97,0))</f>
        <v>0.29166666666666669</v>
      </c>
    </row>
    <row r="98" spans="1:37" x14ac:dyDescent="0.25">
      <c r="A98" s="124" t="s">
        <v>102</v>
      </c>
      <c r="B98" s="126">
        <v>99.7</v>
      </c>
      <c r="C98" s="63">
        <v>88.5</v>
      </c>
      <c r="D98" s="63">
        <v>95</v>
      </c>
      <c r="E98" s="63">
        <v>89.7</v>
      </c>
      <c r="F98" s="63">
        <v>96</v>
      </c>
      <c r="G98" s="63">
        <v>92.8</v>
      </c>
      <c r="H98" s="63">
        <v>94.5</v>
      </c>
      <c r="I98" s="63">
        <v>41.6</v>
      </c>
      <c r="J98" s="63">
        <v>67.900000000000006</v>
      </c>
      <c r="K98" s="63">
        <v>67.2</v>
      </c>
      <c r="L98" s="63">
        <v>73</v>
      </c>
      <c r="M98" s="63">
        <v>78.5</v>
      </c>
      <c r="N98" s="63">
        <v>81.2</v>
      </c>
      <c r="O98" s="63">
        <v>96.1</v>
      </c>
      <c r="P98" s="63">
        <v>87</v>
      </c>
      <c r="Q98" s="63">
        <v>81.8</v>
      </c>
      <c r="R98" s="63">
        <v>82.4</v>
      </c>
      <c r="S98" s="63">
        <v>88.6</v>
      </c>
      <c r="T98" s="63">
        <v>106.2</v>
      </c>
      <c r="U98" s="63">
        <v>85.9</v>
      </c>
      <c r="V98" s="63">
        <v>72.8</v>
      </c>
      <c r="W98" s="63">
        <v>83.6</v>
      </c>
      <c r="X98" s="63">
        <v>95.9</v>
      </c>
      <c r="Y98" s="63">
        <v>103</v>
      </c>
      <c r="Z98" s="63">
        <v>103</v>
      </c>
      <c r="AA98" s="63">
        <v>103</v>
      </c>
      <c r="AB98" s="126">
        <v>77.599999999999994</v>
      </c>
      <c r="AC98" s="126">
        <v>32.200000000000003</v>
      </c>
      <c r="AD98" s="126">
        <v>55.4</v>
      </c>
      <c r="AE98" s="126">
        <v>84.5</v>
      </c>
      <c r="AF98" s="126">
        <v>75</v>
      </c>
      <c r="AG98" s="127"/>
      <c r="AH98" s="54">
        <f>IF(ABS(MAX(C98:AF98))&gt;ABS(MIN(C98:AF98)),MAX(C98:AF98),MIN(C98:AF98))</f>
        <v>106.2</v>
      </c>
      <c r="AI98" s="121">
        <f>INDEX($C$9:$AF$9,1,MATCH(AH98,C98:AF98,0))</f>
        <v>0.625</v>
      </c>
    </row>
    <row r="99" spans="1:37" x14ac:dyDescent="0.25">
      <c r="A99" s="124" t="s">
        <v>103</v>
      </c>
      <c r="B99" s="126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>
        <v>17.8</v>
      </c>
      <c r="T99" s="63">
        <v>24.3</v>
      </c>
      <c r="U99" s="63">
        <v>30.9</v>
      </c>
      <c r="V99" s="63">
        <v>22.2</v>
      </c>
      <c r="W99" s="63">
        <v>22.1</v>
      </c>
      <c r="X99" s="63">
        <v>44.9</v>
      </c>
      <c r="Y99" s="63">
        <v>54.1</v>
      </c>
      <c r="Z99" s="63">
        <v>54.1</v>
      </c>
      <c r="AA99" s="63">
        <v>54.1</v>
      </c>
      <c r="AB99" s="126">
        <v>34</v>
      </c>
      <c r="AC99" s="126">
        <v>6.3</v>
      </c>
      <c r="AD99" s="126">
        <v>33.6</v>
      </c>
      <c r="AE99" s="126">
        <v>57</v>
      </c>
      <c r="AF99" s="126">
        <v>60</v>
      </c>
      <c r="AG99" s="128"/>
      <c r="AH99" s="54"/>
      <c r="AI99" s="121"/>
    </row>
    <row r="100" spans="1:37" ht="15.75" thickBot="1" x14ac:dyDescent="0.3">
      <c r="A100" s="181" t="s">
        <v>222</v>
      </c>
      <c r="B100" s="104">
        <v>63</v>
      </c>
      <c r="C100" s="60">
        <v>66.3</v>
      </c>
      <c r="D100" s="60">
        <v>66</v>
      </c>
      <c r="E100" s="60">
        <v>66.400000000000006</v>
      </c>
      <c r="F100" s="60">
        <v>62.1</v>
      </c>
      <c r="G100" s="60">
        <v>68.099999999999994</v>
      </c>
      <c r="H100" s="60">
        <v>75.3</v>
      </c>
      <c r="I100" s="60">
        <v>80</v>
      </c>
      <c r="J100" s="60">
        <v>96.2</v>
      </c>
      <c r="K100" s="60">
        <v>102.7</v>
      </c>
      <c r="L100" s="60">
        <v>108</v>
      </c>
      <c r="M100" s="60">
        <v>40.200000000000003</v>
      </c>
      <c r="N100" s="60">
        <v>35.200000000000003</v>
      </c>
      <c r="O100" s="60">
        <v>66.900000000000006</v>
      </c>
      <c r="P100" s="60">
        <v>66.8</v>
      </c>
      <c r="Q100" s="60">
        <v>93.8</v>
      </c>
      <c r="R100" s="60">
        <v>87.7</v>
      </c>
      <c r="S100" s="60">
        <v>59.9</v>
      </c>
      <c r="T100" s="60">
        <v>42.2</v>
      </c>
      <c r="U100" s="60">
        <v>43.7</v>
      </c>
      <c r="V100" s="60">
        <v>47</v>
      </c>
      <c r="W100" s="60">
        <v>52.4</v>
      </c>
      <c r="X100" s="60">
        <v>52.8</v>
      </c>
      <c r="Y100" s="60">
        <v>64</v>
      </c>
      <c r="Z100" s="60">
        <v>64</v>
      </c>
      <c r="AA100" s="60">
        <v>57.5</v>
      </c>
      <c r="AB100" s="104">
        <v>57</v>
      </c>
      <c r="AC100" s="104">
        <v>57.4</v>
      </c>
      <c r="AD100" s="104">
        <v>64.2</v>
      </c>
      <c r="AE100" s="104">
        <v>50.5</v>
      </c>
      <c r="AF100" s="104">
        <v>72.7</v>
      </c>
      <c r="AG100" s="128"/>
      <c r="AH100" s="54"/>
      <c r="AI100" s="121"/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39">AF102</f>
        <v>9.9</v>
      </c>
      <c r="C102" s="53">
        <v>9.9</v>
      </c>
      <c r="D102" s="134">
        <f t="shared" ref="D102:S107" si="40">C102</f>
        <v>9.9</v>
      </c>
      <c r="E102" s="134">
        <f t="shared" si="40"/>
        <v>9.9</v>
      </c>
      <c r="F102" s="134">
        <f t="shared" si="40"/>
        <v>9.9</v>
      </c>
      <c r="G102" s="134">
        <f t="shared" si="40"/>
        <v>9.9</v>
      </c>
      <c r="H102" s="134">
        <f t="shared" si="40"/>
        <v>9.9</v>
      </c>
      <c r="I102" s="134">
        <f t="shared" si="40"/>
        <v>9.9</v>
      </c>
      <c r="J102" s="134">
        <f t="shared" si="40"/>
        <v>9.9</v>
      </c>
      <c r="K102" s="134">
        <f t="shared" si="40"/>
        <v>9.9</v>
      </c>
      <c r="L102" s="134">
        <f t="shared" si="40"/>
        <v>9.9</v>
      </c>
      <c r="M102" s="134">
        <f t="shared" si="40"/>
        <v>9.9</v>
      </c>
      <c r="N102" s="134">
        <f t="shared" si="40"/>
        <v>9.9</v>
      </c>
      <c r="O102" s="134">
        <f t="shared" si="40"/>
        <v>9.9</v>
      </c>
      <c r="P102" s="134">
        <f t="shared" si="40"/>
        <v>9.9</v>
      </c>
      <c r="Q102" s="134">
        <f t="shared" si="40"/>
        <v>9.9</v>
      </c>
      <c r="R102" s="134">
        <f t="shared" si="40"/>
        <v>9.9</v>
      </c>
      <c r="S102" s="134">
        <f t="shared" si="40"/>
        <v>9.9</v>
      </c>
      <c r="T102" s="134">
        <f t="shared" ref="T102:AF107" si="41">S102</f>
        <v>9.9</v>
      </c>
      <c r="U102" s="134">
        <f t="shared" si="41"/>
        <v>9.9</v>
      </c>
      <c r="V102" s="134">
        <f t="shared" si="41"/>
        <v>9.9</v>
      </c>
      <c r="W102" s="134">
        <f t="shared" si="41"/>
        <v>9.9</v>
      </c>
      <c r="X102" s="134">
        <f t="shared" si="41"/>
        <v>9.9</v>
      </c>
      <c r="Y102" s="134">
        <f t="shared" si="41"/>
        <v>9.9</v>
      </c>
      <c r="Z102" s="134">
        <f t="shared" si="41"/>
        <v>9.9</v>
      </c>
      <c r="AA102" s="134">
        <f t="shared" si="41"/>
        <v>9.9</v>
      </c>
      <c r="AB102" s="134">
        <f t="shared" si="41"/>
        <v>9.9</v>
      </c>
      <c r="AC102" s="134">
        <f t="shared" si="41"/>
        <v>9.9</v>
      </c>
      <c r="AD102" s="134">
        <f t="shared" si="41"/>
        <v>9.9</v>
      </c>
      <c r="AE102" s="134">
        <f t="shared" si="41"/>
        <v>9.9</v>
      </c>
      <c r="AF102" s="134">
        <f t="shared" si="41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39"/>
        <v>9.6</v>
      </c>
      <c r="C103" s="137">
        <v>9.6</v>
      </c>
      <c r="D103" s="136">
        <f t="shared" si="40"/>
        <v>9.6</v>
      </c>
      <c r="E103" s="136">
        <f t="shared" si="40"/>
        <v>9.6</v>
      </c>
      <c r="F103" s="136">
        <f t="shared" si="40"/>
        <v>9.6</v>
      </c>
      <c r="G103" s="136">
        <f t="shared" si="40"/>
        <v>9.6</v>
      </c>
      <c r="H103" s="136">
        <f t="shared" si="40"/>
        <v>9.6</v>
      </c>
      <c r="I103" s="136">
        <f t="shared" si="40"/>
        <v>9.6</v>
      </c>
      <c r="J103" s="136">
        <f t="shared" si="40"/>
        <v>9.6</v>
      </c>
      <c r="K103" s="136">
        <f t="shared" si="40"/>
        <v>9.6</v>
      </c>
      <c r="L103" s="136">
        <f t="shared" si="40"/>
        <v>9.6</v>
      </c>
      <c r="M103" s="136">
        <f t="shared" si="40"/>
        <v>9.6</v>
      </c>
      <c r="N103" s="136">
        <f t="shared" si="40"/>
        <v>9.6</v>
      </c>
      <c r="O103" s="136">
        <f t="shared" si="40"/>
        <v>9.6</v>
      </c>
      <c r="P103" s="136">
        <f t="shared" si="40"/>
        <v>9.6</v>
      </c>
      <c r="Q103" s="136">
        <f t="shared" si="40"/>
        <v>9.6</v>
      </c>
      <c r="R103" s="136">
        <f t="shared" si="40"/>
        <v>9.6</v>
      </c>
      <c r="S103" s="136">
        <f t="shared" si="40"/>
        <v>9.6</v>
      </c>
      <c r="T103" s="136">
        <f t="shared" si="41"/>
        <v>9.6</v>
      </c>
      <c r="U103" s="136">
        <f t="shared" si="41"/>
        <v>9.6</v>
      </c>
      <c r="V103" s="136">
        <f t="shared" si="41"/>
        <v>9.6</v>
      </c>
      <c r="W103" s="136">
        <f t="shared" si="41"/>
        <v>9.6</v>
      </c>
      <c r="X103" s="136">
        <f t="shared" si="41"/>
        <v>9.6</v>
      </c>
      <c r="Y103" s="136">
        <f t="shared" si="41"/>
        <v>9.6</v>
      </c>
      <c r="Z103" s="136">
        <f t="shared" si="41"/>
        <v>9.6</v>
      </c>
      <c r="AA103" s="136">
        <f t="shared" si="41"/>
        <v>9.6</v>
      </c>
      <c r="AB103" s="136">
        <f t="shared" si="41"/>
        <v>9.6</v>
      </c>
      <c r="AC103" s="136">
        <f t="shared" si="41"/>
        <v>9.6</v>
      </c>
      <c r="AD103" s="136">
        <f t="shared" si="41"/>
        <v>9.6</v>
      </c>
      <c r="AE103" s="136">
        <f t="shared" si="41"/>
        <v>9.6</v>
      </c>
      <c r="AF103" s="136">
        <f t="shared" si="41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39"/>
        <v>9.98</v>
      </c>
      <c r="C104" s="137">
        <v>9.98</v>
      </c>
      <c r="D104" s="136">
        <f t="shared" si="40"/>
        <v>9.98</v>
      </c>
      <c r="E104" s="136">
        <f t="shared" si="40"/>
        <v>9.98</v>
      </c>
      <c r="F104" s="136">
        <f t="shared" si="40"/>
        <v>9.98</v>
      </c>
      <c r="G104" s="136">
        <f t="shared" si="40"/>
        <v>9.98</v>
      </c>
      <c r="H104" s="136">
        <f t="shared" si="40"/>
        <v>9.98</v>
      </c>
      <c r="I104" s="136">
        <f t="shared" si="40"/>
        <v>9.98</v>
      </c>
      <c r="J104" s="136">
        <f t="shared" si="40"/>
        <v>9.98</v>
      </c>
      <c r="K104" s="136">
        <f t="shared" si="40"/>
        <v>9.98</v>
      </c>
      <c r="L104" s="136">
        <f t="shared" si="40"/>
        <v>9.98</v>
      </c>
      <c r="M104" s="136">
        <f t="shared" si="40"/>
        <v>9.98</v>
      </c>
      <c r="N104" s="136">
        <f t="shared" si="40"/>
        <v>9.98</v>
      </c>
      <c r="O104" s="136">
        <f t="shared" si="40"/>
        <v>9.98</v>
      </c>
      <c r="P104" s="136">
        <f t="shared" si="40"/>
        <v>9.98</v>
      </c>
      <c r="Q104" s="136">
        <f t="shared" si="40"/>
        <v>9.98</v>
      </c>
      <c r="R104" s="136">
        <f t="shared" si="40"/>
        <v>9.98</v>
      </c>
      <c r="S104" s="136">
        <f t="shared" si="40"/>
        <v>9.98</v>
      </c>
      <c r="T104" s="136">
        <f t="shared" si="41"/>
        <v>9.98</v>
      </c>
      <c r="U104" s="136">
        <f t="shared" si="41"/>
        <v>9.98</v>
      </c>
      <c r="V104" s="136">
        <f t="shared" si="41"/>
        <v>9.98</v>
      </c>
      <c r="W104" s="136">
        <f t="shared" si="41"/>
        <v>9.98</v>
      </c>
      <c r="X104" s="136">
        <f t="shared" si="41"/>
        <v>9.98</v>
      </c>
      <c r="Y104" s="136">
        <f t="shared" si="41"/>
        <v>9.98</v>
      </c>
      <c r="Z104" s="136">
        <f t="shared" si="41"/>
        <v>9.98</v>
      </c>
      <c r="AA104" s="136">
        <f t="shared" si="41"/>
        <v>9.98</v>
      </c>
      <c r="AB104" s="136">
        <f t="shared" si="41"/>
        <v>9.98</v>
      </c>
      <c r="AC104" s="136">
        <f t="shared" si="41"/>
        <v>9.98</v>
      </c>
      <c r="AD104" s="136">
        <f t="shared" si="41"/>
        <v>9.98</v>
      </c>
      <c r="AE104" s="136">
        <f t="shared" si="41"/>
        <v>9.98</v>
      </c>
      <c r="AF104" s="136">
        <f t="shared" si="41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39"/>
        <v>9.1</v>
      </c>
      <c r="C105" s="137">
        <v>9.1</v>
      </c>
      <c r="D105" s="136">
        <f t="shared" si="40"/>
        <v>9.1</v>
      </c>
      <c r="E105" s="136">
        <f t="shared" si="40"/>
        <v>9.1</v>
      </c>
      <c r="F105" s="136">
        <f t="shared" si="40"/>
        <v>9.1</v>
      </c>
      <c r="G105" s="136">
        <f t="shared" si="40"/>
        <v>9.1</v>
      </c>
      <c r="H105" s="136">
        <f t="shared" si="40"/>
        <v>9.1</v>
      </c>
      <c r="I105" s="136">
        <f t="shared" si="40"/>
        <v>9.1</v>
      </c>
      <c r="J105" s="136">
        <f t="shared" si="40"/>
        <v>9.1</v>
      </c>
      <c r="K105" s="136">
        <f t="shared" si="40"/>
        <v>9.1</v>
      </c>
      <c r="L105" s="136">
        <f t="shared" si="40"/>
        <v>9.1</v>
      </c>
      <c r="M105" s="136">
        <f t="shared" si="40"/>
        <v>9.1</v>
      </c>
      <c r="N105" s="136">
        <f t="shared" si="40"/>
        <v>9.1</v>
      </c>
      <c r="O105" s="136">
        <f t="shared" si="40"/>
        <v>9.1</v>
      </c>
      <c r="P105" s="136">
        <f t="shared" si="40"/>
        <v>9.1</v>
      </c>
      <c r="Q105" s="136">
        <f t="shared" si="40"/>
        <v>9.1</v>
      </c>
      <c r="R105" s="136">
        <f t="shared" si="40"/>
        <v>9.1</v>
      </c>
      <c r="S105" s="136">
        <f t="shared" si="40"/>
        <v>9.1</v>
      </c>
      <c r="T105" s="136">
        <f t="shared" si="41"/>
        <v>9.1</v>
      </c>
      <c r="U105" s="136">
        <f t="shared" si="41"/>
        <v>9.1</v>
      </c>
      <c r="V105" s="136">
        <f t="shared" si="41"/>
        <v>9.1</v>
      </c>
      <c r="W105" s="136">
        <f t="shared" si="41"/>
        <v>9.1</v>
      </c>
      <c r="X105" s="136">
        <f t="shared" si="41"/>
        <v>9.1</v>
      </c>
      <c r="Y105" s="136">
        <f t="shared" si="41"/>
        <v>9.1</v>
      </c>
      <c r="Z105" s="136">
        <f t="shared" si="41"/>
        <v>9.1</v>
      </c>
      <c r="AA105" s="136">
        <f t="shared" si="41"/>
        <v>9.1</v>
      </c>
      <c r="AB105" s="136">
        <f t="shared" si="41"/>
        <v>9.1</v>
      </c>
      <c r="AC105" s="136">
        <f t="shared" si="41"/>
        <v>9.1</v>
      </c>
      <c r="AD105" s="136">
        <f t="shared" si="41"/>
        <v>9.1</v>
      </c>
      <c r="AE105" s="136">
        <f t="shared" si="41"/>
        <v>9.1</v>
      </c>
      <c r="AF105" s="136">
        <f t="shared" si="41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39"/>
        <v>9.18</v>
      </c>
      <c r="C106" s="137">
        <v>9.18</v>
      </c>
      <c r="D106" s="136">
        <f t="shared" si="40"/>
        <v>9.18</v>
      </c>
      <c r="E106" s="136">
        <f t="shared" si="40"/>
        <v>9.18</v>
      </c>
      <c r="F106" s="136">
        <f t="shared" si="40"/>
        <v>9.18</v>
      </c>
      <c r="G106" s="136">
        <f t="shared" si="40"/>
        <v>9.18</v>
      </c>
      <c r="H106" s="136">
        <f t="shared" si="40"/>
        <v>9.18</v>
      </c>
      <c r="I106" s="136">
        <f t="shared" si="40"/>
        <v>9.18</v>
      </c>
      <c r="J106" s="136">
        <f t="shared" si="40"/>
        <v>9.18</v>
      </c>
      <c r="K106" s="136">
        <f t="shared" si="40"/>
        <v>9.18</v>
      </c>
      <c r="L106" s="136">
        <f t="shared" si="40"/>
        <v>9.18</v>
      </c>
      <c r="M106" s="136">
        <f t="shared" si="40"/>
        <v>9.18</v>
      </c>
      <c r="N106" s="136">
        <f t="shared" si="40"/>
        <v>9.18</v>
      </c>
      <c r="O106" s="136">
        <f t="shared" si="40"/>
        <v>9.18</v>
      </c>
      <c r="P106" s="136">
        <f t="shared" si="40"/>
        <v>9.18</v>
      </c>
      <c r="Q106" s="136">
        <f t="shared" si="40"/>
        <v>9.18</v>
      </c>
      <c r="R106" s="136">
        <f t="shared" si="40"/>
        <v>9.18</v>
      </c>
      <c r="S106" s="136">
        <f t="shared" si="40"/>
        <v>9.18</v>
      </c>
      <c r="T106" s="136">
        <f t="shared" si="41"/>
        <v>9.18</v>
      </c>
      <c r="U106" s="136">
        <f t="shared" si="41"/>
        <v>9.18</v>
      </c>
      <c r="V106" s="136">
        <f t="shared" si="41"/>
        <v>9.18</v>
      </c>
      <c r="W106" s="136">
        <f t="shared" si="41"/>
        <v>9.18</v>
      </c>
      <c r="X106" s="136">
        <f t="shared" si="41"/>
        <v>9.18</v>
      </c>
      <c r="Y106" s="136">
        <f t="shared" si="41"/>
        <v>9.18</v>
      </c>
      <c r="Z106" s="136">
        <f t="shared" si="41"/>
        <v>9.18</v>
      </c>
      <c r="AA106" s="136">
        <f t="shared" si="41"/>
        <v>9.18</v>
      </c>
      <c r="AB106" s="136">
        <f t="shared" si="41"/>
        <v>9.18</v>
      </c>
      <c r="AC106" s="136">
        <f t="shared" si="41"/>
        <v>9.18</v>
      </c>
      <c r="AD106" s="136">
        <f t="shared" si="41"/>
        <v>9.18</v>
      </c>
      <c r="AE106" s="136">
        <f t="shared" si="41"/>
        <v>9.18</v>
      </c>
      <c r="AF106" s="136">
        <f t="shared" si="41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39"/>
        <v>7</v>
      </c>
      <c r="C107" s="137">
        <v>7</v>
      </c>
      <c r="D107" s="136">
        <f t="shared" si="40"/>
        <v>7</v>
      </c>
      <c r="E107" s="136">
        <f t="shared" si="40"/>
        <v>7</v>
      </c>
      <c r="F107" s="136">
        <f t="shared" si="40"/>
        <v>7</v>
      </c>
      <c r="G107" s="136">
        <f t="shared" si="40"/>
        <v>7</v>
      </c>
      <c r="H107" s="136">
        <f t="shared" si="40"/>
        <v>7</v>
      </c>
      <c r="I107" s="136">
        <f t="shared" si="40"/>
        <v>7</v>
      </c>
      <c r="J107" s="136">
        <f t="shared" si="40"/>
        <v>7</v>
      </c>
      <c r="K107" s="136">
        <f t="shared" si="40"/>
        <v>7</v>
      </c>
      <c r="L107" s="136">
        <f t="shared" si="40"/>
        <v>7</v>
      </c>
      <c r="M107" s="136">
        <f t="shared" si="40"/>
        <v>7</v>
      </c>
      <c r="N107" s="136">
        <f t="shared" si="40"/>
        <v>7</v>
      </c>
      <c r="O107" s="136">
        <f t="shared" si="40"/>
        <v>7</v>
      </c>
      <c r="P107" s="136">
        <f t="shared" si="40"/>
        <v>7</v>
      </c>
      <c r="Q107" s="136">
        <f t="shared" si="40"/>
        <v>7</v>
      </c>
      <c r="R107" s="136">
        <f t="shared" si="40"/>
        <v>7</v>
      </c>
      <c r="S107" s="136">
        <f t="shared" si="40"/>
        <v>7</v>
      </c>
      <c r="T107" s="136">
        <f t="shared" si="41"/>
        <v>7</v>
      </c>
      <c r="U107" s="136">
        <f t="shared" si="41"/>
        <v>7</v>
      </c>
      <c r="V107" s="136">
        <f t="shared" si="41"/>
        <v>7</v>
      </c>
      <c r="W107" s="136">
        <f t="shared" si="41"/>
        <v>7</v>
      </c>
      <c r="X107" s="136">
        <f t="shared" si="41"/>
        <v>7</v>
      </c>
      <c r="Y107" s="136">
        <f t="shared" si="41"/>
        <v>7</v>
      </c>
      <c r="Z107" s="136">
        <f t="shared" si="41"/>
        <v>7</v>
      </c>
      <c r="AA107" s="136">
        <f t="shared" si="41"/>
        <v>7</v>
      </c>
      <c r="AB107" s="136">
        <f t="shared" si="41"/>
        <v>7</v>
      </c>
      <c r="AC107" s="136">
        <f t="shared" si="41"/>
        <v>7</v>
      </c>
      <c r="AD107" s="136">
        <f t="shared" si="41"/>
        <v>7</v>
      </c>
      <c r="AE107" s="136">
        <f t="shared" si="41"/>
        <v>7</v>
      </c>
      <c r="AF107" s="136">
        <f t="shared" si="41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42">C109</f>
        <v>2.25</v>
      </c>
      <c r="E109" s="136">
        <f t="shared" si="42"/>
        <v>2.25</v>
      </c>
      <c r="F109" s="136">
        <f t="shared" si="42"/>
        <v>2.25</v>
      </c>
      <c r="G109" s="136">
        <f t="shared" si="42"/>
        <v>2.25</v>
      </c>
      <c r="H109" s="136">
        <f t="shared" si="42"/>
        <v>2.25</v>
      </c>
      <c r="I109" s="136">
        <f t="shared" si="42"/>
        <v>2.25</v>
      </c>
      <c r="J109" s="136">
        <f t="shared" si="42"/>
        <v>2.25</v>
      </c>
      <c r="K109" s="136">
        <f t="shared" si="42"/>
        <v>2.25</v>
      </c>
      <c r="L109" s="136">
        <f t="shared" si="42"/>
        <v>2.25</v>
      </c>
      <c r="M109" s="136">
        <f t="shared" si="42"/>
        <v>2.25</v>
      </c>
      <c r="N109" s="136">
        <f t="shared" si="42"/>
        <v>2.25</v>
      </c>
      <c r="O109" s="136">
        <f t="shared" si="42"/>
        <v>2.25</v>
      </c>
      <c r="P109" s="136">
        <f t="shared" si="42"/>
        <v>2.25</v>
      </c>
      <c r="Q109" s="136">
        <f t="shared" si="42"/>
        <v>2.25</v>
      </c>
      <c r="R109" s="136">
        <f t="shared" si="42"/>
        <v>2.25</v>
      </c>
      <c r="S109" s="136">
        <f t="shared" si="42"/>
        <v>2.25</v>
      </c>
      <c r="T109" s="136">
        <f t="shared" ref="T109:AF110" si="43">S109</f>
        <v>2.25</v>
      </c>
      <c r="U109" s="136">
        <f t="shared" si="43"/>
        <v>2.25</v>
      </c>
      <c r="V109" s="136">
        <f t="shared" si="43"/>
        <v>2.25</v>
      </c>
      <c r="W109" s="136">
        <f t="shared" si="43"/>
        <v>2.25</v>
      </c>
      <c r="X109" s="136">
        <f t="shared" si="43"/>
        <v>2.25</v>
      </c>
      <c r="Y109" s="136">
        <f t="shared" si="43"/>
        <v>2.25</v>
      </c>
      <c r="Z109" s="136">
        <f t="shared" si="43"/>
        <v>2.25</v>
      </c>
      <c r="AA109" s="136">
        <f t="shared" si="43"/>
        <v>2.25</v>
      </c>
      <c r="AB109" s="136">
        <f t="shared" si="43"/>
        <v>2.25</v>
      </c>
      <c r="AC109" s="136">
        <f t="shared" si="43"/>
        <v>2.25</v>
      </c>
      <c r="AD109" s="136">
        <f t="shared" si="43"/>
        <v>2.25</v>
      </c>
      <c r="AE109" s="136">
        <f t="shared" si="43"/>
        <v>2.25</v>
      </c>
      <c r="AF109" s="136">
        <f t="shared" si="43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42"/>
        <v>1.64</v>
      </c>
      <c r="E110" s="136">
        <f t="shared" si="42"/>
        <v>1.64</v>
      </c>
      <c r="F110" s="136">
        <f t="shared" si="42"/>
        <v>1.64</v>
      </c>
      <c r="G110" s="136">
        <f t="shared" si="42"/>
        <v>1.64</v>
      </c>
      <c r="H110" s="136">
        <f t="shared" si="42"/>
        <v>1.64</v>
      </c>
      <c r="I110" s="136">
        <f t="shared" si="42"/>
        <v>1.64</v>
      </c>
      <c r="J110" s="136">
        <f t="shared" si="42"/>
        <v>1.64</v>
      </c>
      <c r="K110" s="136">
        <f t="shared" si="42"/>
        <v>1.64</v>
      </c>
      <c r="L110" s="136">
        <f t="shared" si="42"/>
        <v>1.64</v>
      </c>
      <c r="M110" s="136">
        <f t="shared" si="42"/>
        <v>1.64</v>
      </c>
      <c r="N110" s="136">
        <f t="shared" si="42"/>
        <v>1.64</v>
      </c>
      <c r="O110" s="136">
        <f t="shared" si="42"/>
        <v>1.64</v>
      </c>
      <c r="P110" s="136">
        <f t="shared" si="42"/>
        <v>1.64</v>
      </c>
      <c r="Q110" s="136">
        <f t="shared" si="42"/>
        <v>1.64</v>
      </c>
      <c r="R110" s="136">
        <f t="shared" si="42"/>
        <v>1.64</v>
      </c>
      <c r="S110" s="136">
        <f t="shared" si="42"/>
        <v>1.64</v>
      </c>
      <c r="T110" s="136">
        <f t="shared" si="43"/>
        <v>1.64</v>
      </c>
      <c r="U110" s="136">
        <f t="shared" si="43"/>
        <v>1.64</v>
      </c>
      <c r="V110" s="136">
        <f t="shared" si="43"/>
        <v>1.64</v>
      </c>
      <c r="W110" s="136">
        <f t="shared" si="43"/>
        <v>1.64</v>
      </c>
      <c r="X110" s="136">
        <f t="shared" si="43"/>
        <v>1.64</v>
      </c>
      <c r="Y110" s="136">
        <f t="shared" si="43"/>
        <v>1.64</v>
      </c>
      <c r="Z110" s="136">
        <f t="shared" si="43"/>
        <v>1.64</v>
      </c>
      <c r="AA110" s="136">
        <f t="shared" si="43"/>
        <v>1.64</v>
      </c>
      <c r="AB110" s="136">
        <f t="shared" si="43"/>
        <v>1.64</v>
      </c>
      <c r="AC110" s="136">
        <f t="shared" si="43"/>
        <v>1.64</v>
      </c>
      <c r="AD110" s="136">
        <f t="shared" si="43"/>
        <v>1.64</v>
      </c>
      <c r="AE110" s="136">
        <f t="shared" si="43"/>
        <v>1.64</v>
      </c>
      <c r="AF110" s="136">
        <f t="shared" si="43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44">AF112</f>
        <v>1.62</v>
      </c>
      <c r="C112" s="137">
        <v>1.62</v>
      </c>
      <c r="D112" s="136">
        <f t="shared" ref="D112:S119" si="45">C112</f>
        <v>1.62</v>
      </c>
      <c r="E112" s="136">
        <f t="shared" si="45"/>
        <v>1.62</v>
      </c>
      <c r="F112" s="136">
        <f t="shared" si="45"/>
        <v>1.62</v>
      </c>
      <c r="G112" s="136">
        <f t="shared" si="45"/>
        <v>1.62</v>
      </c>
      <c r="H112" s="136">
        <f t="shared" si="45"/>
        <v>1.62</v>
      </c>
      <c r="I112" s="136">
        <f t="shared" si="45"/>
        <v>1.62</v>
      </c>
      <c r="J112" s="136">
        <f t="shared" si="45"/>
        <v>1.62</v>
      </c>
      <c r="K112" s="136">
        <f t="shared" si="45"/>
        <v>1.62</v>
      </c>
      <c r="L112" s="136">
        <f t="shared" si="45"/>
        <v>1.62</v>
      </c>
      <c r="M112" s="136">
        <f t="shared" si="45"/>
        <v>1.62</v>
      </c>
      <c r="N112" s="136">
        <f t="shared" si="45"/>
        <v>1.62</v>
      </c>
      <c r="O112" s="136">
        <f t="shared" si="45"/>
        <v>1.62</v>
      </c>
      <c r="P112" s="136">
        <f t="shared" si="45"/>
        <v>1.62</v>
      </c>
      <c r="Q112" s="136">
        <f t="shared" si="45"/>
        <v>1.62</v>
      </c>
      <c r="R112" s="136">
        <f t="shared" si="45"/>
        <v>1.62</v>
      </c>
      <c r="S112" s="136">
        <f t="shared" si="45"/>
        <v>1.62</v>
      </c>
      <c r="T112" s="136">
        <f t="shared" ref="T112:AF127" si="46">S112</f>
        <v>1.62</v>
      </c>
      <c r="U112" s="136">
        <f t="shared" si="46"/>
        <v>1.62</v>
      </c>
      <c r="V112" s="136">
        <f t="shared" si="46"/>
        <v>1.62</v>
      </c>
      <c r="W112" s="136">
        <f t="shared" si="46"/>
        <v>1.62</v>
      </c>
      <c r="X112" s="136">
        <f t="shared" si="46"/>
        <v>1.62</v>
      </c>
      <c r="Y112" s="136">
        <f t="shared" si="46"/>
        <v>1.62</v>
      </c>
      <c r="Z112" s="136">
        <f t="shared" si="46"/>
        <v>1.62</v>
      </c>
      <c r="AA112" s="136">
        <f t="shared" si="46"/>
        <v>1.62</v>
      </c>
      <c r="AB112" s="136">
        <f t="shared" si="46"/>
        <v>1.62</v>
      </c>
      <c r="AC112" s="136">
        <f t="shared" si="46"/>
        <v>1.62</v>
      </c>
      <c r="AD112" s="136">
        <f t="shared" si="46"/>
        <v>1.62</v>
      </c>
      <c r="AE112" s="136">
        <f t="shared" si="46"/>
        <v>1.62</v>
      </c>
      <c r="AF112" s="136">
        <f t="shared" si="46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44"/>
        <v>8.36</v>
      </c>
      <c r="C113" s="137">
        <v>8.36</v>
      </c>
      <c r="D113" s="136">
        <f t="shared" si="45"/>
        <v>8.36</v>
      </c>
      <c r="E113" s="136">
        <f t="shared" si="45"/>
        <v>8.36</v>
      </c>
      <c r="F113" s="136">
        <f t="shared" si="45"/>
        <v>8.36</v>
      </c>
      <c r="G113" s="136">
        <f t="shared" si="45"/>
        <v>8.36</v>
      </c>
      <c r="H113" s="136">
        <f t="shared" si="45"/>
        <v>8.36</v>
      </c>
      <c r="I113" s="136">
        <f t="shared" si="45"/>
        <v>8.36</v>
      </c>
      <c r="J113" s="136">
        <f t="shared" si="45"/>
        <v>8.36</v>
      </c>
      <c r="K113" s="136">
        <f t="shared" si="45"/>
        <v>8.36</v>
      </c>
      <c r="L113" s="136">
        <f t="shared" si="45"/>
        <v>8.36</v>
      </c>
      <c r="M113" s="136">
        <f t="shared" si="45"/>
        <v>8.36</v>
      </c>
      <c r="N113" s="136">
        <f t="shared" si="45"/>
        <v>8.36</v>
      </c>
      <c r="O113" s="136">
        <f t="shared" si="45"/>
        <v>8.36</v>
      </c>
      <c r="P113" s="136">
        <f t="shared" si="45"/>
        <v>8.36</v>
      </c>
      <c r="Q113" s="136">
        <f t="shared" si="45"/>
        <v>8.36</v>
      </c>
      <c r="R113" s="136">
        <f t="shared" si="45"/>
        <v>8.36</v>
      </c>
      <c r="S113" s="136">
        <f t="shared" si="45"/>
        <v>8.36</v>
      </c>
      <c r="T113" s="136">
        <f t="shared" si="46"/>
        <v>8.36</v>
      </c>
      <c r="U113" s="136">
        <f t="shared" si="46"/>
        <v>8.36</v>
      </c>
      <c r="V113" s="136">
        <f t="shared" si="46"/>
        <v>8.36</v>
      </c>
      <c r="W113" s="136">
        <f t="shared" si="46"/>
        <v>8.36</v>
      </c>
      <c r="X113" s="136">
        <f t="shared" si="46"/>
        <v>8.36</v>
      </c>
      <c r="Y113" s="136">
        <f t="shared" si="46"/>
        <v>8.36</v>
      </c>
      <c r="Z113" s="136">
        <f t="shared" si="46"/>
        <v>8.36</v>
      </c>
      <c r="AA113" s="136">
        <f t="shared" si="46"/>
        <v>8.36</v>
      </c>
      <c r="AB113" s="136">
        <f t="shared" si="46"/>
        <v>8.36</v>
      </c>
      <c r="AC113" s="136">
        <f t="shared" si="46"/>
        <v>8.36</v>
      </c>
      <c r="AD113" s="136">
        <f t="shared" si="46"/>
        <v>8.36</v>
      </c>
      <c r="AE113" s="136">
        <f t="shared" si="46"/>
        <v>8.36</v>
      </c>
      <c r="AF113" s="136">
        <f t="shared" si="46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44"/>
        <v>5.4</v>
      </c>
      <c r="C114" s="137">
        <v>8</v>
      </c>
      <c r="D114" s="136">
        <f t="shared" si="45"/>
        <v>8</v>
      </c>
      <c r="E114" s="136">
        <f t="shared" si="45"/>
        <v>8</v>
      </c>
      <c r="F114" s="136">
        <f t="shared" si="45"/>
        <v>8</v>
      </c>
      <c r="G114" s="136">
        <f t="shared" si="45"/>
        <v>8</v>
      </c>
      <c r="H114" s="136">
        <f t="shared" si="45"/>
        <v>8</v>
      </c>
      <c r="I114" s="136">
        <f t="shared" si="45"/>
        <v>8</v>
      </c>
      <c r="J114" s="136">
        <v>5.4</v>
      </c>
      <c r="K114" s="136">
        <f t="shared" si="45"/>
        <v>5.4</v>
      </c>
      <c r="L114" s="136">
        <f t="shared" si="45"/>
        <v>5.4</v>
      </c>
      <c r="M114" s="136">
        <f t="shared" si="45"/>
        <v>5.4</v>
      </c>
      <c r="N114" s="136">
        <f t="shared" si="45"/>
        <v>5.4</v>
      </c>
      <c r="O114" s="136">
        <f t="shared" si="45"/>
        <v>5.4</v>
      </c>
      <c r="P114" s="136">
        <f t="shared" si="45"/>
        <v>5.4</v>
      </c>
      <c r="Q114" s="136">
        <f t="shared" si="45"/>
        <v>5.4</v>
      </c>
      <c r="R114" s="136">
        <f t="shared" si="45"/>
        <v>5.4</v>
      </c>
      <c r="S114" s="136">
        <f t="shared" si="45"/>
        <v>5.4</v>
      </c>
      <c r="T114" s="136">
        <f t="shared" si="46"/>
        <v>5.4</v>
      </c>
      <c r="U114" s="136">
        <f t="shared" si="46"/>
        <v>5.4</v>
      </c>
      <c r="V114" s="136">
        <f t="shared" si="46"/>
        <v>5.4</v>
      </c>
      <c r="W114" s="136">
        <f t="shared" si="46"/>
        <v>5.4</v>
      </c>
      <c r="X114" s="136">
        <f t="shared" si="46"/>
        <v>5.4</v>
      </c>
      <c r="Y114" s="136">
        <f t="shared" si="46"/>
        <v>5.4</v>
      </c>
      <c r="Z114" s="136">
        <f t="shared" si="46"/>
        <v>5.4</v>
      </c>
      <c r="AA114" s="136">
        <f t="shared" si="46"/>
        <v>5.4</v>
      </c>
      <c r="AB114" s="136">
        <f t="shared" si="46"/>
        <v>5.4</v>
      </c>
      <c r="AC114" s="136">
        <f t="shared" si="46"/>
        <v>5.4</v>
      </c>
      <c r="AD114" s="136">
        <f t="shared" si="46"/>
        <v>5.4</v>
      </c>
      <c r="AE114" s="136">
        <f t="shared" si="46"/>
        <v>5.4</v>
      </c>
      <c r="AF114" s="136">
        <f t="shared" si="46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44"/>
        <v>6.57</v>
      </c>
      <c r="C115" s="137">
        <v>6.57</v>
      </c>
      <c r="D115" s="136">
        <f t="shared" si="45"/>
        <v>6.57</v>
      </c>
      <c r="E115" s="136">
        <f t="shared" si="45"/>
        <v>6.57</v>
      </c>
      <c r="F115" s="136">
        <f t="shared" si="45"/>
        <v>6.57</v>
      </c>
      <c r="G115" s="136">
        <f t="shared" si="45"/>
        <v>6.57</v>
      </c>
      <c r="H115" s="136">
        <f t="shared" si="45"/>
        <v>6.57</v>
      </c>
      <c r="I115" s="136">
        <f t="shared" si="45"/>
        <v>6.57</v>
      </c>
      <c r="J115" s="136">
        <f t="shared" si="45"/>
        <v>6.57</v>
      </c>
      <c r="K115" s="136">
        <f t="shared" si="45"/>
        <v>6.57</v>
      </c>
      <c r="L115" s="136">
        <f t="shared" si="45"/>
        <v>6.57</v>
      </c>
      <c r="M115" s="136">
        <f t="shared" si="45"/>
        <v>6.57</v>
      </c>
      <c r="N115" s="136">
        <f t="shared" si="45"/>
        <v>6.57</v>
      </c>
      <c r="O115" s="136">
        <f t="shared" si="45"/>
        <v>6.57</v>
      </c>
      <c r="P115" s="136">
        <f t="shared" si="45"/>
        <v>6.57</v>
      </c>
      <c r="Q115" s="136">
        <f t="shared" si="45"/>
        <v>6.57</v>
      </c>
      <c r="R115" s="136">
        <f t="shared" si="45"/>
        <v>6.57</v>
      </c>
      <c r="S115" s="136">
        <f t="shared" si="45"/>
        <v>6.57</v>
      </c>
      <c r="T115" s="136">
        <f t="shared" si="46"/>
        <v>6.57</v>
      </c>
      <c r="U115" s="136">
        <f t="shared" si="46"/>
        <v>6.57</v>
      </c>
      <c r="V115" s="136">
        <f t="shared" si="46"/>
        <v>6.57</v>
      </c>
      <c r="W115" s="136">
        <f t="shared" si="46"/>
        <v>6.57</v>
      </c>
      <c r="X115" s="136">
        <f t="shared" si="46"/>
        <v>6.57</v>
      </c>
      <c r="Y115" s="136">
        <f t="shared" si="46"/>
        <v>6.57</v>
      </c>
      <c r="Z115" s="136">
        <f t="shared" si="46"/>
        <v>6.57</v>
      </c>
      <c r="AA115" s="136">
        <f t="shared" si="46"/>
        <v>6.57</v>
      </c>
      <c r="AB115" s="136">
        <f t="shared" si="46"/>
        <v>6.57</v>
      </c>
      <c r="AC115" s="136">
        <f t="shared" si="46"/>
        <v>6.57</v>
      </c>
      <c r="AD115" s="136">
        <f t="shared" si="46"/>
        <v>6.57</v>
      </c>
      <c r="AE115" s="136">
        <f t="shared" si="46"/>
        <v>6.57</v>
      </c>
      <c r="AF115" s="136">
        <f t="shared" si="46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44"/>
        <v>3.43</v>
      </c>
      <c r="C116" s="137">
        <v>3.43</v>
      </c>
      <c r="D116" s="136">
        <f t="shared" si="45"/>
        <v>3.43</v>
      </c>
      <c r="E116" s="136">
        <f t="shared" si="45"/>
        <v>3.43</v>
      </c>
      <c r="F116" s="136">
        <f t="shared" si="45"/>
        <v>3.43</v>
      </c>
      <c r="G116" s="136">
        <f t="shared" si="45"/>
        <v>3.43</v>
      </c>
      <c r="H116" s="136">
        <f t="shared" si="45"/>
        <v>3.43</v>
      </c>
      <c r="I116" s="136">
        <f t="shared" si="45"/>
        <v>3.43</v>
      </c>
      <c r="J116" s="136">
        <f t="shared" si="45"/>
        <v>3.43</v>
      </c>
      <c r="K116" s="136">
        <f t="shared" si="45"/>
        <v>3.43</v>
      </c>
      <c r="L116" s="136">
        <f t="shared" si="45"/>
        <v>3.43</v>
      </c>
      <c r="M116" s="136">
        <f t="shared" si="45"/>
        <v>3.43</v>
      </c>
      <c r="N116" s="136">
        <f t="shared" si="45"/>
        <v>3.43</v>
      </c>
      <c r="O116" s="136">
        <f t="shared" si="45"/>
        <v>3.43</v>
      </c>
      <c r="P116" s="136">
        <f t="shared" si="45"/>
        <v>3.43</v>
      </c>
      <c r="Q116" s="136">
        <f t="shared" si="45"/>
        <v>3.43</v>
      </c>
      <c r="R116" s="136">
        <f t="shared" si="45"/>
        <v>3.43</v>
      </c>
      <c r="S116" s="136">
        <f t="shared" si="45"/>
        <v>3.43</v>
      </c>
      <c r="T116" s="136">
        <f t="shared" si="46"/>
        <v>3.43</v>
      </c>
      <c r="U116" s="136">
        <f t="shared" si="46"/>
        <v>3.43</v>
      </c>
      <c r="V116" s="136">
        <f t="shared" si="46"/>
        <v>3.43</v>
      </c>
      <c r="W116" s="136">
        <f t="shared" si="46"/>
        <v>3.43</v>
      </c>
      <c r="X116" s="136">
        <f t="shared" si="46"/>
        <v>3.43</v>
      </c>
      <c r="Y116" s="136">
        <f t="shared" si="46"/>
        <v>3.43</v>
      </c>
      <c r="Z116" s="136">
        <f t="shared" si="46"/>
        <v>3.43</v>
      </c>
      <c r="AA116" s="136">
        <f t="shared" si="46"/>
        <v>3.43</v>
      </c>
      <c r="AB116" s="136">
        <f t="shared" si="46"/>
        <v>3.43</v>
      </c>
      <c r="AC116" s="136">
        <f t="shared" si="46"/>
        <v>3.43</v>
      </c>
      <c r="AD116" s="136">
        <f t="shared" si="46"/>
        <v>3.43</v>
      </c>
      <c r="AE116" s="136">
        <f t="shared" si="46"/>
        <v>3.43</v>
      </c>
      <c r="AF116" s="136">
        <f t="shared" si="46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44"/>
        <v>2.96</v>
      </c>
      <c r="C117" s="137">
        <v>2.96</v>
      </c>
      <c r="D117" s="136">
        <f t="shared" si="45"/>
        <v>2.96</v>
      </c>
      <c r="E117" s="136">
        <f t="shared" si="45"/>
        <v>2.96</v>
      </c>
      <c r="F117" s="136">
        <f t="shared" si="45"/>
        <v>2.96</v>
      </c>
      <c r="G117" s="136">
        <f t="shared" si="45"/>
        <v>2.96</v>
      </c>
      <c r="H117" s="136">
        <f t="shared" si="45"/>
        <v>2.96</v>
      </c>
      <c r="I117" s="136">
        <f t="shared" si="45"/>
        <v>2.96</v>
      </c>
      <c r="J117" s="136">
        <f t="shared" si="45"/>
        <v>2.96</v>
      </c>
      <c r="K117" s="136">
        <f t="shared" si="45"/>
        <v>2.96</v>
      </c>
      <c r="L117" s="136">
        <f t="shared" si="45"/>
        <v>2.96</v>
      </c>
      <c r="M117" s="136">
        <f t="shared" si="45"/>
        <v>2.96</v>
      </c>
      <c r="N117" s="136">
        <f t="shared" si="45"/>
        <v>2.96</v>
      </c>
      <c r="O117" s="136">
        <f t="shared" si="45"/>
        <v>2.96</v>
      </c>
      <c r="P117" s="136">
        <f t="shared" si="45"/>
        <v>2.96</v>
      </c>
      <c r="Q117" s="136">
        <f t="shared" si="45"/>
        <v>2.96</v>
      </c>
      <c r="R117" s="136">
        <f t="shared" si="45"/>
        <v>2.96</v>
      </c>
      <c r="S117" s="136">
        <f t="shared" si="45"/>
        <v>2.96</v>
      </c>
      <c r="T117" s="136">
        <f t="shared" si="46"/>
        <v>2.96</v>
      </c>
      <c r="U117" s="136">
        <f t="shared" si="46"/>
        <v>2.96</v>
      </c>
      <c r="V117" s="136">
        <f t="shared" si="46"/>
        <v>2.96</v>
      </c>
      <c r="W117" s="136">
        <f t="shared" si="46"/>
        <v>2.96</v>
      </c>
      <c r="X117" s="136">
        <f t="shared" si="46"/>
        <v>2.96</v>
      </c>
      <c r="Y117" s="136">
        <f t="shared" si="46"/>
        <v>2.96</v>
      </c>
      <c r="Z117" s="136">
        <f t="shared" si="46"/>
        <v>2.96</v>
      </c>
      <c r="AA117" s="136">
        <f t="shared" si="46"/>
        <v>2.96</v>
      </c>
      <c r="AB117" s="136">
        <f t="shared" si="46"/>
        <v>2.96</v>
      </c>
      <c r="AC117" s="136">
        <f t="shared" si="46"/>
        <v>2.96</v>
      </c>
      <c r="AD117" s="136">
        <f t="shared" si="46"/>
        <v>2.96</v>
      </c>
      <c r="AE117" s="136">
        <f t="shared" si="46"/>
        <v>2.96</v>
      </c>
      <c r="AF117" s="136">
        <f t="shared" si="46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44"/>
        <v>8</v>
      </c>
      <c r="C118" s="137">
        <v>8</v>
      </c>
      <c r="D118" s="136">
        <f t="shared" si="45"/>
        <v>8</v>
      </c>
      <c r="E118" s="136">
        <f t="shared" si="45"/>
        <v>8</v>
      </c>
      <c r="F118" s="136">
        <f t="shared" si="45"/>
        <v>8</v>
      </c>
      <c r="G118" s="136">
        <f t="shared" si="45"/>
        <v>8</v>
      </c>
      <c r="H118" s="136">
        <f t="shared" si="45"/>
        <v>8</v>
      </c>
      <c r="I118" s="136">
        <f t="shared" si="45"/>
        <v>8</v>
      </c>
      <c r="J118" s="136">
        <f t="shared" si="45"/>
        <v>8</v>
      </c>
      <c r="K118" s="136">
        <f t="shared" si="45"/>
        <v>8</v>
      </c>
      <c r="L118" s="136">
        <f t="shared" si="45"/>
        <v>8</v>
      </c>
      <c r="M118" s="136">
        <f t="shared" si="45"/>
        <v>8</v>
      </c>
      <c r="N118" s="136">
        <f t="shared" si="45"/>
        <v>8</v>
      </c>
      <c r="O118" s="136">
        <f t="shared" si="45"/>
        <v>8</v>
      </c>
      <c r="P118" s="136">
        <f t="shared" si="45"/>
        <v>8</v>
      </c>
      <c r="Q118" s="136">
        <f t="shared" si="45"/>
        <v>8</v>
      </c>
      <c r="R118" s="136">
        <f t="shared" si="45"/>
        <v>8</v>
      </c>
      <c r="S118" s="136">
        <f t="shared" si="45"/>
        <v>8</v>
      </c>
      <c r="T118" s="136">
        <f t="shared" si="46"/>
        <v>8</v>
      </c>
      <c r="U118" s="136">
        <f t="shared" si="46"/>
        <v>8</v>
      </c>
      <c r="V118" s="136">
        <f t="shared" si="46"/>
        <v>8</v>
      </c>
      <c r="W118" s="136">
        <f t="shared" si="46"/>
        <v>8</v>
      </c>
      <c r="X118" s="136">
        <f t="shared" si="46"/>
        <v>8</v>
      </c>
      <c r="Y118" s="136">
        <f t="shared" si="46"/>
        <v>8</v>
      </c>
      <c r="Z118" s="136">
        <f t="shared" si="46"/>
        <v>8</v>
      </c>
      <c r="AA118" s="136">
        <f t="shared" si="46"/>
        <v>8</v>
      </c>
      <c r="AB118" s="136">
        <f t="shared" si="46"/>
        <v>8</v>
      </c>
      <c r="AC118" s="136">
        <f t="shared" si="46"/>
        <v>8</v>
      </c>
      <c r="AD118" s="136">
        <f t="shared" si="46"/>
        <v>8</v>
      </c>
      <c r="AE118" s="136">
        <f t="shared" si="46"/>
        <v>8</v>
      </c>
      <c r="AF118" s="136">
        <f t="shared" si="46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44"/>
        <v>7</v>
      </c>
      <c r="C119" s="137">
        <v>7</v>
      </c>
      <c r="D119" s="136">
        <f>C119</f>
        <v>7</v>
      </c>
      <c r="E119" s="136">
        <f t="shared" si="45"/>
        <v>7</v>
      </c>
      <c r="F119" s="136">
        <f t="shared" si="45"/>
        <v>7</v>
      </c>
      <c r="G119" s="136">
        <f t="shared" si="45"/>
        <v>7</v>
      </c>
      <c r="H119" s="136">
        <f t="shared" si="45"/>
        <v>7</v>
      </c>
      <c r="I119" s="136">
        <f t="shared" si="45"/>
        <v>7</v>
      </c>
      <c r="J119" s="136">
        <f t="shared" si="45"/>
        <v>7</v>
      </c>
      <c r="K119" s="136">
        <f t="shared" si="45"/>
        <v>7</v>
      </c>
      <c r="L119" s="136">
        <f t="shared" si="45"/>
        <v>7</v>
      </c>
      <c r="M119" s="136">
        <f t="shared" si="45"/>
        <v>7</v>
      </c>
      <c r="N119" s="136">
        <f t="shared" si="45"/>
        <v>7</v>
      </c>
      <c r="O119" s="136">
        <f t="shared" si="45"/>
        <v>7</v>
      </c>
      <c r="P119" s="136">
        <f t="shared" si="45"/>
        <v>7</v>
      </c>
      <c r="Q119" s="136">
        <f t="shared" si="45"/>
        <v>7</v>
      </c>
      <c r="R119" s="136">
        <f t="shared" si="45"/>
        <v>7</v>
      </c>
      <c r="S119" s="136">
        <f t="shared" si="45"/>
        <v>7</v>
      </c>
      <c r="T119" s="136">
        <f t="shared" si="46"/>
        <v>7</v>
      </c>
      <c r="U119" s="136">
        <f t="shared" si="46"/>
        <v>7</v>
      </c>
      <c r="V119" s="136">
        <f t="shared" si="46"/>
        <v>7</v>
      </c>
      <c r="W119" s="136">
        <f t="shared" si="46"/>
        <v>7</v>
      </c>
      <c r="X119" s="136">
        <f t="shared" si="46"/>
        <v>7</v>
      </c>
      <c r="Y119" s="136">
        <f t="shared" si="46"/>
        <v>7</v>
      </c>
      <c r="Z119" s="136">
        <f t="shared" si="46"/>
        <v>7</v>
      </c>
      <c r="AA119" s="136">
        <f t="shared" si="46"/>
        <v>7</v>
      </c>
      <c r="AB119" s="136">
        <f t="shared" si="46"/>
        <v>7</v>
      </c>
      <c r="AC119" s="136">
        <f t="shared" si="46"/>
        <v>7</v>
      </c>
      <c r="AD119" s="136">
        <f t="shared" si="46"/>
        <v>7</v>
      </c>
      <c r="AE119" s="136">
        <f t="shared" si="46"/>
        <v>7</v>
      </c>
      <c r="AF119" s="136">
        <f t="shared" si="46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44"/>
        <v>3.47</v>
      </c>
      <c r="C120" s="137">
        <v>3.47</v>
      </c>
      <c r="D120" s="136">
        <f t="shared" ref="D120:S129" si="47">C120</f>
        <v>3.47</v>
      </c>
      <c r="E120" s="136">
        <f t="shared" si="47"/>
        <v>3.47</v>
      </c>
      <c r="F120" s="136">
        <f t="shared" si="47"/>
        <v>3.47</v>
      </c>
      <c r="G120" s="136">
        <f t="shared" si="47"/>
        <v>3.47</v>
      </c>
      <c r="H120" s="136">
        <f t="shared" si="47"/>
        <v>3.47</v>
      </c>
      <c r="I120" s="136">
        <f t="shared" si="47"/>
        <v>3.47</v>
      </c>
      <c r="J120" s="136">
        <f t="shared" si="47"/>
        <v>3.47</v>
      </c>
      <c r="K120" s="136">
        <f t="shared" si="47"/>
        <v>3.47</v>
      </c>
      <c r="L120" s="136">
        <f t="shared" si="47"/>
        <v>3.47</v>
      </c>
      <c r="M120" s="136">
        <f t="shared" si="47"/>
        <v>3.47</v>
      </c>
      <c r="N120" s="136">
        <f t="shared" si="47"/>
        <v>3.47</v>
      </c>
      <c r="O120" s="136">
        <f t="shared" si="47"/>
        <v>3.47</v>
      </c>
      <c r="P120" s="136">
        <f t="shared" si="47"/>
        <v>3.47</v>
      </c>
      <c r="Q120" s="136">
        <f t="shared" si="47"/>
        <v>3.47</v>
      </c>
      <c r="R120" s="136">
        <f t="shared" si="47"/>
        <v>3.47</v>
      </c>
      <c r="S120" s="136">
        <f t="shared" si="47"/>
        <v>3.47</v>
      </c>
      <c r="T120" s="136">
        <f t="shared" si="46"/>
        <v>3.47</v>
      </c>
      <c r="U120" s="136">
        <f t="shared" si="46"/>
        <v>3.47</v>
      </c>
      <c r="V120" s="136">
        <f t="shared" si="46"/>
        <v>3.47</v>
      </c>
      <c r="W120" s="136">
        <f t="shared" si="46"/>
        <v>3.47</v>
      </c>
      <c r="X120" s="136">
        <f t="shared" si="46"/>
        <v>3.47</v>
      </c>
      <c r="Y120" s="136">
        <f t="shared" si="46"/>
        <v>3.47</v>
      </c>
      <c r="Z120" s="136">
        <f t="shared" si="46"/>
        <v>3.47</v>
      </c>
      <c r="AA120" s="136">
        <f t="shared" si="46"/>
        <v>3.47</v>
      </c>
      <c r="AB120" s="136">
        <f t="shared" si="46"/>
        <v>3.47</v>
      </c>
      <c r="AC120" s="136">
        <f t="shared" si="46"/>
        <v>3.47</v>
      </c>
      <c r="AD120" s="136">
        <f t="shared" si="46"/>
        <v>3.47</v>
      </c>
      <c r="AE120" s="136">
        <f t="shared" si="46"/>
        <v>3.47</v>
      </c>
      <c r="AF120" s="136">
        <f t="shared" si="46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44"/>
        <v>2.1</v>
      </c>
      <c r="C121" s="137">
        <v>2.1</v>
      </c>
      <c r="D121" s="136">
        <f t="shared" si="47"/>
        <v>2.1</v>
      </c>
      <c r="E121" s="136">
        <f t="shared" si="47"/>
        <v>2.1</v>
      </c>
      <c r="F121" s="136">
        <f t="shared" si="47"/>
        <v>2.1</v>
      </c>
      <c r="G121" s="136">
        <f t="shared" si="47"/>
        <v>2.1</v>
      </c>
      <c r="H121" s="136">
        <f t="shared" si="47"/>
        <v>2.1</v>
      </c>
      <c r="I121" s="136">
        <f t="shared" si="47"/>
        <v>2.1</v>
      </c>
      <c r="J121" s="136">
        <f t="shared" si="47"/>
        <v>2.1</v>
      </c>
      <c r="K121" s="136">
        <f t="shared" si="47"/>
        <v>2.1</v>
      </c>
      <c r="L121" s="136">
        <f t="shared" si="47"/>
        <v>2.1</v>
      </c>
      <c r="M121" s="136">
        <f t="shared" si="47"/>
        <v>2.1</v>
      </c>
      <c r="N121" s="136">
        <f t="shared" si="47"/>
        <v>2.1</v>
      </c>
      <c r="O121" s="136">
        <f t="shared" si="47"/>
        <v>2.1</v>
      </c>
      <c r="P121" s="136">
        <f t="shared" si="47"/>
        <v>2.1</v>
      </c>
      <c r="Q121" s="136">
        <f t="shared" si="47"/>
        <v>2.1</v>
      </c>
      <c r="R121" s="136">
        <f t="shared" si="47"/>
        <v>2.1</v>
      </c>
      <c r="S121" s="136">
        <f t="shared" si="47"/>
        <v>2.1</v>
      </c>
      <c r="T121" s="136">
        <f t="shared" si="46"/>
        <v>2.1</v>
      </c>
      <c r="U121" s="136">
        <f t="shared" si="46"/>
        <v>2.1</v>
      </c>
      <c r="V121" s="136">
        <f t="shared" si="46"/>
        <v>2.1</v>
      </c>
      <c r="W121" s="136">
        <f t="shared" si="46"/>
        <v>2.1</v>
      </c>
      <c r="X121" s="136">
        <f t="shared" si="46"/>
        <v>2.1</v>
      </c>
      <c r="Y121" s="136">
        <f t="shared" si="46"/>
        <v>2.1</v>
      </c>
      <c r="Z121" s="136">
        <f t="shared" si="46"/>
        <v>2.1</v>
      </c>
      <c r="AA121" s="136">
        <f t="shared" si="46"/>
        <v>2.1</v>
      </c>
      <c r="AB121" s="136">
        <f t="shared" si="46"/>
        <v>2.1</v>
      </c>
      <c r="AC121" s="136">
        <f t="shared" si="46"/>
        <v>2.1</v>
      </c>
      <c r="AD121" s="136">
        <f t="shared" si="46"/>
        <v>2.1</v>
      </c>
      <c r="AE121" s="136">
        <f t="shared" si="46"/>
        <v>2.1</v>
      </c>
      <c r="AF121" s="136">
        <f t="shared" si="46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44"/>
        <v>9.3000000000000007</v>
      </c>
      <c r="C122" s="137">
        <v>9.3000000000000007</v>
      </c>
      <c r="D122" s="136">
        <f t="shared" si="47"/>
        <v>9.3000000000000007</v>
      </c>
      <c r="E122" s="136">
        <f t="shared" si="47"/>
        <v>9.3000000000000007</v>
      </c>
      <c r="F122" s="136">
        <f t="shared" si="47"/>
        <v>9.3000000000000007</v>
      </c>
      <c r="G122" s="136">
        <f t="shared" si="47"/>
        <v>9.3000000000000007</v>
      </c>
      <c r="H122" s="136">
        <f t="shared" si="47"/>
        <v>9.3000000000000007</v>
      </c>
      <c r="I122" s="136">
        <f t="shared" si="47"/>
        <v>9.3000000000000007</v>
      </c>
      <c r="J122" s="136">
        <f t="shared" si="47"/>
        <v>9.3000000000000007</v>
      </c>
      <c r="K122" s="136">
        <f t="shared" si="47"/>
        <v>9.3000000000000007</v>
      </c>
      <c r="L122" s="136">
        <f t="shared" si="47"/>
        <v>9.3000000000000007</v>
      </c>
      <c r="M122" s="136">
        <f t="shared" si="47"/>
        <v>9.3000000000000007</v>
      </c>
      <c r="N122" s="136">
        <f t="shared" si="47"/>
        <v>9.3000000000000007</v>
      </c>
      <c r="O122" s="136">
        <f t="shared" si="47"/>
        <v>9.3000000000000007</v>
      </c>
      <c r="P122" s="136">
        <f t="shared" si="47"/>
        <v>9.3000000000000007</v>
      </c>
      <c r="Q122" s="136">
        <f t="shared" si="47"/>
        <v>9.3000000000000007</v>
      </c>
      <c r="R122" s="136">
        <f t="shared" si="47"/>
        <v>9.3000000000000007</v>
      </c>
      <c r="S122" s="136">
        <f t="shared" si="47"/>
        <v>9.3000000000000007</v>
      </c>
      <c r="T122" s="136">
        <f t="shared" si="46"/>
        <v>9.3000000000000007</v>
      </c>
      <c r="U122" s="136">
        <f t="shared" si="46"/>
        <v>9.3000000000000007</v>
      </c>
      <c r="V122" s="136">
        <f t="shared" si="46"/>
        <v>9.3000000000000007</v>
      </c>
      <c r="W122" s="136">
        <f t="shared" si="46"/>
        <v>9.3000000000000007</v>
      </c>
      <c r="X122" s="136">
        <f t="shared" si="46"/>
        <v>9.3000000000000007</v>
      </c>
      <c r="Y122" s="136">
        <f t="shared" si="46"/>
        <v>9.3000000000000007</v>
      </c>
      <c r="Z122" s="136">
        <f t="shared" si="46"/>
        <v>9.3000000000000007</v>
      </c>
      <c r="AA122" s="136">
        <f t="shared" si="46"/>
        <v>9.3000000000000007</v>
      </c>
      <c r="AB122" s="136">
        <f t="shared" si="46"/>
        <v>9.3000000000000007</v>
      </c>
      <c r="AC122" s="136">
        <f t="shared" si="46"/>
        <v>9.3000000000000007</v>
      </c>
      <c r="AD122" s="136">
        <f t="shared" si="46"/>
        <v>9.3000000000000007</v>
      </c>
      <c r="AE122" s="136">
        <f t="shared" si="46"/>
        <v>9.3000000000000007</v>
      </c>
      <c r="AF122" s="136">
        <f t="shared" si="46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44"/>
        <v>0</v>
      </c>
      <c r="C123" s="137">
        <v>0</v>
      </c>
      <c r="D123" s="136">
        <f t="shared" si="47"/>
        <v>0</v>
      </c>
      <c r="E123" s="136">
        <f t="shared" si="47"/>
        <v>0</v>
      </c>
      <c r="F123" s="136">
        <f t="shared" si="47"/>
        <v>0</v>
      </c>
      <c r="G123" s="136">
        <f t="shared" si="47"/>
        <v>0</v>
      </c>
      <c r="H123" s="136">
        <f t="shared" si="47"/>
        <v>0</v>
      </c>
      <c r="I123" s="136">
        <f t="shared" si="47"/>
        <v>0</v>
      </c>
      <c r="J123" s="136">
        <f t="shared" si="47"/>
        <v>0</v>
      </c>
      <c r="K123" s="136">
        <f t="shared" si="47"/>
        <v>0</v>
      </c>
      <c r="L123" s="136">
        <f t="shared" si="47"/>
        <v>0</v>
      </c>
      <c r="M123" s="136">
        <f t="shared" si="47"/>
        <v>0</v>
      </c>
      <c r="N123" s="136">
        <f t="shared" si="47"/>
        <v>0</v>
      </c>
      <c r="O123" s="136">
        <f t="shared" si="47"/>
        <v>0</v>
      </c>
      <c r="P123" s="136">
        <f t="shared" si="47"/>
        <v>0</v>
      </c>
      <c r="Q123" s="136">
        <f t="shared" si="47"/>
        <v>0</v>
      </c>
      <c r="R123" s="136">
        <f t="shared" si="47"/>
        <v>0</v>
      </c>
      <c r="S123" s="136">
        <f t="shared" si="47"/>
        <v>0</v>
      </c>
      <c r="T123" s="136">
        <f t="shared" si="46"/>
        <v>0</v>
      </c>
      <c r="U123" s="136">
        <f t="shared" si="46"/>
        <v>0</v>
      </c>
      <c r="V123" s="136">
        <f t="shared" si="46"/>
        <v>0</v>
      </c>
      <c r="W123" s="136">
        <f t="shared" si="46"/>
        <v>0</v>
      </c>
      <c r="X123" s="136">
        <f t="shared" si="46"/>
        <v>0</v>
      </c>
      <c r="Y123" s="136">
        <f t="shared" si="46"/>
        <v>0</v>
      </c>
      <c r="Z123" s="136">
        <f t="shared" si="46"/>
        <v>0</v>
      </c>
      <c r="AA123" s="136">
        <f t="shared" si="46"/>
        <v>0</v>
      </c>
      <c r="AB123" s="136">
        <f t="shared" si="46"/>
        <v>0</v>
      </c>
      <c r="AC123" s="136">
        <f t="shared" si="46"/>
        <v>0</v>
      </c>
      <c r="AD123" s="136">
        <f t="shared" si="46"/>
        <v>0</v>
      </c>
      <c r="AE123" s="136">
        <f t="shared" si="46"/>
        <v>0</v>
      </c>
      <c r="AF123" s="136">
        <f t="shared" si="46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44"/>
        <v>0</v>
      </c>
      <c r="C124" s="137">
        <v>0</v>
      </c>
      <c r="D124" s="136">
        <f t="shared" si="47"/>
        <v>0</v>
      </c>
      <c r="E124" s="136">
        <f t="shared" si="47"/>
        <v>0</v>
      </c>
      <c r="F124" s="136">
        <f t="shared" si="47"/>
        <v>0</v>
      </c>
      <c r="G124" s="136">
        <f t="shared" si="47"/>
        <v>0</v>
      </c>
      <c r="H124" s="136">
        <f t="shared" si="47"/>
        <v>0</v>
      </c>
      <c r="I124" s="136">
        <f t="shared" si="47"/>
        <v>0</v>
      </c>
      <c r="J124" s="136">
        <f t="shared" si="47"/>
        <v>0</v>
      </c>
      <c r="K124" s="136">
        <f t="shared" si="47"/>
        <v>0</v>
      </c>
      <c r="L124" s="136">
        <f t="shared" si="47"/>
        <v>0</v>
      </c>
      <c r="M124" s="136">
        <f t="shared" si="47"/>
        <v>0</v>
      </c>
      <c r="N124" s="136">
        <f t="shared" si="47"/>
        <v>0</v>
      </c>
      <c r="O124" s="136">
        <f t="shared" si="47"/>
        <v>0</v>
      </c>
      <c r="P124" s="136">
        <f t="shared" si="47"/>
        <v>0</v>
      </c>
      <c r="Q124" s="136">
        <f t="shared" si="47"/>
        <v>0</v>
      </c>
      <c r="R124" s="136">
        <f t="shared" si="47"/>
        <v>0</v>
      </c>
      <c r="S124" s="136">
        <f t="shared" si="47"/>
        <v>0</v>
      </c>
      <c r="T124" s="136">
        <f t="shared" si="46"/>
        <v>0</v>
      </c>
      <c r="U124" s="136">
        <f t="shared" si="46"/>
        <v>0</v>
      </c>
      <c r="V124" s="136">
        <f t="shared" si="46"/>
        <v>0</v>
      </c>
      <c r="W124" s="136">
        <f t="shared" si="46"/>
        <v>0</v>
      </c>
      <c r="X124" s="136">
        <f t="shared" si="46"/>
        <v>0</v>
      </c>
      <c r="Y124" s="136">
        <f t="shared" si="46"/>
        <v>0</v>
      </c>
      <c r="Z124" s="136">
        <f t="shared" si="46"/>
        <v>0</v>
      </c>
      <c r="AA124" s="136">
        <f t="shared" si="46"/>
        <v>0</v>
      </c>
      <c r="AB124" s="136">
        <f t="shared" si="46"/>
        <v>0</v>
      </c>
      <c r="AC124" s="136">
        <f t="shared" si="46"/>
        <v>0</v>
      </c>
      <c r="AD124" s="136">
        <f t="shared" si="46"/>
        <v>0</v>
      </c>
      <c r="AE124" s="136">
        <f t="shared" si="46"/>
        <v>0</v>
      </c>
      <c r="AF124" s="136">
        <f t="shared" si="46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44"/>
        <v>5</v>
      </c>
      <c r="C125" s="137">
        <v>5</v>
      </c>
      <c r="D125" s="136">
        <f t="shared" si="47"/>
        <v>5</v>
      </c>
      <c r="E125" s="136">
        <f t="shared" si="47"/>
        <v>5</v>
      </c>
      <c r="F125" s="136">
        <f t="shared" si="47"/>
        <v>5</v>
      </c>
      <c r="G125" s="136">
        <f t="shared" si="47"/>
        <v>5</v>
      </c>
      <c r="H125" s="136">
        <f t="shared" si="47"/>
        <v>5</v>
      </c>
      <c r="I125" s="136">
        <f t="shared" si="47"/>
        <v>5</v>
      </c>
      <c r="J125" s="136">
        <f t="shared" si="47"/>
        <v>5</v>
      </c>
      <c r="K125" s="136">
        <f t="shared" si="47"/>
        <v>5</v>
      </c>
      <c r="L125" s="136">
        <f t="shared" si="47"/>
        <v>5</v>
      </c>
      <c r="M125" s="136">
        <f t="shared" si="47"/>
        <v>5</v>
      </c>
      <c r="N125" s="136">
        <f t="shared" si="47"/>
        <v>5</v>
      </c>
      <c r="O125" s="136">
        <f t="shared" si="47"/>
        <v>5</v>
      </c>
      <c r="P125" s="136">
        <f t="shared" si="47"/>
        <v>5</v>
      </c>
      <c r="Q125" s="136">
        <f t="shared" si="47"/>
        <v>5</v>
      </c>
      <c r="R125" s="136">
        <f t="shared" si="47"/>
        <v>5</v>
      </c>
      <c r="S125" s="136">
        <f t="shared" si="47"/>
        <v>5</v>
      </c>
      <c r="T125" s="136">
        <f t="shared" si="46"/>
        <v>5</v>
      </c>
      <c r="U125" s="136">
        <f t="shared" si="46"/>
        <v>5</v>
      </c>
      <c r="V125" s="136">
        <f t="shared" si="46"/>
        <v>5</v>
      </c>
      <c r="W125" s="136">
        <f t="shared" si="46"/>
        <v>5</v>
      </c>
      <c r="X125" s="136">
        <f t="shared" si="46"/>
        <v>5</v>
      </c>
      <c r="Y125" s="136">
        <f t="shared" si="46"/>
        <v>5</v>
      </c>
      <c r="Z125" s="136">
        <f t="shared" si="46"/>
        <v>5</v>
      </c>
      <c r="AA125" s="136">
        <f t="shared" si="46"/>
        <v>5</v>
      </c>
      <c r="AB125" s="136">
        <f t="shared" si="46"/>
        <v>5</v>
      </c>
      <c r="AC125" s="136">
        <f t="shared" si="46"/>
        <v>5</v>
      </c>
      <c r="AD125" s="136">
        <f t="shared" si="46"/>
        <v>5</v>
      </c>
      <c r="AE125" s="136">
        <f t="shared" si="46"/>
        <v>5</v>
      </c>
      <c r="AF125" s="136">
        <f t="shared" si="46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44"/>
        <v>1</v>
      </c>
      <c r="C126" s="137">
        <v>1</v>
      </c>
      <c r="D126" s="136">
        <f t="shared" si="47"/>
        <v>1</v>
      </c>
      <c r="E126" s="136">
        <f t="shared" si="47"/>
        <v>1</v>
      </c>
      <c r="F126" s="136">
        <f t="shared" si="47"/>
        <v>1</v>
      </c>
      <c r="G126" s="136">
        <f t="shared" si="47"/>
        <v>1</v>
      </c>
      <c r="H126" s="136">
        <f t="shared" si="47"/>
        <v>1</v>
      </c>
      <c r="I126" s="136">
        <f t="shared" si="47"/>
        <v>1</v>
      </c>
      <c r="J126" s="136">
        <f t="shared" si="47"/>
        <v>1</v>
      </c>
      <c r="K126" s="136">
        <f t="shared" si="47"/>
        <v>1</v>
      </c>
      <c r="L126" s="136">
        <f t="shared" si="47"/>
        <v>1</v>
      </c>
      <c r="M126" s="136">
        <f t="shared" si="47"/>
        <v>1</v>
      </c>
      <c r="N126" s="136">
        <f t="shared" si="47"/>
        <v>1</v>
      </c>
      <c r="O126" s="136">
        <f t="shared" si="47"/>
        <v>1</v>
      </c>
      <c r="P126" s="136">
        <f t="shared" si="47"/>
        <v>1</v>
      </c>
      <c r="Q126" s="136">
        <f t="shared" si="47"/>
        <v>1</v>
      </c>
      <c r="R126" s="136">
        <f t="shared" si="47"/>
        <v>1</v>
      </c>
      <c r="S126" s="136">
        <f t="shared" si="47"/>
        <v>1</v>
      </c>
      <c r="T126" s="136">
        <f t="shared" si="46"/>
        <v>1</v>
      </c>
      <c r="U126" s="136">
        <f t="shared" si="46"/>
        <v>1</v>
      </c>
      <c r="V126" s="136">
        <f t="shared" si="46"/>
        <v>1</v>
      </c>
      <c r="W126" s="136">
        <f t="shared" si="46"/>
        <v>1</v>
      </c>
      <c r="X126" s="136">
        <f t="shared" si="46"/>
        <v>1</v>
      </c>
      <c r="Y126" s="136">
        <f t="shared" si="46"/>
        <v>1</v>
      </c>
      <c r="Z126" s="136">
        <f t="shared" si="46"/>
        <v>1</v>
      </c>
      <c r="AA126" s="136">
        <f t="shared" si="46"/>
        <v>1</v>
      </c>
      <c r="AB126" s="136">
        <f t="shared" si="46"/>
        <v>1</v>
      </c>
      <c r="AC126" s="136">
        <f t="shared" si="46"/>
        <v>1</v>
      </c>
      <c r="AD126" s="136">
        <f t="shared" si="46"/>
        <v>1</v>
      </c>
      <c r="AE126" s="136">
        <f t="shared" si="46"/>
        <v>1</v>
      </c>
      <c r="AF126" s="136">
        <f t="shared" si="46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44"/>
        <v>1.58</v>
      </c>
      <c r="C127" s="137">
        <v>1.58</v>
      </c>
      <c r="D127" s="136">
        <f t="shared" si="47"/>
        <v>1.58</v>
      </c>
      <c r="E127" s="136">
        <f t="shared" si="47"/>
        <v>1.58</v>
      </c>
      <c r="F127" s="136">
        <f t="shared" si="47"/>
        <v>1.58</v>
      </c>
      <c r="G127" s="136">
        <f t="shared" si="47"/>
        <v>1.58</v>
      </c>
      <c r="H127" s="136">
        <f t="shared" si="47"/>
        <v>1.58</v>
      </c>
      <c r="I127" s="136">
        <f t="shared" si="47"/>
        <v>1.58</v>
      </c>
      <c r="J127" s="136">
        <f t="shared" si="47"/>
        <v>1.58</v>
      </c>
      <c r="K127" s="136">
        <f t="shared" si="47"/>
        <v>1.58</v>
      </c>
      <c r="L127" s="136">
        <f t="shared" si="47"/>
        <v>1.58</v>
      </c>
      <c r="M127" s="136">
        <f t="shared" si="47"/>
        <v>1.58</v>
      </c>
      <c r="N127" s="136">
        <f t="shared" si="47"/>
        <v>1.58</v>
      </c>
      <c r="O127" s="136">
        <f t="shared" si="47"/>
        <v>1.58</v>
      </c>
      <c r="P127" s="136">
        <f t="shared" si="47"/>
        <v>1.58</v>
      </c>
      <c r="Q127" s="136">
        <f t="shared" si="47"/>
        <v>1.58</v>
      </c>
      <c r="R127" s="136">
        <f t="shared" si="47"/>
        <v>1.58</v>
      </c>
      <c r="S127" s="136">
        <f t="shared" si="47"/>
        <v>1.58</v>
      </c>
      <c r="T127" s="136">
        <f t="shared" si="46"/>
        <v>1.58</v>
      </c>
      <c r="U127" s="136">
        <f t="shared" si="46"/>
        <v>1.58</v>
      </c>
      <c r="V127" s="136">
        <f t="shared" si="46"/>
        <v>1.58</v>
      </c>
      <c r="W127" s="136">
        <f t="shared" si="46"/>
        <v>1.58</v>
      </c>
      <c r="X127" s="136">
        <f t="shared" si="46"/>
        <v>1.58</v>
      </c>
      <c r="Y127" s="136">
        <f t="shared" si="46"/>
        <v>1.58</v>
      </c>
      <c r="Z127" s="136">
        <f t="shared" si="46"/>
        <v>1.58</v>
      </c>
      <c r="AA127" s="136">
        <f t="shared" si="46"/>
        <v>1.58</v>
      </c>
      <c r="AB127" s="136">
        <f t="shared" si="46"/>
        <v>1.58</v>
      </c>
      <c r="AC127" s="136">
        <f t="shared" si="46"/>
        <v>1.58</v>
      </c>
      <c r="AD127" s="136">
        <f t="shared" si="46"/>
        <v>1.58</v>
      </c>
      <c r="AE127" s="136">
        <f t="shared" si="46"/>
        <v>1.58</v>
      </c>
      <c r="AF127" s="136">
        <f t="shared" si="46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44"/>
        <v>1.46</v>
      </c>
      <c r="C128" s="137">
        <v>1.46</v>
      </c>
      <c r="D128" s="136">
        <f t="shared" si="47"/>
        <v>1.46</v>
      </c>
      <c r="E128" s="136">
        <f t="shared" si="47"/>
        <v>1.46</v>
      </c>
      <c r="F128" s="136">
        <f t="shared" si="47"/>
        <v>1.46</v>
      </c>
      <c r="G128" s="136">
        <f t="shared" si="47"/>
        <v>1.46</v>
      </c>
      <c r="H128" s="136">
        <f t="shared" si="47"/>
        <v>1.46</v>
      </c>
      <c r="I128" s="136">
        <f t="shared" si="47"/>
        <v>1.46</v>
      </c>
      <c r="J128" s="136">
        <f t="shared" si="47"/>
        <v>1.46</v>
      </c>
      <c r="K128" s="136">
        <f t="shared" si="47"/>
        <v>1.46</v>
      </c>
      <c r="L128" s="136">
        <f t="shared" si="47"/>
        <v>1.46</v>
      </c>
      <c r="M128" s="136">
        <f t="shared" si="47"/>
        <v>1.46</v>
      </c>
      <c r="N128" s="136">
        <f t="shared" si="47"/>
        <v>1.46</v>
      </c>
      <c r="O128" s="136">
        <f t="shared" si="47"/>
        <v>1.46</v>
      </c>
      <c r="P128" s="136">
        <f t="shared" si="47"/>
        <v>1.46</v>
      </c>
      <c r="Q128" s="136">
        <f t="shared" si="47"/>
        <v>1.46</v>
      </c>
      <c r="R128" s="136">
        <f t="shared" si="47"/>
        <v>1.46</v>
      </c>
      <c r="S128" s="136">
        <f t="shared" si="47"/>
        <v>1.46</v>
      </c>
      <c r="T128" s="136">
        <f t="shared" ref="T128:AF129" si="48">S128</f>
        <v>1.46</v>
      </c>
      <c r="U128" s="136">
        <f t="shared" si="48"/>
        <v>1.46</v>
      </c>
      <c r="V128" s="136">
        <f t="shared" si="48"/>
        <v>1.46</v>
      </c>
      <c r="W128" s="136">
        <f t="shared" si="48"/>
        <v>1.46</v>
      </c>
      <c r="X128" s="136">
        <f t="shared" si="48"/>
        <v>1.46</v>
      </c>
      <c r="Y128" s="136">
        <f t="shared" si="48"/>
        <v>1.46</v>
      </c>
      <c r="Z128" s="136">
        <f t="shared" si="48"/>
        <v>1.46</v>
      </c>
      <c r="AA128" s="136">
        <f t="shared" si="48"/>
        <v>1.46</v>
      </c>
      <c r="AB128" s="136">
        <f t="shared" si="48"/>
        <v>1.46</v>
      </c>
      <c r="AC128" s="136">
        <f t="shared" si="48"/>
        <v>1.46</v>
      </c>
      <c r="AD128" s="136">
        <f t="shared" si="48"/>
        <v>1.46</v>
      </c>
      <c r="AE128" s="136">
        <f t="shared" si="48"/>
        <v>1.46</v>
      </c>
      <c r="AF128" s="136">
        <f t="shared" si="48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44"/>
        <v>1.48</v>
      </c>
      <c r="C129" s="137">
        <v>1.48</v>
      </c>
      <c r="D129" s="136">
        <f t="shared" si="47"/>
        <v>1.48</v>
      </c>
      <c r="E129" s="136">
        <f t="shared" si="47"/>
        <v>1.48</v>
      </c>
      <c r="F129" s="136">
        <f t="shared" si="47"/>
        <v>1.48</v>
      </c>
      <c r="G129" s="136">
        <f t="shared" si="47"/>
        <v>1.48</v>
      </c>
      <c r="H129" s="136">
        <f t="shared" si="47"/>
        <v>1.48</v>
      </c>
      <c r="I129" s="136">
        <f t="shared" si="47"/>
        <v>1.48</v>
      </c>
      <c r="J129" s="136">
        <f t="shared" si="47"/>
        <v>1.48</v>
      </c>
      <c r="K129" s="136">
        <f t="shared" si="47"/>
        <v>1.48</v>
      </c>
      <c r="L129" s="136">
        <f t="shared" si="47"/>
        <v>1.48</v>
      </c>
      <c r="M129" s="136">
        <f t="shared" si="47"/>
        <v>1.48</v>
      </c>
      <c r="N129" s="136">
        <f t="shared" si="47"/>
        <v>1.48</v>
      </c>
      <c r="O129" s="136">
        <f t="shared" si="47"/>
        <v>1.48</v>
      </c>
      <c r="P129" s="136">
        <f t="shared" si="47"/>
        <v>1.48</v>
      </c>
      <c r="Q129" s="136">
        <f t="shared" si="47"/>
        <v>1.48</v>
      </c>
      <c r="R129" s="136">
        <f t="shared" si="47"/>
        <v>1.48</v>
      </c>
      <c r="S129" s="136">
        <f t="shared" si="47"/>
        <v>1.48</v>
      </c>
      <c r="T129" s="136">
        <f t="shared" si="48"/>
        <v>1.48</v>
      </c>
      <c r="U129" s="136">
        <f t="shared" si="48"/>
        <v>1.48</v>
      </c>
      <c r="V129" s="136">
        <f t="shared" si="48"/>
        <v>1.48</v>
      </c>
      <c r="W129" s="136">
        <f t="shared" si="48"/>
        <v>1.48</v>
      </c>
      <c r="X129" s="136">
        <f t="shared" si="48"/>
        <v>1.48</v>
      </c>
      <c r="Y129" s="136">
        <f t="shared" si="48"/>
        <v>1.48</v>
      </c>
      <c r="Z129" s="136">
        <f t="shared" si="48"/>
        <v>1.48</v>
      </c>
      <c r="AA129" s="136">
        <f t="shared" si="48"/>
        <v>1.48</v>
      </c>
      <c r="AB129" s="136">
        <f t="shared" si="48"/>
        <v>1.48</v>
      </c>
      <c r="AC129" s="136">
        <f t="shared" si="48"/>
        <v>1.48</v>
      </c>
      <c r="AD129" s="136">
        <f t="shared" si="48"/>
        <v>1.48</v>
      </c>
      <c r="AE129" s="136">
        <f t="shared" si="48"/>
        <v>1.48</v>
      </c>
      <c r="AF129" s="136">
        <f t="shared" si="48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49">AF131</f>
        <v>2.2000000000000002</v>
      </c>
      <c r="C131" s="137">
        <v>2.2000000000000002</v>
      </c>
      <c r="D131" s="136">
        <f t="shared" ref="D131:S138" si="50">C131</f>
        <v>2.2000000000000002</v>
      </c>
      <c r="E131" s="136">
        <f t="shared" si="50"/>
        <v>2.2000000000000002</v>
      </c>
      <c r="F131" s="136">
        <f t="shared" si="50"/>
        <v>2.2000000000000002</v>
      </c>
      <c r="G131" s="136">
        <f t="shared" si="50"/>
        <v>2.2000000000000002</v>
      </c>
      <c r="H131" s="136">
        <f t="shared" si="50"/>
        <v>2.2000000000000002</v>
      </c>
      <c r="I131" s="136">
        <f t="shared" si="50"/>
        <v>2.2000000000000002</v>
      </c>
      <c r="J131" s="136">
        <f t="shared" si="50"/>
        <v>2.2000000000000002</v>
      </c>
      <c r="K131" s="136">
        <f t="shared" si="50"/>
        <v>2.2000000000000002</v>
      </c>
      <c r="L131" s="136">
        <f t="shared" si="50"/>
        <v>2.2000000000000002</v>
      </c>
      <c r="M131" s="136">
        <f t="shared" si="50"/>
        <v>2.2000000000000002</v>
      </c>
      <c r="N131" s="136">
        <f t="shared" si="50"/>
        <v>2.2000000000000002</v>
      </c>
      <c r="O131" s="136">
        <f t="shared" si="50"/>
        <v>2.2000000000000002</v>
      </c>
      <c r="P131" s="136">
        <f t="shared" si="50"/>
        <v>2.2000000000000002</v>
      </c>
      <c r="Q131" s="136">
        <f t="shared" si="50"/>
        <v>2.2000000000000002</v>
      </c>
      <c r="R131" s="136">
        <f t="shared" si="50"/>
        <v>2.2000000000000002</v>
      </c>
      <c r="S131" s="136">
        <f t="shared" si="50"/>
        <v>2.2000000000000002</v>
      </c>
      <c r="T131" s="136">
        <f t="shared" ref="T131:AF138" si="51">S131</f>
        <v>2.2000000000000002</v>
      </c>
      <c r="U131" s="136">
        <f t="shared" si="51"/>
        <v>2.2000000000000002</v>
      </c>
      <c r="V131" s="136">
        <f t="shared" si="51"/>
        <v>2.2000000000000002</v>
      </c>
      <c r="W131" s="136">
        <f t="shared" si="51"/>
        <v>2.2000000000000002</v>
      </c>
      <c r="X131" s="136">
        <f t="shared" si="51"/>
        <v>2.2000000000000002</v>
      </c>
      <c r="Y131" s="136">
        <f t="shared" si="51"/>
        <v>2.2000000000000002</v>
      </c>
      <c r="Z131" s="136">
        <f t="shared" si="51"/>
        <v>2.2000000000000002</v>
      </c>
      <c r="AA131" s="136">
        <f t="shared" si="51"/>
        <v>2.2000000000000002</v>
      </c>
      <c r="AB131" s="136">
        <f t="shared" si="51"/>
        <v>2.2000000000000002</v>
      </c>
      <c r="AC131" s="136">
        <f t="shared" si="51"/>
        <v>2.2000000000000002</v>
      </c>
      <c r="AD131" s="136">
        <f t="shared" si="51"/>
        <v>2.2000000000000002</v>
      </c>
      <c r="AE131" s="136">
        <f t="shared" si="51"/>
        <v>2.2000000000000002</v>
      </c>
      <c r="AF131" s="136">
        <f t="shared" si="51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49"/>
        <v>2</v>
      </c>
      <c r="C132" s="137">
        <v>2</v>
      </c>
      <c r="D132" s="136">
        <f t="shared" si="50"/>
        <v>2</v>
      </c>
      <c r="E132" s="136">
        <f t="shared" si="50"/>
        <v>2</v>
      </c>
      <c r="F132" s="136">
        <f t="shared" si="50"/>
        <v>2</v>
      </c>
      <c r="G132" s="136">
        <f t="shared" si="50"/>
        <v>2</v>
      </c>
      <c r="H132" s="136">
        <f t="shared" si="50"/>
        <v>2</v>
      </c>
      <c r="I132" s="136">
        <f t="shared" si="50"/>
        <v>2</v>
      </c>
      <c r="J132" s="136">
        <f t="shared" si="50"/>
        <v>2</v>
      </c>
      <c r="K132" s="136">
        <f t="shared" si="50"/>
        <v>2</v>
      </c>
      <c r="L132" s="136">
        <f t="shared" si="50"/>
        <v>2</v>
      </c>
      <c r="M132" s="136">
        <f t="shared" si="50"/>
        <v>2</v>
      </c>
      <c r="N132" s="136">
        <f t="shared" si="50"/>
        <v>2</v>
      </c>
      <c r="O132" s="136">
        <f t="shared" si="50"/>
        <v>2</v>
      </c>
      <c r="P132" s="136">
        <f t="shared" si="50"/>
        <v>2</v>
      </c>
      <c r="Q132" s="136">
        <f t="shared" si="50"/>
        <v>2</v>
      </c>
      <c r="R132" s="136">
        <f t="shared" si="50"/>
        <v>2</v>
      </c>
      <c r="S132" s="136">
        <f t="shared" si="50"/>
        <v>2</v>
      </c>
      <c r="T132" s="136">
        <f t="shared" si="51"/>
        <v>2</v>
      </c>
      <c r="U132" s="136">
        <f t="shared" si="51"/>
        <v>2</v>
      </c>
      <c r="V132" s="136">
        <f t="shared" si="51"/>
        <v>2</v>
      </c>
      <c r="W132" s="136">
        <f t="shared" si="51"/>
        <v>2</v>
      </c>
      <c r="X132" s="136">
        <f t="shared" si="51"/>
        <v>2</v>
      </c>
      <c r="Y132" s="136">
        <f t="shared" si="51"/>
        <v>2</v>
      </c>
      <c r="Z132" s="136">
        <f t="shared" si="51"/>
        <v>2</v>
      </c>
      <c r="AA132" s="136">
        <f t="shared" si="51"/>
        <v>2</v>
      </c>
      <c r="AB132" s="136">
        <f t="shared" si="51"/>
        <v>2</v>
      </c>
      <c r="AC132" s="136">
        <f t="shared" si="51"/>
        <v>2</v>
      </c>
      <c r="AD132" s="136">
        <f t="shared" si="51"/>
        <v>2</v>
      </c>
      <c r="AE132" s="136">
        <f t="shared" si="51"/>
        <v>2</v>
      </c>
      <c r="AF132" s="136">
        <f t="shared" si="51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49"/>
        <v>1.25</v>
      </c>
      <c r="C133" s="137">
        <v>1.25</v>
      </c>
      <c r="D133" s="136">
        <f t="shared" si="50"/>
        <v>1.25</v>
      </c>
      <c r="E133" s="136">
        <f t="shared" si="50"/>
        <v>1.25</v>
      </c>
      <c r="F133" s="136">
        <f t="shared" si="50"/>
        <v>1.25</v>
      </c>
      <c r="G133" s="136">
        <f t="shared" si="50"/>
        <v>1.25</v>
      </c>
      <c r="H133" s="136">
        <f t="shared" si="50"/>
        <v>1.25</v>
      </c>
      <c r="I133" s="136">
        <f t="shared" si="50"/>
        <v>1.25</v>
      </c>
      <c r="J133" s="136">
        <f t="shared" si="50"/>
        <v>1.25</v>
      </c>
      <c r="K133" s="136">
        <f t="shared" si="50"/>
        <v>1.25</v>
      </c>
      <c r="L133" s="136">
        <f t="shared" si="50"/>
        <v>1.25</v>
      </c>
      <c r="M133" s="136">
        <f t="shared" si="50"/>
        <v>1.25</v>
      </c>
      <c r="N133" s="136">
        <f t="shared" si="50"/>
        <v>1.25</v>
      </c>
      <c r="O133" s="136">
        <f t="shared" si="50"/>
        <v>1.25</v>
      </c>
      <c r="P133" s="136">
        <f t="shared" si="50"/>
        <v>1.25</v>
      </c>
      <c r="Q133" s="136">
        <f t="shared" si="50"/>
        <v>1.25</v>
      </c>
      <c r="R133" s="136">
        <f t="shared" si="50"/>
        <v>1.25</v>
      </c>
      <c r="S133" s="136">
        <f t="shared" si="50"/>
        <v>1.25</v>
      </c>
      <c r="T133" s="136">
        <f t="shared" si="51"/>
        <v>1.25</v>
      </c>
      <c r="U133" s="136">
        <f t="shared" si="51"/>
        <v>1.25</v>
      </c>
      <c r="V133" s="136">
        <f t="shared" si="51"/>
        <v>1.25</v>
      </c>
      <c r="W133" s="136">
        <f t="shared" si="51"/>
        <v>1.25</v>
      </c>
      <c r="X133" s="136">
        <f t="shared" si="51"/>
        <v>1.25</v>
      </c>
      <c r="Y133" s="136">
        <f t="shared" si="51"/>
        <v>1.25</v>
      </c>
      <c r="Z133" s="136">
        <f t="shared" si="51"/>
        <v>1.25</v>
      </c>
      <c r="AA133" s="136">
        <f t="shared" si="51"/>
        <v>1.25</v>
      </c>
      <c r="AB133" s="136">
        <f t="shared" si="51"/>
        <v>1.25</v>
      </c>
      <c r="AC133" s="136">
        <f t="shared" si="51"/>
        <v>1.25</v>
      </c>
      <c r="AD133" s="136">
        <f t="shared" si="51"/>
        <v>1.25</v>
      </c>
      <c r="AE133" s="136">
        <f t="shared" si="51"/>
        <v>1.25</v>
      </c>
      <c r="AF133" s="136">
        <f t="shared" si="51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49"/>
        <v>1.1499999999999999</v>
      </c>
      <c r="C134" s="137">
        <v>1.1499999999999999</v>
      </c>
      <c r="D134" s="136">
        <f t="shared" si="50"/>
        <v>1.1499999999999999</v>
      </c>
      <c r="E134" s="136">
        <f t="shared" si="50"/>
        <v>1.1499999999999999</v>
      </c>
      <c r="F134" s="136">
        <f t="shared" si="50"/>
        <v>1.1499999999999999</v>
      </c>
      <c r="G134" s="136">
        <f t="shared" si="50"/>
        <v>1.1499999999999999</v>
      </c>
      <c r="H134" s="136">
        <f t="shared" si="50"/>
        <v>1.1499999999999999</v>
      </c>
      <c r="I134" s="136">
        <f t="shared" si="50"/>
        <v>1.1499999999999999</v>
      </c>
      <c r="J134" s="136">
        <f t="shared" si="50"/>
        <v>1.1499999999999999</v>
      </c>
      <c r="K134" s="136">
        <f t="shared" si="50"/>
        <v>1.1499999999999999</v>
      </c>
      <c r="L134" s="136">
        <f t="shared" si="50"/>
        <v>1.1499999999999999</v>
      </c>
      <c r="M134" s="136">
        <f t="shared" si="50"/>
        <v>1.1499999999999999</v>
      </c>
      <c r="N134" s="136">
        <f t="shared" si="50"/>
        <v>1.1499999999999999</v>
      </c>
      <c r="O134" s="136">
        <f t="shared" si="50"/>
        <v>1.1499999999999999</v>
      </c>
      <c r="P134" s="136">
        <f t="shared" si="50"/>
        <v>1.1499999999999999</v>
      </c>
      <c r="Q134" s="136">
        <f t="shared" si="50"/>
        <v>1.1499999999999999</v>
      </c>
      <c r="R134" s="136">
        <f t="shared" si="50"/>
        <v>1.1499999999999999</v>
      </c>
      <c r="S134" s="136">
        <f t="shared" si="50"/>
        <v>1.1499999999999999</v>
      </c>
      <c r="T134" s="136">
        <f t="shared" si="51"/>
        <v>1.1499999999999999</v>
      </c>
      <c r="U134" s="136">
        <f t="shared" si="51"/>
        <v>1.1499999999999999</v>
      </c>
      <c r="V134" s="136">
        <f t="shared" si="51"/>
        <v>1.1499999999999999</v>
      </c>
      <c r="W134" s="136">
        <f t="shared" si="51"/>
        <v>1.1499999999999999</v>
      </c>
      <c r="X134" s="136">
        <f t="shared" si="51"/>
        <v>1.1499999999999999</v>
      </c>
      <c r="Y134" s="136">
        <f t="shared" si="51"/>
        <v>1.1499999999999999</v>
      </c>
      <c r="Z134" s="136">
        <f t="shared" si="51"/>
        <v>1.1499999999999999</v>
      </c>
      <c r="AA134" s="136">
        <f t="shared" si="51"/>
        <v>1.1499999999999999</v>
      </c>
      <c r="AB134" s="136">
        <f t="shared" si="51"/>
        <v>1.1499999999999999</v>
      </c>
      <c r="AC134" s="136">
        <f t="shared" si="51"/>
        <v>1.1499999999999999</v>
      </c>
      <c r="AD134" s="136">
        <f t="shared" si="51"/>
        <v>1.1499999999999999</v>
      </c>
      <c r="AE134" s="136">
        <f t="shared" si="51"/>
        <v>1.1499999999999999</v>
      </c>
      <c r="AF134" s="136">
        <f t="shared" si="51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49"/>
        <v>2.133</v>
      </c>
      <c r="C135" s="137">
        <v>2.133</v>
      </c>
      <c r="D135" s="136">
        <f t="shared" si="50"/>
        <v>2.133</v>
      </c>
      <c r="E135" s="136">
        <f t="shared" si="50"/>
        <v>2.133</v>
      </c>
      <c r="F135" s="136">
        <f t="shared" si="50"/>
        <v>2.133</v>
      </c>
      <c r="G135" s="136">
        <f t="shared" si="50"/>
        <v>2.133</v>
      </c>
      <c r="H135" s="136">
        <f t="shared" si="50"/>
        <v>2.133</v>
      </c>
      <c r="I135" s="136">
        <f t="shared" si="50"/>
        <v>2.133</v>
      </c>
      <c r="J135" s="136">
        <f t="shared" si="50"/>
        <v>2.133</v>
      </c>
      <c r="K135" s="136">
        <f t="shared" si="50"/>
        <v>2.133</v>
      </c>
      <c r="L135" s="136">
        <f t="shared" si="50"/>
        <v>2.133</v>
      </c>
      <c r="M135" s="136">
        <f t="shared" si="50"/>
        <v>2.133</v>
      </c>
      <c r="N135" s="136">
        <f t="shared" si="50"/>
        <v>2.133</v>
      </c>
      <c r="O135" s="136">
        <f t="shared" si="50"/>
        <v>2.133</v>
      </c>
      <c r="P135" s="136">
        <f t="shared" si="50"/>
        <v>2.133</v>
      </c>
      <c r="Q135" s="136">
        <f t="shared" si="50"/>
        <v>2.133</v>
      </c>
      <c r="R135" s="136">
        <f t="shared" si="50"/>
        <v>2.133</v>
      </c>
      <c r="S135" s="136">
        <f t="shared" si="50"/>
        <v>2.133</v>
      </c>
      <c r="T135" s="136">
        <f t="shared" si="51"/>
        <v>2.133</v>
      </c>
      <c r="U135" s="136">
        <f t="shared" si="51"/>
        <v>2.133</v>
      </c>
      <c r="V135" s="136">
        <f t="shared" si="51"/>
        <v>2.133</v>
      </c>
      <c r="W135" s="136">
        <f t="shared" si="51"/>
        <v>2.133</v>
      </c>
      <c r="X135" s="136">
        <f t="shared" si="51"/>
        <v>2.133</v>
      </c>
      <c r="Y135" s="136">
        <f t="shared" si="51"/>
        <v>2.133</v>
      </c>
      <c r="Z135" s="136">
        <f t="shared" si="51"/>
        <v>2.133</v>
      </c>
      <c r="AA135" s="136">
        <f t="shared" si="51"/>
        <v>2.133</v>
      </c>
      <c r="AB135" s="136">
        <f t="shared" si="51"/>
        <v>2.133</v>
      </c>
      <c r="AC135" s="136">
        <f t="shared" si="51"/>
        <v>2.133</v>
      </c>
      <c r="AD135" s="136">
        <f t="shared" si="51"/>
        <v>2.133</v>
      </c>
      <c r="AE135" s="136">
        <f t="shared" si="51"/>
        <v>2.133</v>
      </c>
      <c r="AF135" s="136">
        <f t="shared" si="51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49"/>
        <v>2.09</v>
      </c>
      <c r="C136" s="137">
        <v>2.09</v>
      </c>
      <c r="D136" s="136">
        <f t="shared" si="50"/>
        <v>2.09</v>
      </c>
      <c r="E136" s="136">
        <f t="shared" si="50"/>
        <v>2.09</v>
      </c>
      <c r="F136" s="136">
        <f t="shared" si="50"/>
        <v>2.09</v>
      </c>
      <c r="G136" s="136">
        <f t="shared" si="50"/>
        <v>2.09</v>
      </c>
      <c r="H136" s="136">
        <f t="shared" si="50"/>
        <v>2.09</v>
      </c>
      <c r="I136" s="136">
        <f t="shared" si="50"/>
        <v>2.09</v>
      </c>
      <c r="J136" s="136">
        <f t="shared" si="50"/>
        <v>2.09</v>
      </c>
      <c r="K136" s="136">
        <f t="shared" si="50"/>
        <v>2.09</v>
      </c>
      <c r="L136" s="136">
        <f t="shared" si="50"/>
        <v>2.09</v>
      </c>
      <c r="M136" s="136">
        <f t="shared" si="50"/>
        <v>2.09</v>
      </c>
      <c r="N136" s="136">
        <f t="shared" si="50"/>
        <v>2.09</v>
      </c>
      <c r="O136" s="136">
        <f t="shared" si="50"/>
        <v>2.09</v>
      </c>
      <c r="P136" s="136">
        <f t="shared" si="50"/>
        <v>2.09</v>
      </c>
      <c r="Q136" s="136">
        <f t="shared" si="50"/>
        <v>2.09</v>
      </c>
      <c r="R136" s="136">
        <f t="shared" si="50"/>
        <v>2.09</v>
      </c>
      <c r="S136" s="136">
        <f t="shared" si="50"/>
        <v>2.09</v>
      </c>
      <c r="T136" s="136">
        <f t="shared" si="51"/>
        <v>2.09</v>
      </c>
      <c r="U136" s="136">
        <f t="shared" si="51"/>
        <v>2.09</v>
      </c>
      <c r="V136" s="136">
        <f t="shared" si="51"/>
        <v>2.09</v>
      </c>
      <c r="W136" s="136">
        <f t="shared" si="51"/>
        <v>2.09</v>
      </c>
      <c r="X136" s="136">
        <f t="shared" si="51"/>
        <v>2.09</v>
      </c>
      <c r="Y136" s="136">
        <f t="shared" si="51"/>
        <v>2.09</v>
      </c>
      <c r="Z136" s="136">
        <f t="shared" si="51"/>
        <v>2.09</v>
      </c>
      <c r="AA136" s="136">
        <f t="shared" si="51"/>
        <v>2.09</v>
      </c>
      <c r="AB136" s="136">
        <f t="shared" si="51"/>
        <v>2.09</v>
      </c>
      <c r="AC136" s="136">
        <f t="shared" si="51"/>
        <v>2.09</v>
      </c>
      <c r="AD136" s="136">
        <f t="shared" si="51"/>
        <v>2.09</v>
      </c>
      <c r="AE136" s="136">
        <f t="shared" si="51"/>
        <v>2.09</v>
      </c>
      <c r="AF136" s="136">
        <f t="shared" si="51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49"/>
        <v>1.1399999999999999</v>
      </c>
      <c r="C137" s="137">
        <v>1.1399999999999999</v>
      </c>
      <c r="D137" s="136">
        <f t="shared" si="50"/>
        <v>1.1399999999999999</v>
      </c>
      <c r="E137" s="136">
        <f t="shared" si="50"/>
        <v>1.1399999999999999</v>
      </c>
      <c r="F137" s="136">
        <f t="shared" si="50"/>
        <v>1.1399999999999999</v>
      </c>
      <c r="G137" s="136">
        <f t="shared" si="50"/>
        <v>1.1399999999999999</v>
      </c>
      <c r="H137" s="136">
        <f t="shared" si="50"/>
        <v>1.1399999999999999</v>
      </c>
      <c r="I137" s="136">
        <f t="shared" si="50"/>
        <v>1.1399999999999999</v>
      </c>
      <c r="J137" s="136">
        <f t="shared" si="50"/>
        <v>1.1399999999999999</v>
      </c>
      <c r="K137" s="136">
        <f t="shared" si="50"/>
        <v>1.1399999999999999</v>
      </c>
      <c r="L137" s="136">
        <f t="shared" si="50"/>
        <v>1.1399999999999999</v>
      </c>
      <c r="M137" s="136">
        <f t="shared" si="50"/>
        <v>1.1399999999999999</v>
      </c>
      <c r="N137" s="136">
        <f t="shared" si="50"/>
        <v>1.1399999999999999</v>
      </c>
      <c r="O137" s="136">
        <f t="shared" si="50"/>
        <v>1.1399999999999999</v>
      </c>
      <c r="P137" s="136">
        <f t="shared" si="50"/>
        <v>1.1399999999999999</v>
      </c>
      <c r="Q137" s="136">
        <f t="shared" si="50"/>
        <v>1.1399999999999999</v>
      </c>
      <c r="R137" s="136">
        <f t="shared" si="50"/>
        <v>1.1399999999999999</v>
      </c>
      <c r="S137" s="136">
        <f t="shared" si="50"/>
        <v>1.1399999999999999</v>
      </c>
      <c r="T137" s="136">
        <f t="shared" si="51"/>
        <v>1.1399999999999999</v>
      </c>
      <c r="U137" s="136">
        <f t="shared" si="51"/>
        <v>1.1399999999999999</v>
      </c>
      <c r="V137" s="136">
        <f t="shared" si="51"/>
        <v>1.1399999999999999</v>
      </c>
      <c r="W137" s="136">
        <f t="shared" si="51"/>
        <v>1.1399999999999999</v>
      </c>
      <c r="X137" s="136">
        <f t="shared" si="51"/>
        <v>1.1399999999999999</v>
      </c>
      <c r="Y137" s="136">
        <f t="shared" si="51"/>
        <v>1.1399999999999999</v>
      </c>
      <c r="Z137" s="136">
        <f t="shared" si="51"/>
        <v>1.1399999999999999</v>
      </c>
      <c r="AA137" s="136">
        <f t="shared" si="51"/>
        <v>1.1399999999999999</v>
      </c>
      <c r="AB137" s="136">
        <f t="shared" si="51"/>
        <v>1.1399999999999999</v>
      </c>
      <c r="AC137" s="136">
        <f t="shared" si="51"/>
        <v>1.1399999999999999</v>
      </c>
      <c r="AD137" s="136">
        <f t="shared" si="51"/>
        <v>1.1399999999999999</v>
      </c>
      <c r="AE137" s="136">
        <f t="shared" si="51"/>
        <v>1.1399999999999999</v>
      </c>
      <c r="AF137" s="136">
        <f t="shared" si="51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49"/>
        <v>0.82</v>
      </c>
      <c r="C138" s="137">
        <v>0.82</v>
      </c>
      <c r="D138" s="136">
        <f t="shared" si="50"/>
        <v>0.82</v>
      </c>
      <c r="E138" s="136">
        <f t="shared" si="50"/>
        <v>0.82</v>
      </c>
      <c r="F138" s="136">
        <f t="shared" si="50"/>
        <v>0.82</v>
      </c>
      <c r="G138" s="136">
        <f t="shared" si="50"/>
        <v>0.82</v>
      </c>
      <c r="H138" s="136">
        <f t="shared" si="50"/>
        <v>0.82</v>
      </c>
      <c r="I138" s="136">
        <f t="shared" si="50"/>
        <v>0.82</v>
      </c>
      <c r="J138" s="136">
        <f t="shared" si="50"/>
        <v>0.82</v>
      </c>
      <c r="K138" s="136">
        <f t="shared" si="50"/>
        <v>0.82</v>
      </c>
      <c r="L138" s="136">
        <f t="shared" si="50"/>
        <v>0.82</v>
      </c>
      <c r="M138" s="136">
        <f t="shared" si="50"/>
        <v>0.82</v>
      </c>
      <c r="N138" s="136">
        <f t="shared" si="50"/>
        <v>0.82</v>
      </c>
      <c r="O138" s="136">
        <f t="shared" si="50"/>
        <v>0.82</v>
      </c>
      <c r="P138" s="136">
        <f t="shared" si="50"/>
        <v>0.82</v>
      </c>
      <c r="Q138" s="136">
        <f t="shared" si="50"/>
        <v>0.82</v>
      </c>
      <c r="R138" s="136">
        <f t="shared" si="50"/>
        <v>0.82</v>
      </c>
      <c r="S138" s="136">
        <f t="shared" si="50"/>
        <v>0.82</v>
      </c>
      <c r="T138" s="136">
        <f t="shared" si="51"/>
        <v>0.82</v>
      </c>
      <c r="U138" s="136">
        <f t="shared" si="51"/>
        <v>0.82</v>
      </c>
      <c r="V138" s="136">
        <f t="shared" si="51"/>
        <v>0.82</v>
      </c>
      <c r="W138" s="136">
        <f t="shared" si="51"/>
        <v>0.82</v>
      </c>
      <c r="X138" s="136">
        <f t="shared" si="51"/>
        <v>0.82</v>
      </c>
      <c r="Y138" s="136">
        <f t="shared" si="51"/>
        <v>0.82</v>
      </c>
      <c r="Z138" s="136">
        <f t="shared" si="51"/>
        <v>0.82</v>
      </c>
      <c r="AA138" s="136">
        <f t="shared" si="51"/>
        <v>0.82</v>
      </c>
      <c r="AB138" s="136">
        <f t="shared" si="51"/>
        <v>0.82</v>
      </c>
      <c r="AC138" s="136">
        <f t="shared" si="51"/>
        <v>0.82</v>
      </c>
      <c r="AD138" s="136">
        <f t="shared" si="51"/>
        <v>0.82</v>
      </c>
      <c r="AE138" s="136">
        <f t="shared" si="51"/>
        <v>0.82</v>
      </c>
      <c r="AF138" s="136">
        <f t="shared" si="51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52">AF140</f>
        <v>2</v>
      </c>
      <c r="C140" s="137">
        <v>2</v>
      </c>
      <c r="D140" s="136">
        <f t="shared" ref="D140:S146" si="53">C140</f>
        <v>2</v>
      </c>
      <c r="E140" s="136">
        <f t="shared" si="53"/>
        <v>2</v>
      </c>
      <c r="F140" s="136">
        <f t="shared" si="53"/>
        <v>2</v>
      </c>
      <c r="G140" s="136">
        <f t="shared" si="53"/>
        <v>2</v>
      </c>
      <c r="H140" s="136">
        <f t="shared" si="53"/>
        <v>2</v>
      </c>
      <c r="I140" s="136">
        <f t="shared" si="53"/>
        <v>2</v>
      </c>
      <c r="J140" s="136">
        <f t="shared" si="53"/>
        <v>2</v>
      </c>
      <c r="K140" s="136">
        <f t="shared" si="53"/>
        <v>2</v>
      </c>
      <c r="L140" s="136">
        <f t="shared" si="53"/>
        <v>2</v>
      </c>
      <c r="M140" s="136">
        <f t="shared" si="53"/>
        <v>2</v>
      </c>
      <c r="N140" s="136">
        <f t="shared" si="53"/>
        <v>2</v>
      </c>
      <c r="O140" s="136">
        <f t="shared" si="53"/>
        <v>2</v>
      </c>
      <c r="P140" s="136">
        <f t="shared" si="53"/>
        <v>2</v>
      </c>
      <c r="Q140" s="136">
        <f t="shared" si="53"/>
        <v>2</v>
      </c>
      <c r="R140" s="136">
        <f t="shared" si="53"/>
        <v>2</v>
      </c>
      <c r="S140" s="136">
        <f t="shared" si="53"/>
        <v>2</v>
      </c>
      <c r="T140" s="136">
        <f t="shared" ref="T140:AF146" si="54">S140</f>
        <v>2</v>
      </c>
      <c r="U140" s="136">
        <f t="shared" si="54"/>
        <v>2</v>
      </c>
      <c r="V140" s="136">
        <f t="shared" si="54"/>
        <v>2</v>
      </c>
      <c r="W140" s="136">
        <f t="shared" si="54"/>
        <v>2</v>
      </c>
      <c r="X140" s="136">
        <f t="shared" si="54"/>
        <v>2</v>
      </c>
      <c r="Y140" s="136">
        <f t="shared" si="54"/>
        <v>2</v>
      </c>
      <c r="Z140" s="136">
        <f t="shared" si="54"/>
        <v>2</v>
      </c>
      <c r="AA140" s="136">
        <f t="shared" si="54"/>
        <v>2</v>
      </c>
      <c r="AB140" s="136">
        <f t="shared" si="54"/>
        <v>2</v>
      </c>
      <c r="AC140" s="136">
        <f t="shared" si="54"/>
        <v>2</v>
      </c>
      <c r="AD140" s="136">
        <f t="shared" si="54"/>
        <v>2</v>
      </c>
      <c r="AE140" s="136">
        <f t="shared" si="54"/>
        <v>2</v>
      </c>
      <c r="AF140" s="136">
        <f t="shared" si="54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52"/>
        <v>5.61</v>
      </c>
      <c r="C141" s="137">
        <v>5.61</v>
      </c>
      <c r="D141" s="136">
        <f t="shared" si="53"/>
        <v>5.61</v>
      </c>
      <c r="E141" s="136">
        <f t="shared" si="53"/>
        <v>5.61</v>
      </c>
      <c r="F141" s="136">
        <f t="shared" si="53"/>
        <v>5.61</v>
      </c>
      <c r="G141" s="136">
        <f t="shared" si="53"/>
        <v>5.61</v>
      </c>
      <c r="H141" s="136">
        <f t="shared" si="53"/>
        <v>5.61</v>
      </c>
      <c r="I141" s="136">
        <f t="shared" si="53"/>
        <v>5.61</v>
      </c>
      <c r="J141" s="136">
        <f t="shared" si="53"/>
        <v>5.61</v>
      </c>
      <c r="K141" s="136">
        <f t="shared" si="53"/>
        <v>5.61</v>
      </c>
      <c r="L141" s="136">
        <f t="shared" si="53"/>
        <v>5.61</v>
      </c>
      <c r="M141" s="136">
        <f t="shared" si="53"/>
        <v>5.61</v>
      </c>
      <c r="N141" s="136">
        <f t="shared" si="53"/>
        <v>5.61</v>
      </c>
      <c r="O141" s="136">
        <f t="shared" si="53"/>
        <v>5.61</v>
      </c>
      <c r="P141" s="136">
        <f t="shared" si="53"/>
        <v>5.61</v>
      </c>
      <c r="Q141" s="136">
        <f t="shared" si="53"/>
        <v>5.61</v>
      </c>
      <c r="R141" s="136">
        <f t="shared" si="53"/>
        <v>5.61</v>
      </c>
      <c r="S141" s="136">
        <f t="shared" si="53"/>
        <v>5.61</v>
      </c>
      <c r="T141" s="136">
        <f t="shared" si="54"/>
        <v>5.61</v>
      </c>
      <c r="U141" s="136">
        <f t="shared" si="54"/>
        <v>5.61</v>
      </c>
      <c r="V141" s="136">
        <f t="shared" si="54"/>
        <v>5.61</v>
      </c>
      <c r="W141" s="136">
        <f t="shared" si="54"/>
        <v>5.61</v>
      </c>
      <c r="X141" s="136">
        <f t="shared" si="54"/>
        <v>5.61</v>
      </c>
      <c r="Y141" s="136">
        <f t="shared" si="54"/>
        <v>5.61</v>
      </c>
      <c r="Z141" s="136">
        <f t="shared" si="54"/>
        <v>5.61</v>
      </c>
      <c r="AA141" s="136">
        <f t="shared" si="54"/>
        <v>5.61</v>
      </c>
      <c r="AB141" s="136">
        <f t="shared" si="54"/>
        <v>5.61</v>
      </c>
      <c r="AC141" s="136">
        <f t="shared" si="54"/>
        <v>5.61</v>
      </c>
      <c r="AD141" s="136">
        <f t="shared" si="54"/>
        <v>5.61</v>
      </c>
      <c r="AE141" s="136">
        <f t="shared" si="54"/>
        <v>5.61</v>
      </c>
      <c r="AF141" s="136">
        <f t="shared" si="54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52"/>
        <v>1.25</v>
      </c>
      <c r="C142" s="137">
        <v>1.25</v>
      </c>
      <c r="D142" s="136">
        <f t="shared" si="53"/>
        <v>1.25</v>
      </c>
      <c r="E142" s="136">
        <f t="shared" si="53"/>
        <v>1.25</v>
      </c>
      <c r="F142" s="136">
        <f t="shared" si="53"/>
        <v>1.25</v>
      </c>
      <c r="G142" s="136">
        <f t="shared" si="53"/>
        <v>1.25</v>
      </c>
      <c r="H142" s="136">
        <f t="shared" si="53"/>
        <v>1.25</v>
      </c>
      <c r="I142" s="136">
        <f t="shared" si="53"/>
        <v>1.25</v>
      </c>
      <c r="J142" s="136">
        <f t="shared" si="53"/>
        <v>1.25</v>
      </c>
      <c r="K142" s="136">
        <f t="shared" si="53"/>
        <v>1.25</v>
      </c>
      <c r="L142" s="136">
        <f t="shared" si="53"/>
        <v>1.25</v>
      </c>
      <c r="M142" s="136">
        <f t="shared" si="53"/>
        <v>1.25</v>
      </c>
      <c r="N142" s="136">
        <f t="shared" si="53"/>
        <v>1.25</v>
      </c>
      <c r="O142" s="136">
        <f t="shared" si="53"/>
        <v>1.25</v>
      </c>
      <c r="P142" s="136">
        <f t="shared" si="53"/>
        <v>1.25</v>
      </c>
      <c r="Q142" s="136">
        <f t="shared" si="53"/>
        <v>1.25</v>
      </c>
      <c r="R142" s="136">
        <f t="shared" si="53"/>
        <v>1.25</v>
      </c>
      <c r="S142" s="136">
        <f t="shared" si="53"/>
        <v>1.25</v>
      </c>
      <c r="T142" s="136">
        <f t="shared" si="54"/>
        <v>1.25</v>
      </c>
      <c r="U142" s="136">
        <f t="shared" si="54"/>
        <v>1.25</v>
      </c>
      <c r="V142" s="136">
        <f t="shared" si="54"/>
        <v>1.25</v>
      </c>
      <c r="W142" s="136">
        <f t="shared" si="54"/>
        <v>1.25</v>
      </c>
      <c r="X142" s="136">
        <f t="shared" si="54"/>
        <v>1.25</v>
      </c>
      <c r="Y142" s="136">
        <f t="shared" si="54"/>
        <v>1.25</v>
      </c>
      <c r="Z142" s="136">
        <f t="shared" si="54"/>
        <v>1.25</v>
      </c>
      <c r="AA142" s="136">
        <f t="shared" si="54"/>
        <v>1.25</v>
      </c>
      <c r="AB142" s="136">
        <f t="shared" si="54"/>
        <v>1.25</v>
      </c>
      <c r="AC142" s="136">
        <f t="shared" si="54"/>
        <v>1.25</v>
      </c>
      <c r="AD142" s="136">
        <f t="shared" si="54"/>
        <v>1.25</v>
      </c>
      <c r="AE142" s="136">
        <f t="shared" si="54"/>
        <v>1.25</v>
      </c>
      <c r="AF142" s="136">
        <f t="shared" si="54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52"/>
        <v>1.25</v>
      </c>
      <c r="C143" s="137">
        <v>1.25</v>
      </c>
      <c r="D143" s="136">
        <f t="shared" si="53"/>
        <v>1.25</v>
      </c>
      <c r="E143" s="136">
        <f t="shared" si="53"/>
        <v>1.25</v>
      </c>
      <c r="F143" s="136">
        <f t="shared" si="53"/>
        <v>1.25</v>
      </c>
      <c r="G143" s="136">
        <f t="shared" si="53"/>
        <v>1.25</v>
      </c>
      <c r="H143" s="136">
        <f t="shared" si="53"/>
        <v>1.25</v>
      </c>
      <c r="I143" s="136">
        <f t="shared" si="53"/>
        <v>1.25</v>
      </c>
      <c r="J143" s="136">
        <f t="shared" si="53"/>
        <v>1.25</v>
      </c>
      <c r="K143" s="136">
        <f t="shared" si="53"/>
        <v>1.25</v>
      </c>
      <c r="L143" s="136">
        <f t="shared" si="53"/>
        <v>1.25</v>
      </c>
      <c r="M143" s="136">
        <f t="shared" si="53"/>
        <v>1.25</v>
      </c>
      <c r="N143" s="136">
        <f t="shared" si="53"/>
        <v>1.25</v>
      </c>
      <c r="O143" s="136">
        <f t="shared" si="53"/>
        <v>1.25</v>
      </c>
      <c r="P143" s="136">
        <f t="shared" si="53"/>
        <v>1.25</v>
      </c>
      <c r="Q143" s="136">
        <f t="shared" si="53"/>
        <v>1.25</v>
      </c>
      <c r="R143" s="136">
        <f t="shared" si="53"/>
        <v>1.25</v>
      </c>
      <c r="S143" s="136">
        <f t="shared" si="53"/>
        <v>1.25</v>
      </c>
      <c r="T143" s="136">
        <f t="shared" si="54"/>
        <v>1.25</v>
      </c>
      <c r="U143" s="136">
        <f t="shared" si="54"/>
        <v>1.25</v>
      </c>
      <c r="V143" s="136">
        <f t="shared" si="54"/>
        <v>1.25</v>
      </c>
      <c r="W143" s="136">
        <f t="shared" si="54"/>
        <v>1.25</v>
      </c>
      <c r="X143" s="136">
        <f t="shared" si="54"/>
        <v>1.25</v>
      </c>
      <c r="Y143" s="136">
        <f t="shared" si="54"/>
        <v>1.25</v>
      </c>
      <c r="Z143" s="136">
        <f t="shared" si="54"/>
        <v>1.25</v>
      </c>
      <c r="AA143" s="136">
        <f t="shared" si="54"/>
        <v>1.25</v>
      </c>
      <c r="AB143" s="136">
        <f t="shared" si="54"/>
        <v>1.25</v>
      </c>
      <c r="AC143" s="136">
        <f t="shared" si="54"/>
        <v>1.25</v>
      </c>
      <c r="AD143" s="136">
        <f t="shared" si="54"/>
        <v>1.25</v>
      </c>
      <c r="AE143" s="136">
        <f t="shared" si="54"/>
        <v>1.25</v>
      </c>
      <c r="AF143" s="136">
        <f t="shared" si="54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52"/>
        <v>1.46</v>
      </c>
      <c r="C144" s="137">
        <v>1.46</v>
      </c>
      <c r="D144" s="136">
        <f t="shared" si="53"/>
        <v>1.46</v>
      </c>
      <c r="E144" s="136">
        <f t="shared" si="53"/>
        <v>1.46</v>
      </c>
      <c r="F144" s="136">
        <f t="shared" si="53"/>
        <v>1.46</v>
      </c>
      <c r="G144" s="136">
        <f t="shared" si="53"/>
        <v>1.46</v>
      </c>
      <c r="H144" s="136">
        <f t="shared" si="53"/>
        <v>1.46</v>
      </c>
      <c r="I144" s="136">
        <f t="shared" si="53"/>
        <v>1.46</v>
      </c>
      <c r="J144" s="136">
        <f t="shared" si="53"/>
        <v>1.46</v>
      </c>
      <c r="K144" s="136">
        <f t="shared" si="53"/>
        <v>1.46</v>
      </c>
      <c r="L144" s="136">
        <f t="shared" si="53"/>
        <v>1.46</v>
      </c>
      <c r="M144" s="136">
        <f t="shared" si="53"/>
        <v>1.46</v>
      </c>
      <c r="N144" s="136">
        <f t="shared" si="53"/>
        <v>1.46</v>
      </c>
      <c r="O144" s="136">
        <f t="shared" si="53"/>
        <v>1.46</v>
      </c>
      <c r="P144" s="136">
        <f t="shared" si="53"/>
        <v>1.46</v>
      </c>
      <c r="Q144" s="136">
        <f t="shared" si="53"/>
        <v>1.46</v>
      </c>
      <c r="R144" s="136">
        <f t="shared" si="53"/>
        <v>1.46</v>
      </c>
      <c r="S144" s="136">
        <f t="shared" si="53"/>
        <v>1.46</v>
      </c>
      <c r="T144" s="136">
        <f t="shared" si="54"/>
        <v>1.46</v>
      </c>
      <c r="U144" s="136">
        <f t="shared" si="54"/>
        <v>1.46</v>
      </c>
      <c r="V144" s="136">
        <f t="shared" si="54"/>
        <v>1.46</v>
      </c>
      <c r="W144" s="136">
        <f t="shared" si="54"/>
        <v>1.46</v>
      </c>
      <c r="X144" s="136">
        <f t="shared" si="54"/>
        <v>1.46</v>
      </c>
      <c r="Y144" s="136">
        <f t="shared" si="54"/>
        <v>1.46</v>
      </c>
      <c r="Z144" s="136">
        <f t="shared" si="54"/>
        <v>1.46</v>
      </c>
      <c r="AA144" s="136">
        <f t="shared" si="54"/>
        <v>1.46</v>
      </c>
      <c r="AB144" s="136">
        <f t="shared" si="54"/>
        <v>1.46</v>
      </c>
      <c r="AC144" s="136">
        <f t="shared" si="54"/>
        <v>1.46</v>
      </c>
      <c r="AD144" s="136">
        <f t="shared" si="54"/>
        <v>1.46</v>
      </c>
      <c r="AE144" s="136">
        <f t="shared" si="54"/>
        <v>1.46</v>
      </c>
      <c r="AF144" s="136">
        <f t="shared" si="54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52"/>
        <v>3</v>
      </c>
      <c r="C145" s="137">
        <v>3</v>
      </c>
      <c r="D145" s="136">
        <f t="shared" si="53"/>
        <v>3</v>
      </c>
      <c r="E145" s="136">
        <f t="shared" si="53"/>
        <v>3</v>
      </c>
      <c r="F145" s="136">
        <f t="shared" si="53"/>
        <v>3</v>
      </c>
      <c r="G145" s="136">
        <f t="shared" si="53"/>
        <v>3</v>
      </c>
      <c r="H145" s="136">
        <f t="shared" si="53"/>
        <v>3</v>
      </c>
      <c r="I145" s="136">
        <f t="shared" si="53"/>
        <v>3</v>
      </c>
      <c r="J145" s="136">
        <f t="shared" si="53"/>
        <v>3</v>
      </c>
      <c r="K145" s="136">
        <f t="shared" si="53"/>
        <v>3</v>
      </c>
      <c r="L145" s="136">
        <f t="shared" si="53"/>
        <v>3</v>
      </c>
      <c r="M145" s="136">
        <f t="shared" si="53"/>
        <v>3</v>
      </c>
      <c r="N145" s="136">
        <f t="shared" si="53"/>
        <v>3</v>
      </c>
      <c r="O145" s="136">
        <f t="shared" si="53"/>
        <v>3</v>
      </c>
      <c r="P145" s="136">
        <f t="shared" si="53"/>
        <v>3</v>
      </c>
      <c r="Q145" s="136">
        <f t="shared" si="53"/>
        <v>3</v>
      </c>
      <c r="R145" s="136">
        <f t="shared" si="53"/>
        <v>3</v>
      </c>
      <c r="S145" s="136">
        <f t="shared" si="53"/>
        <v>3</v>
      </c>
      <c r="T145" s="136">
        <f t="shared" si="54"/>
        <v>3</v>
      </c>
      <c r="U145" s="136">
        <f t="shared" si="54"/>
        <v>3</v>
      </c>
      <c r="V145" s="136">
        <f t="shared" si="54"/>
        <v>3</v>
      </c>
      <c r="W145" s="136">
        <f t="shared" si="54"/>
        <v>3</v>
      </c>
      <c r="X145" s="136">
        <f t="shared" si="54"/>
        <v>3</v>
      </c>
      <c r="Y145" s="136">
        <f t="shared" si="54"/>
        <v>3</v>
      </c>
      <c r="Z145" s="136">
        <f t="shared" si="54"/>
        <v>3</v>
      </c>
      <c r="AA145" s="136">
        <f t="shared" si="54"/>
        <v>3</v>
      </c>
      <c r="AB145" s="136">
        <f t="shared" si="54"/>
        <v>3</v>
      </c>
      <c r="AC145" s="136">
        <f t="shared" si="54"/>
        <v>3</v>
      </c>
      <c r="AD145" s="136">
        <f t="shared" si="54"/>
        <v>3</v>
      </c>
      <c r="AE145" s="136">
        <f t="shared" si="54"/>
        <v>3</v>
      </c>
      <c r="AF145" s="136">
        <f t="shared" si="54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52"/>
        <v>3.3</v>
      </c>
      <c r="C146" s="137">
        <v>3.3</v>
      </c>
      <c r="D146" s="136">
        <f t="shared" si="53"/>
        <v>3.3</v>
      </c>
      <c r="E146" s="136">
        <f t="shared" si="53"/>
        <v>3.3</v>
      </c>
      <c r="F146" s="136">
        <f t="shared" si="53"/>
        <v>3.3</v>
      </c>
      <c r="G146" s="136">
        <f t="shared" si="53"/>
        <v>3.3</v>
      </c>
      <c r="H146" s="136">
        <f t="shared" si="53"/>
        <v>3.3</v>
      </c>
      <c r="I146" s="136">
        <f t="shared" si="53"/>
        <v>3.3</v>
      </c>
      <c r="J146" s="136">
        <f t="shared" si="53"/>
        <v>3.3</v>
      </c>
      <c r="K146" s="136">
        <f t="shared" si="53"/>
        <v>3.3</v>
      </c>
      <c r="L146" s="136">
        <f t="shared" si="53"/>
        <v>3.3</v>
      </c>
      <c r="M146" s="136">
        <f t="shared" si="53"/>
        <v>3.3</v>
      </c>
      <c r="N146" s="136">
        <f t="shared" si="53"/>
        <v>3.3</v>
      </c>
      <c r="O146" s="136">
        <f t="shared" si="53"/>
        <v>3.3</v>
      </c>
      <c r="P146" s="136">
        <f t="shared" si="53"/>
        <v>3.3</v>
      </c>
      <c r="Q146" s="136">
        <f t="shared" si="53"/>
        <v>3.3</v>
      </c>
      <c r="R146" s="136">
        <f t="shared" si="53"/>
        <v>3.3</v>
      </c>
      <c r="S146" s="136">
        <f t="shared" si="53"/>
        <v>3.3</v>
      </c>
      <c r="T146" s="136">
        <f t="shared" si="54"/>
        <v>3.3</v>
      </c>
      <c r="U146" s="136">
        <f t="shared" si="54"/>
        <v>3.3</v>
      </c>
      <c r="V146" s="136">
        <f t="shared" si="54"/>
        <v>3.3</v>
      </c>
      <c r="W146" s="136">
        <f t="shared" si="54"/>
        <v>3.3</v>
      </c>
      <c r="X146" s="136">
        <f t="shared" si="54"/>
        <v>3.3</v>
      </c>
      <c r="Y146" s="136">
        <f t="shared" si="54"/>
        <v>3.3</v>
      </c>
      <c r="Z146" s="136">
        <f t="shared" si="54"/>
        <v>3.3</v>
      </c>
      <c r="AA146" s="136">
        <f t="shared" si="54"/>
        <v>3.3</v>
      </c>
      <c r="AB146" s="136">
        <f t="shared" si="54"/>
        <v>3.3</v>
      </c>
      <c r="AC146" s="136">
        <f t="shared" si="54"/>
        <v>3.3</v>
      </c>
      <c r="AD146" s="136">
        <f t="shared" si="54"/>
        <v>3.3</v>
      </c>
      <c r="AE146" s="136">
        <f t="shared" si="54"/>
        <v>3.3</v>
      </c>
      <c r="AF146" s="136">
        <f t="shared" si="54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55">C148</f>
        <v>1.76</v>
      </c>
      <c r="E148" s="136">
        <f t="shared" si="55"/>
        <v>1.76</v>
      </c>
      <c r="F148" s="136">
        <f t="shared" si="55"/>
        <v>1.76</v>
      </c>
      <c r="G148" s="136">
        <f t="shared" si="55"/>
        <v>1.76</v>
      </c>
      <c r="H148" s="136">
        <f t="shared" si="55"/>
        <v>1.76</v>
      </c>
      <c r="I148" s="136">
        <f t="shared" si="55"/>
        <v>1.76</v>
      </c>
      <c r="J148" s="136">
        <f t="shared" si="55"/>
        <v>1.76</v>
      </c>
      <c r="K148" s="136">
        <f t="shared" si="55"/>
        <v>1.76</v>
      </c>
      <c r="L148" s="136">
        <f t="shared" si="55"/>
        <v>1.76</v>
      </c>
      <c r="M148" s="136">
        <f t="shared" si="55"/>
        <v>1.76</v>
      </c>
      <c r="N148" s="136">
        <f t="shared" si="55"/>
        <v>1.76</v>
      </c>
      <c r="O148" s="136">
        <f t="shared" si="55"/>
        <v>1.76</v>
      </c>
      <c r="P148" s="136">
        <f t="shared" si="55"/>
        <v>1.76</v>
      </c>
      <c r="Q148" s="136">
        <f t="shared" si="55"/>
        <v>1.76</v>
      </c>
      <c r="R148" s="136">
        <f t="shared" si="55"/>
        <v>1.76</v>
      </c>
      <c r="S148" s="136">
        <f t="shared" si="55"/>
        <v>1.76</v>
      </c>
      <c r="T148" s="136">
        <f t="shared" ref="T148:AF149" si="56">S148</f>
        <v>1.76</v>
      </c>
      <c r="U148" s="136">
        <f t="shared" si="56"/>
        <v>1.76</v>
      </c>
      <c r="V148" s="136">
        <f t="shared" si="56"/>
        <v>1.76</v>
      </c>
      <c r="W148" s="136">
        <f t="shared" si="56"/>
        <v>1.76</v>
      </c>
      <c r="X148" s="136">
        <f t="shared" si="56"/>
        <v>1.76</v>
      </c>
      <c r="Y148" s="136">
        <f t="shared" si="56"/>
        <v>1.76</v>
      </c>
      <c r="Z148" s="136">
        <f t="shared" si="56"/>
        <v>1.76</v>
      </c>
      <c r="AA148" s="136">
        <f t="shared" si="56"/>
        <v>1.76</v>
      </c>
      <c r="AB148" s="136">
        <f t="shared" si="56"/>
        <v>1.76</v>
      </c>
      <c r="AC148" s="136">
        <f t="shared" si="56"/>
        <v>1.76</v>
      </c>
      <c r="AD148" s="136">
        <f t="shared" si="56"/>
        <v>1.76</v>
      </c>
      <c r="AE148" s="136">
        <f t="shared" si="56"/>
        <v>1.76</v>
      </c>
      <c r="AF148" s="136">
        <f t="shared" si="56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55"/>
        <v>0</v>
      </c>
      <c r="E149" s="136">
        <f t="shared" si="55"/>
        <v>0</v>
      </c>
      <c r="F149" s="136">
        <f t="shared" si="55"/>
        <v>0</v>
      </c>
      <c r="G149" s="136">
        <f t="shared" si="55"/>
        <v>0</v>
      </c>
      <c r="H149" s="136">
        <f t="shared" si="55"/>
        <v>0</v>
      </c>
      <c r="I149" s="136">
        <f t="shared" si="55"/>
        <v>0</v>
      </c>
      <c r="J149" s="136">
        <f t="shared" si="55"/>
        <v>0</v>
      </c>
      <c r="K149" s="136">
        <f t="shared" si="55"/>
        <v>0</v>
      </c>
      <c r="L149" s="136">
        <f t="shared" si="55"/>
        <v>0</v>
      </c>
      <c r="M149" s="136">
        <f t="shared" si="55"/>
        <v>0</v>
      </c>
      <c r="N149" s="136">
        <f t="shared" si="55"/>
        <v>0</v>
      </c>
      <c r="O149" s="136">
        <f t="shared" si="55"/>
        <v>0</v>
      </c>
      <c r="P149" s="136">
        <f t="shared" si="55"/>
        <v>0</v>
      </c>
      <c r="Q149" s="136">
        <f t="shared" si="55"/>
        <v>0</v>
      </c>
      <c r="R149" s="136">
        <f t="shared" si="55"/>
        <v>0</v>
      </c>
      <c r="S149" s="136">
        <f t="shared" si="55"/>
        <v>0</v>
      </c>
      <c r="T149" s="136">
        <f t="shared" si="56"/>
        <v>0</v>
      </c>
      <c r="U149" s="136">
        <f t="shared" si="56"/>
        <v>0</v>
      </c>
      <c r="V149" s="136">
        <f t="shared" si="56"/>
        <v>0</v>
      </c>
      <c r="W149" s="136">
        <f t="shared" si="56"/>
        <v>0</v>
      </c>
      <c r="X149" s="136">
        <f t="shared" si="56"/>
        <v>0</v>
      </c>
      <c r="Y149" s="136">
        <f t="shared" si="56"/>
        <v>0</v>
      </c>
      <c r="Z149" s="136">
        <f t="shared" si="56"/>
        <v>0</v>
      </c>
      <c r="AA149" s="136">
        <f t="shared" si="56"/>
        <v>0</v>
      </c>
      <c r="AB149" s="136">
        <f t="shared" si="56"/>
        <v>0</v>
      </c>
      <c r="AC149" s="136">
        <f t="shared" si="56"/>
        <v>0</v>
      </c>
      <c r="AD149" s="136">
        <f t="shared" si="56"/>
        <v>0</v>
      </c>
      <c r="AE149" s="136">
        <f t="shared" si="56"/>
        <v>0</v>
      </c>
      <c r="AF149" s="136">
        <f t="shared" si="56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57">C151</f>
        <v>0.1</v>
      </c>
      <c r="E151" s="136">
        <f t="shared" si="57"/>
        <v>0.1</v>
      </c>
      <c r="F151" s="136">
        <f t="shared" si="57"/>
        <v>0.1</v>
      </c>
      <c r="G151" s="136">
        <f t="shared" si="57"/>
        <v>0.1</v>
      </c>
      <c r="H151" s="136">
        <f t="shared" si="57"/>
        <v>0.1</v>
      </c>
      <c r="I151" s="136">
        <f t="shared" si="57"/>
        <v>0.1</v>
      </c>
      <c r="J151" s="136">
        <f t="shared" si="57"/>
        <v>0.1</v>
      </c>
      <c r="K151" s="136">
        <f t="shared" si="57"/>
        <v>0.1</v>
      </c>
      <c r="L151" s="136">
        <f t="shared" si="57"/>
        <v>0.1</v>
      </c>
      <c r="M151" s="136">
        <f t="shared" si="57"/>
        <v>0.1</v>
      </c>
      <c r="N151" s="136">
        <f t="shared" si="57"/>
        <v>0.1</v>
      </c>
      <c r="O151" s="136">
        <f t="shared" si="57"/>
        <v>0.1</v>
      </c>
      <c r="P151" s="136">
        <f t="shared" si="57"/>
        <v>0.1</v>
      </c>
      <c r="Q151" s="136">
        <f t="shared" si="57"/>
        <v>0.1</v>
      </c>
      <c r="R151" s="136">
        <f t="shared" si="57"/>
        <v>0.1</v>
      </c>
      <c r="S151" s="136">
        <f t="shared" si="57"/>
        <v>0.1</v>
      </c>
      <c r="T151" s="136">
        <f t="shared" ref="T151:AF154" si="58">S151</f>
        <v>0.1</v>
      </c>
      <c r="U151" s="136">
        <f t="shared" si="58"/>
        <v>0.1</v>
      </c>
      <c r="V151" s="136">
        <f t="shared" si="58"/>
        <v>0.1</v>
      </c>
      <c r="W151" s="136">
        <f t="shared" si="58"/>
        <v>0.1</v>
      </c>
      <c r="X151" s="136">
        <f t="shared" si="58"/>
        <v>0.1</v>
      </c>
      <c r="Y151" s="136">
        <f t="shared" si="58"/>
        <v>0.1</v>
      </c>
      <c r="Z151" s="136">
        <f t="shared" si="58"/>
        <v>0.1</v>
      </c>
      <c r="AA151" s="136">
        <f t="shared" si="58"/>
        <v>0.1</v>
      </c>
      <c r="AB151" s="136">
        <f t="shared" si="58"/>
        <v>0.1</v>
      </c>
      <c r="AC151" s="136">
        <f t="shared" si="58"/>
        <v>0.1</v>
      </c>
      <c r="AD151" s="136">
        <f t="shared" si="58"/>
        <v>0.1</v>
      </c>
      <c r="AE151" s="136">
        <f t="shared" si="58"/>
        <v>0.1</v>
      </c>
      <c r="AF151" s="136">
        <f t="shared" si="58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57"/>
        <v>2.0499999999999998</v>
      </c>
      <c r="E152" s="136">
        <f t="shared" si="57"/>
        <v>2.0499999999999998</v>
      </c>
      <c r="F152" s="136">
        <f t="shared" si="57"/>
        <v>2.0499999999999998</v>
      </c>
      <c r="G152" s="136">
        <f t="shared" si="57"/>
        <v>2.0499999999999998</v>
      </c>
      <c r="H152" s="136">
        <f t="shared" si="57"/>
        <v>2.0499999999999998</v>
      </c>
      <c r="I152" s="136">
        <f t="shared" si="57"/>
        <v>2.0499999999999998</v>
      </c>
      <c r="J152" s="136">
        <f t="shared" si="57"/>
        <v>2.0499999999999998</v>
      </c>
      <c r="K152" s="136">
        <f t="shared" si="57"/>
        <v>2.0499999999999998</v>
      </c>
      <c r="L152" s="136">
        <f t="shared" si="57"/>
        <v>2.0499999999999998</v>
      </c>
      <c r="M152" s="136">
        <f t="shared" si="57"/>
        <v>2.0499999999999998</v>
      </c>
      <c r="N152" s="136">
        <f t="shared" si="57"/>
        <v>2.0499999999999998</v>
      </c>
      <c r="O152" s="136">
        <f t="shared" si="57"/>
        <v>2.0499999999999998</v>
      </c>
      <c r="P152" s="136">
        <f t="shared" si="57"/>
        <v>2.0499999999999998</v>
      </c>
      <c r="Q152" s="136">
        <f t="shared" si="57"/>
        <v>2.0499999999999998</v>
      </c>
      <c r="R152" s="136">
        <f t="shared" si="57"/>
        <v>2.0499999999999998</v>
      </c>
      <c r="S152" s="136">
        <f t="shared" si="57"/>
        <v>2.0499999999999998</v>
      </c>
      <c r="T152" s="136">
        <f t="shared" si="58"/>
        <v>2.0499999999999998</v>
      </c>
      <c r="U152" s="136">
        <f t="shared" si="58"/>
        <v>2.0499999999999998</v>
      </c>
      <c r="V152" s="136">
        <f t="shared" si="58"/>
        <v>2.0499999999999998</v>
      </c>
      <c r="W152" s="136">
        <f t="shared" si="58"/>
        <v>2.0499999999999998</v>
      </c>
      <c r="X152" s="136">
        <f t="shared" si="58"/>
        <v>2.0499999999999998</v>
      </c>
      <c r="Y152" s="136">
        <f t="shared" si="58"/>
        <v>2.0499999999999998</v>
      </c>
      <c r="Z152" s="136">
        <f t="shared" si="58"/>
        <v>2.0499999999999998</v>
      </c>
      <c r="AA152" s="136">
        <f t="shared" si="58"/>
        <v>2.0499999999999998</v>
      </c>
      <c r="AB152" s="136">
        <f t="shared" si="58"/>
        <v>2.0499999999999998</v>
      </c>
      <c r="AC152" s="136">
        <f t="shared" si="58"/>
        <v>2.0499999999999998</v>
      </c>
      <c r="AD152" s="136">
        <f t="shared" si="58"/>
        <v>2.0499999999999998</v>
      </c>
      <c r="AE152" s="136">
        <f t="shared" si="58"/>
        <v>2.0499999999999998</v>
      </c>
      <c r="AF152" s="136">
        <f t="shared" si="58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57"/>
        <v>2.7</v>
      </c>
      <c r="E153" s="136">
        <f t="shared" si="57"/>
        <v>2.7</v>
      </c>
      <c r="F153" s="136">
        <f t="shared" si="57"/>
        <v>2.7</v>
      </c>
      <c r="G153" s="136">
        <f t="shared" si="57"/>
        <v>2.7</v>
      </c>
      <c r="H153" s="136">
        <f t="shared" si="57"/>
        <v>2.7</v>
      </c>
      <c r="I153" s="136">
        <f t="shared" si="57"/>
        <v>2.7</v>
      </c>
      <c r="J153" s="136">
        <f t="shared" si="57"/>
        <v>2.7</v>
      </c>
      <c r="K153" s="136">
        <f t="shared" si="57"/>
        <v>2.7</v>
      </c>
      <c r="L153" s="136">
        <f t="shared" si="57"/>
        <v>2.7</v>
      </c>
      <c r="M153" s="136">
        <f t="shared" si="57"/>
        <v>2.7</v>
      </c>
      <c r="N153" s="136">
        <f t="shared" si="57"/>
        <v>2.7</v>
      </c>
      <c r="O153" s="136">
        <f t="shared" si="57"/>
        <v>2.7</v>
      </c>
      <c r="P153" s="136">
        <f t="shared" si="57"/>
        <v>2.7</v>
      </c>
      <c r="Q153" s="136">
        <f t="shared" si="57"/>
        <v>2.7</v>
      </c>
      <c r="R153" s="136">
        <f t="shared" si="57"/>
        <v>2.7</v>
      </c>
      <c r="S153" s="136">
        <f t="shared" si="57"/>
        <v>2.7</v>
      </c>
      <c r="T153" s="136">
        <f t="shared" si="58"/>
        <v>2.7</v>
      </c>
      <c r="U153" s="136">
        <f t="shared" si="58"/>
        <v>2.7</v>
      </c>
      <c r="V153" s="136">
        <f t="shared" si="58"/>
        <v>2.7</v>
      </c>
      <c r="W153" s="136">
        <f t="shared" si="58"/>
        <v>2.7</v>
      </c>
      <c r="X153" s="136">
        <f t="shared" si="58"/>
        <v>2.7</v>
      </c>
      <c r="Y153" s="136">
        <f t="shared" si="58"/>
        <v>2.7</v>
      </c>
      <c r="Z153" s="136">
        <f t="shared" si="58"/>
        <v>2.7</v>
      </c>
      <c r="AA153" s="136">
        <f t="shared" si="58"/>
        <v>2.7</v>
      </c>
      <c r="AB153" s="136">
        <f t="shared" si="58"/>
        <v>2.7</v>
      </c>
      <c r="AC153" s="136">
        <f t="shared" si="58"/>
        <v>2.7</v>
      </c>
      <c r="AD153" s="136">
        <f t="shared" si="58"/>
        <v>2.7</v>
      </c>
      <c r="AE153" s="136">
        <f t="shared" si="58"/>
        <v>2.7</v>
      </c>
      <c r="AF153" s="136">
        <f t="shared" si="58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57"/>
        <v>2.15</v>
      </c>
      <c r="E154" s="136">
        <f t="shared" si="57"/>
        <v>2.15</v>
      </c>
      <c r="F154" s="136">
        <f t="shared" si="57"/>
        <v>2.15</v>
      </c>
      <c r="G154" s="136">
        <f t="shared" si="57"/>
        <v>2.15</v>
      </c>
      <c r="H154" s="136">
        <f t="shared" si="57"/>
        <v>2.15</v>
      </c>
      <c r="I154" s="136">
        <f t="shared" si="57"/>
        <v>2.15</v>
      </c>
      <c r="J154" s="136">
        <f t="shared" si="57"/>
        <v>2.15</v>
      </c>
      <c r="K154" s="136">
        <f t="shared" si="57"/>
        <v>2.15</v>
      </c>
      <c r="L154" s="136">
        <f t="shared" si="57"/>
        <v>2.15</v>
      </c>
      <c r="M154" s="136">
        <f t="shared" si="57"/>
        <v>2.15</v>
      </c>
      <c r="N154" s="136">
        <f t="shared" si="57"/>
        <v>2.15</v>
      </c>
      <c r="O154" s="136">
        <f t="shared" si="57"/>
        <v>2.15</v>
      </c>
      <c r="P154" s="136">
        <f t="shared" si="57"/>
        <v>2.15</v>
      </c>
      <c r="Q154" s="136">
        <f t="shared" si="57"/>
        <v>2.15</v>
      </c>
      <c r="R154" s="136">
        <f t="shared" si="57"/>
        <v>2.15</v>
      </c>
      <c r="S154" s="136">
        <f t="shared" si="57"/>
        <v>2.15</v>
      </c>
      <c r="T154" s="136">
        <f t="shared" si="58"/>
        <v>2.15</v>
      </c>
      <c r="U154" s="136">
        <f t="shared" si="58"/>
        <v>2.15</v>
      </c>
      <c r="V154" s="136">
        <f t="shared" si="58"/>
        <v>2.15</v>
      </c>
      <c r="W154" s="136">
        <f t="shared" si="58"/>
        <v>2.15</v>
      </c>
      <c r="X154" s="136">
        <f t="shared" si="58"/>
        <v>2.15</v>
      </c>
      <c r="Y154" s="136">
        <f t="shared" si="58"/>
        <v>2.15</v>
      </c>
      <c r="Z154" s="136">
        <f t="shared" si="58"/>
        <v>2.15</v>
      </c>
      <c r="AA154" s="136">
        <f t="shared" si="58"/>
        <v>2.15</v>
      </c>
      <c r="AB154" s="136">
        <f t="shared" si="58"/>
        <v>2.15</v>
      </c>
      <c r="AC154" s="136">
        <f t="shared" si="58"/>
        <v>2.15</v>
      </c>
      <c r="AD154" s="136">
        <f t="shared" si="58"/>
        <v>2.15</v>
      </c>
      <c r="AE154" s="136">
        <f t="shared" si="58"/>
        <v>2.15</v>
      </c>
      <c r="AF154" s="136">
        <f t="shared" si="58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59">AF156</f>
        <v>0.9</v>
      </c>
      <c r="C156" s="137">
        <v>0.9</v>
      </c>
      <c r="D156" s="136">
        <f t="shared" ref="D156:S168" si="60">C156</f>
        <v>0.9</v>
      </c>
      <c r="E156" s="136">
        <f t="shared" si="60"/>
        <v>0.9</v>
      </c>
      <c r="F156" s="136">
        <f t="shared" si="60"/>
        <v>0.9</v>
      </c>
      <c r="G156" s="136">
        <f t="shared" si="60"/>
        <v>0.9</v>
      </c>
      <c r="H156" s="136">
        <f t="shared" si="60"/>
        <v>0.9</v>
      </c>
      <c r="I156" s="136">
        <f t="shared" si="60"/>
        <v>0.9</v>
      </c>
      <c r="J156" s="136">
        <f t="shared" si="60"/>
        <v>0.9</v>
      </c>
      <c r="K156" s="136">
        <f t="shared" si="60"/>
        <v>0.9</v>
      </c>
      <c r="L156" s="136">
        <f t="shared" si="60"/>
        <v>0.9</v>
      </c>
      <c r="M156" s="136">
        <f t="shared" si="60"/>
        <v>0.9</v>
      </c>
      <c r="N156" s="136">
        <f t="shared" si="60"/>
        <v>0.9</v>
      </c>
      <c r="O156" s="136">
        <f t="shared" si="60"/>
        <v>0.9</v>
      </c>
      <c r="P156" s="136">
        <f t="shared" si="60"/>
        <v>0.9</v>
      </c>
      <c r="Q156" s="136">
        <f t="shared" si="60"/>
        <v>0.9</v>
      </c>
      <c r="R156" s="136">
        <f t="shared" si="60"/>
        <v>0.9</v>
      </c>
      <c r="S156" s="136">
        <f t="shared" si="60"/>
        <v>0.9</v>
      </c>
      <c r="T156" s="136">
        <f t="shared" ref="S156:AF168" si="61">S156</f>
        <v>0.9</v>
      </c>
      <c r="U156" s="136">
        <f t="shared" si="61"/>
        <v>0.9</v>
      </c>
      <c r="V156" s="136">
        <f t="shared" si="61"/>
        <v>0.9</v>
      </c>
      <c r="W156" s="136">
        <f t="shared" si="61"/>
        <v>0.9</v>
      </c>
      <c r="X156" s="136">
        <f t="shared" si="61"/>
        <v>0.9</v>
      </c>
      <c r="Y156" s="136">
        <f t="shared" si="61"/>
        <v>0.9</v>
      </c>
      <c r="Z156" s="136">
        <f t="shared" si="61"/>
        <v>0.9</v>
      </c>
      <c r="AA156" s="136">
        <f t="shared" si="61"/>
        <v>0.9</v>
      </c>
      <c r="AB156" s="136">
        <f t="shared" si="61"/>
        <v>0.9</v>
      </c>
      <c r="AC156" s="136">
        <f t="shared" si="61"/>
        <v>0.9</v>
      </c>
      <c r="AD156" s="136">
        <f t="shared" si="61"/>
        <v>0.9</v>
      </c>
      <c r="AE156" s="136">
        <f t="shared" si="61"/>
        <v>0.9</v>
      </c>
      <c r="AF156" s="136">
        <f t="shared" si="61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59"/>
        <v>1.08</v>
      </c>
      <c r="C157" s="137">
        <v>1.08</v>
      </c>
      <c r="D157" s="136">
        <f t="shared" si="60"/>
        <v>1.08</v>
      </c>
      <c r="E157" s="136">
        <f t="shared" si="60"/>
        <v>1.08</v>
      </c>
      <c r="F157" s="136">
        <f t="shared" si="60"/>
        <v>1.08</v>
      </c>
      <c r="G157" s="136">
        <f t="shared" si="60"/>
        <v>1.08</v>
      </c>
      <c r="H157" s="136">
        <f t="shared" si="60"/>
        <v>1.08</v>
      </c>
      <c r="I157" s="136">
        <f t="shared" si="60"/>
        <v>1.08</v>
      </c>
      <c r="J157" s="136">
        <f t="shared" si="60"/>
        <v>1.08</v>
      </c>
      <c r="K157" s="136">
        <f t="shared" si="60"/>
        <v>1.08</v>
      </c>
      <c r="L157" s="136">
        <f t="shared" si="60"/>
        <v>1.08</v>
      </c>
      <c r="M157" s="136">
        <f t="shared" si="60"/>
        <v>1.08</v>
      </c>
      <c r="N157" s="136">
        <f t="shared" si="60"/>
        <v>1.08</v>
      </c>
      <c r="O157" s="136">
        <f t="shared" si="60"/>
        <v>1.08</v>
      </c>
      <c r="P157" s="136">
        <f t="shared" si="60"/>
        <v>1.08</v>
      </c>
      <c r="Q157" s="136">
        <f t="shared" si="60"/>
        <v>1.08</v>
      </c>
      <c r="R157" s="136">
        <f t="shared" si="60"/>
        <v>1.08</v>
      </c>
      <c r="S157" s="136">
        <f t="shared" si="60"/>
        <v>1.08</v>
      </c>
      <c r="T157" s="136">
        <f t="shared" si="61"/>
        <v>1.08</v>
      </c>
      <c r="U157" s="136">
        <f t="shared" si="61"/>
        <v>1.08</v>
      </c>
      <c r="V157" s="136">
        <f t="shared" si="61"/>
        <v>1.08</v>
      </c>
      <c r="W157" s="136">
        <f t="shared" si="61"/>
        <v>1.08</v>
      </c>
      <c r="X157" s="136">
        <f t="shared" si="61"/>
        <v>1.08</v>
      </c>
      <c r="Y157" s="136">
        <f t="shared" si="61"/>
        <v>1.08</v>
      </c>
      <c r="Z157" s="136">
        <f t="shared" si="61"/>
        <v>1.08</v>
      </c>
      <c r="AA157" s="136">
        <f t="shared" si="61"/>
        <v>1.08</v>
      </c>
      <c r="AB157" s="136">
        <f t="shared" si="61"/>
        <v>1.08</v>
      </c>
      <c r="AC157" s="136">
        <f t="shared" si="61"/>
        <v>1.08</v>
      </c>
      <c r="AD157" s="136">
        <f t="shared" si="61"/>
        <v>1.08</v>
      </c>
      <c r="AE157" s="136">
        <f t="shared" si="61"/>
        <v>1.08</v>
      </c>
      <c r="AF157" s="136">
        <f t="shared" si="61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59"/>
        <v>2.37</v>
      </c>
      <c r="C158" s="137">
        <v>2.37</v>
      </c>
      <c r="D158" s="136">
        <f t="shared" si="60"/>
        <v>2.37</v>
      </c>
      <c r="E158" s="136">
        <f t="shared" si="60"/>
        <v>2.37</v>
      </c>
      <c r="F158" s="136">
        <f t="shared" si="60"/>
        <v>2.37</v>
      </c>
      <c r="G158" s="136">
        <f t="shared" si="60"/>
        <v>2.37</v>
      </c>
      <c r="H158" s="136">
        <f t="shared" si="60"/>
        <v>2.37</v>
      </c>
      <c r="I158" s="136">
        <f t="shared" si="60"/>
        <v>2.37</v>
      </c>
      <c r="J158" s="136">
        <f t="shared" si="60"/>
        <v>2.37</v>
      </c>
      <c r="K158" s="136">
        <f t="shared" si="60"/>
        <v>2.37</v>
      </c>
      <c r="L158" s="136">
        <f t="shared" si="60"/>
        <v>2.37</v>
      </c>
      <c r="M158" s="136">
        <f t="shared" si="60"/>
        <v>2.37</v>
      </c>
      <c r="N158" s="136">
        <f t="shared" si="60"/>
        <v>2.37</v>
      </c>
      <c r="O158" s="136">
        <f t="shared" si="60"/>
        <v>2.37</v>
      </c>
      <c r="P158" s="136">
        <f t="shared" si="60"/>
        <v>2.37</v>
      </c>
      <c r="Q158" s="136">
        <f t="shared" si="60"/>
        <v>2.37</v>
      </c>
      <c r="R158" s="136">
        <f t="shared" si="60"/>
        <v>2.37</v>
      </c>
      <c r="S158" s="136">
        <f t="shared" si="60"/>
        <v>2.37</v>
      </c>
      <c r="T158" s="136">
        <f t="shared" si="61"/>
        <v>2.37</v>
      </c>
      <c r="U158" s="136">
        <f t="shared" si="61"/>
        <v>2.37</v>
      </c>
      <c r="V158" s="136">
        <f t="shared" si="61"/>
        <v>2.37</v>
      </c>
      <c r="W158" s="136">
        <f t="shared" si="61"/>
        <v>2.37</v>
      </c>
      <c r="X158" s="136">
        <f t="shared" si="61"/>
        <v>2.37</v>
      </c>
      <c r="Y158" s="136">
        <f t="shared" si="61"/>
        <v>2.37</v>
      </c>
      <c r="Z158" s="136">
        <f t="shared" si="61"/>
        <v>2.37</v>
      </c>
      <c r="AA158" s="136">
        <f t="shared" si="61"/>
        <v>2.37</v>
      </c>
      <c r="AB158" s="136">
        <f t="shared" si="61"/>
        <v>2.37</v>
      </c>
      <c r="AC158" s="136">
        <f t="shared" si="61"/>
        <v>2.37</v>
      </c>
      <c r="AD158" s="136">
        <f t="shared" si="61"/>
        <v>2.37</v>
      </c>
      <c r="AE158" s="136">
        <f t="shared" si="61"/>
        <v>2.37</v>
      </c>
      <c r="AF158" s="136">
        <f t="shared" si="61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59"/>
        <v>1.81</v>
      </c>
      <c r="C159" s="137">
        <v>1.81</v>
      </c>
      <c r="D159" s="136">
        <f t="shared" si="60"/>
        <v>1.81</v>
      </c>
      <c r="E159" s="136">
        <f t="shared" si="60"/>
        <v>1.81</v>
      </c>
      <c r="F159" s="136">
        <f t="shared" si="60"/>
        <v>1.81</v>
      </c>
      <c r="G159" s="136">
        <f t="shared" si="60"/>
        <v>1.81</v>
      </c>
      <c r="H159" s="136">
        <f t="shared" si="60"/>
        <v>1.81</v>
      </c>
      <c r="I159" s="136">
        <f t="shared" si="60"/>
        <v>1.81</v>
      </c>
      <c r="J159" s="136">
        <f t="shared" si="60"/>
        <v>1.81</v>
      </c>
      <c r="K159" s="136">
        <f t="shared" si="60"/>
        <v>1.81</v>
      </c>
      <c r="L159" s="136">
        <f t="shared" si="60"/>
        <v>1.81</v>
      </c>
      <c r="M159" s="136">
        <f t="shared" si="60"/>
        <v>1.81</v>
      </c>
      <c r="N159" s="136">
        <f t="shared" si="60"/>
        <v>1.81</v>
      </c>
      <c r="O159" s="136">
        <f t="shared" si="60"/>
        <v>1.81</v>
      </c>
      <c r="P159" s="136">
        <f t="shared" si="60"/>
        <v>1.81</v>
      </c>
      <c r="Q159" s="136">
        <f t="shared" si="60"/>
        <v>1.81</v>
      </c>
      <c r="R159" s="136">
        <f t="shared" si="60"/>
        <v>1.81</v>
      </c>
      <c r="S159" s="136">
        <f t="shared" si="60"/>
        <v>1.81</v>
      </c>
      <c r="T159" s="136">
        <f t="shared" si="61"/>
        <v>1.81</v>
      </c>
      <c r="U159" s="136">
        <f t="shared" si="61"/>
        <v>1.81</v>
      </c>
      <c r="V159" s="136">
        <f t="shared" si="61"/>
        <v>1.81</v>
      </c>
      <c r="W159" s="136">
        <f t="shared" si="61"/>
        <v>1.81</v>
      </c>
      <c r="X159" s="136">
        <f t="shared" si="61"/>
        <v>1.81</v>
      </c>
      <c r="Y159" s="136">
        <f t="shared" si="61"/>
        <v>1.81</v>
      </c>
      <c r="Z159" s="136">
        <f t="shared" si="61"/>
        <v>1.81</v>
      </c>
      <c r="AA159" s="136">
        <f t="shared" si="61"/>
        <v>1.81</v>
      </c>
      <c r="AB159" s="136">
        <f t="shared" si="61"/>
        <v>1.81</v>
      </c>
      <c r="AC159" s="136">
        <f t="shared" si="61"/>
        <v>1.81</v>
      </c>
      <c r="AD159" s="136">
        <f t="shared" si="61"/>
        <v>1.81</v>
      </c>
      <c r="AE159" s="136">
        <f t="shared" si="61"/>
        <v>1.81</v>
      </c>
      <c r="AF159" s="136">
        <f t="shared" si="61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59"/>
        <v>1.0900000000000001</v>
      </c>
      <c r="C160" s="137">
        <v>1.0900000000000001</v>
      </c>
      <c r="D160" s="136">
        <f t="shared" si="60"/>
        <v>1.0900000000000001</v>
      </c>
      <c r="E160" s="136">
        <f t="shared" si="60"/>
        <v>1.0900000000000001</v>
      </c>
      <c r="F160" s="136">
        <f t="shared" si="60"/>
        <v>1.0900000000000001</v>
      </c>
      <c r="G160" s="136">
        <f t="shared" si="60"/>
        <v>1.0900000000000001</v>
      </c>
      <c r="H160" s="136">
        <f t="shared" si="60"/>
        <v>1.0900000000000001</v>
      </c>
      <c r="I160" s="136">
        <f t="shared" si="60"/>
        <v>1.0900000000000001</v>
      </c>
      <c r="J160" s="136">
        <f t="shared" si="60"/>
        <v>1.0900000000000001</v>
      </c>
      <c r="K160" s="136">
        <f t="shared" si="60"/>
        <v>1.0900000000000001</v>
      </c>
      <c r="L160" s="136">
        <f t="shared" si="60"/>
        <v>1.0900000000000001</v>
      </c>
      <c r="M160" s="136">
        <f t="shared" si="60"/>
        <v>1.0900000000000001</v>
      </c>
      <c r="N160" s="136">
        <f t="shared" si="60"/>
        <v>1.0900000000000001</v>
      </c>
      <c r="O160" s="136">
        <f t="shared" si="60"/>
        <v>1.0900000000000001</v>
      </c>
      <c r="P160" s="136">
        <f t="shared" si="60"/>
        <v>1.0900000000000001</v>
      </c>
      <c r="Q160" s="136">
        <f t="shared" si="60"/>
        <v>1.0900000000000001</v>
      </c>
      <c r="R160" s="136">
        <f t="shared" si="60"/>
        <v>1.0900000000000001</v>
      </c>
      <c r="S160" s="136">
        <f t="shared" si="60"/>
        <v>1.0900000000000001</v>
      </c>
      <c r="T160" s="136">
        <f t="shared" si="61"/>
        <v>1.0900000000000001</v>
      </c>
      <c r="U160" s="136">
        <f t="shared" si="61"/>
        <v>1.0900000000000001</v>
      </c>
      <c r="V160" s="136">
        <f t="shared" si="61"/>
        <v>1.0900000000000001</v>
      </c>
      <c r="W160" s="136">
        <f t="shared" si="61"/>
        <v>1.0900000000000001</v>
      </c>
      <c r="X160" s="136">
        <f t="shared" si="61"/>
        <v>1.0900000000000001</v>
      </c>
      <c r="Y160" s="136">
        <f t="shared" si="61"/>
        <v>1.0900000000000001</v>
      </c>
      <c r="Z160" s="136">
        <f t="shared" si="61"/>
        <v>1.0900000000000001</v>
      </c>
      <c r="AA160" s="136">
        <f t="shared" si="61"/>
        <v>1.0900000000000001</v>
      </c>
      <c r="AB160" s="136">
        <f t="shared" si="61"/>
        <v>1.0900000000000001</v>
      </c>
      <c r="AC160" s="136">
        <f t="shared" si="61"/>
        <v>1.0900000000000001</v>
      </c>
      <c r="AD160" s="136">
        <f t="shared" si="61"/>
        <v>1.0900000000000001</v>
      </c>
      <c r="AE160" s="136">
        <f t="shared" si="61"/>
        <v>1.0900000000000001</v>
      </c>
      <c r="AF160" s="136">
        <f t="shared" si="61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59"/>
        <v>1.58</v>
      </c>
      <c r="C161" s="137">
        <v>1.58</v>
      </c>
      <c r="D161" s="136">
        <f t="shared" si="60"/>
        <v>1.58</v>
      </c>
      <c r="E161" s="136">
        <f t="shared" si="60"/>
        <v>1.58</v>
      </c>
      <c r="F161" s="136">
        <f t="shared" si="60"/>
        <v>1.58</v>
      </c>
      <c r="G161" s="136">
        <f t="shared" si="60"/>
        <v>1.58</v>
      </c>
      <c r="H161" s="136">
        <f t="shared" si="60"/>
        <v>1.58</v>
      </c>
      <c r="I161" s="136">
        <f t="shared" si="60"/>
        <v>1.58</v>
      </c>
      <c r="J161" s="136">
        <f t="shared" si="60"/>
        <v>1.58</v>
      </c>
      <c r="K161" s="136">
        <f t="shared" si="60"/>
        <v>1.58</v>
      </c>
      <c r="L161" s="136">
        <f t="shared" si="60"/>
        <v>1.58</v>
      </c>
      <c r="M161" s="136">
        <f t="shared" si="60"/>
        <v>1.58</v>
      </c>
      <c r="N161" s="136">
        <f t="shared" si="60"/>
        <v>1.58</v>
      </c>
      <c r="O161" s="136">
        <f t="shared" si="60"/>
        <v>1.58</v>
      </c>
      <c r="P161" s="136">
        <f t="shared" si="60"/>
        <v>1.58</v>
      </c>
      <c r="Q161" s="136">
        <f t="shared" si="60"/>
        <v>1.58</v>
      </c>
      <c r="R161" s="136">
        <f t="shared" si="60"/>
        <v>1.58</v>
      </c>
      <c r="S161" s="136">
        <f t="shared" si="60"/>
        <v>1.58</v>
      </c>
      <c r="T161" s="136">
        <f t="shared" si="61"/>
        <v>1.58</v>
      </c>
      <c r="U161" s="136">
        <f t="shared" si="61"/>
        <v>1.58</v>
      </c>
      <c r="V161" s="136">
        <f t="shared" si="61"/>
        <v>1.58</v>
      </c>
      <c r="W161" s="136">
        <f t="shared" si="61"/>
        <v>1.58</v>
      </c>
      <c r="X161" s="136">
        <f t="shared" si="61"/>
        <v>1.58</v>
      </c>
      <c r="Y161" s="136">
        <f t="shared" si="61"/>
        <v>1.58</v>
      </c>
      <c r="Z161" s="136">
        <f t="shared" si="61"/>
        <v>1.58</v>
      </c>
      <c r="AA161" s="136">
        <f t="shared" si="61"/>
        <v>1.58</v>
      </c>
      <c r="AB161" s="136">
        <f t="shared" si="61"/>
        <v>1.58</v>
      </c>
      <c r="AC161" s="136">
        <f t="shared" si="61"/>
        <v>1.58</v>
      </c>
      <c r="AD161" s="136">
        <f t="shared" si="61"/>
        <v>1.58</v>
      </c>
      <c r="AE161" s="136">
        <f t="shared" si="61"/>
        <v>1.58</v>
      </c>
      <c r="AF161" s="136">
        <f t="shared" si="61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59"/>
        <v>2</v>
      </c>
      <c r="C162" s="137">
        <v>2</v>
      </c>
      <c r="D162" s="136">
        <f t="shared" si="60"/>
        <v>2</v>
      </c>
      <c r="E162" s="136">
        <f t="shared" si="60"/>
        <v>2</v>
      </c>
      <c r="F162" s="136">
        <f t="shared" si="60"/>
        <v>2</v>
      </c>
      <c r="G162" s="136">
        <f t="shared" si="60"/>
        <v>2</v>
      </c>
      <c r="H162" s="136">
        <f t="shared" si="60"/>
        <v>2</v>
      </c>
      <c r="I162" s="136">
        <f t="shared" si="60"/>
        <v>2</v>
      </c>
      <c r="J162" s="136">
        <f t="shared" si="60"/>
        <v>2</v>
      </c>
      <c r="K162" s="136">
        <f t="shared" si="60"/>
        <v>2</v>
      </c>
      <c r="L162" s="136">
        <f t="shared" si="60"/>
        <v>2</v>
      </c>
      <c r="M162" s="136">
        <f t="shared" si="60"/>
        <v>2</v>
      </c>
      <c r="N162" s="136">
        <f t="shared" si="60"/>
        <v>2</v>
      </c>
      <c r="O162" s="136">
        <f t="shared" si="60"/>
        <v>2</v>
      </c>
      <c r="P162" s="136">
        <f t="shared" si="60"/>
        <v>2</v>
      </c>
      <c r="Q162" s="136">
        <f t="shared" si="60"/>
        <v>2</v>
      </c>
      <c r="R162" s="136">
        <f t="shared" si="60"/>
        <v>2</v>
      </c>
      <c r="S162" s="136">
        <f t="shared" si="60"/>
        <v>2</v>
      </c>
      <c r="T162" s="136">
        <f t="shared" si="61"/>
        <v>2</v>
      </c>
      <c r="U162" s="136">
        <f t="shared" si="61"/>
        <v>2</v>
      </c>
      <c r="V162" s="136">
        <f t="shared" si="61"/>
        <v>2</v>
      </c>
      <c r="W162" s="136">
        <f t="shared" si="61"/>
        <v>2</v>
      </c>
      <c r="X162" s="136">
        <f t="shared" si="61"/>
        <v>2</v>
      </c>
      <c r="Y162" s="136">
        <f t="shared" si="61"/>
        <v>2</v>
      </c>
      <c r="Z162" s="136">
        <f t="shared" si="61"/>
        <v>2</v>
      </c>
      <c r="AA162" s="136">
        <f t="shared" si="61"/>
        <v>2</v>
      </c>
      <c r="AB162" s="136">
        <f t="shared" si="61"/>
        <v>2</v>
      </c>
      <c r="AC162" s="136">
        <f t="shared" si="61"/>
        <v>2</v>
      </c>
      <c r="AD162" s="136">
        <f t="shared" si="61"/>
        <v>2</v>
      </c>
      <c r="AE162" s="136">
        <f t="shared" si="61"/>
        <v>2</v>
      </c>
      <c r="AF162" s="136">
        <f t="shared" si="61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59"/>
        <v>0.47</v>
      </c>
      <c r="C163" s="137">
        <v>0.47</v>
      </c>
      <c r="D163" s="136">
        <f t="shared" si="60"/>
        <v>0.47</v>
      </c>
      <c r="E163" s="136">
        <f t="shared" si="60"/>
        <v>0.47</v>
      </c>
      <c r="F163" s="136">
        <f t="shared" si="60"/>
        <v>0.47</v>
      </c>
      <c r="G163" s="136">
        <f t="shared" si="60"/>
        <v>0.47</v>
      </c>
      <c r="H163" s="136">
        <f t="shared" si="60"/>
        <v>0.47</v>
      </c>
      <c r="I163" s="136">
        <f t="shared" si="60"/>
        <v>0.47</v>
      </c>
      <c r="J163" s="136">
        <f t="shared" si="60"/>
        <v>0.47</v>
      </c>
      <c r="K163" s="136">
        <f t="shared" si="60"/>
        <v>0.47</v>
      </c>
      <c r="L163" s="136">
        <f t="shared" si="60"/>
        <v>0.47</v>
      </c>
      <c r="M163" s="136">
        <f t="shared" si="60"/>
        <v>0.47</v>
      </c>
      <c r="N163" s="136">
        <f t="shared" si="60"/>
        <v>0.47</v>
      </c>
      <c r="O163" s="136">
        <f t="shared" si="60"/>
        <v>0.47</v>
      </c>
      <c r="P163" s="136">
        <f t="shared" si="60"/>
        <v>0.47</v>
      </c>
      <c r="Q163" s="136">
        <f t="shared" si="60"/>
        <v>0.47</v>
      </c>
      <c r="R163" s="136">
        <f t="shared" si="60"/>
        <v>0.47</v>
      </c>
      <c r="S163" s="136">
        <f t="shared" si="60"/>
        <v>0.47</v>
      </c>
      <c r="T163" s="136">
        <f t="shared" si="61"/>
        <v>0.47</v>
      </c>
      <c r="U163" s="136">
        <f t="shared" si="61"/>
        <v>0.47</v>
      </c>
      <c r="V163" s="136">
        <f t="shared" si="61"/>
        <v>0.47</v>
      </c>
      <c r="W163" s="136">
        <f t="shared" si="61"/>
        <v>0.47</v>
      </c>
      <c r="X163" s="136">
        <f t="shared" si="61"/>
        <v>0.47</v>
      </c>
      <c r="Y163" s="136">
        <f t="shared" si="61"/>
        <v>0.47</v>
      </c>
      <c r="Z163" s="136">
        <f t="shared" si="61"/>
        <v>0.47</v>
      </c>
      <c r="AA163" s="136">
        <f t="shared" si="61"/>
        <v>0.47</v>
      </c>
      <c r="AB163" s="136">
        <f t="shared" si="61"/>
        <v>0.47</v>
      </c>
      <c r="AC163" s="136">
        <f t="shared" si="61"/>
        <v>0.47</v>
      </c>
      <c r="AD163" s="136">
        <f t="shared" si="61"/>
        <v>0.47</v>
      </c>
      <c r="AE163" s="136">
        <f t="shared" si="61"/>
        <v>0.47</v>
      </c>
      <c r="AF163" s="136">
        <f t="shared" si="61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59"/>
        <v>0</v>
      </c>
      <c r="C164" s="137">
        <v>0</v>
      </c>
      <c r="D164" s="136">
        <f t="shared" si="60"/>
        <v>0</v>
      </c>
      <c r="E164" s="136">
        <f t="shared" si="60"/>
        <v>0</v>
      </c>
      <c r="F164" s="136">
        <f t="shared" si="60"/>
        <v>0</v>
      </c>
      <c r="G164" s="136">
        <f t="shared" si="60"/>
        <v>0</v>
      </c>
      <c r="H164" s="136">
        <f t="shared" si="60"/>
        <v>0</v>
      </c>
      <c r="I164" s="136">
        <f t="shared" si="60"/>
        <v>0</v>
      </c>
      <c r="J164" s="136">
        <f t="shared" si="60"/>
        <v>0</v>
      </c>
      <c r="K164" s="136">
        <f t="shared" si="60"/>
        <v>0</v>
      </c>
      <c r="L164" s="136">
        <f t="shared" si="60"/>
        <v>0</v>
      </c>
      <c r="M164" s="136">
        <f t="shared" si="60"/>
        <v>0</v>
      </c>
      <c r="N164" s="136">
        <f t="shared" si="60"/>
        <v>0</v>
      </c>
      <c r="O164" s="136">
        <f t="shared" si="60"/>
        <v>0</v>
      </c>
      <c r="P164" s="136">
        <f t="shared" si="60"/>
        <v>0</v>
      </c>
      <c r="Q164" s="136">
        <f t="shared" si="60"/>
        <v>0</v>
      </c>
      <c r="R164" s="136">
        <f t="shared" si="60"/>
        <v>0</v>
      </c>
      <c r="S164" s="136">
        <f t="shared" si="60"/>
        <v>0</v>
      </c>
      <c r="T164" s="136">
        <f t="shared" si="61"/>
        <v>0</v>
      </c>
      <c r="U164" s="136">
        <f t="shared" si="61"/>
        <v>0</v>
      </c>
      <c r="V164" s="136">
        <f t="shared" si="61"/>
        <v>0</v>
      </c>
      <c r="W164" s="136">
        <f t="shared" si="61"/>
        <v>0</v>
      </c>
      <c r="X164" s="136">
        <f t="shared" si="61"/>
        <v>0</v>
      </c>
      <c r="Y164" s="136">
        <f t="shared" si="61"/>
        <v>0</v>
      </c>
      <c r="Z164" s="136">
        <f t="shared" si="61"/>
        <v>0</v>
      </c>
      <c r="AA164" s="136">
        <f t="shared" si="61"/>
        <v>0</v>
      </c>
      <c r="AB164" s="136">
        <f t="shared" si="61"/>
        <v>0</v>
      </c>
      <c r="AC164" s="136">
        <f t="shared" si="61"/>
        <v>0</v>
      </c>
      <c r="AD164" s="136">
        <f t="shared" si="61"/>
        <v>0</v>
      </c>
      <c r="AE164" s="136">
        <f t="shared" si="61"/>
        <v>0</v>
      </c>
      <c r="AF164" s="136">
        <f t="shared" si="61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59"/>
        <v>0</v>
      </c>
      <c r="C165" s="137">
        <v>0</v>
      </c>
      <c r="D165" s="136">
        <f t="shared" si="60"/>
        <v>0</v>
      </c>
      <c r="E165" s="136">
        <f t="shared" si="60"/>
        <v>0</v>
      </c>
      <c r="F165" s="136">
        <f t="shared" si="60"/>
        <v>0</v>
      </c>
      <c r="G165" s="136">
        <f t="shared" si="60"/>
        <v>0</v>
      </c>
      <c r="H165" s="136">
        <f t="shared" si="60"/>
        <v>0</v>
      </c>
      <c r="I165" s="136">
        <f t="shared" si="60"/>
        <v>0</v>
      </c>
      <c r="J165" s="136">
        <f t="shared" si="60"/>
        <v>0</v>
      </c>
      <c r="K165" s="136">
        <f t="shared" si="60"/>
        <v>0</v>
      </c>
      <c r="L165" s="136">
        <f t="shared" si="60"/>
        <v>0</v>
      </c>
      <c r="M165" s="136">
        <f t="shared" si="60"/>
        <v>0</v>
      </c>
      <c r="N165" s="136">
        <f t="shared" si="60"/>
        <v>0</v>
      </c>
      <c r="O165" s="136">
        <f t="shared" si="60"/>
        <v>0</v>
      </c>
      <c r="P165" s="136">
        <f t="shared" si="60"/>
        <v>0</v>
      </c>
      <c r="Q165" s="136">
        <f t="shared" si="60"/>
        <v>0</v>
      </c>
      <c r="R165" s="136">
        <f t="shared" si="60"/>
        <v>0</v>
      </c>
      <c r="S165" s="136">
        <f t="shared" si="61"/>
        <v>0</v>
      </c>
      <c r="T165" s="136">
        <f t="shared" si="61"/>
        <v>0</v>
      </c>
      <c r="U165" s="136">
        <f t="shared" si="61"/>
        <v>0</v>
      </c>
      <c r="V165" s="136">
        <f t="shared" si="61"/>
        <v>0</v>
      </c>
      <c r="W165" s="136">
        <f t="shared" si="61"/>
        <v>0</v>
      </c>
      <c r="X165" s="136">
        <f t="shared" si="61"/>
        <v>0</v>
      </c>
      <c r="Y165" s="136">
        <f t="shared" si="61"/>
        <v>0</v>
      </c>
      <c r="Z165" s="136">
        <f t="shared" si="61"/>
        <v>0</v>
      </c>
      <c r="AA165" s="136">
        <f t="shared" si="61"/>
        <v>0</v>
      </c>
      <c r="AB165" s="136">
        <f t="shared" si="61"/>
        <v>0</v>
      </c>
      <c r="AC165" s="136">
        <f t="shared" si="61"/>
        <v>0</v>
      </c>
      <c r="AD165" s="136">
        <f t="shared" si="61"/>
        <v>0</v>
      </c>
      <c r="AE165" s="136">
        <f t="shared" si="61"/>
        <v>0</v>
      </c>
      <c r="AF165" s="136">
        <f t="shared" si="61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59"/>
        <v>0.8</v>
      </c>
      <c r="C166" s="137">
        <v>0.8</v>
      </c>
      <c r="D166" s="136">
        <f t="shared" si="60"/>
        <v>0.8</v>
      </c>
      <c r="E166" s="136">
        <f t="shared" si="60"/>
        <v>0.8</v>
      </c>
      <c r="F166" s="136">
        <f t="shared" si="60"/>
        <v>0.8</v>
      </c>
      <c r="G166" s="136">
        <f t="shared" si="60"/>
        <v>0.8</v>
      </c>
      <c r="H166" s="136">
        <f t="shared" si="60"/>
        <v>0.8</v>
      </c>
      <c r="I166" s="136">
        <f t="shared" si="60"/>
        <v>0.8</v>
      </c>
      <c r="J166" s="136">
        <f t="shared" si="60"/>
        <v>0.8</v>
      </c>
      <c r="K166" s="136">
        <f t="shared" si="60"/>
        <v>0.8</v>
      </c>
      <c r="L166" s="136">
        <f t="shared" si="60"/>
        <v>0.8</v>
      </c>
      <c r="M166" s="136">
        <f t="shared" si="60"/>
        <v>0.8</v>
      </c>
      <c r="N166" s="136">
        <f t="shared" si="60"/>
        <v>0.8</v>
      </c>
      <c r="O166" s="136">
        <f t="shared" si="60"/>
        <v>0.8</v>
      </c>
      <c r="P166" s="136">
        <f t="shared" si="60"/>
        <v>0.8</v>
      </c>
      <c r="Q166" s="136">
        <f t="shared" si="60"/>
        <v>0.8</v>
      </c>
      <c r="R166" s="136">
        <f t="shared" si="60"/>
        <v>0.8</v>
      </c>
      <c r="S166" s="136">
        <f t="shared" si="61"/>
        <v>0.8</v>
      </c>
      <c r="T166" s="136">
        <f t="shared" si="61"/>
        <v>0.8</v>
      </c>
      <c r="U166" s="136">
        <f t="shared" si="61"/>
        <v>0.8</v>
      </c>
      <c r="V166" s="136">
        <f t="shared" si="61"/>
        <v>0.8</v>
      </c>
      <c r="W166" s="136">
        <f t="shared" si="61"/>
        <v>0.8</v>
      </c>
      <c r="X166" s="136">
        <f t="shared" si="61"/>
        <v>0.8</v>
      </c>
      <c r="Y166" s="136">
        <f t="shared" si="61"/>
        <v>0.8</v>
      </c>
      <c r="Z166" s="136">
        <f t="shared" si="61"/>
        <v>0.8</v>
      </c>
      <c r="AA166" s="136">
        <f t="shared" si="61"/>
        <v>0.8</v>
      </c>
      <c r="AB166" s="136">
        <f t="shared" si="61"/>
        <v>0.8</v>
      </c>
      <c r="AC166" s="136">
        <f t="shared" si="61"/>
        <v>0.8</v>
      </c>
      <c r="AD166" s="136">
        <f t="shared" si="61"/>
        <v>0.8</v>
      </c>
      <c r="AE166" s="136">
        <f t="shared" si="61"/>
        <v>0.8</v>
      </c>
      <c r="AF166" s="136">
        <f t="shared" si="61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59"/>
        <v>1.5</v>
      </c>
      <c r="C167" s="137">
        <v>1.5</v>
      </c>
      <c r="D167" s="136">
        <f t="shared" si="60"/>
        <v>1.5</v>
      </c>
      <c r="E167" s="136">
        <f t="shared" si="60"/>
        <v>1.5</v>
      </c>
      <c r="F167" s="136">
        <f t="shared" si="60"/>
        <v>1.5</v>
      </c>
      <c r="G167" s="136">
        <f t="shared" si="60"/>
        <v>1.5</v>
      </c>
      <c r="H167" s="136">
        <f t="shared" si="60"/>
        <v>1.5</v>
      </c>
      <c r="I167" s="136">
        <f t="shared" si="60"/>
        <v>1.5</v>
      </c>
      <c r="J167" s="136">
        <f t="shared" si="60"/>
        <v>1.5</v>
      </c>
      <c r="K167" s="136">
        <f t="shared" si="60"/>
        <v>1.5</v>
      </c>
      <c r="L167" s="136">
        <f t="shared" si="60"/>
        <v>1.5</v>
      </c>
      <c r="M167" s="136">
        <f t="shared" si="60"/>
        <v>1.5</v>
      </c>
      <c r="N167" s="136">
        <f t="shared" si="60"/>
        <v>1.5</v>
      </c>
      <c r="O167" s="136">
        <f t="shared" si="60"/>
        <v>1.5</v>
      </c>
      <c r="P167" s="136">
        <f t="shared" si="60"/>
        <v>1.5</v>
      </c>
      <c r="Q167" s="136">
        <f t="shared" si="60"/>
        <v>1.5</v>
      </c>
      <c r="R167" s="136">
        <f t="shared" si="60"/>
        <v>1.5</v>
      </c>
      <c r="S167" s="136">
        <f t="shared" si="61"/>
        <v>1.5</v>
      </c>
      <c r="T167" s="136">
        <f t="shared" si="61"/>
        <v>1.5</v>
      </c>
      <c r="U167" s="136">
        <f t="shared" si="61"/>
        <v>1.5</v>
      </c>
      <c r="V167" s="136">
        <f t="shared" si="61"/>
        <v>1.5</v>
      </c>
      <c r="W167" s="136">
        <f t="shared" si="61"/>
        <v>1.5</v>
      </c>
      <c r="X167" s="136">
        <f t="shared" si="61"/>
        <v>1.5</v>
      </c>
      <c r="Y167" s="136">
        <f t="shared" si="61"/>
        <v>1.5</v>
      </c>
      <c r="Z167" s="136">
        <f t="shared" si="61"/>
        <v>1.5</v>
      </c>
      <c r="AA167" s="136">
        <f t="shared" si="61"/>
        <v>1.5</v>
      </c>
      <c r="AB167" s="136">
        <f t="shared" si="61"/>
        <v>1.5</v>
      </c>
      <c r="AC167" s="136">
        <f t="shared" si="61"/>
        <v>1.5</v>
      </c>
      <c r="AD167" s="136">
        <f t="shared" si="61"/>
        <v>1.5</v>
      </c>
      <c r="AE167" s="136">
        <f t="shared" si="61"/>
        <v>1.5</v>
      </c>
      <c r="AF167" s="136">
        <f t="shared" si="61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59"/>
        <v>1</v>
      </c>
      <c r="C168" s="137">
        <v>1</v>
      </c>
      <c r="D168" s="136">
        <f t="shared" si="60"/>
        <v>1</v>
      </c>
      <c r="E168" s="136">
        <f t="shared" si="60"/>
        <v>1</v>
      </c>
      <c r="F168" s="136">
        <f t="shared" si="60"/>
        <v>1</v>
      </c>
      <c r="G168" s="136">
        <f t="shared" si="60"/>
        <v>1</v>
      </c>
      <c r="H168" s="136">
        <f t="shared" si="60"/>
        <v>1</v>
      </c>
      <c r="I168" s="136">
        <f t="shared" si="60"/>
        <v>1</v>
      </c>
      <c r="J168" s="136">
        <f t="shared" si="60"/>
        <v>1</v>
      </c>
      <c r="K168" s="136">
        <f t="shared" si="60"/>
        <v>1</v>
      </c>
      <c r="L168" s="136">
        <f t="shared" si="60"/>
        <v>1</v>
      </c>
      <c r="M168" s="136">
        <f t="shared" si="60"/>
        <v>1</v>
      </c>
      <c r="N168" s="136">
        <f t="shared" si="60"/>
        <v>1</v>
      </c>
      <c r="O168" s="136">
        <f t="shared" si="60"/>
        <v>1</v>
      </c>
      <c r="P168" s="136">
        <f t="shared" si="60"/>
        <v>1</v>
      </c>
      <c r="Q168" s="136">
        <f t="shared" si="60"/>
        <v>1</v>
      </c>
      <c r="R168" s="136">
        <f t="shared" si="60"/>
        <v>1</v>
      </c>
      <c r="S168" s="136">
        <f t="shared" si="61"/>
        <v>1</v>
      </c>
      <c r="T168" s="136">
        <f t="shared" si="61"/>
        <v>1</v>
      </c>
      <c r="U168" s="136">
        <f t="shared" si="61"/>
        <v>1</v>
      </c>
      <c r="V168" s="136">
        <f t="shared" si="61"/>
        <v>1</v>
      </c>
      <c r="W168" s="136">
        <f t="shared" si="61"/>
        <v>1</v>
      </c>
      <c r="X168" s="136">
        <f t="shared" si="61"/>
        <v>1</v>
      </c>
      <c r="Y168" s="136">
        <f t="shared" si="61"/>
        <v>1</v>
      </c>
      <c r="Z168" s="136">
        <f t="shared" si="61"/>
        <v>1</v>
      </c>
      <c r="AA168" s="136">
        <f t="shared" si="61"/>
        <v>1</v>
      </c>
      <c r="AB168" s="136">
        <f t="shared" si="61"/>
        <v>1</v>
      </c>
      <c r="AC168" s="136">
        <f t="shared" si="61"/>
        <v>1</v>
      </c>
      <c r="AD168" s="136">
        <f t="shared" si="61"/>
        <v>1</v>
      </c>
      <c r="AE168" s="136">
        <f t="shared" si="61"/>
        <v>1</v>
      </c>
      <c r="AF168" s="136">
        <f t="shared" si="61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62">AF170</f>
        <v>1</v>
      </c>
      <c r="C170" s="137">
        <v>1</v>
      </c>
      <c r="D170" s="136">
        <f t="shared" ref="D170:S177" si="63">C170</f>
        <v>1</v>
      </c>
      <c r="E170" s="136">
        <f t="shared" si="63"/>
        <v>1</v>
      </c>
      <c r="F170" s="136">
        <f t="shared" si="63"/>
        <v>1</v>
      </c>
      <c r="G170" s="136">
        <f t="shared" si="63"/>
        <v>1</v>
      </c>
      <c r="H170" s="136">
        <f t="shared" si="63"/>
        <v>1</v>
      </c>
      <c r="I170" s="136">
        <f t="shared" si="63"/>
        <v>1</v>
      </c>
      <c r="J170" s="136">
        <f t="shared" si="63"/>
        <v>1</v>
      </c>
      <c r="K170" s="136">
        <f t="shared" si="63"/>
        <v>1</v>
      </c>
      <c r="L170" s="136">
        <f t="shared" si="63"/>
        <v>1</v>
      </c>
      <c r="M170" s="136">
        <f t="shared" si="63"/>
        <v>1</v>
      </c>
      <c r="N170" s="136">
        <f t="shared" si="63"/>
        <v>1</v>
      </c>
      <c r="O170" s="136">
        <f t="shared" si="63"/>
        <v>1</v>
      </c>
      <c r="P170" s="136">
        <f t="shared" si="63"/>
        <v>1</v>
      </c>
      <c r="Q170" s="136">
        <f t="shared" si="63"/>
        <v>1</v>
      </c>
      <c r="R170" s="136">
        <f t="shared" si="63"/>
        <v>1</v>
      </c>
      <c r="S170" s="136">
        <f t="shared" si="63"/>
        <v>1</v>
      </c>
      <c r="T170" s="136">
        <f t="shared" ref="S170:AF177" si="64">S170</f>
        <v>1</v>
      </c>
      <c r="U170" s="136">
        <f t="shared" si="64"/>
        <v>1</v>
      </c>
      <c r="V170" s="136">
        <f t="shared" si="64"/>
        <v>1</v>
      </c>
      <c r="W170" s="136">
        <f t="shared" si="64"/>
        <v>1</v>
      </c>
      <c r="X170" s="136">
        <f t="shared" si="64"/>
        <v>1</v>
      </c>
      <c r="Y170" s="136">
        <f t="shared" si="64"/>
        <v>1</v>
      </c>
      <c r="Z170" s="136">
        <f t="shared" si="64"/>
        <v>1</v>
      </c>
      <c r="AA170" s="136">
        <f t="shared" si="64"/>
        <v>1</v>
      </c>
      <c r="AB170" s="136">
        <f t="shared" si="64"/>
        <v>1</v>
      </c>
      <c r="AC170" s="136">
        <f t="shared" si="64"/>
        <v>1</v>
      </c>
      <c r="AD170" s="136">
        <f t="shared" si="64"/>
        <v>1</v>
      </c>
      <c r="AE170" s="136">
        <f t="shared" si="64"/>
        <v>1</v>
      </c>
      <c r="AF170" s="136">
        <f t="shared" si="64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62"/>
        <v>0.42</v>
      </c>
      <c r="C171" s="137">
        <v>0.42</v>
      </c>
      <c r="D171" s="136">
        <f t="shared" si="63"/>
        <v>0.42</v>
      </c>
      <c r="E171" s="136">
        <f t="shared" si="63"/>
        <v>0.42</v>
      </c>
      <c r="F171" s="136">
        <f t="shared" si="63"/>
        <v>0.42</v>
      </c>
      <c r="G171" s="136">
        <f t="shared" si="63"/>
        <v>0.42</v>
      </c>
      <c r="H171" s="136">
        <f t="shared" si="63"/>
        <v>0.42</v>
      </c>
      <c r="I171" s="136">
        <f t="shared" si="63"/>
        <v>0.42</v>
      </c>
      <c r="J171" s="136">
        <f t="shared" si="63"/>
        <v>0.42</v>
      </c>
      <c r="K171" s="136">
        <f t="shared" si="63"/>
        <v>0.42</v>
      </c>
      <c r="L171" s="136">
        <f t="shared" si="63"/>
        <v>0.42</v>
      </c>
      <c r="M171" s="136">
        <f t="shared" si="63"/>
        <v>0.42</v>
      </c>
      <c r="N171" s="136">
        <f t="shared" si="63"/>
        <v>0.42</v>
      </c>
      <c r="O171" s="136">
        <f t="shared" si="63"/>
        <v>0.42</v>
      </c>
      <c r="P171" s="136">
        <f t="shared" si="63"/>
        <v>0.42</v>
      </c>
      <c r="Q171" s="136">
        <f t="shared" si="63"/>
        <v>0.42</v>
      </c>
      <c r="R171" s="136">
        <f t="shared" si="63"/>
        <v>0.42</v>
      </c>
      <c r="S171" s="136">
        <f t="shared" si="64"/>
        <v>0.42</v>
      </c>
      <c r="T171" s="136">
        <f t="shared" si="64"/>
        <v>0.42</v>
      </c>
      <c r="U171" s="136">
        <f t="shared" si="64"/>
        <v>0.42</v>
      </c>
      <c r="V171" s="136">
        <f t="shared" si="64"/>
        <v>0.42</v>
      </c>
      <c r="W171" s="136">
        <f t="shared" si="64"/>
        <v>0.42</v>
      </c>
      <c r="X171" s="136">
        <f t="shared" si="64"/>
        <v>0.42</v>
      </c>
      <c r="Y171" s="136">
        <f t="shared" si="64"/>
        <v>0.42</v>
      </c>
      <c r="Z171" s="136">
        <f t="shared" si="64"/>
        <v>0.42</v>
      </c>
      <c r="AA171" s="136">
        <f t="shared" si="64"/>
        <v>0.42</v>
      </c>
      <c r="AB171" s="136">
        <f t="shared" si="64"/>
        <v>0.42</v>
      </c>
      <c r="AC171" s="136">
        <f t="shared" si="64"/>
        <v>0.42</v>
      </c>
      <c r="AD171" s="136">
        <f t="shared" si="64"/>
        <v>0.42</v>
      </c>
      <c r="AE171" s="136">
        <f t="shared" si="64"/>
        <v>0.42</v>
      </c>
      <c r="AF171" s="136">
        <f t="shared" si="64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62"/>
        <v>0.46</v>
      </c>
      <c r="C172" s="137">
        <v>0.46</v>
      </c>
      <c r="D172" s="136">
        <f t="shared" si="63"/>
        <v>0.46</v>
      </c>
      <c r="E172" s="136">
        <f t="shared" si="63"/>
        <v>0.46</v>
      </c>
      <c r="F172" s="136">
        <f t="shared" si="63"/>
        <v>0.46</v>
      </c>
      <c r="G172" s="136">
        <f t="shared" si="63"/>
        <v>0.46</v>
      </c>
      <c r="H172" s="136">
        <f t="shared" si="63"/>
        <v>0.46</v>
      </c>
      <c r="I172" s="136">
        <f t="shared" si="63"/>
        <v>0.46</v>
      </c>
      <c r="J172" s="136">
        <f t="shared" si="63"/>
        <v>0.46</v>
      </c>
      <c r="K172" s="136">
        <f t="shared" si="63"/>
        <v>0.46</v>
      </c>
      <c r="L172" s="136">
        <f t="shared" si="63"/>
        <v>0.46</v>
      </c>
      <c r="M172" s="136">
        <f t="shared" si="63"/>
        <v>0.46</v>
      </c>
      <c r="N172" s="136">
        <f t="shared" si="63"/>
        <v>0.46</v>
      </c>
      <c r="O172" s="136">
        <f t="shared" si="63"/>
        <v>0.46</v>
      </c>
      <c r="P172" s="136">
        <f t="shared" si="63"/>
        <v>0.46</v>
      </c>
      <c r="Q172" s="136">
        <f t="shared" si="63"/>
        <v>0.46</v>
      </c>
      <c r="R172" s="136">
        <f t="shared" si="63"/>
        <v>0.46</v>
      </c>
      <c r="S172" s="136">
        <f t="shared" si="64"/>
        <v>0.46</v>
      </c>
      <c r="T172" s="136">
        <f t="shared" si="64"/>
        <v>0.46</v>
      </c>
      <c r="U172" s="136">
        <f t="shared" si="64"/>
        <v>0.46</v>
      </c>
      <c r="V172" s="136">
        <f t="shared" si="64"/>
        <v>0.46</v>
      </c>
      <c r="W172" s="136">
        <f t="shared" si="64"/>
        <v>0.46</v>
      </c>
      <c r="X172" s="136">
        <f t="shared" si="64"/>
        <v>0.46</v>
      </c>
      <c r="Y172" s="136">
        <f t="shared" si="64"/>
        <v>0.46</v>
      </c>
      <c r="Z172" s="136">
        <f t="shared" si="64"/>
        <v>0.46</v>
      </c>
      <c r="AA172" s="136">
        <f t="shared" si="64"/>
        <v>0.46</v>
      </c>
      <c r="AB172" s="136">
        <f t="shared" si="64"/>
        <v>0.46</v>
      </c>
      <c r="AC172" s="136">
        <f t="shared" si="64"/>
        <v>0.46</v>
      </c>
      <c r="AD172" s="136">
        <f t="shared" si="64"/>
        <v>0.46</v>
      </c>
      <c r="AE172" s="136">
        <f t="shared" si="64"/>
        <v>0.46</v>
      </c>
      <c r="AF172" s="136">
        <f t="shared" si="64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62"/>
        <v>0.85</v>
      </c>
      <c r="C173" s="137">
        <v>0.85</v>
      </c>
      <c r="D173" s="136">
        <f t="shared" si="63"/>
        <v>0.85</v>
      </c>
      <c r="E173" s="136">
        <f t="shared" si="63"/>
        <v>0.85</v>
      </c>
      <c r="F173" s="136">
        <f t="shared" si="63"/>
        <v>0.85</v>
      </c>
      <c r="G173" s="136">
        <f t="shared" si="63"/>
        <v>0.85</v>
      </c>
      <c r="H173" s="136">
        <f t="shared" si="63"/>
        <v>0.85</v>
      </c>
      <c r="I173" s="136">
        <f t="shared" si="63"/>
        <v>0.85</v>
      </c>
      <c r="J173" s="136">
        <f t="shared" si="63"/>
        <v>0.85</v>
      </c>
      <c r="K173" s="136">
        <f t="shared" si="63"/>
        <v>0.85</v>
      </c>
      <c r="L173" s="136">
        <f t="shared" si="63"/>
        <v>0.85</v>
      </c>
      <c r="M173" s="136">
        <f t="shared" si="63"/>
        <v>0.85</v>
      </c>
      <c r="N173" s="136">
        <f t="shared" si="63"/>
        <v>0.85</v>
      </c>
      <c r="O173" s="136">
        <f t="shared" si="63"/>
        <v>0.85</v>
      </c>
      <c r="P173" s="136">
        <f t="shared" si="63"/>
        <v>0.85</v>
      </c>
      <c r="Q173" s="136">
        <f t="shared" si="63"/>
        <v>0.85</v>
      </c>
      <c r="R173" s="136">
        <f t="shared" si="63"/>
        <v>0.85</v>
      </c>
      <c r="S173" s="136">
        <f t="shared" si="64"/>
        <v>0.85</v>
      </c>
      <c r="T173" s="136">
        <f t="shared" si="64"/>
        <v>0.85</v>
      </c>
      <c r="U173" s="136">
        <f t="shared" si="64"/>
        <v>0.85</v>
      </c>
      <c r="V173" s="136">
        <f t="shared" si="64"/>
        <v>0.85</v>
      </c>
      <c r="W173" s="136">
        <f t="shared" si="64"/>
        <v>0.85</v>
      </c>
      <c r="X173" s="136">
        <f t="shared" si="64"/>
        <v>0.85</v>
      </c>
      <c r="Y173" s="136">
        <f t="shared" si="64"/>
        <v>0.85</v>
      </c>
      <c r="Z173" s="136">
        <f t="shared" si="64"/>
        <v>0.85</v>
      </c>
      <c r="AA173" s="136">
        <f t="shared" si="64"/>
        <v>0.85</v>
      </c>
      <c r="AB173" s="136">
        <f t="shared" si="64"/>
        <v>0.85</v>
      </c>
      <c r="AC173" s="136">
        <f t="shared" si="64"/>
        <v>0.85</v>
      </c>
      <c r="AD173" s="136">
        <f t="shared" si="64"/>
        <v>0.85</v>
      </c>
      <c r="AE173" s="136">
        <f t="shared" si="64"/>
        <v>0.85</v>
      </c>
      <c r="AF173" s="136">
        <f t="shared" si="64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62"/>
        <v>0.9</v>
      </c>
      <c r="C174" s="137">
        <v>0.9</v>
      </c>
      <c r="D174" s="136">
        <f t="shared" si="63"/>
        <v>0.9</v>
      </c>
      <c r="E174" s="136">
        <f t="shared" si="63"/>
        <v>0.9</v>
      </c>
      <c r="F174" s="136">
        <f t="shared" si="63"/>
        <v>0.9</v>
      </c>
      <c r="G174" s="136">
        <f t="shared" si="63"/>
        <v>0.9</v>
      </c>
      <c r="H174" s="136">
        <f t="shared" si="63"/>
        <v>0.9</v>
      </c>
      <c r="I174" s="136">
        <f t="shared" si="63"/>
        <v>0.9</v>
      </c>
      <c r="J174" s="136">
        <f t="shared" si="63"/>
        <v>0.9</v>
      </c>
      <c r="K174" s="136">
        <f t="shared" si="63"/>
        <v>0.9</v>
      </c>
      <c r="L174" s="136">
        <f t="shared" si="63"/>
        <v>0.9</v>
      </c>
      <c r="M174" s="136">
        <f t="shared" si="63"/>
        <v>0.9</v>
      </c>
      <c r="N174" s="136">
        <f t="shared" si="63"/>
        <v>0.9</v>
      </c>
      <c r="O174" s="136">
        <f t="shared" si="63"/>
        <v>0.9</v>
      </c>
      <c r="P174" s="136">
        <f t="shared" si="63"/>
        <v>0.9</v>
      </c>
      <c r="Q174" s="136">
        <f t="shared" si="63"/>
        <v>0.9</v>
      </c>
      <c r="R174" s="136">
        <f t="shared" si="63"/>
        <v>0.9</v>
      </c>
      <c r="S174" s="136">
        <f t="shared" si="64"/>
        <v>0.9</v>
      </c>
      <c r="T174" s="136">
        <f t="shared" si="64"/>
        <v>0.9</v>
      </c>
      <c r="U174" s="136">
        <f t="shared" si="64"/>
        <v>0.9</v>
      </c>
      <c r="V174" s="136">
        <f t="shared" si="64"/>
        <v>0.9</v>
      </c>
      <c r="W174" s="136">
        <f t="shared" si="64"/>
        <v>0.9</v>
      </c>
      <c r="X174" s="136">
        <f t="shared" si="64"/>
        <v>0.9</v>
      </c>
      <c r="Y174" s="136">
        <f t="shared" si="64"/>
        <v>0.9</v>
      </c>
      <c r="Z174" s="136">
        <f t="shared" si="64"/>
        <v>0.9</v>
      </c>
      <c r="AA174" s="136">
        <f t="shared" si="64"/>
        <v>0.9</v>
      </c>
      <c r="AB174" s="136">
        <f t="shared" si="64"/>
        <v>0.9</v>
      </c>
      <c r="AC174" s="136">
        <f t="shared" si="64"/>
        <v>0.9</v>
      </c>
      <c r="AD174" s="136">
        <f t="shared" si="64"/>
        <v>0.9</v>
      </c>
      <c r="AE174" s="136">
        <f t="shared" si="64"/>
        <v>0.9</v>
      </c>
      <c r="AF174" s="136">
        <f t="shared" si="64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62"/>
        <v>0.44</v>
      </c>
      <c r="C175" s="137">
        <v>0.44</v>
      </c>
      <c r="D175" s="136">
        <f t="shared" si="63"/>
        <v>0.44</v>
      </c>
      <c r="E175" s="136">
        <f t="shared" si="63"/>
        <v>0.44</v>
      </c>
      <c r="F175" s="136">
        <f t="shared" si="63"/>
        <v>0.44</v>
      </c>
      <c r="G175" s="136">
        <f t="shared" si="63"/>
        <v>0.44</v>
      </c>
      <c r="H175" s="136">
        <f t="shared" si="63"/>
        <v>0.44</v>
      </c>
      <c r="I175" s="136">
        <f t="shared" si="63"/>
        <v>0.44</v>
      </c>
      <c r="J175" s="136">
        <f t="shared" si="63"/>
        <v>0.44</v>
      </c>
      <c r="K175" s="136">
        <f t="shared" si="63"/>
        <v>0.44</v>
      </c>
      <c r="L175" s="136">
        <f t="shared" si="63"/>
        <v>0.44</v>
      </c>
      <c r="M175" s="136">
        <f t="shared" si="63"/>
        <v>0.44</v>
      </c>
      <c r="N175" s="136">
        <f t="shared" si="63"/>
        <v>0.44</v>
      </c>
      <c r="O175" s="136">
        <f t="shared" si="63"/>
        <v>0.44</v>
      </c>
      <c r="P175" s="136">
        <f t="shared" si="63"/>
        <v>0.44</v>
      </c>
      <c r="Q175" s="136">
        <f t="shared" si="63"/>
        <v>0.44</v>
      </c>
      <c r="R175" s="136">
        <f t="shared" si="63"/>
        <v>0.44</v>
      </c>
      <c r="S175" s="136">
        <f t="shared" si="64"/>
        <v>0.44</v>
      </c>
      <c r="T175" s="136">
        <f t="shared" si="64"/>
        <v>0.44</v>
      </c>
      <c r="U175" s="136">
        <f t="shared" si="64"/>
        <v>0.44</v>
      </c>
      <c r="V175" s="136">
        <f t="shared" si="64"/>
        <v>0.44</v>
      </c>
      <c r="W175" s="136">
        <f t="shared" si="64"/>
        <v>0.44</v>
      </c>
      <c r="X175" s="136">
        <f t="shared" si="64"/>
        <v>0.44</v>
      </c>
      <c r="Y175" s="136">
        <f t="shared" si="64"/>
        <v>0.44</v>
      </c>
      <c r="Z175" s="136">
        <f t="shared" si="64"/>
        <v>0.44</v>
      </c>
      <c r="AA175" s="136">
        <f t="shared" si="64"/>
        <v>0.44</v>
      </c>
      <c r="AB175" s="136">
        <f t="shared" si="64"/>
        <v>0.44</v>
      </c>
      <c r="AC175" s="136">
        <f t="shared" si="64"/>
        <v>0.44</v>
      </c>
      <c r="AD175" s="136">
        <f t="shared" si="64"/>
        <v>0.44</v>
      </c>
      <c r="AE175" s="136">
        <f t="shared" si="64"/>
        <v>0.44</v>
      </c>
      <c r="AF175" s="136">
        <f t="shared" si="64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62"/>
        <v>2.1</v>
      </c>
      <c r="C176" s="137">
        <v>2.1</v>
      </c>
      <c r="D176" s="136">
        <f t="shared" si="63"/>
        <v>2.1</v>
      </c>
      <c r="E176" s="136">
        <f t="shared" si="63"/>
        <v>2.1</v>
      </c>
      <c r="F176" s="136">
        <f t="shared" si="63"/>
        <v>2.1</v>
      </c>
      <c r="G176" s="136">
        <f t="shared" si="63"/>
        <v>2.1</v>
      </c>
      <c r="H176" s="136">
        <f t="shared" si="63"/>
        <v>2.1</v>
      </c>
      <c r="I176" s="136">
        <f t="shared" si="63"/>
        <v>2.1</v>
      </c>
      <c r="J176" s="136">
        <f t="shared" si="63"/>
        <v>2.1</v>
      </c>
      <c r="K176" s="136">
        <f t="shared" si="63"/>
        <v>2.1</v>
      </c>
      <c r="L176" s="136">
        <f t="shared" si="63"/>
        <v>2.1</v>
      </c>
      <c r="M176" s="136">
        <f t="shared" si="63"/>
        <v>2.1</v>
      </c>
      <c r="N176" s="136">
        <f t="shared" si="63"/>
        <v>2.1</v>
      </c>
      <c r="O176" s="136">
        <f t="shared" si="63"/>
        <v>2.1</v>
      </c>
      <c r="P176" s="136">
        <f t="shared" si="63"/>
        <v>2.1</v>
      </c>
      <c r="Q176" s="136">
        <f t="shared" si="63"/>
        <v>2.1</v>
      </c>
      <c r="R176" s="136">
        <f t="shared" si="63"/>
        <v>2.1</v>
      </c>
      <c r="S176" s="136">
        <f t="shared" si="64"/>
        <v>2.1</v>
      </c>
      <c r="T176" s="136">
        <f t="shared" si="64"/>
        <v>2.1</v>
      </c>
      <c r="U176" s="136">
        <f t="shared" si="64"/>
        <v>2.1</v>
      </c>
      <c r="V176" s="136">
        <f t="shared" si="64"/>
        <v>2.1</v>
      </c>
      <c r="W176" s="136">
        <f t="shared" si="64"/>
        <v>2.1</v>
      </c>
      <c r="X176" s="136">
        <f t="shared" si="64"/>
        <v>2.1</v>
      </c>
      <c r="Y176" s="136">
        <f t="shared" si="64"/>
        <v>2.1</v>
      </c>
      <c r="Z176" s="136">
        <f t="shared" si="64"/>
        <v>2.1</v>
      </c>
      <c r="AA176" s="136">
        <f t="shared" si="64"/>
        <v>2.1</v>
      </c>
      <c r="AB176" s="136">
        <f t="shared" si="64"/>
        <v>2.1</v>
      </c>
      <c r="AC176" s="136">
        <f t="shared" si="64"/>
        <v>2.1</v>
      </c>
      <c r="AD176" s="136">
        <f t="shared" si="64"/>
        <v>2.1</v>
      </c>
      <c r="AE176" s="136">
        <f t="shared" si="64"/>
        <v>2.1</v>
      </c>
      <c r="AF176" s="136">
        <f t="shared" si="64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62"/>
        <v>0.9</v>
      </c>
      <c r="C177" s="137">
        <v>0.9</v>
      </c>
      <c r="D177" s="136">
        <f t="shared" si="63"/>
        <v>0.9</v>
      </c>
      <c r="E177" s="136">
        <f t="shared" si="63"/>
        <v>0.9</v>
      </c>
      <c r="F177" s="136">
        <f t="shared" si="63"/>
        <v>0.9</v>
      </c>
      <c r="G177" s="136">
        <f t="shared" si="63"/>
        <v>0.9</v>
      </c>
      <c r="H177" s="136">
        <f t="shared" si="63"/>
        <v>0.9</v>
      </c>
      <c r="I177" s="136">
        <f t="shared" si="63"/>
        <v>0.9</v>
      </c>
      <c r="J177" s="136">
        <f t="shared" si="63"/>
        <v>0.9</v>
      </c>
      <c r="K177" s="136">
        <f t="shared" si="63"/>
        <v>0.9</v>
      </c>
      <c r="L177" s="136">
        <f t="shared" si="63"/>
        <v>0.9</v>
      </c>
      <c r="M177" s="136">
        <f t="shared" si="63"/>
        <v>0.9</v>
      </c>
      <c r="N177" s="136">
        <f t="shared" si="63"/>
        <v>0.9</v>
      </c>
      <c r="O177" s="136">
        <f t="shared" si="63"/>
        <v>0.9</v>
      </c>
      <c r="P177" s="136">
        <f t="shared" si="63"/>
        <v>0.9</v>
      </c>
      <c r="Q177" s="136">
        <f t="shared" si="63"/>
        <v>0.9</v>
      </c>
      <c r="R177" s="136">
        <f t="shared" si="63"/>
        <v>0.9</v>
      </c>
      <c r="S177" s="136">
        <f t="shared" si="64"/>
        <v>0.9</v>
      </c>
      <c r="T177" s="136">
        <f t="shared" si="64"/>
        <v>0.9</v>
      </c>
      <c r="U177" s="136">
        <f t="shared" si="64"/>
        <v>0.9</v>
      </c>
      <c r="V177" s="136">
        <f t="shared" si="64"/>
        <v>0.9</v>
      </c>
      <c r="W177" s="136">
        <f t="shared" si="64"/>
        <v>0.9</v>
      </c>
      <c r="X177" s="136">
        <f t="shared" si="64"/>
        <v>0.9</v>
      </c>
      <c r="Y177" s="136">
        <f t="shared" si="64"/>
        <v>0.9</v>
      </c>
      <c r="Z177" s="136">
        <f t="shared" si="64"/>
        <v>0.9</v>
      </c>
      <c r="AA177" s="136">
        <f t="shared" si="64"/>
        <v>0.9</v>
      </c>
      <c r="AB177" s="136">
        <f t="shared" si="64"/>
        <v>0.9</v>
      </c>
      <c r="AC177" s="136">
        <f t="shared" si="64"/>
        <v>0.9</v>
      </c>
      <c r="AD177" s="136">
        <f t="shared" si="64"/>
        <v>0.9</v>
      </c>
      <c r="AE177" s="136">
        <f t="shared" si="64"/>
        <v>0.9</v>
      </c>
      <c r="AF177" s="136">
        <f t="shared" si="64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65">AF179</f>
        <v>0.57999999999999996</v>
      </c>
      <c r="C179" s="137">
        <v>0.57999999999999996</v>
      </c>
      <c r="D179" s="136">
        <f t="shared" ref="D179:S191" si="66">C179</f>
        <v>0.57999999999999996</v>
      </c>
      <c r="E179" s="136">
        <f t="shared" si="66"/>
        <v>0.57999999999999996</v>
      </c>
      <c r="F179" s="136">
        <f t="shared" si="66"/>
        <v>0.57999999999999996</v>
      </c>
      <c r="G179" s="136">
        <f t="shared" si="66"/>
        <v>0.57999999999999996</v>
      </c>
      <c r="H179" s="136">
        <f t="shared" si="66"/>
        <v>0.57999999999999996</v>
      </c>
      <c r="I179" s="136">
        <f t="shared" si="66"/>
        <v>0.57999999999999996</v>
      </c>
      <c r="J179" s="136">
        <f t="shared" si="66"/>
        <v>0.57999999999999996</v>
      </c>
      <c r="K179" s="136">
        <f t="shared" si="66"/>
        <v>0.57999999999999996</v>
      </c>
      <c r="L179" s="136">
        <f t="shared" si="66"/>
        <v>0.57999999999999996</v>
      </c>
      <c r="M179" s="136">
        <f t="shared" si="66"/>
        <v>0.57999999999999996</v>
      </c>
      <c r="N179" s="136">
        <f t="shared" si="66"/>
        <v>0.57999999999999996</v>
      </c>
      <c r="O179" s="136">
        <f t="shared" si="66"/>
        <v>0.57999999999999996</v>
      </c>
      <c r="P179" s="136">
        <f t="shared" si="66"/>
        <v>0.57999999999999996</v>
      </c>
      <c r="Q179" s="136">
        <f t="shared" si="66"/>
        <v>0.57999999999999996</v>
      </c>
      <c r="R179" s="136">
        <f t="shared" si="66"/>
        <v>0.57999999999999996</v>
      </c>
      <c r="S179" s="136">
        <f t="shared" si="66"/>
        <v>0.57999999999999996</v>
      </c>
      <c r="T179" s="136">
        <f t="shared" ref="S179:AF191" si="67">S179</f>
        <v>0.57999999999999996</v>
      </c>
      <c r="U179" s="136">
        <f t="shared" si="67"/>
        <v>0.57999999999999996</v>
      </c>
      <c r="V179" s="136">
        <f t="shared" si="67"/>
        <v>0.57999999999999996</v>
      </c>
      <c r="W179" s="136">
        <f t="shared" si="67"/>
        <v>0.57999999999999996</v>
      </c>
      <c r="X179" s="136">
        <f t="shared" si="67"/>
        <v>0.57999999999999996</v>
      </c>
      <c r="Y179" s="136">
        <f t="shared" si="67"/>
        <v>0.57999999999999996</v>
      </c>
      <c r="Z179" s="136">
        <f t="shared" si="67"/>
        <v>0.57999999999999996</v>
      </c>
      <c r="AA179" s="136">
        <f t="shared" si="67"/>
        <v>0.57999999999999996</v>
      </c>
      <c r="AB179" s="136">
        <f t="shared" si="67"/>
        <v>0.57999999999999996</v>
      </c>
      <c r="AC179" s="136">
        <f t="shared" si="67"/>
        <v>0.57999999999999996</v>
      </c>
      <c r="AD179" s="136">
        <f t="shared" si="67"/>
        <v>0.57999999999999996</v>
      </c>
      <c r="AE179" s="136">
        <f t="shared" si="67"/>
        <v>0.57999999999999996</v>
      </c>
      <c r="AF179" s="136">
        <f t="shared" si="67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65"/>
        <v>0.8</v>
      </c>
      <c r="C180" s="137">
        <v>0.8</v>
      </c>
      <c r="D180" s="136">
        <f t="shared" si="66"/>
        <v>0.8</v>
      </c>
      <c r="E180" s="136">
        <f t="shared" si="66"/>
        <v>0.8</v>
      </c>
      <c r="F180" s="136">
        <f t="shared" si="66"/>
        <v>0.8</v>
      </c>
      <c r="G180" s="136">
        <f t="shared" si="66"/>
        <v>0.8</v>
      </c>
      <c r="H180" s="136">
        <f t="shared" si="66"/>
        <v>0.8</v>
      </c>
      <c r="I180" s="136">
        <f t="shared" si="66"/>
        <v>0.8</v>
      </c>
      <c r="J180" s="136">
        <f t="shared" si="66"/>
        <v>0.8</v>
      </c>
      <c r="K180" s="136">
        <f t="shared" si="66"/>
        <v>0.8</v>
      </c>
      <c r="L180" s="136">
        <f t="shared" si="66"/>
        <v>0.8</v>
      </c>
      <c r="M180" s="136">
        <f t="shared" si="66"/>
        <v>0.8</v>
      </c>
      <c r="N180" s="136">
        <f t="shared" si="66"/>
        <v>0.8</v>
      </c>
      <c r="O180" s="136">
        <f t="shared" si="66"/>
        <v>0.8</v>
      </c>
      <c r="P180" s="136">
        <f t="shared" si="66"/>
        <v>0.8</v>
      </c>
      <c r="Q180" s="136">
        <f t="shared" si="66"/>
        <v>0.8</v>
      </c>
      <c r="R180" s="136">
        <f t="shared" si="66"/>
        <v>0.8</v>
      </c>
      <c r="S180" s="136">
        <f t="shared" si="66"/>
        <v>0.8</v>
      </c>
      <c r="T180" s="136">
        <f t="shared" si="67"/>
        <v>0.8</v>
      </c>
      <c r="U180" s="136">
        <f t="shared" si="67"/>
        <v>0.8</v>
      </c>
      <c r="V180" s="136">
        <f t="shared" si="67"/>
        <v>0.8</v>
      </c>
      <c r="W180" s="136">
        <f t="shared" si="67"/>
        <v>0.8</v>
      </c>
      <c r="X180" s="136">
        <f t="shared" si="67"/>
        <v>0.8</v>
      </c>
      <c r="Y180" s="136">
        <f t="shared" si="67"/>
        <v>0.8</v>
      </c>
      <c r="Z180" s="136">
        <f t="shared" si="67"/>
        <v>0.8</v>
      </c>
      <c r="AA180" s="136">
        <f t="shared" si="67"/>
        <v>0.8</v>
      </c>
      <c r="AB180" s="136">
        <f t="shared" si="67"/>
        <v>0.8</v>
      </c>
      <c r="AC180" s="136">
        <f t="shared" si="67"/>
        <v>0.8</v>
      </c>
      <c r="AD180" s="136">
        <f t="shared" si="67"/>
        <v>0.8</v>
      </c>
      <c r="AE180" s="136">
        <f t="shared" si="67"/>
        <v>0.8</v>
      </c>
      <c r="AF180" s="136">
        <f t="shared" si="67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65"/>
        <v>0</v>
      </c>
      <c r="C181" s="137">
        <v>0</v>
      </c>
      <c r="D181" s="136">
        <f t="shared" si="66"/>
        <v>0</v>
      </c>
      <c r="E181" s="136">
        <f t="shared" si="66"/>
        <v>0</v>
      </c>
      <c r="F181" s="136">
        <f t="shared" si="66"/>
        <v>0</v>
      </c>
      <c r="G181" s="136">
        <f t="shared" si="66"/>
        <v>0</v>
      </c>
      <c r="H181" s="136">
        <f t="shared" si="66"/>
        <v>0</v>
      </c>
      <c r="I181" s="136">
        <f t="shared" si="66"/>
        <v>0</v>
      </c>
      <c r="J181" s="136">
        <f t="shared" si="66"/>
        <v>0</v>
      </c>
      <c r="K181" s="136">
        <f t="shared" si="66"/>
        <v>0</v>
      </c>
      <c r="L181" s="136">
        <f t="shared" si="66"/>
        <v>0</v>
      </c>
      <c r="M181" s="136">
        <f t="shared" si="66"/>
        <v>0</v>
      </c>
      <c r="N181" s="136">
        <f t="shared" si="66"/>
        <v>0</v>
      </c>
      <c r="O181" s="136">
        <f t="shared" si="66"/>
        <v>0</v>
      </c>
      <c r="P181" s="136">
        <f t="shared" si="66"/>
        <v>0</v>
      </c>
      <c r="Q181" s="136">
        <f t="shared" si="66"/>
        <v>0</v>
      </c>
      <c r="R181" s="136">
        <f t="shared" si="66"/>
        <v>0</v>
      </c>
      <c r="S181" s="136">
        <f t="shared" si="66"/>
        <v>0</v>
      </c>
      <c r="T181" s="136">
        <f t="shared" si="67"/>
        <v>0</v>
      </c>
      <c r="U181" s="136">
        <f t="shared" si="67"/>
        <v>0</v>
      </c>
      <c r="V181" s="136">
        <f t="shared" si="67"/>
        <v>0</v>
      </c>
      <c r="W181" s="136">
        <f t="shared" si="67"/>
        <v>0</v>
      </c>
      <c r="X181" s="136">
        <f t="shared" si="67"/>
        <v>0</v>
      </c>
      <c r="Y181" s="136">
        <f t="shared" si="67"/>
        <v>0</v>
      </c>
      <c r="Z181" s="136">
        <f t="shared" si="67"/>
        <v>0</v>
      </c>
      <c r="AA181" s="136">
        <f t="shared" si="67"/>
        <v>0</v>
      </c>
      <c r="AB181" s="136">
        <f t="shared" si="67"/>
        <v>0</v>
      </c>
      <c r="AC181" s="136">
        <f t="shared" si="67"/>
        <v>0</v>
      </c>
      <c r="AD181" s="136">
        <f t="shared" si="67"/>
        <v>0</v>
      </c>
      <c r="AE181" s="136">
        <f t="shared" si="67"/>
        <v>0</v>
      </c>
      <c r="AF181" s="136">
        <f t="shared" si="67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65"/>
        <v>0.6</v>
      </c>
      <c r="C182" s="137">
        <v>0.6</v>
      </c>
      <c r="D182" s="136">
        <f t="shared" si="66"/>
        <v>0.6</v>
      </c>
      <c r="E182" s="136">
        <f t="shared" si="66"/>
        <v>0.6</v>
      </c>
      <c r="F182" s="136">
        <f t="shared" si="66"/>
        <v>0.6</v>
      </c>
      <c r="G182" s="136">
        <f t="shared" si="66"/>
        <v>0.6</v>
      </c>
      <c r="H182" s="136">
        <f t="shared" si="66"/>
        <v>0.6</v>
      </c>
      <c r="I182" s="136">
        <f t="shared" si="66"/>
        <v>0.6</v>
      </c>
      <c r="J182" s="136">
        <f t="shared" si="66"/>
        <v>0.6</v>
      </c>
      <c r="K182" s="136">
        <f t="shared" si="66"/>
        <v>0.6</v>
      </c>
      <c r="L182" s="136">
        <f t="shared" si="66"/>
        <v>0.6</v>
      </c>
      <c r="M182" s="136">
        <f t="shared" si="66"/>
        <v>0.6</v>
      </c>
      <c r="N182" s="136">
        <f t="shared" si="66"/>
        <v>0.6</v>
      </c>
      <c r="O182" s="136">
        <f t="shared" si="66"/>
        <v>0.6</v>
      </c>
      <c r="P182" s="136">
        <f t="shared" si="66"/>
        <v>0.6</v>
      </c>
      <c r="Q182" s="136">
        <f t="shared" si="66"/>
        <v>0.6</v>
      </c>
      <c r="R182" s="136">
        <f t="shared" si="66"/>
        <v>0.6</v>
      </c>
      <c r="S182" s="136">
        <f t="shared" si="66"/>
        <v>0.6</v>
      </c>
      <c r="T182" s="136">
        <f t="shared" si="67"/>
        <v>0.6</v>
      </c>
      <c r="U182" s="136">
        <f t="shared" si="67"/>
        <v>0.6</v>
      </c>
      <c r="V182" s="136">
        <f t="shared" si="67"/>
        <v>0.6</v>
      </c>
      <c r="W182" s="136">
        <f t="shared" si="67"/>
        <v>0.6</v>
      </c>
      <c r="X182" s="136">
        <f t="shared" si="67"/>
        <v>0.6</v>
      </c>
      <c r="Y182" s="136">
        <f t="shared" si="67"/>
        <v>0.6</v>
      </c>
      <c r="Z182" s="136">
        <f t="shared" si="67"/>
        <v>0.6</v>
      </c>
      <c r="AA182" s="136">
        <f t="shared" si="67"/>
        <v>0.6</v>
      </c>
      <c r="AB182" s="136">
        <f t="shared" si="67"/>
        <v>0.6</v>
      </c>
      <c r="AC182" s="136">
        <f t="shared" si="67"/>
        <v>0.6</v>
      </c>
      <c r="AD182" s="136">
        <f t="shared" si="67"/>
        <v>0.6</v>
      </c>
      <c r="AE182" s="136">
        <f t="shared" si="67"/>
        <v>0.6</v>
      </c>
      <c r="AF182" s="136">
        <f t="shared" si="67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65"/>
        <v>0.6</v>
      </c>
      <c r="C183" s="137">
        <v>0.6</v>
      </c>
      <c r="D183" s="136">
        <f t="shared" si="66"/>
        <v>0.6</v>
      </c>
      <c r="E183" s="136">
        <f t="shared" si="66"/>
        <v>0.6</v>
      </c>
      <c r="F183" s="136">
        <f t="shared" si="66"/>
        <v>0.6</v>
      </c>
      <c r="G183" s="136">
        <f t="shared" si="66"/>
        <v>0.6</v>
      </c>
      <c r="H183" s="136">
        <f t="shared" si="66"/>
        <v>0.6</v>
      </c>
      <c r="I183" s="136">
        <f t="shared" si="66"/>
        <v>0.6</v>
      </c>
      <c r="J183" s="136">
        <f t="shared" si="66"/>
        <v>0.6</v>
      </c>
      <c r="K183" s="136">
        <f t="shared" si="66"/>
        <v>0.6</v>
      </c>
      <c r="L183" s="136">
        <f t="shared" si="66"/>
        <v>0.6</v>
      </c>
      <c r="M183" s="136">
        <f t="shared" si="66"/>
        <v>0.6</v>
      </c>
      <c r="N183" s="136">
        <f t="shared" si="66"/>
        <v>0.6</v>
      </c>
      <c r="O183" s="136">
        <f t="shared" si="66"/>
        <v>0.6</v>
      </c>
      <c r="P183" s="136">
        <f t="shared" si="66"/>
        <v>0.6</v>
      </c>
      <c r="Q183" s="136">
        <f t="shared" si="66"/>
        <v>0.6</v>
      </c>
      <c r="R183" s="136">
        <f t="shared" si="66"/>
        <v>0.6</v>
      </c>
      <c r="S183" s="136">
        <f t="shared" si="66"/>
        <v>0.6</v>
      </c>
      <c r="T183" s="136">
        <f t="shared" si="67"/>
        <v>0.6</v>
      </c>
      <c r="U183" s="136">
        <f t="shared" si="67"/>
        <v>0.6</v>
      </c>
      <c r="V183" s="136">
        <f t="shared" si="67"/>
        <v>0.6</v>
      </c>
      <c r="W183" s="136">
        <f t="shared" si="67"/>
        <v>0.6</v>
      </c>
      <c r="X183" s="136">
        <f t="shared" si="67"/>
        <v>0.6</v>
      </c>
      <c r="Y183" s="136">
        <f t="shared" si="67"/>
        <v>0.6</v>
      </c>
      <c r="Z183" s="136">
        <f t="shared" si="67"/>
        <v>0.6</v>
      </c>
      <c r="AA183" s="136">
        <f t="shared" si="67"/>
        <v>0.6</v>
      </c>
      <c r="AB183" s="136">
        <f t="shared" si="67"/>
        <v>0.6</v>
      </c>
      <c r="AC183" s="136">
        <f t="shared" si="67"/>
        <v>0.6</v>
      </c>
      <c r="AD183" s="136">
        <f t="shared" si="67"/>
        <v>0.6</v>
      </c>
      <c r="AE183" s="136">
        <f t="shared" si="67"/>
        <v>0.6</v>
      </c>
      <c r="AF183" s="136">
        <f t="shared" si="67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65"/>
        <v>0.35</v>
      </c>
      <c r="C184" s="137">
        <v>0.35</v>
      </c>
      <c r="D184" s="136">
        <f t="shared" si="66"/>
        <v>0.35</v>
      </c>
      <c r="E184" s="136">
        <f t="shared" si="66"/>
        <v>0.35</v>
      </c>
      <c r="F184" s="136">
        <f t="shared" si="66"/>
        <v>0.35</v>
      </c>
      <c r="G184" s="136">
        <f t="shared" si="66"/>
        <v>0.35</v>
      </c>
      <c r="H184" s="136">
        <f t="shared" si="66"/>
        <v>0.35</v>
      </c>
      <c r="I184" s="136">
        <f t="shared" si="66"/>
        <v>0.35</v>
      </c>
      <c r="J184" s="136">
        <f t="shared" si="66"/>
        <v>0.35</v>
      </c>
      <c r="K184" s="136">
        <f t="shared" si="66"/>
        <v>0.35</v>
      </c>
      <c r="L184" s="136">
        <f t="shared" si="66"/>
        <v>0.35</v>
      </c>
      <c r="M184" s="136">
        <f t="shared" si="66"/>
        <v>0.35</v>
      </c>
      <c r="N184" s="136">
        <f t="shared" si="66"/>
        <v>0.35</v>
      </c>
      <c r="O184" s="136">
        <f t="shared" si="66"/>
        <v>0.35</v>
      </c>
      <c r="P184" s="136">
        <f t="shared" si="66"/>
        <v>0.35</v>
      </c>
      <c r="Q184" s="136">
        <f t="shared" si="66"/>
        <v>0.35</v>
      </c>
      <c r="R184" s="136">
        <f t="shared" si="66"/>
        <v>0.35</v>
      </c>
      <c r="S184" s="136">
        <f t="shared" si="66"/>
        <v>0.35</v>
      </c>
      <c r="T184" s="136">
        <f t="shared" si="67"/>
        <v>0.35</v>
      </c>
      <c r="U184" s="136">
        <f t="shared" si="67"/>
        <v>0.35</v>
      </c>
      <c r="V184" s="136">
        <f t="shared" si="67"/>
        <v>0.35</v>
      </c>
      <c r="W184" s="136">
        <f t="shared" si="67"/>
        <v>0.35</v>
      </c>
      <c r="X184" s="136">
        <f t="shared" si="67"/>
        <v>0.35</v>
      </c>
      <c r="Y184" s="136">
        <f t="shared" si="67"/>
        <v>0.35</v>
      </c>
      <c r="Z184" s="136">
        <f t="shared" si="67"/>
        <v>0.35</v>
      </c>
      <c r="AA184" s="136">
        <f t="shared" si="67"/>
        <v>0.35</v>
      </c>
      <c r="AB184" s="136">
        <f t="shared" si="67"/>
        <v>0.35</v>
      </c>
      <c r="AC184" s="136">
        <f t="shared" si="67"/>
        <v>0.35</v>
      </c>
      <c r="AD184" s="136">
        <f t="shared" si="67"/>
        <v>0.35</v>
      </c>
      <c r="AE184" s="136">
        <f t="shared" si="67"/>
        <v>0.35</v>
      </c>
      <c r="AF184" s="136">
        <f t="shared" si="67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65"/>
        <v>0.28999999999999998</v>
      </c>
      <c r="C185" s="137">
        <v>0.28999999999999998</v>
      </c>
      <c r="D185" s="136">
        <f t="shared" si="66"/>
        <v>0.28999999999999998</v>
      </c>
      <c r="E185" s="136">
        <f t="shared" si="66"/>
        <v>0.28999999999999998</v>
      </c>
      <c r="F185" s="136">
        <f t="shared" si="66"/>
        <v>0.28999999999999998</v>
      </c>
      <c r="G185" s="136">
        <f t="shared" si="66"/>
        <v>0.28999999999999998</v>
      </c>
      <c r="H185" s="136">
        <f t="shared" si="66"/>
        <v>0.28999999999999998</v>
      </c>
      <c r="I185" s="136">
        <f t="shared" si="66"/>
        <v>0.28999999999999998</v>
      </c>
      <c r="J185" s="136">
        <f t="shared" si="66"/>
        <v>0.28999999999999998</v>
      </c>
      <c r="K185" s="136">
        <f t="shared" si="66"/>
        <v>0.28999999999999998</v>
      </c>
      <c r="L185" s="136">
        <f t="shared" si="66"/>
        <v>0.28999999999999998</v>
      </c>
      <c r="M185" s="136">
        <f t="shared" si="66"/>
        <v>0.28999999999999998</v>
      </c>
      <c r="N185" s="136">
        <f t="shared" si="66"/>
        <v>0.28999999999999998</v>
      </c>
      <c r="O185" s="136">
        <f t="shared" si="66"/>
        <v>0.28999999999999998</v>
      </c>
      <c r="P185" s="136">
        <f t="shared" si="66"/>
        <v>0.28999999999999998</v>
      </c>
      <c r="Q185" s="136">
        <f t="shared" si="66"/>
        <v>0.28999999999999998</v>
      </c>
      <c r="R185" s="136">
        <f t="shared" si="66"/>
        <v>0.28999999999999998</v>
      </c>
      <c r="S185" s="136">
        <f t="shared" si="66"/>
        <v>0.28999999999999998</v>
      </c>
      <c r="T185" s="136">
        <f t="shared" si="67"/>
        <v>0.28999999999999998</v>
      </c>
      <c r="U185" s="136">
        <f t="shared" si="67"/>
        <v>0.28999999999999998</v>
      </c>
      <c r="V185" s="136">
        <f t="shared" si="67"/>
        <v>0.28999999999999998</v>
      </c>
      <c r="W185" s="136">
        <f t="shared" si="67"/>
        <v>0.28999999999999998</v>
      </c>
      <c r="X185" s="136">
        <f t="shared" si="67"/>
        <v>0.28999999999999998</v>
      </c>
      <c r="Y185" s="136">
        <f t="shared" si="67"/>
        <v>0.28999999999999998</v>
      </c>
      <c r="Z185" s="136">
        <f t="shared" si="67"/>
        <v>0.28999999999999998</v>
      </c>
      <c r="AA185" s="136">
        <f t="shared" si="67"/>
        <v>0.28999999999999998</v>
      </c>
      <c r="AB185" s="136">
        <f t="shared" si="67"/>
        <v>0.28999999999999998</v>
      </c>
      <c r="AC185" s="136">
        <f t="shared" si="67"/>
        <v>0.28999999999999998</v>
      </c>
      <c r="AD185" s="136">
        <f t="shared" si="67"/>
        <v>0.28999999999999998</v>
      </c>
      <c r="AE185" s="136">
        <f t="shared" si="67"/>
        <v>0.28999999999999998</v>
      </c>
      <c r="AF185" s="136">
        <f t="shared" si="67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65"/>
        <v>0.06</v>
      </c>
      <c r="C186" s="137">
        <v>0.06</v>
      </c>
      <c r="D186" s="136">
        <f t="shared" si="66"/>
        <v>0.06</v>
      </c>
      <c r="E186" s="136">
        <f t="shared" si="66"/>
        <v>0.06</v>
      </c>
      <c r="F186" s="136">
        <f t="shared" si="66"/>
        <v>0.06</v>
      </c>
      <c r="G186" s="136">
        <f t="shared" si="66"/>
        <v>0.06</v>
      </c>
      <c r="H186" s="136">
        <f t="shared" si="66"/>
        <v>0.06</v>
      </c>
      <c r="I186" s="136">
        <f t="shared" si="66"/>
        <v>0.06</v>
      </c>
      <c r="J186" s="136">
        <f t="shared" si="66"/>
        <v>0.06</v>
      </c>
      <c r="K186" s="136">
        <f t="shared" si="66"/>
        <v>0.06</v>
      </c>
      <c r="L186" s="136">
        <f t="shared" si="66"/>
        <v>0.06</v>
      </c>
      <c r="M186" s="136">
        <f t="shared" si="66"/>
        <v>0.06</v>
      </c>
      <c r="N186" s="136">
        <f t="shared" si="66"/>
        <v>0.06</v>
      </c>
      <c r="O186" s="136">
        <f t="shared" si="66"/>
        <v>0.06</v>
      </c>
      <c r="P186" s="136">
        <f t="shared" si="66"/>
        <v>0.06</v>
      </c>
      <c r="Q186" s="136">
        <f t="shared" si="66"/>
        <v>0.06</v>
      </c>
      <c r="R186" s="136">
        <f t="shared" si="66"/>
        <v>0.06</v>
      </c>
      <c r="S186" s="136">
        <f t="shared" si="66"/>
        <v>0.06</v>
      </c>
      <c r="T186" s="136">
        <f t="shared" si="67"/>
        <v>0.06</v>
      </c>
      <c r="U186" s="136">
        <f t="shared" si="67"/>
        <v>0.06</v>
      </c>
      <c r="V186" s="136">
        <f t="shared" si="67"/>
        <v>0.06</v>
      </c>
      <c r="W186" s="136">
        <f t="shared" si="67"/>
        <v>0.06</v>
      </c>
      <c r="X186" s="136">
        <f t="shared" si="67"/>
        <v>0.06</v>
      </c>
      <c r="Y186" s="136">
        <f t="shared" si="67"/>
        <v>0.06</v>
      </c>
      <c r="Z186" s="136">
        <f t="shared" si="67"/>
        <v>0.06</v>
      </c>
      <c r="AA186" s="136">
        <f t="shared" si="67"/>
        <v>0.06</v>
      </c>
      <c r="AB186" s="136">
        <f t="shared" si="67"/>
        <v>0.06</v>
      </c>
      <c r="AC186" s="136">
        <f t="shared" si="67"/>
        <v>0.06</v>
      </c>
      <c r="AD186" s="136">
        <f t="shared" si="67"/>
        <v>0.06</v>
      </c>
      <c r="AE186" s="136">
        <f t="shared" si="67"/>
        <v>0.06</v>
      </c>
      <c r="AF186" s="136">
        <f t="shared" si="67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65"/>
        <v>0.11</v>
      </c>
      <c r="C187" s="137">
        <v>0.11</v>
      </c>
      <c r="D187" s="136">
        <f t="shared" si="66"/>
        <v>0.11</v>
      </c>
      <c r="E187" s="136">
        <f t="shared" si="66"/>
        <v>0.11</v>
      </c>
      <c r="F187" s="136">
        <f t="shared" si="66"/>
        <v>0.11</v>
      </c>
      <c r="G187" s="136">
        <f t="shared" si="66"/>
        <v>0.11</v>
      </c>
      <c r="H187" s="136">
        <f t="shared" si="66"/>
        <v>0.11</v>
      </c>
      <c r="I187" s="136">
        <f t="shared" si="66"/>
        <v>0.11</v>
      </c>
      <c r="J187" s="136">
        <f t="shared" si="66"/>
        <v>0.11</v>
      </c>
      <c r="K187" s="136">
        <f t="shared" si="66"/>
        <v>0.11</v>
      </c>
      <c r="L187" s="136">
        <f t="shared" si="66"/>
        <v>0.11</v>
      </c>
      <c r="M187" s="136">
        <f t="shared" si="66"/>
        <v>0.11</v>
      </c>
      <c r="N187" s="136">
        <f t="shared" si="66"/>
        <v>0.11</v>
      </c>
      <c r="O187" s="136">
        <f t="shared" si="66"/>
        <v>0.11</v>
      </c>
      <c r="P187" s="136">
        <f t="shared" si="66"/>
        <v>0.11</v>
      </c>
      <c r="Q187" s="136">
        <f t="shared" si="66"/>
        <v>0.11</v>
      </c>
      <c r="R187" s="136">
        <f t="shared" si="66"/>
        <v>0.11</v>
      </c>
      <c r="S187" s="136">
        <f t="shared" si="66"/>
        <v>0.11</v>
      </c>
      <c r="T187" s="136">
        <f t="shared" si="67"/>
        <v>0.11</v>
      </c>
      <c r="U187" s="136">
        <f t="shared" si="67"/>
        <v>0.11</v>
      </c>
      <c r="V187" s="136">
        <f t="shared" si="67"/>
        <v>0.11</v>
      </c>
      <c r="W187" s="136">
        <f t="shared" si="67"/>
        <v>0.11</v>
      </c>
      <c r="X187" s="136">
        <f t="shared" si="67"/>
        <v>0.11</v>
      </c>
      <c r="Y187" s="136">
        <f t="shared" si="67"/>
        <v>0.11</v>
      </c>
      <c r="Z187" s="136">
        <f t="shared" si="67"/>
        <v>0.11</v>
      </c>
      <c r="AA187" s="136">
        <f t="shared" si="67"/>
        <v>0.11</v>
      </c>
      <c r="AB187" s="136">
        <f t="shared" si="67"/>
        <v>0.11</v>
      </c>
      <c r="AC187" s="136">
        <f t="shared" si="67"/>
        <v>0.11</v>
      </c>
      <c r="AD187" s="136">
        <f t="shared" si="67"/>
        <v>0.11</v>
      </c>
      <c r="AE187" s="136">
        <f t="shared" si="67"/>
        <v>0.11</v>
      </c>
      <c r="AF187" s="136">
        <f t="shared" si="67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65"/>
        <v>0.1</v>
      </c>
      <c r="C188" s="137">
        <v>0.1</v>
      </c>
      <c r="D188" s="136">
        <f t="shared" si="66"/>
        <v>0.1</v>
      </c>
      <c r="E188" s="136">
        <f t="shared" si="66"/>
        <v>0.1</v>
      </c>
      <c r="F188" s="136">
        <f t="shared" si="66"/>
        <v>0.1</v>
      </c>
      <c r="G188" s="136">
        <f t="shared" si="66"/>
        <v>0.1</v>
      </c>
      <c r="H188" s="136">
        <f t="shared" si="66"/>
        <v>0.1</v>
      </c>
      <c r="I188" s="136">
        <f t="shared" si="66"/>
        <v>0.1</v>
      </c>
      <c r="J188" s="136">
        <f t="shared" si="66"/>
        <v>0.1</v>
      </c>
      <c r="K188" s="136">
        <f t="shared" si="66"/>
        <v>0.1</v>
      </c>
      <c r="L188" s="136">
        <f t="shared" si="66"/>
        <v>0.1</v>
      </c>
      <c r="M188" s="136">
        <f t="shared" si="66"/>
        <v>0.1</v>
      </c>
      <c r="N188" s="136">
        <f t="shared" si="66"/>
        <v>0.1</v>
      </c>
      <c r="O188" s="136">
        <f t="shared" si="66"/>
        <v>0.1</v>
      </c>
      <c r="P188" s="136">
        <f t="shared" si="66"/>
        <v>0.1</v>
      </c>
      <c r="Q188" s="136">
        <f t="shared" si="66"/>
        <v>0.1</v>
      </c>
      <c r="R188" s="136">
        <f t="shared" si="66"/>
        <v>0.1</v>
      </c>
      <c r="S188" s="136">
        <f t="shared" si="67"/>
        <v>0.1</v>
      </c>
      <c r="T188" s="136">
        <f t="shared" si="67"/>
        <v>0.1</v>
      </c>
      <c r="U188" s="136">
        <f t="shared" si="67"/>
        <v>0.1</v>
      </c>
      <c r="V188" s="136">
        <f t="shared" si="67"/>
        <v>0.1</v>
      </c>
      <c r="W188" s="136">
        <f t="shared" si="67"/>
        <v>0.1</v>
      </c>
      <c r="X188" s="136">
        <f t="shared" si="67"/>
        <v>0.1</v>
      </c>
      <c r="Y188" s="136">
        <f t="shared" si="67"/>
        <v>0.1</v>
      </c>
      <c r="Z188" s="136">
        <f t="shared" si="67"/>
        <v>0.1</v>
      </c>
      <c r="AA188" s="136">
        <f t="shared" si="67"/>
        <v>0.1</v>
      </c>
      <c r="AB188" s="136">
        <f t="shared" si="67"/>
        <v>0.1</v>
      </c>
      <c r="AC188" s="136">
        <f t="shared" si="67"/>
        <v>0.1</v>
      </c>
      <c r="AD188" s="136">
        <f t="shared" si="67"/>
        <v>0.1</v>
      </c>
      <c r="AE188" s="136">
        <f t="shared" si="67"/>
        <v>0.1</v>
      </c>
      <c r="AF188" s="136">
        <f t="shared" si="67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65"/>
        <v>0.09</v>
      </c>
      <c r="C189" s="137">
        <v>0.09</v>
      </c>
      <c r="D189" s="136">
        <f t="shared" si="66"/>
        <v>0.09</v>
      </c>
      <c r="E189" s="136">
        <f t="shared" si="66"/>
        <v>0.09</v>
      </c>
      <c r="F189" s="136">
        <f t="shared" si="66"/>
        <v>0.09</v>
      </c>
      <c r="G189" s="136">
        <f t="shared" si="66"/>
        <v>0.09</v>
      </c>
      <c r="H189" s="136">
        <f t="shared" si="66"/>
        <v>0.09</v>
      </c>
      <c r="I189" s="136">
        <f t="shared" si="66"/>
        <v>0.09</v>
      </c>
      <c r="J189" s="136">
        <f t="shared" si="66"/>
        <v>0.09</v>
      </c>
      <c r="K189" s="136">
        <f t="shared" si="66"/>
        <v>0.09</v>
      </c>
      <c r="L189" s="136">
        <f t="shared" si="66"/>
        <v>0.09</v>
      </c>
      <c r="M189" s="136">
        <f t="shared" si="66"/>
        <v>0.09</v>
      </c>
      <c r="N189" s="136">
        <f t="shared" si="66"/>
        <v>0.09</v>
      </c>
      <c r="O189" s="136">
        <f t="shared" si="66"/>
        <v>0.09</v>
      </c>
      <c r="P189" s="136">
        <f t="shared" si="66"/>
        <v>0.09</v>
      </c>
      <c r="Q189" s="136">
        <f t="shared" si="66"/>
        <v>0.09</v>
      </c>
      <c r="R189" s="136">
        <f t="shared" si="66"/>
        <v>0.09</v>
      </c>
      <c r="S189" s="136">
        <f t="shared" si="67"/>
        <v>0.09</v>
      </c>
      <c r="T189" s="136">
        <f t="shared" si="67"/>
        <v>0.09</v>
      </c>
      <c r="U189" s="136">
        <f t="shared" si="67"/>
        <v>0.09</v>
      </c>
      <c r="V189" s="136">
        <f t="shared" si="67"/>
        <v>0.09</v>
      </c>
      <c r="W189" s="136">
        <f t="shared" si="67"/>
        <v>0.09</v>
      </c>
      <c r="X189" s="136">
        <f t="shared" si="67"/>
        <v>0.09</v>
      </c>
      <c r="Y189" s="136">
        <f t="shared" si="67"/>
        <v>0.09</v>
      </c>
      <c r="Z189" s="136">
        <f t="shared" si="67"/>
        <v>0.09</v>
      </c>
      <c r="AA189" s="136">
        <f t="shared" si="67"/>
        <v>0.09</v>
      </c>
      <c r="AB189" s="136">
        <f t="shared" si="67"/>
        <v>0.09</v>
      </c>
      <c r="AC189" s="136">
        <f t="shared" si="67"/>
        <v>0.09</v>
      </c>
      <c r="AD189" s="136">
        <f t="shared" si="67"/>
        <v>0.09</v>
      </c>
      <c r="AE189" s="136">
        <f t="shared" si="67"/>
        <v>0.09</v>
      </c>
      <c r="AF189" s="136">
        <f t="shared" si="67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65"/>
        <v>0.04</v>
      </c>
      <c r="C190" s="53">
        <v>0.04</v>
      </c>
      <c r="D190" s="136">
        <f t="shared" si="66"/>
        <v>0.04</v>
      </c>
      <c r="E190" s="136">
        <f t="shared" si="66"/>
        <v>0.04</v>
      </c>
      <c r="F190" s="136">
        <f t="shared" si="66"/>
        <v>0.04</v>
      </c>
      <c r="G190" s="136">
        <f t="shared" si="66"/>
        <v>0.04</v>
      </c>
      <c r="H190" s="136">
        <f t="shared" si="66"/>
        <v>0.04</v>
      </c>
      <c r="I190" s="136">
        <f t="shared" si="66"/>
        <v>0.04</v>
      </c>
      <c r="J190" s="136">
        <f t="shared" si="66"/>
        <v>0.04</v>
      </c>
      <c r="K190" s="136">
        <f t="shared" si="66"/>
        <v>0.04</v>
      </c>
      <c r="L190" s="136">
        <f t="shared" si="66"/>
        <v>0.04</v>
      </c>
      <c r="M190" s="136">
        <f t="shared" si="66"/>
        <v>0.04</v>
      </c>
      <c r="N190" s="136">
        <f t="shared" si="66"/>
        <v>0.04</v>
      </c>
      <c r="O190" s="136">
        <f t="shared" si="66"/>
        <v>0.04</v>
      </c>
      <c r="P190" s="136">
        <f t="shared" si="66"/>
        <v>0.04</v>
      </c>
      <c r="Q190" s="136">
        <f t="shared" si="66"/>
        <v>0.04</v>
      </c>
      <c r="R190" s="136">
        <f t="shared" si="66"/>
        <v>0.04</v>
      </c>
      <c r="S190" s="136">
        <f t="shared" si="67"/>
        <v>0.04</v>
      </c>
      <c r="T190" s="136">
        <f t="shared" si="67"/>
        <v>0.04</v>
      </c>
      <c r="U190" s="136">
        <f t="shared" si="67"/>
        <v>0.04</v>
      </c>
      <c r="V190" s="136">
        <f t="shared" si="67"/>
        <v>0.04</v>
      </c>
      <c r="W190" s="136">
        <f t="shared" si="67"/>
        <v>0.04</v>
      </c>
      <c r="X190" s="136">
        <f t="shared" si="67"/>
        <v>0.04</v>
      </c>
      <c r="Y190" s="136">
        <f t="shared" si="67"/>
        <v>0.04</v>
      </c>
      <c r="Z190" s="136">
        <f t="shared" si="67"/>
        <v>0.04</v>
      </c>
      <c r="AA190" s="136">
        <f t="shared" si="67"/>
        <v>0.04</v>
      </c>
      <c r="AB190" s="136">
        <f t="shared" si="67"/>
        <v>0.04</v>
      </c>
      <c r="AC190" s="136">
        <f t="shared" si="67"/>
        <v>0.04</v>
      </c>
      <c r="AD190" s="136">
        <f t="shared" si="67"/>
        <v>0.04</v>
      </c>
      <c r="AE190" s="136">
        <f t="shared" si="67"/>
        <v>0.04</v>
      </c>
      <c r="AF190" s="136">
        <f t="shared" si="67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65"/>
        <v>2.3E-2</v>
      </c>
      <c r="C191" s="53">
        <v>2.3E-2</v>
      </c>
      <c r="D191" s="136">
        <f>C191</f>
        <v>2.3E-2</v>
      </c>
      <c r="E191" s="136">
        <f t="shared" si="66"/>
        <v>2.3E-2</v>
      </c>
      <c r="F191" s="136">
        <f t="shared" si="66"/>
        <v>2.3E-2</v>
      </c>
      <c r="G191" s="136">
        <f t="shared" si="66"/>
        <v>2.3E-2</v>
      </c>
      <c r="H191" s="136">
        <f t="shared" si="66"/>
        <v>2.3E-2</v>
      </c>
      <c r="I191" s="136">
        <f t="shared" si="66"/>
        <v>2.3E-2</v>
      </c>
      <c r="J191" s="136">
        <f t="shared" si="66"/>
        <v>2.3E-2</v>
      </c>
      <c r="K191" s="136">
        <f t="shared" si="66"/>
        <v>2.3E-2</v>
      </c>
      <c r="L191" s="136">
        <f t="shared" si="66"/>
        <v>2.3E-2</v>
      </c>
      <c r="M191" s="136">
        <f t="shared" si="66"/>
        <v>2.3E-2</v>
      </c>
      <c r="N191" s="136">
        <f t="shared" si="66"/>
        <v>2.3E-2</v>
      </c>
      <c r="O191" s="136">
        <f t="shared" si="66"/>
        <v>2.3E-2</v>
      </c>
      <c r="P191" s="136">
        <f t="shared" si="66"/>
        <v>2.3E-2</v>
      </c>
      <c r="Q191" s="136">
        <f t="shared" si="66"/>
        <v>2.3E-2</v>
      </c>
      <c r="R191" s="136">
        <f t="shared" si="66"/>
        <v>2.3E-2</v>
      </c>
      <c r="S191" s="136">
        <f t="shared" si="67"/>
        <v>2.3E-2</v>
      </c>
      <c r="T191" s="136">
        <f t="shared" si="67"/>
        <v>2.3E-2</v>
      </c>
      <c r="U191" s="136">
        <f t="shared" si="67"/>
        <v>2.3E-2</v>
      </c>
      <c r="V191" s="136">
        <f t="shared" si="67"/>
        <v>2.3E-2</v>
      </c>
      <c r="W191" s="136">
        <f t="shared" si="67"/>
        <v>2.3E-2</v>
      </c>
      <c r="X191" s="136">
        <f t="shared" si="67"/>
        <v>2.3E-2</v>
      </c>
      <c r="Y191" s="136">
        <f t="shared" si="67"/>
        <v>2.3E-2</v>
      </c>
      <c r="Z191" s="136">
        <f t="shared" si="67"/>
        <v>2.3E-2</v>
      </c>
      <c r="AA191" s="136">
        <f t="shared" si="67"/>
        <v>2.3E-2</v>
      </c>
      <c r="AB191" s="136">
        <f t="shared" si="67"/>
        <v>2.3E-2</v>
      </c>
      <c r="AC191" s="136">
        <f t="shared" si="67"/>
        <v>2.3E-2</v>
      </c>
      <c r="AD191" s="136">
        <f t="shared" si="67"/>
        <v>2.3E-2</v>
      </c>
      <c r="AE191" s="136">
        <f t="shared" si="67"/>
        <v>2.3E-2</v>
      </c>
      <c r="AF191" s="136">
        <f t="shared" si="67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68">SUM(C102:C191)</f>
        <v>194.70600000000002</v>
      </c>
      <c r="D192" s="141">
        <f t="shared" si="68"/>
        <v>194.70600000000002</v>
      </c>
      <c r="E192" s="141">
        <f t="shared" si="68"/>
        <v>194.70600000000002</v>
      </c>
      <c r="F192" s="141">
        <f t="shared" si="68"/>
        <v>194.70600000000002</v>
      </c>
      <c r="G192" s="141">
        <f t="shared" si="68"/>
        <v>194.70600000000002</v>
      </c>
      <c r="H192" s="141">
        <f t="shared" si="68"/>
        <v>194.70600000000002</v>
      </c>
      <c r="I192" s="141">
        <f t="shared" si="68"/>
        <v>194.70600000000002</v>
      </c>
      <c r="J192" s="141">
        <f t="shared" si="68"/>
        <v>192.10600000000005</v>
      </c>
      <c r="K192" s="141">
        <f t="shared" si="68"/>
        <v>192.10600000000005</v>
      </c>
      <c r="L192" s="141">
        <f t="shared" si="68"/>
        <v>192.10600000000005</v>
      </c>
      <c r="M192" s="141">
        <f t="shared" si="68"/>
        <v>192.10600000000005</v>
      </c>
      <c r="N192" s="141">
        <f t="shared" si="68"/>
        <v>192.10600000000005</v>
      </c>
      <c r="O192" s="141">
        <f t="shared" si="68"/>
        <v>192.10600000000005</v>
      </c>
      <c r="P192" s="141">
        <f t="shared" si="68"/>
        <v>192.10600000000005</v>
      </c>
      <c r="Q192" s="141">
        <f t="shared" si="68"/>
        <v>192.10600000000005</v>
      </c>
      <c r="R192" s="141">
        <f t="shared" si="68"/>
        <v>192.10600000000005</v>
      </c>
      <c r="S192" s="141">
        <f t="shared" si="68"/>
        <v>192.10600000000005</v>
      </c>
      <c r="T192" s="141">
        <f t="shared" si="68"/>
        <v>192.10600000000005</v>
      </c>
      <c r="U192" s="141">
        <f t="shared" si="68"/>
        <v>192.10600000000005</v>
      </c>
      <c r="V192" s="141">
        <f t="shared" si="68"/>
        <v>192.10600000000005</v>
      </c>
      <c r="W192" s="141">
        <f t="shared" si="68"/>
        <v>192.10600000000005</v>
      </c>
      <c r="X192" s="141">
        <f t="shared" si="68"/>
        <v>192.10600000000005</v>
      </c>
      <c r="Y192" s="141">
        <f t="shared" si="68"/>
        <v>192.10600000000005</v>
      </c>
      <c r="Z192" s="141">
        <f t="shared" si="68"/>
        <v>192.10600000000005</v>
      </c>
      <c r="AA192" s="141">
        <f t="shared" si="68"/>
        <v>192.10600000000005</v>
      </c>
      <c r="AB192" s="141">
        <f t="shared" si="68"/>
        <v>192.10600000000005</v>
      </c>
      <c r="AC192" s="141">
        <f t="shared" si="68"/>
        <v>192.10600000000005</v>
      </c>
      <c r="AD192" s="141">
        <f t="shared" si="68"/>
        <v>192.10600000000005</v>
      </c>
      <c r="AE192" s="141">
        <f t="shared" si="68"/>
        <v>192.10600000000005</v>
      </c>
      <c r="AF192" s="141">
        <f t="shared" si="68"/>
        <v>192.10600000000005</v>
      </c>
      <c r="AG192" s="142">
        <f t="shared" si="6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69">AF194</f>
        <v>0.3</v>
      </c>
      <c r="C194" s="143">
        <v>0.3</v>
      </c>
      <c r="D194" s="143">
        <f t="shared" ref="D194:S199" si="70">C194</f>
        <v>0.3</v>
      </c>
      <c r="E194" s="143">
        <f t="shared" si="70"/>
        <v>0.3</v>
      </c>
      <c r="F194" s="143">
        <f t="shared" si="70"/>
        <v>0.3</v>
      </c>
      <c r="G194" s="143">
        <f t="shared" si="70"/>
        <v>0.3</v>
      </c>
      <c r="H194" s="143">
        <f t="shared" si="70"/>
        <v>0.3</v>
      </c>
      <c r="I194" s="143">
        <f t="shared" si="70"/>
        <v>0.3</v>
      </c>
      <c r="J194" s="143">
        <f t="shared" si="70"/>
        <v>0.3</v>
      </c>
      <c r="K194" s="143">
        <f t="shared" si="70"/>
        <v>0.3</v>
      </c>
      <c r="L194" s="143">
        <f t="shared" si="70"/>
        <v>0.3</v>
      </c>
      <c r="M194" s="143">
        <f t="shared" si="70"/>
        <v>0.3</v>
      </c>
      <c r="N194" s="143">
        <f t="shared" si="70"/>
        <v>0.3</v>
      </c>
      <c r="O194" s="143">
        <f t="shared" si="70"/>
        <v>0.3</v>
      </c>
      <c r="P194" s="143">
        <f t="shared" si="70"/>
        <v>0.3</v>
      </c>
      <c r="Q194" s="143">
        <f t="shared" si="70"/>
        <v>0.3</v>
      </c>
      <c r="R194" s="143">
        <f t="shared" si="70"/>
        <v>0.3</v>
      </c>
      <c r="S194" s="143">
        <f t="shared" si="70"/>
        <v>0.3</v>
      </c>
      <c r="T194" s="143">
        <f t="shared" ref="T194:AF199" si="71">S194</f>
        <v>0.3</v>
      </c>
      <c r="U194" s="143">
        <f t="shared" si="71"/>
        <v>0.3</v>
      </c>
      <c r="V194" s="143">
        <f t="shared" si="71"/>
        <v>0.3</v>
      </c>
      <c r="W194" s="143">
        <f t="shared" si="71"/>
        <v>0.3</v>
      </c>
      <c r="X194" s="143">
        <f t="shared" si="71"/>
        <v>0.3</v>
      </c>
      <c r="Y194" s="143">
        <f t="shared" si="71"/>
        <v>0.3</v>
      </c>
      <c r="Z194" s="143">
        <f t="shared" si="71"/>
        <v>0.3</v>
      </c>
      <c r="AA194" s="143">
        <f t="shared" si="71"/>
        <v>0.3</v>
      </c>
      <c r="AB194" s="143">
        <f t="shared" si="71"/>
        <v>0.3</v>
      </c>
      <c r="AC194" s="143">
        <f t="shared" si="71"/>
        <v>0.3</v>
      </c>
      <c r="AD194" s="143">
        <f t="shared" si="71"/>
        <v>0.3</v>
      </c>
      <c r="AE194" s="143">
        <f t="shared" si="71"/>
        <v>0.3</v>
      </c>
      <c r="AF194" s="143">
        <f t="shared" si="71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69"/>
        <v>0.4</v>
      </c>
      <c r="C195" s="136">
        <v>0.4</v>
      </c>
      <c r="D195" s="136">
        <f t="shared" si="70"/>
        <v>0.4</v>
      </c>
      <c r="E195" s="136">
        <f t="shared" si="70"/>
        <v>0.4</v>
      </c>
      <c r="F195" s="136">
        <f t="shared" si="70"/>
        <v>0.4</v>
      </c>
      <c r="G195" s="136">
        <f t="shared" si="70"/>
        <v>0.4</v>
      </c>
      <c r="H195" s="136">
        <f t="shared" si="70"/>
        <v>0.4</v>
      </c>
      <c r="I195" s="136">
        <f t="shared" si="70"/>
        <v>0.4</v>
      </c>
      <c r="J195" s="136">
        <f t="shared" si="70"/>
        <v>0.4</v>
      </c>
      <c r="K195" s="136">
        <f t="shared" si="70"/>
        <v>0.4</v>
      </c>
      <c r="L195" s="136">
        <f t="shared" si="70"/>
        <v>0.4</v>
      </c>
      <c r="M195" s="136">
        <f t="shared" si="70"/>
        <v>0.4</v>
      </c>
      <c r="N195" s="136">
        <f t="shared" si="70"/>
        <v>0.4</v>
      </c>
      <c r="O195" s="136">
        <f t="shared" si="70"/>
        <v>0.4</v>
      </c>
      <c r="P195" s="136">
        <f t="shared" si="70"/>
        <v>0.4</v>
      </c>
      <c r="Q195" s="136">
        <f t="shared" si="70"/>
        <v>0.4</v>
      </c>
      <c r="R195" s="136">
        <f t="shared" si="70"/>
        <v>0.4</v>
      </c>
      <c r="S195" s="136">
        <f t="shared" si="70"/>
        <v>0.4</v>
      </c>
      <c r="T195" s="136">
        <f t="shared" si="71"/>
        <v>0.4</v>
      </c>
      <c r="U195" s="136">
        <f t="shared" si="71"/>
        <v>0.4</v>
      </c>
      <c r="V195" s="136">
        <f t="shared" si="71"/>
        <v>0.4</v>
      </c>
      <c r="W195" s="136">
        <f>V195</f>
        <v>0.4</v>
      </c>
      <c r="X195" s="136">
        <f>W195</f>
        <v>0.4</v>
      </c>
      <c r="Y195" s="136">
        <f t="shared" si="71"/>
        <v>0.4</v>
      </c>
      <c r="Z195" s="136">
        <f t="shared" si="71"/>
        <v>0.4</v>
      </c>
      <c r="AA195" s="136">
        <f t="shared" si="71"/>
        <v>0.4</v>
      </c>
      <c r="AB195" s="136">
        <f t="shared" si="71"/>
        <v>0.4</v>
      </c>
      <c r="AC195" s="136">
        <f t="shared" si="71"/>
        <v>0.4</v>
      </c>
      <c r="AD195" s="136">
        <f t="shared" si="71"/>
        <v>0.4</v>
      </c>
      <c r="AE195" s="136">
        <f t="shared" si="71"/>
        <v>0.4</v>
      </c>
      <c r="AF195" s="136">
        <f t="shared" si="71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69"/>
        <v>1.5</v>
      </c>
      <c r="C196" s="136">
        <v>1.5</v>
      </c>
      <c r="D196" s="136">
        <f t="shared" si="70"/>
        <v>1.5</v>
      </c>
      <c r="E196" s="136">
        <f t="shared" si="70"/>
        <v>1.5</v>
      </c>
      <c r="F196" s="136">
        <f t="shared" si="70"/>
        <v>1.5</v>
      </c>
      <c r="G196" s="136">
        <f t="shared" si="70"/>
        <v>1.5</v>
      </c>
      <c r="H196" s="136">
        <f t="shared" si="70"/>
        <v>1.5</v>
      </c>
      <c r="I196" s="136">
        <f t="shared" si="70"/>
        <v>1.5</v>
      </c>
      <c r="J196" s="136">
        <f t="shared" si="70"/>
        <v>1.5</v>
      </c>
      <c r="K196" s="136">
        <f t="shared" si="70"/>
        <v>1.5</v>
      </c>
      <c r="L196" s="136">
        <f t="shared" si="70"/>
        <v>1.5</v>
      </c>
      <c r="M196" s="136">
        <f t="shared" si="70"/>
        <v>1.5</v>
      </c>
      <c r="N196" s="136">
        <f t="shared" si="70"/>
        <v>1.5</v>
      </c>
      <c r="O196" s="136">
        <f t="shared" si="70"/>
        <v>1.5</v>
      </c>
      <c r="P196" s="136">
        <f t="shared" si="70"/>
        <v>1.5</v>
      </c>
      <c r="Q196" s="136">
        <f t="shared" si="70"/>
        <v>1.5</v>
      </c>
      <c r="R196" s="136">
        <f t="shared" si="70"/>
        <v>1.5</v>
      </c>
      <c r="S196" s="136">
        <f t="shared" si="70"/>
        <v>1.5</v>
      </c>
      <c r="T196" s="136">
        <f t="shared" si="71"/>
        <v>1.5</v>
      </c>
      <c r="U196" s="136">
        <f t="shared" si="71"/>
        <v>1.5</v>
      </c>
      <c r="V196" s="136">
        <f t="shared" si="71"/>
        <v>1.5</v>
      </c>
      <c r="W196" s="136">
        <f t="shared" si="71"/>
        <v>1.5</v>
      </c>
      <c r="X196" s="136">
        <f t="shared" si="71"/>
        <v>1.5</v>
      </c>
      <c r="Y196" s="136">
        <f t="shared" si="71"/>
        <v>1.5</v>
      </c>
      <c r="Z196" s="136">
        <f t="shared" si="71"/>
        <v>1.5</v>
      </c>
      <c r="AA196" s="136">
        <f t="shared" si="71"/>
        <v>1.5</v>
      </c>
      <c r="AB196" s="136">
        <f t="shared" si="71"/>
        <v>1.5</v>
      </c>
      <c r="AC196" s="136">
        <f t="shared" si="71"/>
        <v>1.5</v>
      </c>
      <c r="AD196" s="136">
        <f t="shared" si="71"/>
        <v>1.5</v>
      </c>
      <c r="AE196" s="136">
        <f t="shared" si="71"/>
        <v>1.5</v>
      </c>
      <c r="AF196" s="136">
        <f t="shared" si="71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69"/>
        <v>0.3</v>
      </c>
      <c r="C197" s="136">
        <v>0.3</v>
      </c>
      <c r="D197" s="136">
        <f t="shared" si="70"/>
        <v>0.3</v>
      </c>
      <c r="E197" s="136">
        <f t="shared" si="70"/>
        <v>0.3</v>
      </c>
      <c r="F197" s="136">
        <f t="shared" si="70"/>
        <v>0.3</v>
      </c>
      <c r="G197" s="136">
        <f t="shared" si="70"/>
        <v>0.3</v>
      </c>
      <c r="H197" s="136">
        <f t="shared" si="70"/>
        <v>0.3</v>
      </c>
      <c r="I197" s="136">
        <f t="shared" si="70"/>
        <v>0.3</v>
      </c>
      <c r="J197" s="136">
        <f t="shared" si="70"/>
        <v>0.3</v>
      </c>
      <c r="K197" s="136">
        <f t="shared" si="70"/>
        <v>0.3</v>
      </c>
      <c r="L197" s="136">
        <f t="shared" si="70"/>
        <v>0.3</v>
      </c>
      <c r="M197" s="136">
        <f t="shared" si="70"/>
        <v>0.3</v>
      </c>
      <c r="N197" s="136">
        <f t="shared" si="70"/>
        <v>0.3</v>
      </c>
      <c r="O197" s="136">
        <f t="shared" si="70"/>
        <v>0.3</v>
      </c>
      <c r="P197" s="136">
        <f t="shared" si="70"/>
        <v>0.3</v>
      </c>
      <c r="Q197" s="136">
        <f t="shared" si="70"/>
        <v>0.3</v>
      </c>
      <c r="R197" s="136">
        <f t="shared" si="70"/>
        <v>0.3</v>
      </c>
      <c r="S197" s="136">
        <f t="shared" si="70"/>
        <v>0.3</v>
      </c>
      <c r="T197" s="136">
        <f t="shared" si="71"/>
        <v>0.3</v>
      </c>
      <c r="U197" s="136">
        <f t="shared" si="71"/>
        <v>0.3</v>
      </c>
      <c r="V197" s="136">
        <f t="shared" si="71"/>
        <v>0.3</v>
      </c>
      <c r="W197" s="136">
        <f t="shared" si="71"/>
        <v>0.3</v>
      </c>
      <c r="X197" s="136">
        <f t="shared" si="71"/>
        <v>0.3</v>
      </c>
      <c r="Y197" s="136">
        <f t="shared" si="71"/>
        <v>0.3</v>
      </c>
      <c r="Z197" s="136">
        <f t="shared" si="71"/>
        <v>0.3</v>
      </c>
      <c r="AA197" s="136">
        <f t="shared" si="71"/>
        <v>0.3</v>
      </c>
      <c r="AB197" s="136">
        <f t="shared" si="71"/>
        <v>0.3</v>
      </c>
      <c r="AC197" s="136">
        <f t="shared" si="71"/>
        <v>0.3</v>
      </c>
      <c r="AD197" s="136">
        <f t="shared" si="71"/>
        <v>0.3</v>
      </c>
      <c r="AE197" s="136">
        <f t="shared" si="71"/>
        <v>0.3</v>
      </c>
      <c r="AF197" s="136">
        <f t="shared" si="71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69"/>
        <v>0.4</v>
      </c>
      <c r="C198" s="136">
        <v>0.4</v>
      </c>
      <c r="D198" s="136">
        <f t="shared" si="70"/>
        <v>0.4</v>
      </c>
      <c r="E198" s="136">
        <f t="shared" si="70"/>
        <v>0.4</v>
      </c>
      <c r="F198" s="136">
        <f t="shared" si="70"/>
        <v>0.4</v>
      </c>
      <c r="G198" s="136">
        <f t="shared" si="70"/>
        <v>0.4</v>
      </c>
      <c r="H198" s="136">
        <f t="shared" si="70"/>
        <v>0.4</v>
      </c>
      <c r="I198" s="136">
        <f t="shared" si="70"/>
        <v>0.4</v>
      </c>
      <c r="J198" s="136">
        <f t="shared" si="70"/>
        <v>0.4</v>
      </c>
      <c r="K198" s="136">
        <f t="shared" si="70"/>
        <v>0.4</v>
      </c>
      <c r="L198" s="136">
        <f t="shared" si="70"/>
        <v>0.4</v>
      </c>
      <c r="M198" s="136">
        <f t="shared" si="70"/>
        <v>0.4</v>
      </c>
      <c r="N198" s="136">
        <f t="shared" si="70"/>
        <v>0.4</v>
      </c>
      <c r="O198" s="136">
        <f t="shared" si="70"/>
        <v>0.4</v>
      </c>
      <c r="P198" s="136">
        <f t="shared" si="70"/>
        <v>0.4</v>
      </c>
      <c r="Q198" s="136">
        <f t="shared" si="70"/>
        <v>0.4</v>
      </c>
      <c r="R198" s="136">
        <f t="shared" si="70"/>
        <v>0.4</v>
      </c>
      <c r="S198" s="136">
        <f t="shared" si="70"/>
        <v>0.4</v>
      </c>
      <c r="T198" s="136">
        <f t="shared" si="71"/>
        <v>0.4</v>
      </c>
      <c r="U198" s="136">
        <f t="shared" si="71"/>
        <v>0.4</v>
      </c>
      <c r="V198" s="136">
        <f t="shared" si="71"/>
        <v>0.4</v>
      </c>
      <c r="W198" s="136">
        <f t="shared" si="71"/>
        <v>0.4</v>
      </c>
      <c r="X198" s="136">
        <f t="shared" si="71"/>
        <v>0.4</v>
      </c>
      <c r="Y198" s="136">
        <f t="shared" si="71"/>
        <v>0.4</v>
      </c>
      <c r="Z198" s="136">
        <f t="shared" si="71"/>
        <v>0.4</v>
      </c>
      <c r="AA198" s="136">
        <f t="shared" si="71"/>
        <v>0.4</v>
      </c>
      <c r="AB198" s="136">
        <f t="shared" si="71"/>
        <v>0.4</v>
      </c>
      <c r="AC198" s="136">
        <f t="shared" si="71"/>
        <v>0.4</v>
      </c>
      <c r="AD198" s="136">
        <f t="shared" si="71"/>
        <v>0.4</v>
      </c>
      <c r="AE198" s="136">
        <f t="shared" si="71"/>
        <v>0.4</v>
      </c>
      <c r="AF198" s="136">
        <f t="shared" si="71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69"/>
        <v>0.64</v>
      </c>
      <c r="C199" s="146">
        <v>0.64</v>
      </c>
      <c r="D199" s="146">
        <f t="shared" si="70"/>
        <v>0.64</v>
      </c>
      <c r="E199" s="146">
        <f t="shared" si="70"/>
        <v>0.64</v>
      </c>
      <c r="F199" s="146">
        <f t="shared" si="70"/>
        <v>0.64</v>
      </c>
      <c r="G199" s="146">
        <f t="shared" si="70"/>
        <v>0.64</v>
      </c>
      <c r="H199" s="146">
        <f t="shared" si="70"/>
        <v>0.64</v>
      </c>
      <c r="I199" s="146">
        <f t="shared" si="70"/>
        <v>0.64</v>
      </c>
      <c r="J199" s="146">
        <f t="shared" si="70"/>
        <v>0.64</v>
      </c>
      <c r="K199" s="146">
        <f t="shared" si="70"/>
        <v>0.64</v>
      </c>
      <c r="L199" s="146">
        <f t="shared" si="70"/>
        <v>0.64</v>
      </c>
      <c r="M199" s="146">
        <f t="shared" si="70"/>
        <v>0.64</v>
      </c>
      <c r="N199" s="146">
        <f t="shared" si="70"/>
        <v>0.64</v>
      </c>
      <c r="O199" s="146">
        <f t="shared" si="70"/>
        <v>0.64</v>
      </c>
      <c r="P199" s="146">
        <f t="shared" si="70"/>
        <v>0.64</v>
      </c>
      <c r="Q199" s="146">
        <f t="shared" si="70"/>
        <v>0.64</v>
      </c>
      <c r="R199" s="146">
        <f t="shared" si="70"/>
        <v>0.64</v>
      </c>
      <c r="S199" s="146">
        <f t="shared" si="70"/>
        <v>0.64</v>
      </c>
      <c r="T199" s="146">
        <f t="shared" si="71"/>
        <v>0.64</v>
      </c>
      <c r="U199" s="146">
        <f t="shared" si="71"/>
        <v>0.64</v>
      </c>
      <c r="V199" s="146">
        <f t="shared" si="71"/>
        <v>0.64</v>
      </c>
      <c r="W199" s="146">
        <f t="shared" si="71"/>
        <v>0.64</v>
      </c>
      <c r="X199" s="146">
        <f t="shared" si="71"/>
        <v>0.64</v>
      </c>
      <c r="Y199" s="146">
        <f t="shared" si="71"/>
        <v>0.64</v>
      </c>
      <c r="Z199" s="146">
        <f t="shared" si="71"/>
        <v>0.64</v>
      </c>
      <c r="AA199" s="146">
        <f t="shared" si="71"/>
        <v>0.64</v>
      </c>
      <c r="AB199" s="146">
        <f t="shared" si="71"/>
        <v>0.64</v>
      </c>
      <c r="AC199" s="146">
        <f t="shared" si="71"/>
        <v>0.64</v>
      </c>
      <c r="AD199" s="146">
        <f t="shared" si="71"/>
        <v>0.64</v>
      </c>
      <c r="AE199" s="146">
        <f t="shared" si="71"/>
        <v>0.64</v>
      </c>
      <c r="AF199" s="146">
        <f t="shared" si="71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72">SUM(D194:D199)</f>
        <v>3.54</v>
      </c>
      <c r="E200" s="149">
        <f t="shared" si="72"/>
        <v>3.54</v>
      </c>
      <c r="F200" s="149">
        <f t="shared" si="72"/>
        <v>3.54</v>
      </c>
      <c r="G200" s="149">
        <f t="shared" si="72"/>
        <v>3.54</v>
      </c>
      <c r="H200" s="149">
        <f t="shared" si="72"/>
        <v>3.54</v>
      </c>
      <c r="I200" s="149">
        <f t="shared" si="72"/>
        <v>3.54</v>
      </c>
      <c r="J200" s="149">
        <f t="shared" si="72"/>
        <v>3.54</v>
      </c>
      <c r="K200" s="149">
        <f t="shared" si="72"/>
        <v>3.54</v>
      </c>
      <c r="L200" s="149">
        <f t="shared" si="72"/>
        <v>3.54</v>
      </c>
      <c r="M200" s="149">
        <f>SUM(M194:M199)</f>
        <v>3.54</v>
      </c>
      <c r="N200" s="149">
        <f t="shared" ref="N200:S200" si="73">SUM(N194:N199)</f>
        <v>3.54</v>
      </c>
      <c r="O200" s="149">
        <f t="shared" si="73"/>
        <v>3.54</v>
      </c>
      <c r="P200" s="149">
        <f t="shared" si="73"/>
        <v>3.54</v>
      </c>
      <c r="Q200" s="149">
        <f t="shared" si="73"/>
        <v>3.54</v>
      </c>
      <c r="R200" s="149">
        <f t="shared" si="73"/>
        <v>3.54</v>
      </c>
      <c r="S200" s="149">
        <f t="shared" si="73"/>
        <v>3.54</v>
      </c>
      <c r="T200" s="149">
        <f>SUM(T194:T199)</f>
        <v>3.54</v>
      </c>
      <c r="U200" s="149">
        <f t="shared" ref="U200:AG200" si="74">SUM(U194:U199)</f>
        <v>3.54</v>
      </c>
      <c r="V200" s="149">
        <f t="shared" si="74"/>
        <v>3.54</v>
      </c>
      <c r="W200" s="149">
        <f t="shared" si="74"/>
        <v>3.54</v>
      </c>
      <c r="X200" s="149">
        <f t="shared" si="74"/>
        <v>3.54</v>
      </c>
      <c r="Y200" s="149">
        <f t="shared" si="74"/>
        <v>3.54</v>
      </c>
      <c r="Z200" s="149">
        <f t="shared" si="74"/>
        <v>3.54</v>
      </c>
      <c r="AA200" s="149">
        <f t="shared" si="74"/>
        <v>3.54</v>
      </c>
      <c r="AB200" s="149">
        <f t="shared" si="74"/>
        <v>3.54</v>
      </c>
      <c r="AC200" s="149">
        <f t="shared" si="74"/>
        <v>3.54</v>
      </c>
      <c r="AD200" s="149">
        <f t="shared" si="74"/>
        <v>3.54</v>
      </c>
      <c r="AE200" s="149">
        <f t="shared" si="74"/>
        <v>3.54</v>
      </c>
      <c r="AF200" s="149">
        <f t="shared" si="74"/>
        <v>3.54</v>
      </c>
      <c r="AG200" s="150">
        <f t="shared" si="7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1445.84</v>
      </c>
      <c r="C209" s="164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2078/11/23)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75">B75</f>
        <v>977.24</v>
      </c>
      <c r="U214" s="174">
        <f t="shared" si="75"/>
        <v>966.14</v>
      </c>
      <c r="V214" s="174">
        <f t="shared" si="75"/>
        <v>961.92000000000007</v>
      </c>
      <c r="W214" s="174">
        <f t="shared" si="75"/>
        <v>948.94</v>
      </c>
      <c r="X214" s="174">
        <f t="shared" si="75"/>
        <v>953.44</v>
      </c>
      <c r="Y214" s="174">
        <f t="shared" si="75"/>
        <v>1017.83</v>
      </c>
      <c r="Z214" s="174">
        <f t="shared" si="75"/>
        <v>1098.94</v>
      </c>
      <c r="AA214" s="174">
        <f t="shared" si="75"/>
        <v>1191.94</v>
      </c>
      <c r="AB214" s="174">
        <f t="shared" si="75"/>
        <v>1292.04</v>
      </c>
      <c r="AC214" s="174">
        <f t="shared" si="75"/>
        <v>1385.24</v>
      </c>
      <c r="AD214" s="174">
        <f t="shared" si="75"/>
        <v>1444.1399999999999</v>
      </c>
      <c r="AE214" s="174">
        <f t="shared" si="75"/>
        <v>1445.84</v>
      </c>
      <c r="AF214" s="174">
        <f t="shared" si="75"/>
        <v>1394.4</v>
      </c>
      <c r="AG214" s="174">
        <f t="shared" si="75"/>
        <v>1309.74</v>
      </c>
      <c r="AH214" s="174">
        <f t="shared" si="75"/>
        <v>1282.74</v>
      </c>
      <c r="AI214" s="174">
        <f t="shared" si="75"/>
        <v>1260.0800000000002</v>
      </c>
      <c r="AJ214" s="174">
        <f t="shared" si="75"/>
        <v>1218.1099999999999</v>
      </c>
      <c r="AK214" s="174">
        <f t="shared" si="75"/>
        <v>1238.94</v>
      </c>
      <c r="AL214" s="174">
        <f t="shared" si="75"/>
        <v>1249.2399999999998</v>
      </c>
      <c r="AM214" s="174">
        <f t="shared" si="75"/>
        <v>1262.94</v>
      </c>
      <c r="AN214" s="174">
        <f t="shared" si="75"/>
        <v>1337.74</v>
      </c>
      <c r="AO214" s="174">
        <f t="shared" si="75"/>
        <v>1316.8400000000001</v>
      </c>
      <c r="AP214" s="174">
        <f t="shared" si="75"/>
        <v>1361.3400000000001</v>
      </c>
      <c r="AQ214" s="174">
        <f t="shared" si="75"/>
        <v>1518.2400000000002</v>
      </c>
      <c r="AR214" s="174">
        <f t="shared" si="75"/>
        <v>1543.74</v>
      </c>
      <c r="AS214" s="174">
        <f t="shared" si="75"/>
        <v>1504.5400000000002</v>
      </c>
      <c r="AT214" s="174">
        <f t="shared" si="75"/>
        <v>1466.64</v>
      </c>
      <c r="AU214" s="174">
        <f t="shared" si="75"/>
        <v>1620.74</v>
      </c>
      <c r="AV214" s="174">
        <f t="shared" si="75"/>
        <v>1206.3400000000001</v>
      </c>
      <c r="AW214" s="174">
        <f t="shared" si="75"/>
        <v>1091.7400000000002</v>
      </c>
      <c r="AX214" s="174">
        <f t="shared" si="75"/>
        <v>1020.34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76">C199</f>
        <v>0.64</v>
      </c>
      <c r="C235" s="177">
        <f t="shared" si="76"/>
        <v>0.64</v>
      </c>
      <c r="D235" s="177">
        <f t="shared" si="76"/>
        <v>0.64</v>
      </c>
      <c r="E235" s="177">
        <f t="shared" si="76"/>
        <v>0.64</v>
      </c>
      <c r="F235" s="177">
        <f t="shared" si="76"/>
        <v>0.64</v>
      </c>
      <c r="G235" s="177">
        <f t="shared" si="76"/>
        <v>0.64</v>
      </c>
      <c r="H235" s="177">
        <f t="shared" si="76"/>
        <v>0.64</v>
      </c>
      <c r="I235" s="177">
        <f t="shared" si="76"/>
        <v>0.64</v>
      </c>
      <c r="J235" s="177">
        <f t="shared" si="76"/>
        <v>0.64</v>
      </c>
      <c r="K235" s="177">
        <f t="shared" si="76"/>
        <v>0.64</v>
      </c>
      <c r="L235" s="177">
        <f t="shared" si="76"/>
        <v>0.64</v>
      </c>
      <c r="M235" s="177">
        <f t="shared" si="76"/>
        <v>0.64</v>
      </c>
      <c r="N235" s="177">
        <f t="shared" si="76"/>
        <v>0.64</v>
      </c>
      <c r="O235" s="177">
        <f t="shared" si="76"/>
        <v>0.64</v>
      </c>
      <c r="P235" s="177">
        <f t="shared" si="76"/>
        <v>0.64</v>
      </c>
      <c r="Q235" s="177">
        <f t="shared" si="76"/>
        <v>0.64</v>
      </c>
      <c r="R235" s="177">
        <f t="shared" si="76"/>
        <v>0.64</v>
      </c>
      <c r="S235" s="177">
        <f t="shared" si="76"/>
        <v>0.64</v>
      </c>
      <c r="T235" s="177">
        <f t="shared" si="76"/>
        <v>0.64</v>
      </c>
      <c r="U235" s="177">
        <f t="shared" si="76"/>
        <v>0.64</v>
      </c>
      <c r="V235" s="177">
        <f t="shared" si="76"/>
        <v>0.64</v>
      </c>
      <c r="W235" s="177">
        <f t="shared" si="76"/>
        <v>0.64</v>
      </c>
      <c r="X235" s="177">
        <f t="shared" si="76"/>
        <v>0.64</v>
      </c>
      <c r="Y235" s="177">
        <f t="shared" si="76"/>
        <v>0.64</v>
      </c>
      <c r="Z235" s="177">
        <f t="shared" si="76"/>
        <v>0.64</v>
      </c>
      <c r="AA235" s="177">
        <f t="shared" si="76"/>
        <v>0.64</v>
      </c>
      <c r="AB235" s="177">
        <f t="shared" si="76"/>
        <v>0.64</v>
      </c>
      <c r="AC235" s="177">
        <f t="shared" si="76"/>
        <v>0.64</v>
      </c>
      <c r="AD235" s="177">
        <f t="shared" si="76"/>
        <v>0.64</v>
      </c>
      <c r="AE235" s="177">
        <f t="shared" si="76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77">IF(C203&lt;100,"",C203-520)</f>
        <v/>
      </c>
      <c r="D236" s="120" t="str">
        <f t="shared" si="77"/>
        <v/>
      </c>
      <c r="E236" s="120" t="str">
        <f t="shared" si="77"/>
        <v/>
      </c>
      <c r="F236" s="120" t="str">
        <f t="shared" si="77"/>
        <v/>
      </c>
      <c r="G236" s="120" t="str">
        <f t="shared" si="77"/>
        <v/>
      </c>
      <c r="H236" s="120" t="str">
        <f t="shared" si="77"/>
        <v/>
      </c>
      <c r="I236" s="120" t="str">
        <f t="shared" si="77"/>
        <v/>
      </c>
      <c r="J236" s="120" t="str">
        <f t="shared" si="77"/>
        <v/>
      </c>
      <c r="K236" s="120" t="str">
        <f t="shared" si="77"/>
        <v/>
      </c>
      <c r="L236" s="120" t="str">
        <f t="shared" si="77"/>
        <v/>
      </c>
      <c r="M236" s="120" t="str">
        <f t="shared" si="77"/>
        <v/>
      </c>
      <c r="N236" s="120" t="str">
        <f t="shared" si="77"/>
        <v/>
      </c>
      <c r="O236" s="120" t="str">
        <f t="shared" si="77"/>
        <v/>
      </c>
      <c r="P236" s="120" t="str">
        <f t="shared" si="77"/>
        <v/>
      </c>
      <c r="Q236" s="120" t="str">
        <f t="shared" si="77"/>
        <v/>
      </c>
      <c r="R236" s="120" t="str">
        <f t="shared" si="77"/>
        <v/>
      </c>
      <c r="S236" s="120" t="str">
        <f t="shared" si="77"/>
        <v/>
      </c>
      <c r="T236" s="120" t="str">
        <f t="shared" si="77"/>
        <v/>
      </c>
      <c r="U236" s="120" t="str">
        <f t="shared" si="77"/>
        <v/>
      </c>
      <c r="V236" s="120" t="str">
        <f t="shared" si="77"/>
        <v/>
      </c>
      <c r="W236" s="120" t="str">
        <f t="shared" si="77"/>
        <v/>
      </c>
      <c r="X236" s="120" t="str">
        <f t="shared" si="77"/>
        <v/>
      </c>
      <c r="Y236" s="120" t="str">
        <f t="shared" si="77"/>
        <v/>
      </c>
      <c r="Z236" s="120" t="str">
        <f t="shared" si="77"/>
        <v/>
      </c>
      <c r="AA236" s="120" t="str">
        <f t="shared" si="77"/>
        <v/>
      </c>
      <c r="AB236" s="120" t="str">
        <f t="shared" si="77"/>
        <v/>
      </c>
      <c r="AC236" s="120" t="str">
        <f t="shared" si="77"/>
        <v/>
      </c>
      <c r="AD236" s="120" t="str">
        <f t="shared" si="77"/>
        <v/>
      </c>
      <c r="AE236" s="120" t="str">
        <f t="shared" si="77"/>
        <v/>
      </c>
      <c r="AF236" s="120" t="str">
        <f t="shared" si="77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78">IF(B204&lt;100,"",B204-620)</f>
        <v/>
      </c>
      <c r="C237" s="120" t="str">
        <f t="shared" si="78"/>
        <v/>
      </c>
      <c r="D237" s="120" t="str">
        <f t="shared" si="78"/>
        <v/>
      </c>
      <c r="E237" s="120" t="str">
        <f t="shared" si="78"/>
        <v/>
      </c>
      <c r="F237" s="120" t="str">
        <f t="shared" si="78"/>
        <v/>
      </c>
      <c r="G237" s="120" t="str">
        <f t="shared" si="78"/>
        <v/>
      </c>
      <c r="H237" s="120" t="str">
        <f t="shared" si="78"/>
        <v/>
      </c>
      <c r="I237" s="120" t="str">
        <f t="shared" si="78"/>
        <v/>
      </c>
      <c r="J237" s="120" t="str">
        <f t="shared" si="78"/>
        <v/>
      </c>
      <c r="K237" s="120" t="str">
        <f t="shared" si="78"/>
        <v/>
      </c>
      <c r="L237" s="120" t="str">
        <f t="shared" si="78"/>
        <v/>
      </c>
      <c r="M237" s="120" t="str">
        <f t="shared" si="78"/>
        <v/>
      </c>
      <c r="N237" s="120" t="str">
        <f t="shared" si="78"/>
        <v/>
      </c>
      <c r="O237" s="120" t="str">
        <f t="shared" si="78"/>
        <v/>
      </c>
      <c r="P237" s="120" t="str">
        <f t="shared" si="78"/>
        <v/>
      </c>
      <c r="Q237" s="120" t="str">
        <f t="shared" si="78"/>
        <v/>
      </c>
      <c r="R237" s="120" t="str">
        <f t="shared" si="78"/>
        <v/>
      </c>
      <c r="S237" s="120" t="str">
        <f t="shared" si="78"/>
        <v/>
      </c>
      <c r="T237" s="120" t="str">
        <f t="shared" si="78"/>
        <v/>
      </c>
      <c r="U237" s="120" t="str">
        <f t="shared" si="78"/>
        <v/>
      </c>
      <c r="V237" s="120" t="str">
        <f t="shared" si="78"/>
        <v/>
      </c>
      <c r="W237" s="120" t="str">
        <f t="shared" si="78"/>
        <v/>
      </c>
      <c r="X237" s="120" t="str">
        <f t="shared" si="78"/>
        <v/>
      </c>
      <c r="Y237" s="120" t="str">
        <f t="shared" si="78"/>
        <v/>
      </c>
      <c r="Z237" s="120" t="str">
        <f t="shared" si="78"/>
        <v/>
      </c>
      <c r="AA237" s="120" t="str">
        <f t="shared" si="78"/>
        <v/>
      </c>
      <c r="AB237" s="120" t="str">
        <f t="shared" si="78"/>
        <v/>
      </c>
      <c r="AC237" s="120" t="str">
        <f t="shared" si="78"/>
        <v/>
      </c>
      <c r="AD237" s="120" t="str">
        <f t="shared" si="78"/>
        <v/>
      </c>
      <c r="AE237" s="120" t="str">
        <f t="shared" si="78"/>
        <v/>
      </c>
      <c r="AF237" s="120" t="str">
        <f t="shared" si="78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79">IF(B205&lt;100,"",B205-330)</f>
        <v/>
      </c>
      <c r="C238" s="120" t="str">
        <f t="shared" si="79"/>
        <v/>
      </c>
      <c r="D238" s="120" t="str">
        <f t="shared" si="79"/>
        <v/>
      </c>
      <c r="E238" s="120" t="str">
        <f t="shared" si="79"/>
        <v/>
      </c>
      <c r="F238" s="120" t="str">
        <f t="shared" si="79"/>
        <v/>
      </c>
      <c r="G238" s="120" t="str">
        <f t="shared" si="79"/>
        <v/>
      </c>
      <c r="H238" s="120" t="str">
        <f t="shared" si="79"/>
        <v/>
      </c>
      <c r="I238" s="120" t="str">
        <f t="shared" si="79"/>
        <v/>
      </c>
      <c r="J238" s="120" t="str">
        <f t="shared" si="79"/>
        <v/>
      </c>
      <c r="K238" s="120" t="str">
        <f t="shared" si="79"/>
        <v/>
      </c>
      <c r="L238" s="120" t="str">
        <f t="shared" si="79"/>
        <v/>
      </c>
      <c r="M238" s="120" t="str">
        <f t="shared" si="79"/>
        <v/>
      </c>
      <c r="N238" s="120" t="str">
        <f t="shared" si="79"/>
        <v/>
      </c>
      <c r="O238" s="120" t="str">
        <f t="shared" si="79"/>
        <v/>
      </c>
      <c r="P238" s="120" t="str">
        <f t="shared" si="79"/>
        <v/>
      </c>
      <c r="Q238" s="120" t="str">
        <f t="shared" si="79"/>
        <v/>
      </c>
      <c r="R238" s="120" t="str">
        <f t="shared" si="79"/>
        <v/>
      </c>
      <c r="S238" s="120" t="str">
        <f t="shared" si="79"/>
        <v/>
      </c>
      <c r="T238" s="120" t="str">
        <f t="shared" si="79"/>
        <v/>
      </c>
      <c r="U238" s="120" t="str">
        <f t="shared" si="79"/>
        <v/>
      </c>
      <c r="V238" s="120" t="str">
        <f t="shared" si="79"/>
        <v/>
      </c>
      <c r="W238" s="120" t="str">
        <f t="shared" si="79"/>
        <v/>
      </c>
      <c r="X238" s="120" t="str">
        <f t="shared" si="79"/>
        <v/>
      </c>
      <c r="Y238" s="120" t="str">
        <f t="shared" si="79"/>
        <v/>
      </c>
      <c r="Z238" s="120" t="str">
        <f t="shared" si="79"/>
        <v/>
      </c>
      <c r="AA238" s="120" t="str">
        <f t="shared" si="79"/>
        <v/>
      </c>
      <c r="AB238" s="120" t="str">
        <f t="shared" si="79"/>
        <v/>
      </c>
      <c r="AC238" s="120" t="str">
        <f t="shared" si="79"/>
        <v/>
      </c>
      <c r="AD238" s="120" t="str">
        <f t="shared" si="79"/>
        <v/>
      </c>
      <c r="AE238" s="120" t="str">
        <f t="shared" si="79"/>
        <v/>
      </c>
      <c r="AF238" s="120" t="str">
        <f t="shared" si="79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80">IF(C206&lt;100,"",C206-1500)</f>
        <v/>
      </c>
      <c r="D239" s="120" t="str">
        <f t="shared" si="80"/>
        <v/>
      </c>
      <c r="E239" s="120" t="str">
        <f t="shared" si="80"/>
        <v/>
      </c>
      <c r="F239" s="120" t="str">
        <f t="shared" si="80"/>
        <v/>
      </c>
      <c r="G239" s="120" t="str">
        <f t="shared" si="80"/>
        <v/>
      </c>
      <c r="H239" s="120" t="str">
        <f t="shared" si="80"/>
        <v/>
      </c>
      <c r="I239" s="120" t="str">
        <f t="shared" si="80"/>
        <v/>
      </c>
      <c r="J239" s="120" t="str">
        <f t="shared" si="80"/>
        <v/>
      </c>
      <c r="K239" s="120" t="str">
        <f t="shared" si="80"/>
        <v/>
      </c>
      <c r="L239" s="120" t="str">
        <f t="shared" si="80"/>
        <v/>
      </c>
      <c r="M239" s="120" t="str">
        <f t="shared" si="80"/>
        <v/>
      </c>
      <c r="N239" s="120" t="str">
        <f t="shared" si="80"/>
        <v/>
      </c>
      <c r="O239" s="120" t="str">
        <f t="shared" si="80"/>
        <v/>
      </c>
      <c r="P239" s="120" t="str">
        <f t="shared" si="80"/>
        <v/>
      </c>
      <c r="Q239" s="120" t="str">
        <f t="shared" si="80"/>
        <v/>
      </c>
      <c r="R239" s="120" t="str">
        <f t="shared" si="80"/>
        <v/>
      </c>
      <c r="S239" s="120" t="str">
        <f t="shared" si="80"/>
        <v/>
      </c>
      <c r="T239" s="120" t="str">
        <f t="shared" si="80"/>
        <v/>
      </c>
      <c r="U239" s="120" t="str">
        <f t="shared" si="80"/>
        <v/>
      </c>
      <c r="V239" s="120" t="str">
        <f t="shared" si="80"/>
        <v/>
      </c>
      <c r="W239" s="120" t="str">
        <f t="shared" si="80"/>
        <v/>
      </c>
      <c r="X239" s="120" t="str">
        <f t="shared" si="80"/>
        <v/>
      </c>
      <c r="Y239" s="120" t="str">
        <f t="shared" si="80"/>
        <v/>
      </c>
      <c r="Z239" s="120" t="str">
        <f t="shared" si="80"/>
        <v/>
      </c>
      <c r="AA239" s="120" t="str">
        <f t="shared" si="80"/>
        <v/>
      </c>
      <c r="AB239" s="120" t="str">
        <f t="shared" si="80"/>
        <v/>
      </c>
      <c r="AC239" s="120" t="str">
        <f t="shared" si="80"/>
        <v/>
      </c>
      <c r="AD239" s="120" t="str">
        <f t="shared" si="80"/>
        <v/>
      </c>
      <c r="AE239" s="120" t="str">
        <f t="shared" si="80"/>
        <v/>
      </c>
      <c r="AF239" s="120" t="str">
        <f t="shared" si="8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M37:R37 P39:R39 M39:O42 P40:Q42 AB81:AF81 C81:R81 C56:AF56 C82:AF83 D194:AF200 B194:B200 AC84:AF91 C68:AF80 B9:AF10 B192:AF192 AF57:AF67 AG73 AB100:AF100 B100 U213:AF213 C57:L61 N60:R61 M58:M61 Q42:R42 O12:R14 R40:U41 S20:Y20 M11:Y11 U40:Y42 N45:Y48 N58:Y59 C63:Y67 Z85:AA91 M53:AF55 AC94:AF99 Z16:AF31 Z11:AF14 S36:AF36 Z40:AF43">
    <cfRule type="expression" dxfId="2643" priority="297">
      <formula>B$9&gt;=20/24</formula>
    </cfRule>
    <cfRule type="expression" dxfId="2642" priority="298">
      <formula>AND(B$9&gt;=14/24,B$9&lt;20/24)</formula>
    </cfRule>
    <cfRule type="expression" dxfId="2641" priority="299">
      <formula>AND(B$9&gt;=8/24,B$9&lt;14/24)</formula>
    </cfRule>
    <cfRule type="expression" dxfId="2640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639" priority="292">
      <formula>M$9&gt;=20/24</formula>
    </cfRule>
    <cfRule type="expression" dxfId="2638" priority="293">
      <formula>AND(M$9&gt;=14/24,M$9&lt;20/24)</formula>
    </cfRule>
    <cfRule type="expression" dxfId="2637" priority="294">
      <formula>AND(M$9&gt;=8/24,M$9&lt;14/24)</formula>
    </cfRule>
    <cfRule type="expression" dxfId="2636" priority="295">
      <formula>M$9&lt;8/24</formula>
    </cfRule>
  </conditionalFormatting>
  <conditionalFormatting sqref="M43:R43">
    <cfRule type="expression" dxfId="2635" priority="288">
      <formula>M$9&gt;=20/24</formula>
    </cfRule>
    <cfRule type="expression" dxfId="2634" priority="289">
      <formula>AND(M$9&gt;=14/24,M$9&lt;20/24)</formula>
    </cfRule>
    <cfRule type="expression" dxfId="2633" priority="290">
      <formula>AND(M$9&gt;=8/24,M$9&lt;14/24)</formula>
    </cfRule>
    <cfRule type="expression" dxfId="2632" priority="291">
      <formula>M$9&lt;8/24</formula>
    </cfRule>
  </conditionalFormatting>
  <conditionalFormatting sqref="Z32:AF32">
    <cfRule type="expression" dxfId="2631" priority="284">
      <formula>Z$9&gt;=20/24</formula>
    </cfRule>
    <cfRule type="expression" dxfId="2630" priority="285">
      <formula>AND(Z$9&gt;=14/24,Z$9&lt;20/24)</formula>
    </cfRule>
    <cfRule type="expression" dxfId="2629" priority="286">
      <formula>AND(Z$9&gt;=8/24,Z$9&lt;14/24)</formula>
    </cfRule>
    <cfRule type="expression" dxfId="2628" priority="287">
      <formula>Z$9&lt;8/24</formula>
    </cfRule>
  </conditionalFormatting>
  <conditionalFormatting sqref="S39:AF39">
    <cfRule type="expression" dxfId="2627" priority="280">
      <formula>S$9&gt;=20/24</formula>
    </cfRule>
    <cfRule type="expression" dxfId="2626" priority="281">
      <formula>AND(S$9&gt;=14/24,S$9&lt;20/24)</formula>
    </cfRule>
    <cfRule type="expression" dxfId="2625" priority="282">
      <formula>AND(S$9&gt;=8/24,S$9&lt;14/24)</formula>
    </cfRule>
    <cfRule type="expression" dxfId="2624" priority="283">
      <formula>S$9&lt;8/24</formula>
    </cfRule>
  </conditionalFormatting>
  <conditionalFormatting sqref="S57:AE57">
    <cfRule type="expression" dxfId="2623" priority="276">
      <formula>S$9&gt;=20/24</formula>
    </cfRule>
    <cfRule type="expression" dxfId="2622" priority="277">
      <formula>AND(S$9&gt;=14/24,S$9&lt;20/24)</formula>
    </cfRule>
    <cfRule type="expression" dxfId="2621" priority="278">
      <formula>AND(S$9&gt;=8/24,S$9&lt;14/24)</formula>
    </cfRule>
    <cfRule type="expression" dxfId="2620" priority="279">
      <formula>S$9&lt;8/24</formula>
    </cfRule>
  </conditionalFormatting>
  <conditionalFormatting sqref="S81:AA81">
    <cfRule type="expression" dxfId="2619" priority="272">
      <formula>S$9&gt;=20/24</formula>
    </cfRule>
    <cfRule type="expression" dxfId="2618" priority="273">
      <formula>AND(S$9&gt;=14/24,S$9&lt;20/24)</formula>
    </cfRule>
    <cfRule type="expression" dxfId="2617" priority="274">
      <formula>AND(S$9&gt;=8/24,S$9&lt;14/24)</formula>
    </cfRule>
    <cfRule type="expression" dxfId="2616" priority="275">
      <formula>S$9&lt;8/24</formula>
    </cfRule>
  </conditionalFormatting>
  <conditionalFormatting sqref="Z84:AA84">
    <cfRule type="expression" dxfId="2615" priority="268">
      <formula>Z$9&gt;=20/24</formula>
    </cfRule>
    <cfRule type="expression" dxfId="2614" priority="269">
      <formula>AND(Z$9&gt;=14/24,Z$9&lt;20/24)</formula>
    </cfRule>
    <cfRule type="expression" dxfId="2613" priority="270">
      <formula>AND(Z$9&gt;=8/24,Z$9&lt;14/24)</formula>
    </cfRule>
    <cfRule type="expression" dxfId="2612" priority="271">
      <formula>Z$9&lt;8/24</formula>
    </cfRule>
  </conditionalFormatting>
  <conditionalFormatting sqref="M50:Y50">
    <cfRule type="expression" dxfId="2611" priority="256">
      <formula>M$9&gt;=20/24</formula>
    </cfRule>
    <cfRule type="expression" dxfId="2610" priority="257">
      <formula>AND(M$9&gt;=14/24,M$9&lt;20/24)</formula>
    </cfRule>
    <cfRule type="expression" dxfId="2609" priority="258">
      <formula>AND(M$9&gt;=8/24,M$9&lt;14/24)</formula>
    </cfRule>
    <cfRule type="expression" dxfId="2608" priority="259">
      <formula>M$9&lt;8/24</formula>
    </cfRule>
  </conditionalFormatting>
  <conditionalFormatting sqref="M49:Y49">
    <cfRule type="expression" dxfId="2607" priority="260">
      <formula>M$9&gt;=20/24</formula>
    </cfRule>
    <cfRule type="expression" dxfId="2606" priority="261">
      <formula>AND(M$9&gt;=14/24,M$9&lt;20/24)</formula>
    </cfRule>
    <cfRule type="expression" dxfId="2605" priority="262">
      <formula>AND(M$9&gt;=8/24,M$9&lt;14/24)</formula>
    </cfRule>
    <cfRule type="expression" dxfId="2604" priority="263">
      <formula>M$9&lt;8/24</formula>
    </cfRule>
  </conditionalFormatting>
  <conditionalFormatting sqref="M45:Y48">
    <cfRule type="expression" dxfId="2603" priority="252">
      <formula>M$9&gt;=20/24</formula>
    </cfRule>
    <cfRule type="expression" dxfId="2602" priority="253">
      <formula>AND(M$9&gt;=14/24,M$9&lt;20/24)</formula>
    </cfRule>
    <cfRule type="expression" dxfId="2601" priority="254">
      <formula>AND(M$9&gt;=8/24,M$9&lt;14/24)</formula>
    </cfRule>
    <cfRule type="expression" dxfId="2600" priority="255">
      <formula>M$9&lt;8/24</formula>
    </cfRule>
  </conditionalFormatting>
  <conditionalFormatting sqref="S37:AE37">
    <cfRule type="expression" dxfId="2599" priority="248">
      <formula>S$9&gt;=20/24</formula>
    </cfRule>
    <cfRule type="expression" dxfId="2598" priority="249">
      <formula>AND(S$9&gt;=14/24,S$9&lt;20/24)</formula>
    </cfRule>
    <cfRule type="expression" dxfId="2597" priority="250">
      <formula>AND(S$9&gt;=8/24,S$9&lt;14/24)</formula>
    </cfRule>
    <cfRule type="expression" dxfId="2596" priority="251">
      <formula>S$9&lt;8/24</formula>
    </cfRule>
  </conditionalFormatting>
  <conditionalFormatting sqref="Z35:AF35">
    <cfRule type="expression" dxfId="2595" priority="244">
      <formula>Z$9&gt;=20/24</formula>
    </cfRule>
    <cfRule type="expression" dxfId="2594" priority="245">
      <formula>AND(Z$9&gt;=14/24,Z$9&lt;20/24)</formula>
    </cfRule>
    <cfRule type="expression" dxfId="2593" priority="246">
      <formula>AND(Z$9&gt;=8/24,Z$9&lt;14/24)</formula>
    </cfRule>
    <cfRule type="expression" dxfId="2592" priority="247">
      <formula>Z$9&lt;8/24</formula>
    </cfRule>
  </conditionalFormatting>
  <conditionalFormatting sqref="S42:Y43 S45:AF48">
    <cfRule type="expression" dxfId="2591" priority="240">
      <formula>S$9&gt;=20/24</formula>
    </cfRule>
    <cfRule type="expression" dxfId="2590" priority="241">
      <formula>AND(S$9&gt;=14/24,S$9&lt;20/24)</formula>
    </cfRule>
    <cfRule type="expression" dxfId="2589" priority="242">
      <formula>AND(S$9&gt;=8/24,S$9&lt;14/24)</formula>
    </cfRule>
    <cfRule type="expression" dxfId="2588" priority="243">
      <formula>S$9&lt;8/24</formula>
    </cfRule>
  </conditionalFormatting>
  <conditionalFormatting sqref="S49:AF49">
    <cfRule type="expression" dxfId="2587" priority="236">
      <formula>S$9&gt;=20/24</formula>
    </cfRule>
    <cfRule type="expression" dxfId="2586" priority="237">
      <formula>AND(S$9&gt;=14/24,S$9&lt;20/24)</formula>
    </cfRule>
    <cfRule type="expression" dxfId="2585" priority="238">
      <formula>AND(S$9&gt;=8/24,S$9&lt;14/24)</formula>
    </cfRule>
    <cfRule type="expression" dxfId="2584" priority="239">
      <formula>S$9&lt;8/24</formula>
    </cfRule>
  </conditionalFormatting>
  <conditionalFormatting sqref="S50:AF50">
    <cfRule type="expression" dxfId="2583" priority="232">
      <formula>S$9&gt;=20/24</formula>
    </cfRule>
    <cfRule type="expression" dxfId="2582" priority="233">
      <formula>AND(S$9&gt;=14/24,S$9&lt;20/24)</formula>
    </cfRule>
    <cfRule type="expression" dxfId="2581" priority="234">
      <formula>AND(S$9&gt;=8/24,S$9&lt;14/24)</formula>
    </cfRule>
    <cfRule type="expression" dxfId="2580" priority="235">
      <formula>S$9&lt;8/24</formula>
    </cfRule>
  </conditionalFormatting>
  <conditionalFormatting sqref="S60:Y61 Z60:AE67">
    <cfRule type="expression" dxfId="2579" priority="228">
      <formula>S$9&gt;=20/24</formula>
    </cfRule>
    <cfRule type="expression" dxfId="2578" priority="229">
      <formula>AND(S$9&gt;=14/24,S$9&lt;20/24)</formula>
    </cfRule>
    <cfRule type="expression" dxfId="2577" priority="230">
      <formula>AND(S$9&gt;=8/24,S$9&lt;14/24)</formula>
    </cfRule>
    <cfRule type="expression" dxfId="2576" priority="231">
      <formula>S$9&lt;8/24</formula>
    </cfRule>
  </conditionalFormatting>
  <conditionalFormatting sqref="C62:Y62">
    <cfRule type="expression" dxfId="2575" priority="224">
      <formula>C$9&gt;=20/24</formula>
    </cfRule>
    <cfRule type="expression" dxfId="2574" priority="225">
      <formula>AND(C$9&gt;=14/24,C$9&lt;20/24)</formula>
    </cfRule>
    <cfRule type="expression" dxfId="2573" priority="226">
      <formula>AND(C$9&gt;=8/24,C$9&lt;14/24)</formula>
    </cfRule>
    <cfRule type="expression" dxfId="2572" priority="227">
      <formula>C$9&lt;8/24</formula>
    </cfRule>
  </conditionalFormatting>
  <conditionalFormatting sqref="U94:AA97">
    <cfRule type="expression" dxfId="2571" priority="220">
      <formula>U$9&gt;=20/24</formula>
    </cfRule>
    <cfRule type="expression" dxfId="2570" priority="221">
      <formula>AND(U$9&gt;=14/24,U$9&lt;20/24)</formula>
    </cfRule>
    <cfRule type="expression" dxfId="2569" priority="222">
      <formula>AND(U$9&gt;=8/24,U$9&lt;14/24)</formula>
    </cfRule>
    <cfRule type="expression" dxfId="2568" priority="223">
      <formula>U$9&lt;8/24</formula>
    </cfRule>
  </conditionalFormatting>
  <conditionalFormatting sqref="AG51 L37:S37 S36 O12:R14 S20:Y20 T36:Y37 E11:Y11 Z11:AF32 Z34:AF37 C38:AF56">
    <cfRule type="expression" dxfId="2567" priority="219">
      <formula>C11&gt;$AG11</formula>
    </cfRule>
  </conditionalFormatting>
  <conditionalFormatting sqref="A101:A157 A84:A97 A11:A14 A16:A32 A45:A72 A80:A82 A74:A78 A35:A43 A170:A200">
    <cfRule type="expression" dxfId="2566" priority="218">
      <formula>$AH11=0</formula>
    </cfRule>
  </conditionalFormatting>
  <conditionalFormatting sqref="U98:AA98">
    <cfRule type="expression" dxfId="2565" priority="214">
      <formula>U$9&gt;=20/24</formula>
    </cfRule>
    <cfRule type="expression" dxfId="2564" priority="215">
      <formula>AND(U$9&gt;=14/24,U$9&lt;20/24)</formula>
    </cfRule>
    <cfRule type="expression" dxfId="2563" priority="216">
      <formula>AND(U$9&gt;=8/24,U$9&lt;14/24)</formula>
    </cfRule>
    <cfRule type="expression" dxfId="2562" priority="217">
      <formula>U$9&lt;8/24</formula>
    </cfRule>
  </conditionalFormatting>
  <conditionalFormatting sqref="A98">
    <cfRule type="expression" dxfId="2561" priority="213">
      <formula>$AH98=0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2560" priority="196">
      <formula>Z$9&gt;=20/24</formula>
    </cfRule>
    <cfRule type="expression" dxfId="2559" priority="197">
      <formula>AND(Z$9&gt;=14/24,Z$9&lt;20/24)</formula>
    </cfRule>
    <cfRule type="expression" dxfId="2558" priority="198">
      <formula>AND(Z$9&gt;=8/24,Z$9&lt;14/24)</formula>
    </cfRule>
    <cfRule type="expression" dxfId="2557" priority="199">
      <formula>Z$9&lt;8/24</formula>
    </cfRule>
  </conditionalFormatting>
  <conditionalFormatting sqref="A34">
    <cfRule type="expression" dxfId="2556" priority="187">
      <formula>$AH34=0</formula>
    </cfRule>
  </conditionalFormatting>
  <conditionalFormatting sqref="A83">
    <cfRule type="expression" dxfId="2555" priority="186">
      <formula>$AH83=0</formula>
    </cfRule>
  </conditionalFormatting>
  <conditionalFormatting sqref="Z15:AF15">
    <cfRule type="expression" dxfId="2554" priority="182">
      <formula>Z$9&gt;=20/24</formula>
    </cfRule>
    <cfRule type="expression" dxfId="2553" priority="183">
      <formula>AND(Z$9&gt;=14/24,Z$9&lt;20/24)</formula>
    </cfRule>
    <cfRule type="expression" dxfId="2552" priority="184">
      <formula>AND(Z$9&gt;=8/24,Z$9&lt;14/24)</formula>
    </cfRule>
    <cfRule type="expression" dxfId="2551" priority="185">
      <formula>Z$9&lt;8/24</formula>
    </cfRule>
  </conditionalFormatting>
  <conditionalFormatting sqref="O15:R15">
    <cfRule type="expression" dxfId="2550" priority="178">
      <formula>O$9&gt;=20/24</formula>
    </cfRule>
    <cfRule type="expression" dxfId="2549" priority="179">
      <formula>AND(O$9&gt;=14/24,O$9&lt;20/24)</formula>
    </cfRule>
    <cfRule type="expression" dxfId="2548" priority="180">
      <formula>AND(O$9&gt;=8/24,O$9&lt;14/24)</formula>
    </cfRule>
    <cfRule type="expression" dxfId="2547" priority="181">
      <formula>O$9&lt;8/24</formula>
    </cfRule>
  </conditionalFormatting>
  <conditionalFormatting sqref="O15:R15">
    <cfRule type="expression" dxfId="2546" priority="177">
      <formula>O15&gt;$AG15</formula>
    </cfRule>
  </conditionalFormatting>
  <conditionalFormatting sqref="A15">
    <cfRule type="expression" dxfId="2545" priority="176">
      <formula>$AH15=0</formula>
    </cfRule>
  </conditionalFormatting>
  <conditionalFormatting sqref="A164:A169">
    <cfRule type="expression" dxfId="2544" priority="175">
      <formula>$AH164=0</formula>
    </cfRule>
  </conditionalFormatting>
  <conditionalFormatting sqref="A158:A163">
    <cfRule type="expression" dxfId="2543" priority="174">
      <formula>$AH158=0</formula>
    </cfRule>
  </conditionalFormatting>
  <conditionalFormatting sqref="Z44:AF44">
    <cfRule type="expression" dxfId="2542" priority="170">
      <formula>Z$9&gt;=20/24</formula>
    </cfRule>
    <cfRule type="expression" dxfId="2541" priority="171">
      <formula>AND(Z$9&gt;=14/24,Z$9&lt;20/24)</formula>
    </cfRule>
    <cfRule type="expression" dxfId="2540" priority="172">
      <formula>AND(Z$9&gt;=8/24,Z$9&lt;14/24)</formula>
    </cfRule>
    <cfRule type="expression" dxfId="2539" priority="173">
      <formula>Z$9&lt;8/24</formula>
    </cfRule>
  </conditionalFormatting>
  <conditionalFormatting sqref="M44:R44">
    <cfRule type="expression" dxfId="2538" priority="166">
      <formula>M$9&gt;=20/24</formula>
    </cfRule>
    <cfRule type="expression" dxfId="2537" priority="167">
      <formula>AND(M$9&gt;=14/24,M$9&lt;20/24)</formula>
    </cfRule>
    <cfRule type="expression" dxfId="2536" priority="168">
      <formula>AND(M$9&gt;=8/24,M$9&lt;14/24)</formula>
    </cfRule>
    <cfRule type="expression" dxfId="2535" priority="169">
      <formula>M$9&lt;8/24</formula>
    </cfRule>
  </conditionalFormatting>
  <conditionalFormatting sqref="S44:Y44">
    <cfRule type="expression" dxfId="2534" priority="162">
      <formula>S$9&gt;=20/24</formula>
    </cfRule>
    <cfRule type="expression" dxfId="2533" priority="163">
      <formula>AND(S$9&gt;=14/24,S$9&lt;20/24)</formula>
    </cfRule>
    <cfRule type="expression" dxfId="2532" priority="164">
      <formula>AND(S$9&gt;=8/24,S$9&lt;14/24)</formula>
    </cfRule>
    <cfRule type="expression" dxfId="2531" priority="165">
      <formula>S$9&lt;8/24</formula>
    </cfRule>
  </conditionalFormatting>
  <conditionalFormatting sqref="A44">
    <cfRule type="expression" dxfId="2530" priority="161">
      <formula>$AH44=0</formula>
    </cfRule>
  </conditionalFormatting>
  <conditionalFormatting sqref="A79">
    <cfRule type="expression" dxfId="2529" priority="160">
      <formula>$AH79=0</formula>
    </cfRule>
  </conditionalFormatting>
  <conditionalFormatting sqref="A73">
    <cfRule type="expression" dxfId="2528" priority="159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C84:R91 S85:Y91">
    <cfRule type="expression" dxfId="2527" priority="147">
      <formula>C$9&gt;=20/24</formula>
    </cfRule>
    <cfRule type="expression" dxfId="2526" priority="148">
      <formula>AND(C$9&gt;=14/24,C$9&lt;20/24)</formula>
    </cfRule>
    <cfRule type="expression" dxfId="2525" priority="149">
      <formula>AND(C$9&gt;=8/24,C$9&lt;14/24)</formula>
    </cfRule>
    <cfRule type="expression" dxfId="2524" priority="150">
      <formula>C$9&lt;8/24</formula>
    </cfRule>
  </conditionalFormatting>
  <conditionalFormatting sqref="S84:Y84">
    <cfRule type="expression" dxfId="2523" priority="143">
      <formula>S$9&gt;=20/24</formula>
    </cfRule>
    <cfRule type="expression" dxfId="2522" priority="144">
      <formula>AND(S$9&gt;=14/24,S$9&lt;20/24)</formula>
    </cfRule>
    <cfRule type="expression" dxfId="2521" priority="145">
      <formula>AND(S$9&gt;=8/24,S$9&lt;14/24)</formula>
    </cfRule>
    <cfRule type="expression" dxfId="2520" priority="146">
      <formula>S$9&lt;8/24</formula>
    </cfRule>
  </conditionalFormatting>
  <conditionalFormatting sqref="C95:M97 C94:F94">
    <cfRule type="expression" dxfId="2519" priority="139">
      <formula>C$9&gt;=20/24</formula>
    </cfRule>
    <cfRule type="expression" dxfId="2518" priority="140">
      <formula>AND(C$9&gt;=14/24,C$9&lt;20/24)</formula>
    </cfRule>
    <cfRule type="expression" dxfId="2517" priority="141">
      <formula>AND(C$9&gt;=8/24,C$9&lt;14/24)</formula>
    </cfRule>
    <cfRule type="expression" dxfId="2516" priority="142">
      <formula>C$9&lt;8/24</formula>
    </cfRule>
  </conditionalFormatting>
  <conditionalFormatting sqref="N95:R97 O94:R94">
    <cfRule type="expression" dxfId="2515" priority="135">
      <formula>N$9&gt;=20/24</formula>
    </cfRule>
    <cfRule type="expression" dxfId="2514" priority="136">
      <formula>AND(N$9&gt;=14/24,N$9&lt;20/24)</formula>
    </cfRule>
    <cfRule type="expression" dxfId="2513" priority="137">
      <formula>AND(N$9&gt;=8/24,N$9&lt;14/24)</formula>
    </cfRule>
    <cfRule type="expression" dxfId="2512" priority="138">
      <formula>N$9&lt;8/24</formula>
    </cfRule>
  </conditionalFormatting>
  <conditionalFormatting sqref="S94:T97">
    <cfRule type="expression" dxfId="2511" priority="131">
      <formula>S$9&gt;=20/24</formula>
    </cfRule>
    <cfRule type="expression" dxfId="2510" priority="132">
      <formula>AND(S$9&gt;=14/24,S$9&lt;20/24)</formula>
    </cfRule>
    <cfRule type="expression" dxfId="2509" priority="133">
      <formula>AND(S$9&gt;=8/24,S$9&lt;14/24)</formula>
    </cfRule>
    <cfRule type="expression" dxfId="2508" priority="134">
      <formula>S$9&lt;8/24</formula>
    </cfRule>
  </conditionalFormatting>
  <conditionalFormatting sqref="C98:M98">
    <cfRule type="expression" dxfId="2507" priority="127">
      <formula>C$9&gt;=20/24</formula>
    </cfRule>
    <cfRule type="expression" dxfId="2506" priority="128">
      <formula>AND(C$9&gt;=14/24,C$9&lt;20/24)</formula>
    </cfRule>
    <cfRule type="expression" dxfId="2505" priority="129">
      <formula>AND(C$9&gt;=8/24,C$9&lt;14/24)</formula>
    </cfRule>
    <cfRule type="expression" dxfId="2504" priority="130">
      <formula>C$9&lt;8/24</formula>
    </cfRule>
  </conditionalFormatting>
  <conditionalFormatting sqref="N98:R98">
    <cfRule type="expression" dxfId="2503" priority="123">
      <formula>N$9&gt;=20/24</formula>
    </cfRule>
    <cfRule type="expression" dxfId="2502" priority="124">
      <formula>AND(N$9&gt;=14/24,N$9&lt;20/24)</formula>
    </cfRule>
    <cfRule type="expression" dxfId="2501" priority="125">
      <formula>AND(N$9&gt;=8/24,N$9&lt;14/24)</formula>
    </cfRule>
    <cfRule type="expression" dxfId="2500" priority="126">
      <formula>N$9&lt;8/24</formula>
    </cfRule>
  </conditionalFormatting>
  <conditionalFormatting sqref="S98:T98">
    <cfRule type="expression" dxfId="2499" priority="119">
      <formula>S$9&gt;=20/24</formula>
    </cfRule>
    <cfRule type="expression" dxfId="2498" priority="120">
      <formula>AND(S$9&gt;=14/24,S$9&lt;20/24)</formula>
    </cfRule>
    <cfRule type="expression" dxfId="2497" priority="121">
      <formula>AND(S$9&gt;=8/24,S$9&lt;14/24)</formula>
    </cfRule>
    <cfRule type="expression" dxfId="2496" priority="122">
      <formula>S$9&lt;8/24</formula>
    </cfRule>
  </conditionalFormatting>
  <conditionalFormatting sqref="M94:N94">
    <cfRule type="expression" dxfId="2495" priority="115">
      <formula>M$9&gt;=20/24</formula>
    </cfRule>
    <cfRule type="expression" dxfId="2494" priority="116">
      <formula>AND(M$9&gt;=14/24,M$9&lt;20/24)</formula>
    </cfRule>
    <cfRule type="expression" dxfId="2493" priority="117">
      <formula>AND(M$9&gt;=8/24,M$9&lt;14/24)</formula>
    </cfRule>
    <cfRule type="expression" dxfId="2492" priority="118">
      <formula>M$9&lt;8/24</formula>
    </cfRule>
  </conditionalFormatting>
  <conditionalFormatting sqref="G94:L94">
    <cfRule type="expression" dxfId="2491" priority="111">
      <formula>G$9&gt;=20/24</formula>
    </cfRule>
    <cfRule type="expression" dxfId="2490" priority="112">
      <formula>AND(G$9&gt;=14/24,G$9&lt;20/24)</formula>
    </cfRule>
    <cfRule type="expression" dxfId="2489" priority="113">
      <formula>AND(G$9&gt;=8/24,G$9&lt;14/24)</formula>
    </cfRule>
    <cfRule type="expression" dxfId="2488" priority="114">
      <formula>G$9&lt;8/24</formula>
    </cfRule>
  </conditionalFormatting>
  <conditionalFormatting sqref="U94:W94">
    <cfRule type="expression" dxfId="2487" priority="107">
      <formula>U$9&gt;=20/24</formula>
    </cfRule>
    <cfRule type="expression" dxfId="2486" priority="108">
      <formula>AND(U$9&gt;=14/24,U$9&lt;20/24)</formula>
    </cfRule>
    <cfRule type="expression" dxfId="2485" priority="109">
      <formula>AND(U$9&gt;=8/24,U$9&lt;14/24)</formula>
    </cfRule>
    <cfRule type="expression" dxfId="2484" priority="110">
      <formula>U$9&lt;8/24</formula>
    </cfRule>
  </conditionalFormatting>
  <conditionalFormatting sqref="N94:T94">
    <cfRule type="expression" dxfId="2483" priority="103">
      <formula>N$9&gt;=20/24</formula>
    </cfRule>
    <cfRule type="expression" dxfId="2482" priority="104">
      <formula>AND(N$9&gt;=14/24,N$9&lt;20/24)</formula>
    </cfRule>
    <cfRule type="expression" dxfId="2481" priority="105">
      <formula>AND(N$9&gt;=8/24,N$9&lt;14/24)</formula>
    </cfRule>
    <cfRule type="expression" dxfId="2480" priority="106">
      <formula>N$9&lt;8/24</formula>
    </cfRule>
  </conditionalFormatting>
  <conditionalFormatting sqref="U99:AA100">
    <cfRule type="expression" dxfId="2479" priority="99">
      <formula>U$9&gt;=20/24</formula>
    </cfRule>
    <cfRule type="expression" dxfId="2478" priority="100">
      <formula>AND(U$9&gt;=14/24,U$9&lt;20/24)</formula>
    </cfRule>
    <cfRule type="expression" dxfId="2477" priority="101">
      <formula>AND(U$9&gt;=8/24,U$9&lt;14/24)</formula>
    </cfRule>
    <cfRule type="expression" dxfId="2476" priority="102">
      <formula>U$9&lt;8/24</formula>
    </cfRule>
  </conditionalFormatting>
  <conditionalFormatting sqref="C99:M100">
    <cfRule type="expression" dxfId="2475" priority="95">
      <formula>C$9&gt;=20/24</formula>
    </cfRule>
    <cfRule type="expression" dxfId="2474" priority="96">
      <formula>AND(C$9&gt;=14/24,C$9&lt;20/24)</formula>
    </cfRule>
    <cfRule type="expression" dxfId="2473" priority="97">
      <formula>AND(C$9&gt;=8/24,C$9&lt;14/24)</formula>
    </cfRule>
    <cfRule type="expression" dxfId="2472" priority="98">
      <formula>C$9&lt;8/24</formula>
    </cfRule>
  </conditionalFormatting>
  <conditionalFormatting sqref="N99:R100">
    <cfRule type="expression" dxfId="2471" priority="91">
      <formula>N$9&gt;=20/24</formula>
    </cfRule>
    <cfRule type="expression" dxfId="2470" priority="92">
      <formula>AND(N$9&gt;=14/24,N$9&lt;20/24)</formula>
    </cfRule>
    <cfRule type="expression" dxfId="2469" priority="93">
      <formula>AND(N$9&gt;=8/24,N$9&lt;14/24)</formula>
    </cfRule>
    <cfRule type="expression" dxfId="2468" priority="94">
      <formula>N$9&lt;8/24</formula>
    </cfRule>
  </conditionalFormatting>
  <conditionalFormatting sqref="S99:T100">
    <cfRule type="expression" dxfId="2467" priority="87">
      <formula>S$9&gt;=20/24</formula>
    </cfRule>
    <cfRule type="expression" dxfId="2466" priority="88">
      <formula>AND(S$9&gt;=14/24,S$9&lt;20/24)</formula>
    </cfRule>
    <cfRule type="expression" dxfId="2465" priority="89">
      <formula>AND(S$9&gt;=8/24,S$9&lt;14/24)</formula>
    </cfRule>
    <cfRule type="expression" dxfId="2464" priority="90">
      <formula>S$9&lt;8/24</formula>
    </cfRule>
  </conditionalFormatting>
  <conditionalFormatting sqref="S12:Y15">
    <cfRule type="expression" dxfId="2463" priority="83">
      <formula>S$9&gt;=20/24</formula>
    </cfRule>
    <cfRule type="expression" dxfId="2462" priority="84">
      <formula>AND(S$9&gt;=14/24,S$9&lt;20/24)</formula>
    </cfRule>
    <cfRule type="expression" dxfId="2461" priority="85">
      <formula>AND(S$9&gt;=8/24,S$9&lt;14/24)</formula>
    </cfRule>
    <cfRule type="expression" dxfId="2460" priority="86">
      <formula>S$9&lt;8/24</formula>
    </cfRule>
  </conditionalFormatting>
  <conditionalFormatting sqref="AC58:AE59">
    <cfRule type="expression" dxfId="2459" priority="71">
      <formula>AC$9&gt;=20/24</formula>
    </cfRule>
    <cfRule type="expression" dxfId="2458" priority="72">
      <formula>AND(AC$9&gt;=14/24,AC$9&lt;20/24)</formula>
    </cfRule>
    <cfRule type="expression" dxfId="2457" priority="73">
      <formula>AND(AC$9&gt;=8/24,AC$9&lt;14/24)</formula>
    </cfRule>
    <cfRule type="expression" dxfId="2456" priority="74">
      <formula>AC$9&lt;8/24</formula>
    </cfRule>
  </conditionalFormatting>
  <conditionalFormatting sqref="S12:Y13">
    <cfRule type="expression" dxfId="2455" priority="75">
      <formula>S$9&gt;=20/24</formula>
    </cfRule>
    <cfRule type="expression" dxfId="2454" priority="76">
      <formula>AND(S$9&gt;=14/24,S$9&lt;20/24)</formula>
    </cfRule>
    <cfRule type="expression" dxfId="2453" priority="77">
      <formula>AND(S$9&gt;=8/24,S$9&lt;14/24)</formula>
    </cfRule>
    <cfRule type="expression" dxfId="2452" priority="78">
      <formula>S$9&lt;8/24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51" priority="304">
      <formula>C$9&gt;=20/24</formula>
    </cfRule>
    <cfRule type="expression" dxfId="2450" priority="305">
      <formula>AND(C$9&gt;=14/24,C$9&lt;20/24)</formula>
    </cfRule>
    <cfRule type="expression" dxfId="2449" priority="306">
      <formula>AND(C$9&gt;=8/24,C$9&lt;14/24)</formula>
    </cfRule>
    <cfRule type="expression" dxfId="2448" priority="307">
      <formula>C$9&lt;8/24</formula>
    </cfRule>
  </conditionalFormatting>
  <conditionalFormatting sqref="A201">
    <cfRule type="expression" dxfId="2447" priority="308">
      <formula>$AH201=0</formula>
    </cfRule>
  </conditionalFormatting>
  <conditionalFormatting sqref="AG213">
    <cfRule type="expression" dxfId="2446" priority="309">
      <formula>B$9&gt;=20/24</formula>
    </cfRule>
    <cfRule type="expression" dxfId="2445" priority="310">
      <formula>AND(B$9&gt;=14/24,B$9&lt;20/24)</formula>
    </cfRule>
    <cfRule type="expression" dxfId="2444" priority="311">
      <formula>AND(B$9&gt;=8/24,B$9&lt;14/24)</formula>
    </cfRule>
    <cfRule type="expression" dxfId="2443" priority="312">
      <formula>B$9&lt;8/24</formula>
    </cfRule>
  </conditionalFormatting>
  <conditionalFormatting sqref="S8">
    <cfRule type="expression" dxfId="2442" priority="65">
      <formula>U$9&gt;=20/24</formula>
    </cfRule>
    <cfRule type="expression" dxfId="2441" priority="66">
      <formula>AND(U$9&gt;=14/24,U$9&lt;20/24)</formula>
    </cfRule>
    <cfRule type="expression" dxfId="2440" priority="67">
      <formula>AND(U$9&gt;=8/24,U$9&lt;14/24)</formula>
    </cfRule>
    <cfRule type="expression" dxfId="2439" priority="68">
      <formula>U$9&lt;8/24</formula>
    </cfRule>
  </conditionalFormatting>
  <conditionalFormatting sqref="AB8">
    <cfRule type="expression" dxfId="2438" priority="61">
      <formula>AD$9&gt;=20/24</formula>
    </cfRule>
    <cfRule type="expression" dxfId="2437" priority="62">
      <formula>AND(AD$9&gt;=14/24,AD$9&lt;20/24)</formula>
    </cfRule>
    <cfRule type="expression" dxfId="2436" priority="63">
      <formula>AND(AD$9&gt;=8/24,AD$9&lt;14/24)</formula>
    </cfRule>
    <cfRule type="expression" dxfId="2435" priority="64">
      <formula>AD$9&lt;8/24</formula>
    </cfRule>
  </conditionalFormatting>
  <conditionalFormatting sqref="AH213:AX213">
    <cfRule type="expression" dxfId="2434" priority="313">
      <formula>AG$9&gt;=20/24</formula>
    </cfRule>
    <cfRule type="expression" dxfId="2433" priority="314">
      <formula>AND(AG$9&gt;=14/24,AG$9&lt;20/24)</formula>
    </cfRule>
    <cfRule type="expression" dxfId="2432" priority="315">
      <formula>AND(AG$9&gt;=8/24,AG$9&lt;14/24)</formula>
    </cfRule>
    <cfRule type="expression" dxfId="2431" priority="316">
      <formula>AG$9&lt;8/24</formula>
    </cfRule>
  </conditionalFormatting>
  <conditionalFormatting sqref="T213">
    <cfRule type="expression" dxfId="2430" priority="317">
      <formula>AX$9&gt;=20/24</formula>
    </cfRule>
    <cfRule type="expression" dxfId="2429" priority="318">
      <formula>AND(AX$9&gt;=14/24,AX$9&lt;20/24)</formula>
    </cfRule>
    <cfRule type="expression" dxfId="2428" priority="319">
      <formula>AND(AX$9&gt;=8/24,AX$9&lt;14/24)</formula>
    </cfRule>
    <cfRule type="expression" dxfId="2427" priority="320">
      <formula>AX$9&lt;8/24</formula>
    </cfRule>
  </conditionalFormatting>
  <conditionalFormatting sqref="A99:A100">
    <cfRule type="expression" dxfId="2426" priority="60">
      <formula>$AH99=0</formula>
    </cfRule>
  </conditionalFormatting>
  <conditionalFormatting sqref="Z33:AF33">
    <cfRule type="expression" dxfId="2425" priority="52">
      <formula>Z$9&gt;=20/24</formula>
    </cfRule>
    <cfRule type="expression" dxfId="2424" priority="53">
      <formula>AND(Z$9&gt;=14/24,Z$9&lt;20/24)</formula>
    </cfRule>
    <cfRule type="expression" dxfId="2423" priority="54">
      <formula>AND(Z$9&gt;=8/24,Z$9&lt;14/24)</formula>
    </cfRule>
    <cfRule type="expression" dxfId="2422" priority="55">
      <formula>Z$9&lt;8/24</formula>
    </cfRule>
  </conditionalFormatting>
  <conditionalFormatting sqref="Z33:AF33">
    <cfRule type="expression" dxfId="2421" priority="47">
      <formula>Z33&gt;$AG33</formula>
    </cfRule>
  </conditionalFormatting>
  <conditionalFormatting sqref="AB94:AB99">
    <cfRule type="expression" dxfId="2420" priority="1">
      <formula>AB$9&gt;=20/24</formula>
    </cfRule>
    <cfRule type="expression" dxfId="2419" priority="2">
      <formula>AND(AB$9&gt;=14/24,AB$9&lt;20/24)</formula>
    </cfRule>
    <cfRule type="expression" dxfId="2418" priority="3">
      <formula>AND(AB$9&gt;=8/24,AB$9&lt;14/24)</formula>
    </cfRule>
    <cfRule type="expression" dxfId="2417" priority="4">
      <formula>AB$9&lt;8/24</formula>
    </cfRule>
  </conditionalFormatting>
  <conditionalFormatting sqref="B94:B99 B53:B91 B18:R26 B36:R36 S18:Y19 B28:Y31 S21:Y26">
    <cfRule type="expression" dxfId="2416" priority="43">
      <formula>B$9&gt;=20/24</formula>
    </cfRule>
    <cfRule type="expression" dxfId="2415" priority="44">
      <formula>AND(B$9&gt;=14/24,B$9&lt;20/24)</formula>
    </cfRule>
    <cfRule type="expression" dxfId="2414" priority="45">
      <formula>AND(B$9&gt;=8/24,B$9&lt;14/24)</formula>
    </cfRule>
    <cfRule type="expression" dxfId="2413" priority="46">
      <formula>B$9&lt;8/24</formula>
    </cfRule>
  </conditionalFormatting>
  <conditionalFormatting sqref="B32:Y32">
    <cfRule type="expression" dxfId="2412" priority="39">
      <formula>B$9&gt;=20/24</formula>
    </cfRule>
    <cfRule type="expression" dxfId="2411" priority="40">
      <formula>AND(B$9&gt;=14/24,B$9&lt;20/24)</formula>
    </cfRule>
    <cfRule type="expression" dxfId="2410" priority="41">
      <formula>AND(B$9&gt;=8/24,B$9&lt;14/24)</formula>
    </cfRule>
    <cfRule type="expression" dxfId="2409" priority="42">
      <formula>B$9&lt;8/24</formula>
    </cfRule>
  </conditionalFormatting>
  <conditionalFormatting sqref="B37:K37">
    <cfRule type="expression" dxfId="2408" priority="35">
      <formula>B$9&gt;=20/24</formula>
    </cfRule>
    <cfRule type="expression" dxfId="2407" priority="36">
      <formula>AND(B$9&gt;=14/24,B$9&lt;20/24)</formula>
    </cfRule>
    <cfRule type="expression" dxfId="2406" priority="37">
      <formula>AND(B$9&gt;=8/24,B$9&lt;14/24)</formula>
    </cfRule>
    <cfRule type="expression" dxfId="2405" priority="38">
      <formula>B$9&lt;8/24</formula>
    </cfRule>
  </conditionalFormatting>
  <conditionalFormatting sqref="B35:Y35">
    <cfRule type="expression" dxfId="2404" priority="31">
      <formula>B$9&gt;=20/24</formula>
    </cfRule>
    <cfRule type="expression" dxfId="2403" priority="32">
      <formula>AND(B$9&gt;=14/24,B$9&lt;20/24)</formula>
    </cfRule>
    <cfRule type="expression" dxfId="2402" priority="33">
      <formula>AND(B$9&gt;=8/24,B$9&lt;14/24)</formula>
    </cfRule>
    <cfRule type="expression" dxfId="2401" priority="34">
      <formula>B$9&lt;8/24</formula>
    </cfRule>
  </conditionalFormatting>
  <conditionalFormatting sqref="B46:B48">
    <cfRule type="expression" dxfId="2400" priority="27">
      <formula>B$9&gt;=20/24</formula>
    </cfRule>
    <cfRule type="expression" dxfId="2399" priority="28">
      <formula>AND(B$9&gt;=14/24,B$9&lt;20/24)</formula>
    </cfRule>
    <cfRule type="expression" dxfId="2398" priority="29">
      <formula>AND(B$9&gt;=8/24,B$9&lt;14/24)</formula>
    </cfRule>
    <cfRule type="expression" dxfId="2397" priority="30">
      <formula>B$9&lt;8/24</formula>
    </cfRule>
  </conditionalFormatting>
  <conditionalFormatting sqref="B49">
    <cfRule type="expression" dxfId="2396" priority="23">
      <formula>B$9&gt;=20/24</formula>
    </cfRule>
    <cfRule type="expression" dxfId="2395" priority="24">
      <formula>AND(B$9&gt;=14/24,B$9&lt;20/24)</formula>
    </cfRule>
    <cfRule type="expression" dxfId="2394" priority="25">
      <formula>AND(B$9&gt;=8/24,B$9&lt;14/24)</formula>
    </cfRule>
    <cfRule type="expression" dxfId="2393" priority="26">
      <formula>B$9&lt;8/24</formula>
    </cfRule>
  </conditionalFormatting>
  <conditionalFormatting sqref="B50">
    <cfRule type="expression" dxfId="2392" priority="19">
      <formula>B$9&gt;=20/24</formula>
    </cfRule>
    <cfRule type="expression" dxfId="2391" priority="20">
      <formula>AND(B$9&gt;=14/24,B$9&lt;20/24)</formula>
    </cfRule>
    <cfRule type="expression" dxfId="2390" priority="21">
      <formula>AND(B$9&gt;=8/24,B$9&lt;14/24)</formula>
    </cfRule>
    <cfRule type="expression" dxfId="2389" priority="22">
      <formula>B$9&lt;8/24</formula>
    </cfRule>
  </conditionalFormatting>
  <conditionalFormatting sqref="B34:B56 B11:D14 E12:J14 B15:J32 C34:K37 K12:N32 L34:R36 O16:R32 S16:Y19 S34:Y35 S21:Y32">
    <cfRule type="expression" dxfId="2388" priority="18">
      <formula>B11&gt;$AG11</formula>
    </cfRule>
  </conditionalFormatting>
  <conditionalFormatting sqref="B34:Y34">
    <cfRule type="expression" dxfId="2387" priority="14">
      <formula>B$9&gt;=20/24</formula>
    </cfRule>
    <cfRule type="expression" dxfId="2386" priority="15">
      <formula>AND(B$9&gt;=14/24,B$9&lt;20/24)</formula>
    </cfRule>
    <cfRule type="expression" dxfId="2385" priority="16">
      <formula>AND(B$9&gt;=8/24,B$9&lt;14/24)</formula>
    </cfRule>
    <cfRule type="expression" dxfId="2384" priority="17">
      <formula>B$9&lt;8/24</formula>
    </cfRule>
  </conditionalFormatting>
  <conditionalFormatting sqref="B33:Y33">
    <cfRule type="expression" dxfId="2383" priority="10">
      <formula>B$9&gt;=20/24</formula>
    </cfRule>
    <cfRule type="expression" dxfId="2382" priority="11">
      <formula>AND(B$9&gt;=14/24,B$9&lt;20/24)</formula>
    </cfRule>
    <cfRule type="expression" dxfId="2381" priority="12">
      <formula>AND(B$9&gt;=8/24,B$9&lt;14/24)</formula>
    </cfRule>
    <cfRule type="expression" dxfId="2380" priority="13">
      <formula>B$9&lt;8/24</formula>
    </cfRule>
  </conditionalFormatting>
  <conditionalFormatting sqref="B33:Y33">
    <cfRule type="expression" dxfId="2379" priority="9">
      <formula>B33&gt;$AG33</formula>
    </cfRule>
  </conditionalFormatting>
  <conditionalFormatting sqref="AB84:AB91">
    <cfRule type="expression" dxfId="2378" priority="5">
      <formula>AB$9&gt;=20/24</formula>
    </cfRule>
    <cfRule type="expression" dxfId="2377" priority="6">
      <formula>AND(AB$9&gt;=14/24,AB$9&lt;20/24)</formula>
    </cfRule>
    <cfRule type="expression" dxfId="2376" priority="7">
      <formula>AND(AB$9&gt;=8/24,AB$9&lt;14/24)</formula>
    </cfRule>
    <cfRule type="expression" dxfId="2375" priority="8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CB1765DE-308F-4562-B924-A8E2797D583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E39" sqref="AE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2078/11/24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464.1</v>
      </c>
      <c r="C5" s="32">
        <f t="shared" si="0"/>
        <v>471</v>
      </c>
      <c r="D5" s="32">
        <f t="shared" si="0"/>
        <v>438.6</v>
      </c>
      <c r="E5" s="32">
        <f t="shared" si="0"/>
        <v>438.1</v>
      </c>
      <c r="F5" s="32">
        <f t="shared" si="0"/>
        <v>441.3</v>
      </c>
      <c r="G5" s="32">
        <f t="shared" si="0"/>
        <v>460.1</v>
      </c>
      <c r="H5" s="32">
        <f t="shared" si="0"/>
        <v>511.7</v>
      </c>
      <c r="I5" s="32">
        <f t="shared" si="0"/>
        <v>274.10000000000002</v>
      </c>
      <c r="J5" s="32">
        <f t="shared" si="0"/>
        <v>335.9</v>
      </c>
      <c r="K5" s="32">
        <f t="shared" si="0"/>
        <v>354.2</v>
      </c>
      <c r="L5" s="32">
        <f t="shared" si="0"/>
        <v>367.6</v>
      </c>
      <c r="M5" s="32">
        <f t="shared" si="0"/>
        <v>360.40000000000003</v>
      </c>
      <c r="N5" s="32">
        <f t="shared" si="0"/>
        <v>360.40000000000003</v>
      </c>
      <c r="O5" s="32">
        <f t="shared" si="0"/>
        <v>530.08000000000004</v>
      </c>
      <c r="P5" s="32">
        <f t="shared" si="0"/>
        <v>576.1</v>
      </c>
      <c r="Q5" s="32">
        <f t="shared" si="0"/>
        <v>549.90000000000009</v>
      </c>
      <c r="R5" s="32">
        <f t="shared" si="0"/>
        <v>595</v>
      </c>
      <c r="S5" s="32">
        <f t="shared" si="0"/>
        <v>597</v>
      </c>
      <c r="T5" s="32">
        <f t="shared" si="0"/>
        <v>578.5</v>
      </c>
      <c r="U5" s="32">
        <f t="shared" si="0"/>
        <v>438.79999999999995</v>
      </c>
      <c r="V5" s="32">
        <f t="shared" si="0"/>
        <v>468.8</v>
      </c>
      <c r="W5" s="32">
        <f t="shared" si="0"/>
        <v>363.6</v>
      </c>
      <c r="X5" s="32">
        <f t="shared" si="0"/>
        <v>397</v>
      </c>
      <c r="Y5" s="32">
        <f t="shared" si="0"/>
        <v>335</v>
      </c>
      <c r="Z5" s="32">
        <f t="shared" si="0"/>
        <v>322</v>
      </c>
      <c r="AA5" s="32">
        <f t="shared" si="0"/>
        <v>316.60000000000002</v>
      </c>
      <c r="AB5" s="32">
        <f t="shared" si="0"/>
        <v>513.79999999999995</v>
      </c>
      <c r="AC5" s="32">
        <f t="shared" si="0"/>
        <v>371.8</v>
      </c>
      <c r="AD5" s="32">
        <f t="shared" si="0"/>
        <v>531.79999999999995</v>
      </c>
      <c r="AE5" s="32">
        <f t="shared" si="0"/>
        <v>468</v>
      </c>
      <c r="AF5" s="32">
        <f>B68</f>
        <v>485.5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1437MW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Load=950</v>
      </c>
      <c r="B7" s="37">
        <f>B75</f>
        <v>996.44</v>
      </c>
      <c r="C7" s="37">
        <f t="shared" ref="C7:AF7" si="1">C75</f>
        <v>985.24</v>
      </c>
      <c r="D7" s="37">
        <f t="shared" si="1"/>
        <v>983.04000000000008</v>
      </c>
      <c r="E7" s="37">
        <f t="shared" si="1"/>
        <v>951.24</v>
      </c>
      <c r="F7" s="37">
        <f t="shared" si="1"/>
        <v>950.24</v>
      </c>
      <c r="G7" s="37">
        <f t="shared" si="1"/>
        <v>982.04000000000008</v>
      </c>
      <c r="H7" s="37">
        <f t="shared" si="1"/>
        <v>1069.74</v>
      </c>
      <c r="I7" s="37">
        <f t="shared" si="1"/>
        <v>1133.3400000000001</v>
      </c>
      <c r="J7" s="37">
        <f t="shared" si="1"/>
        <v>1219.54</v>
      </c>
      <c r="K7" s="37">
        <f t="shared" si="1"/>
        <v>1309.1399999999999</v>
      </c>
      <c r="L7" s="37">
        <f t="shared" si="1"/>
        <v>1400.2400000000002</v>
      </c>
      <c r="M7" s="37">
        <f t="shared" si="1"/>
        <v>1436.5400000000002</v>
      </c>
      <c r="N7" s="37">
        <f t="shared" si="1"/>
        <v>1409.3400000000001</v>
      </c>
      <c r="O7" s="37">
        <f t="shared" si="1"/>
        <v>1221.1399999999999</v>
      </c>
      <c r="P7" s="37">
        <f t="shared" si="1"/>
        <v>1267.6200000000001</v>
      </c>
      <c r="Q7" s="37">
        <f t="shared" si="1"/>
        <v>1272.6399999999999</v>
      </c>
      <c r="R7" s="37">
        <f t="shared" si="1"/>
        <v>1223.7400000000002</v>
      </c>
      <c r="S7" s="37">
        <f t="shared" si="1"/>
        <v>1267.2399999999998</v>
      </c>
      <c r="T7" s="37">
        <f t="shared" si="1"/>
        <v>1250.6399999999999</v>
      </c>
      <c r="U7" s="37">
        <f t="shared" si="1"/>
        <v>1261.3399999999999</v>
      </c>
      <c r="V7" s="37">
        <f t="shared" si="1"/>
        <v>1254.44</v>
      </c>
      <c r="W7" s="37">
        <f t="shared" si="1"/>
        <v>1272.8400000000001</v>
      </c>
      <c r="X7" s="37">
        <f t="shared" si="1"/>
        <v>1369.5400000000002</v>
      </c>
      <c r="Y7" s="37">
        <f t="shared" si="1"/>
        <v>1500.8400000000001</v>
      </c>
      <c r="Z7" s="37">
        <f t="shared" si="1"/>
        <v>1533.14</v>
      </c>
      <c r="AA7" s="37">
        <f t="shared" si="1"/>
        <v>1495.3400000000001</v>
      </c>
      <c r="AB7" s="37">
        <f t="shared" si="1"/>
        <v>1364.0400000000002</v>
      </c>
      <c r="AC7" s="37">
        <f t="shared" si="1"/>
        <v>1359.3400000000001</v>
      </c>
      <c r="AD7" s="37">
        <f t="shared" si="1"/>
        <v>1257.1400000000001</v>
      </c>
      <c r="AE7" s="37">
        <f t="shared" si="1"/>
        <v>1194.8400000000001</v>
      </c>
      <c r="AF7" s="37">
        <f t="shared" si="1"/>
        <v>1006.74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30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12</v>
      </c>
      <c r="J11" s="49">
        <v>170</v>
      </c>
      <c r="K11" s="49">
        <v>170</v>
      </c>
      <c r="L11" s="49">
        <v>240</v>
      </c>
      <c r="M11" s="50">
        <v>240</v>
      </c>
      <c r="N11" s="50">
        <v>220</v>
      </c>
      <c r="O11" s="50">
        <v>12</v>
      </c>
      <c r="P11" s="50">
        <v>12</v>
      </c>
      <c r="Q11" s="50">
        <v>12</v>
      </c>
      <c r="R11" s="50">
        <v>12</v>
      </c>
      <c r="S11" s="50">
        <v>12</v>
      </c>
      <c r="T11" s="50">
        <v>12</v>
      </c>
      <c r="U11" s="50">
        <v>12</v>
      </c>
      <c r="V11" s="50">
        <v>100</v>
      </c>
      <c r="W11" s="50">
        <v>80</v>
      </c>
      <c r="X11" s="50">
        <v>200</v>
      </c>
      <c r="Y11" s="50">
        <v>228</v>
      </c>
      <c r="Z11" s="52">
        <v>320</v>
      </c>
      <c r="AA11" s="52">
        <v>320</v>
      </c>
      <c r="AB11" s="50">
        <v>252</v>
      </c>
      <c r="AC11" s="50">
        <v>50</v>
      </c>
      <c r="AD11" s="50">
        <v>150</v>
      </c>
      <c r="AE11" s="50">
        <v>12</v>
      </c>
      <c r="AF11" s="50">
        <v>25</v>
      </c>
      <c r="AG11" s="53">
        <v>456</v>
      </c>
      <c r="AH11" s="54">
        <f>MAX(B11:AF11)</f>
        <v>320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16.5</v>
      </c>
      <c r="C13" s="49">
        <v>16.5</v>
      </c>
      <c r="D13" s="49">
        <v>16.5</v>
      </c>
      <c r="E13" s="49">
        <v>16.5</v>
      </c>
      <c r="F13" s="49">
        <v>16.5</v>
      </c>
      <c r="G13" s="49">
        <v>16.5</v>
      </c>
      <c r="H13" s="49">
        <v>16.5</v>
      </c>
      <c r="I13" s="49">
        <v>16.5</v>
      </c>
      <c r="J13" s="49">
        <v>16.5</v>
      </c>
      <c r="K13" s="49">
        <v>16.5</v>
      </c>
      <c r="L13" s="49">
        <v>16.5</v>
      </c>
      <c r="M13" s="49">
        <v>17.7</v>
      </c>
      <c r="N13" s="49">
        <v>16.600000000000001</v>
      </c>
      <c r="O13" s="49">
        <v>16.600000000000001</v>
      </c>
      <c r="P13" s="49">
        <v>17</v>
      </c>
      <c r="Q13" s="49">
        <v>17</v>
      </c>
      <c r="R13" s="49">
        <v>17</v>
      </c>
      <c r="S13" s="58">
        <v>17</v>
      </c>
      <c r="T13" s="58">
        <v>17</v>
      </c>
      <c r="U13" s="58">
        <v>17</v>
      </c>
      <c r="V13" s="58">
        <v>17</v>
      </c>
      <c r="W13" s="58">
        <v>17</v>
      </c>
      <c r="X13" s="58">
        <v>17</v>
      </c>
      <c r="Y13" s="58">
        <v>17</v>
      </c>
      <c r="Z13" s="50">
        <v>16.5</v>
      </c>
      <c r="AA13" s="50">
        <v>16.5</v>
      </c>
      <c r="AB13" s="50">
        <v>16.5</v>
      </c>
      <c r="AC13" s="50">
        <v>16.5</v>
      </c>
      <c r="AD13" s="50">
        <v>16.5</v>
      </c>
      <c r="AE13" s="50">
        <v>16.5</v>
      </c>
      <c r="AF13" s="50">
        <v>16.5</v>
      </c>
      <c r="AG13" s="59">
        <v>52.4</v>
      </c>
      <c r="AH13" s="54">
        <f t="shared" si="2"/>
        <v>17.7</v>
      </c>
      <c r="AI13" s="55">
        <f t="shared" si="3"/>
        <v>16.5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34.4</v>
      </c>
      <c r="C14" s="49">
        <v>34.4</v>
      </c>
      <c r="D14" s="49">
        <v>34.4</v>
      </c>
      <c r="E14" s="49">
        <v>34.4</v>
      </c>
      <c r="F14" s="49">
        <v>34.4</v>
      </c>
      <c r="G14" s="49">
        <v>34.4</v>
      </c>
      <c r="H14" s="49">
        <v>34.4</v>
      </c>
      <c r="I14" s="49">
        <v>34.4</v>
      </c>
      <c r="J14" s="49">
        <v>34.4</v>
      </c>
      <c r="K14" s="49">
        <v>34.4</v>
      </c>
      <c r="L14" s="49">
        <v>34.4</v>
      </c>
      <c r="M14" s="50">
        <v>35.200000000000003</v>
      </c>
      <c r="N14" s="50">
        <v>34.700000000000003</v>
      </c>
      <c r="O14" s="50">
        <v>34.700000000000003</v>
      </c>
      <c r="P14" s="50">
        <v>34.700000000000003</v>
      </c>
      <c r="Q14" s="50">
        <v>34.700000000000003</v>
      </c>
      <c r="R14" s="50">
        <v>34.799999999999997</v>
      </c>
      <c r="S14" s="60">
        <v>34.799999999999997</v>
      </c>
      <c r="T14" s="60">
        <v>34.799999999999997</v>
      </c>
      <c r="U14" s="60">
        <v>34.799999999999997</v>
      </c>
      <c r="V14" s="60">
        <v>34.799999999999997</v>
      </c>
      <c r="W14" s="60">
        <v>34.799999999999997</v>
      </c>
      <c r="X14" s="60">
        <v>34.799999999999997</v>
      </c>
      <c r="Y14" s="60">
        <v>34.799999999999997</v>
      </c>
      <c r="Z14" s="50">
        <v>35.200000000000003</v>
      </c>
      <c r="AA14" s="50">
        <v>35.200000000000003</v>
      </c>
      <c r="AB14" s="50">
        <v>35.200000000000003</v>
      </c>
      <c r="AC14" s="50">
        <v>35.200000000000003</v>
      </c>
      <c r="AD14" s="50">
        <v>35.200000000000003</v>
      </c>
      <c r="AE14" s="50">
        <v>35.200000000000003</v>
      </c>
      <c r="AF14" s="50">
        <v>35.200000000000003</v>
      </c>
      <c r="AG14" s="59">
        <v>50</v>
      </c>
      <c r="AH14" s="54">
        <f t="shared" si="2"/>
        <v>35.200000000000003</v>
      </c>
      <c r="AI14" s="55">
        <f t="shared" si="3"/>
        <v>34.4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</v>
      </c>
      <c r="C15" s="61">
        <v>20</v>
      </c>
      <c r="D15" s="61">
        <v>20</v>
      </c>
      <c r="E15" s="61">
        <v>20</v>
      </c>
      <c r="F15" s="61">
        <v>20</v>
      </c>
      <c r="G15" s="61">
        <v>20</v>
      </c>
      <c r="H15" s="61">
        <v>20</v>
      </c>
      <c r="I15" s="61">
        <v>20</v>
      </c>
      <c r="J15" s="61">
        <v>20</v>
      </c>
      <c r="K15" s="61">
        <v>20</v>
      </c>
      <c r="L15" s="61">
        <v>20</v>
      </c>
      <c r="M15" s="50">
        <v>20.8</v>
      </c>
      <c r="N15" s="50">
        <v>20.8</v>
      </c>
      <c r="O15" s="50">
        <v>20.8</v>
      </c>
      <c r="P15" s="50">
        <v>20.6</v>
      </c>
      <c r="Q15" s="50">
        <v>20.6</v>
      </c>
      <c r="R15" s="50">
        <v>20.6</v>
      </c>
      <c r="S15" s="60">
        <v>20.6</v>
      </c>
      <c r="T15" s="60">
        <v>20.6</v>
      </c>
      <c r="U15" s="60">
        <v>20.6</v>
      </c>
      <c r="V15" s="60">
        <v>20.6</v>
      </c>
      <c r="W15" s="60">
        <v>20.6</v>
      </c>
      <c r="X15" s="60">
        <v>20.6</v>
      </c>
      <c r="Y15" s="60">
        <v>20.6</v>
      </c>
      <c r="Z15" s="50">
        <v>22.8</v>
      </c>
      <c r="AA15" s="50">
        <v>22.8</v>
      </c>
      <c r="AB15" s="50">
        <v>22.8</v>
      </c>
      <c r="AC15" s="50">
        <v>22.8</v>
      </c>
      <c r="AD15" s="50">
        <v>22.8</v>
      </c>
      <c r="AE15" s="50">
        <v>22.8</v>
      </c>
      <c r="AF15" s="50">
        <v>22.8</v>
      </c>
      <c r="AG15" s="62">
        <v>45</v>
      </c>
      <c r="AH15" s="54">
        <f t="shared" si="2"/>
        <v>22.8</v>
      </c>
      <c r="AI15" s="55">
        <f t="shared" si="3"/>
        <v>20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63">
        <v>8.5</v>
      </c>
      <c r="T16" s="63">
        <v>8.5</v>
      </c>
      <c r="U16" s="63">
        <v>8.5</v>
      </c>
      <c r="V16" s="63">
        <v>8.5</v>
      </c>
      <c r="W16" s="63">
        <v>8.5</v>
      </c>
      <c r="X16" s="63">
        <v>8.5</v>
      </c>
      <c r="Y16" s="63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60">
        <v>6.5</v>
      </c>
      <c r="T17" s="60">
        <v>6.5</v>
      </c>
      <c r="U17" s="60">
        <v>6.5</v>
      </c>
      <c r="V17" s="60">
        <v>6.5</v>
      </c>
      <c r="W17" s="60">
        <v>6.5</v>
      </c>
      <c r="X17" s="60">
        <v>6.5</v>
      </c>
      <c r="Y17" s="6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10.3</v>
      </c>
      <c r="C19" s="49">
        <v>10.3</v>
      </c>
      <c r="D19" s="49">
        <v>10.3</v>
      </c>
      <c r="E19" s="49">
        <v>10.3</v>
      </c>
      <c r="F19" s="49">
        <v>10.3</v>
      </c>
      <c r="G19" s="49">
        <v>10.3</v>
      </c>
      <c r="H19" s="49">
        <v>10.3</v>
      </c>
      <c r="I19" s="49">
        <v>10.3</v>
      </c>
      <c r="J19" s="49">
        <v>10.3</v>
      </c>
      <c r="K19" s="49">
        <v>10.3</v>
      </c>
      <c r="L19" s="49">
        <v>10.3</v>
      </c>
      <c r="M19" s="50">
        <v>11.1</v>
      </c>
      <c r="N19" s="50">
        <v>11.1</v>
      </c>
      <c r="O19" s="50">
        <v>11.1</v>
      </c>
      <c r="P19" s="50">
        <v>11.1</v>
      </c>
      <c r="Q19" s="50">
        <v>11.1</v>
      </c>
      <c r="R19" s="50">
        <v>11.1</v>
      </c>
      <c r="S19" s="50">
        <v>11.1</v>
      </c>
      <c r="T19" s="50">
        <v>11.1</v>
      </c>
      <c r="U19" s="50">
        <v>11.1</v>
      </c>
      <c r="V19" s="50">
        <v>11.1</v>
      </c>
      <c r="W19" s="50">
        <v>11.1</v>
      </c>
      <c r="X19" s="50">
        <v>11.1</v>
      </c>
      <c r="Y19" s="50">
        <v>11.1</v>
      </c>
      <c r="Z19" s="50">
        <v>10.3</v>
      </c>
      <c r="AA19" s="50">
        <v>10.3</v>
      </c>
      <c r="AB19" s="50">
        <v>10.3</v>
      </c>
      <c r="AC19" s="50">
        <v>10.3</v>
      </c>
      <c r="AD19" s="50">
        <v>10.3</v>
      </c>
      <c r="AE19" s="50">
        <v>10.3</v>
      </c>
      <c r="AF19" s="50">
        <v>10.3</v>
      </c>
      <c r="AG19" s="59">
        <v>30</v>
      </c>
      <c r="AH19" s="54">
        <f t="shared" si="2"/>
        <v>11.1</v>
      </c>
      <c r="AI19" s="55">
        <f t="shared" si="3"/>
        <v>10.3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11.8</v>
      </c>
      <c r="C22" s="49">
        <v>11.8</v>
      </c>
      <c r="D22" s="49">
        <v>11.8</v>
      </c>
      <c r="E22" s="49">
        <v>11.8</v>
      </c>
      <c r="F22" s="49">
        <v>11.8</v>
      </c>
      <c r="G22" s="49">
        <v>11.8</v>
      </c>
      <c r="H22" s="49">
        <v>11.8</v>
      </c>
      <c r="I22" s="49">
        <v>11.8</v>
      </c>
      <c r="J22" s="49">
        <v>11.8</v>
      </c>
      <c r="K22" s="49">
        <v>11.8</v>
      </c>
      <c r="L22" s="49">
        <v>11.8</v>
      </c>
      <c r="M22" s="50">
        <v>10.9</v>
      </c>
      <c r="N22" s="50">
        <v>10.9</v>
      </c>
      <c r="O22" s="50">
        <v>10.9</v>
      </c>
      <c r="P22" s="50">
        <v>10.9</v>
      </c>
      <c r="Q22" s="50">
        <v>10.9</v>
      </c>
      <c r="R22" s="50">
        <v>10.9</v>
      </c>
      <c r="S22" s="50">
        <v>10.9</v>
      </c>
      <c r="T22" s="50">
        <v>10.9</v>
      </c>
      <c r="U22" s="50">
        <v>10.9</v>
      </c>
      <c r="V22" s="50">
        <v>10.9</v>
      </c>
      <c r="W22" s="50">
        <v>10.9</v>
      </c>
      <c r="X22" s="50">
        <v>10.9</v>
      </c>
      <c r="Y22" s="50">
        <v>10.9</v>
      </c>
      <c r="Z22" s="50">
        <v>11.1</v>
      </c>
      <c r="AA22" s="50">
        <v>11.1</v>
      </c>
      <c r="AB22" s="50">
        <v>11.1</v>
      </c>
      <c r="AC22" s="50">
        <v>11.1</v>
      </c>
      <c r="AD22" s="50">
        <v>11.1</v>
      </c>
      <c r="AE22" s="50">
        <v>11.1</v>
      </c>
      <c r="AF22" s="50">
        <v>11.1</v>
      </c>
      <c r="AG22" s="59">
        <v>25</v>
      </c>
      <c r="AH22" s="54">
        <f t="shared" si="2"/>
        <v>11.8</v>
      </c>
      <c r="AI22" s="55">
        <f t="shared" si="3"/>
        <v>10.9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7</v>
      </c>
      <c r="C24" s="49">
        <v>7</v>
      </c>
      <c r="D24" s="49">
        <v>7</v>
      </c>
      <c r="E24" s="49">
        <v>7</v>
      </c>
      <c r="F24" s="49">
        <v>7</v>
      </c>
      <c r="G24" s="49">
        <v>7</v>
      </c>
      <c r="H24" s="49">
        <v>7</v>
      </c>
      <c r="I24" s="49">
        <v>7</v>
      </c>
      <c r="J24" s="49">
        <v>7</v>
      </c>
      <c r="K24" s="49">
        <v>7</v>
      </c>
      <c r="L24" s="49">
        <v>7</v>
      </c>
      <c r="M24" s="50">
        <v>8.3000000000000007</v>
      </c>
      <c r="N24" s="50">
        <v>8.3000000000000007</v>
      </c>
      <c r="O24" s="50">
        <v>8.3000000000000007</v>
      </c>
      <c r="P24" s="50">
        <v>8.3000000000000007</v>
      </c>
      <c r="Q24" s="50">
        <v>8.3000000000000007</v>
      </c>
      <c r="R24" s="50">
        <v>8.3000000000000007</v>
      </c>
      <c r="S24" s="50">
        <v>8.3000000000000007</v>
      </c>
      <c r="T24" s="50">
        <v>8.3000000000000007</v>
      </c>
      <c r="U24" s="50">
        <v>8.3000000000000007</v>
      </c>
      <c r="V24" s="50">
        <v>8.3000000000000007</v>
      </c>
      <c r="W24" s="50">
        <v>8.3000000000000007</v>
      </c>
      <c r="X24" s="50">
        <v>8.3000000000000007</v>
      </c>
      <c r="Y24" s="50">
        <v>8.3000000000000007</v>
      </c>
      <c r="Z24" s="50">
        <v>6.3</v>
      </c>
      <c r="AA24" s="50">
        <v>6.3</v>
      </c>
      <c r="AB24" s="50">
        <v>6.3</v>
      </c>
      <c r="AC24" s="50">
        <v>6.3</v>
      </c>
      <c r="AD24" s="50">
        <v>6.3</v>
      </c>
      <c r="AE24" s="50">
        <v>6.3</v>
      </c>
      <c r="AF24" s="50">
        <v>6.3</v>
      </c>
      <c r="AG24" s="59">
        <v>25</v>
      </c>
      <c r="AH24" s="54">
        <f t="shared" si="2"/>
        <v>8.3000000000000007</v>
      </c>
      <c r="AI24" s="55">
        <f t="shared" si="3"/>
        <v>6.3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160</v>
      </c>
      <c r="N36" s="61">
        <v>160</v>
      </c>
      <c r="O36" s="61">
        <v>160</v>
      </c>
      <c r="P36" s="61">
        <v>160</v>
      </c>
      <c r="Q36" s="61">
        <v>160</v>
      </c>
      <c r="R36" s="61">
        <v>160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160</v>
      </c>
      <c r="AK36" s="56"/>
    </row>
    <row r="37" spans="1:88" ht="15.75" thickBot="1" x14ac:dyDescent="0.3">
      <c r="A37" s="69" t="s">
        <v>45</v>
      </c>
      <c r="B37" s="61">
        <v>30</v>
      </c>
      <c r="C37" s="61">
        <v>31.5</v>
      </c>
      <c r="D37" s="61">
        <v>31.5</v>
      </c>
      <c r="E37" s="61">
        <f>11.5+21.3</f>
        <v>32.799999999999997</v>
      </c>
      <c r="F37" s="61">
        <f>11.9+22.4</f>
        <v>34.299999999999997</v>
      </c>
      <c r="G37" s="61">
        <f>11.8+21.9</f>
        <v>33.700000000000003</v>
      </c>
      <c r="H37" s="61">
        <f>11.9+21.4</f>
        <v>33.299999999999997</v>
      </c>
      <c r="I37" s="61">
        <f>12.2+21</f>
        <v>33.200000000000003</v>
      </c>
      <c r="J37" s="61">
        <f>12.5+21</f>
        <v>33.5</v>
      </c>
      <c r="K37" s="61">
        <f>12.6+20.9</f>
        <v>33.5</v>
      </c>
      <c r="L37" s="61">
        <f>12.5+20.9</f>
        <v>33.4</v>
      </c>
      <c r="M37" s="70">
        <v>32.5</v>
      </c>
      <c r="N37" s="70">
        <v>31.7</v>
      </c>
      <c r="O37" s="70">
        <v>32.5</v>
      </c>
      <c r="P37" s="70">
        <v>32.9</v>
      </c>
      <c r="Q37" s="70">
        <v>33.700000000000003</v>
      </c>
      <c r="R37" s="70">
        <v>36.700000000000003</v>
      </c>
      <c r="S37" s="70">
        <v>33</v>
      </c>
      <c r="T37" s="70">
        <v>31.7</v>
      </c>
      <c r="U37" s="70">
        <v>31.7</v>
      </c>
      <c r="V37" s="70">
        <v>31.7</v>
      </c>
      <c r="W37" s="70">
        <v>32.700000000000003</v>
      </c>
      <c r="X37" s="70">
        <v>32</v>
      </c>
      <c r="Y37" s="70">
        <v>32</v>
      </c>
      <c r="Z37" s="70">
        <v>29</v>
      </c>
      <c r="AA37" s="70">
        <v>29</v>
      </c>
      <c r="AB37" s="70">
        <f>10.4+19.1</f>
        <v>29.5</v>
      </c>
      <c r="AC37" s="70">
        <f>11.7+20.2</f>
        <v>31.9</v>
      </c>
      <c r="AD37" s="70">
        <f>11.7+20.2</f>
        <v>31.9</v>
      </c>
      <c r="AE37" s="70">
        <f>11.7+20.2</f>
        <v>31.9</v>
      </c>
      <c r="AF37" s="70">
        <f>11.7+20.2</f>
        <v>31.9</v>
      </c>
      <c r="AG37" s="67">
        <v>240</v>
      </c>
      <c r="AH37" s="54">
        <f t="shared" si="2"/>
        <v>36.700000000000003</v>
      </c>
      <c r="AI37" s="55">
        <f t="shared" si="3"/>
        <v>29</v>
      </c>
      <c r="AK37" s="56"/>
    </row>
    <row r="38" spans="1:88" ht="15.75" thickBot="1" x14ac:dyDescent="0.3">
      <c r="A38" s="71" t="s">
        <v>46</v>
      </c>
      <c r="B38" s="72">
        <f>SUM(B11:B36)</f>
        <v>405.20000000000005</v>
      </c>
      <c r="C38" s="72">
        <f t="shared" ref="C38:AF38" si="4">SUM(C11:C36)</f>
        <v>387.20000000000005</v>
      </c>
      <c r="D38" s="72">
        <f t="shared" si="4"/>
        <v>387.20000000000005</v>
      </c>
      <c r="E38" s="72">
        <f t="shared" si="4"/>
        <v>387.20000000000005</v>
      </c>
      <c r="F38" s="72">
        <f t="shared" si="4"/>
        <v>387.20000000000005</v>
      </c>
      <c r="G38" s="72">
        <f t="shared" si="4"/>
        <v>387.20000000000005</v>
      </c>
      <c r="H38" s="72">
        <f t="shared" si="4"/>
        <v>387.20000000000005</v>
      </c>
      <c r="I38" s="72">
        <f t="shared" si="4"/>
        <v>387.20000000000005</v>
      </c>
      <c r="J38" s="72">
        <f t="shared" si="4"/>
        <v>545.20000000000005</v>
      </c>
      <c r="K38" s="72">
        <f t="shared" si="4"/>
        <v>545.20000000000005</v>
      </c>
      <c r="L38" s="72">
        <f t="shared" si="4"/>
        <v>615.20000000000005</v>
      </c>
      <c r="M38" s="72">
        <f t="shared" si="4"/>
        <v>619.20000000000005</v>
      </c>
      <c r="N38" s="72">
        <f t="shared" si="4"/>
        <v>597.6</v>
      </c>
      <c r="O38" s="72">
        <f t="shared" si="4"/>
        <v>389.6</v>
      </c>
      <c r="P38" s="72">
        <f t="shared" si="4"/>
        <v>389.8</v>
      </c>
      <c r="Q38" s="72">
        <f t="shared" si="4"/>
        <v>389.8</v>
      </c>
      <c r="R38" s="72">
        <f t="shared" si="4"/>
        <v>389.9</v>
      </c>
      <c r="S38" s="72">
        <f t="shared" si="4"/>
        <v>389.9</v>
      </c>
      <c r="T38" s="72">
        <f t="shared" si="4"/>
        <v>389.9</v>
      </c>
      <c r="U38" s="72">
        <f t="shared" si="4"/>
        <v>389.9</v>
      </c>
      <c r="V38" s="72">
        <f t="shared" si="4"/>
        <v>477.9</v>
      </c>
      <c r="W38" s="72">
        <f t="shared" si="4"/>
        <v>457.9</v>
      </c>
      <c r="X38" s="72">
        <f t="shared" si="4"/>
        <v>577.90000000000009</v>
      </c>
      <c r="Y38" s="72">
        <f t="shared" si="4"/>
        <v>605.90000000000009</v>
      </c>
      <c r="Z38" s="72">
        <f t="shared" si="4"/>
        <v>697.40000000000009</v>
      </c>
      <c r="AA38" s="72">
        <f t="shared" si="4"/>
        <v>697.40000000000009</v>
      </c>
      <c r="AB38" s="72">
        <f t="shared" si="4"/>
        <v>629.40000000000009</v>
      </c>
      <c r="AC38" s="72">
        <f t="shared" si="4"/>
        <v>427.40000000000003</v>
      </c>
      <c r="AD38" s="72">
        <f t="shared" si="4"/>
        <v>527.40000000000009</v>
      </c>
      <c r="AE38" s="72">
        <f t="shared" si="4"/>
        <v>389.4</v>
      </c>
      <c r="AF38" s="72">
        <f t="shared" si="4"/>
        <v>402.4</v>
      </c>
      <c r="AG38" s="67">
        <f>SUM(AG11:AG37)</f>
        <v>1492.8299999999997</v>
      </c>
      <c r="AH38" s="54">
        <f t="shared" si="2"/>
        <v>697.40000000000009</v>
      </c>
      <c r="AI38" s="55">
        <f t="shared" si="3"/>
        <v>387.20000000000005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0</v>
      </c>
      <c r="H39" s="61">
        <v>61</v>
      </c>
      <c r="I39" s="61">
        <v>61</v>
      </c>
      <c r="J39" s="61">
        <v>139.80000000000001</v>
      </c>
      <c r="K39" s="61">
        <v>145.69999999999999</v>
      </c>
      <c r="L39" s="61">
        <v>145.4</v>
      </c>
      <c r="M39" s="50">
        <v>145.5</v>
      </c>
      <c r="N39" s="50">
        <v>145.80000000000001</v>
      </c>
      <c r="O39" s="50">
        <v>145.80000000000001</v>
      </c>
      <c r="P39" s="50">
        <v>101.1</v>
      </c>
      <c r="Q39" s="50">
        <v>91.1</v>
      </c>
      <c r="R39" s="50">
        <v>63</v>
      </c>
      <c r="S39" s="50">
        <v>62.6</v>
      </c>
      <c r="T39" s="50">
        <v>63.7</v>
      </c>
      <c r="U39" s="50">
        <v>70</v>
      </c>
      <c r="V39" s="50">
        <v>61</v>
      </c>
      <c r="W39" s="50">
        <v>61</v>
      </c>
      <c r="X39" s="50">
        <v>118</v>
      </c>
      <c r="Y39" s="50">
        <v>144</v>
      </c>
      <c r="Z39" s="50">
        <v>144.69999999999999</v>
      </c>
      <c r="AA39" s="50">
        <v>144.69999999999999</v>
      </c>
      <c r="AB39" s="50">
        <v>144.5</v>
      </c>
      <c r="AC39" s="50">
        <v>144.5</v>
      </c>
      <c r="AD39" s="50">
        <v>74</v>
      </c>
      <c r="AE39" s="50">
        <v>74</v>
      </c>
      <c r="AF39" s="50">
        <v>0</v>
      </c>
      <c r="AG39" s="62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22.6</v>
      </c>
      <c r="H40" s="61">
        <v>30.4</v>
      </c>
      <c r="I40" s="61">
        <v>34.700000000000003</v>
      </c>
      <c r="J40" s="61">
        <v>71.099999999999994</v>
      </c>
      <c r="K40" s="61">
        <v>71.7</v>
      </c>
      <c r="L40" s="61">
        <v>70.5</v>
      </c>
      <c r="M40" s="73">
        <v>69.5</v>
      </c>
      <c r="N40" s="73">
        <v>70.2</v>
      </c>
      <c r="O40" s="73">
        <v>70.2</v>
      </c>
      <c r="P40" s="73">
        <v>49.3</v>
      </c>
      <c r="Q40" s="73">
        <v>35.1</v>
      </c>
      <c r="R40" s="73">
        <v>30.2</v>
      </c>
      <c r="S40" s="73">
        <v>30.2</v>
      </c>
      <c r="T40" s="73">
        <v>21.7</v>
      </c>
      <c r="U40" s="73">
        <v>35</v>
      </c>
      <c r="V40" s="73">
        <v>22</v>
      </c>
      <c r="W40" s="73">
        <v>35</v>
      </c>
      <c r="X40" s="73">
        <v>51</v>
      </c>
      <c r="Y40" s="73">
        <v>69.5</v>
      </c>
      <c r="Z40" s="73">
        <v>71</v>
      </c>
      <c r="AA40" s="73">
        <v>71</v>
      </c>
      <c r="AB40" s="73">
        <v>59.6</v>
      </c>
      <c r="AC40" s="73">
        <v>59.6</v>
      </c>
      <c r="AD40" s="73">
        <v>35</v>
      </c>
      <c r="AE40" s="73">
        <v>35</v>
      </c>
      <c r="AF40" s="73">
        <v>0</v>
      </c>
      <c r="AG40" s="67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17</v>
      </c>
      <c r="C41" s="61">
        <v>41.5</v>
      </c>
      <c r="D41" s="61">
        <v>32.4</v>
      </c>
      <c r="E41" s="61">
        <v>33</v>
      </c>
      <c r="F41" s="61">
        <v>32.5</v>
      </c>
      <c r="G41" s="61">
        <v>32.4</v>
      </c>
      <c r="H41" s="61">
        <v>32.5</v>
      </c>
      <c r="I41" s="61">
        <v>32.299999999999997</v>
      </c>
      <c r="J41" s="61">
        <v>46.4</v>
      </c>
      <c r="K41" s="61">
        <v>57.2</v>
      </c>
      <c r="L41" s="61">
        <v>56.9</v>
      </c>
      <c r="M41" s="73">
        <v>56.7</v>
      </c>
      <c r="N41" s="73">
        <v>56.2</v>
      </c>
      <c r="O41" s="73">
        <v>56.2</v>
      </c>
      <c r="P41" s="73">
        <v>17.5</v>
      </c>
      <c r="Q41" s="73">
        <v>16.5</v>
      </c>
      <c r="R41" s="73">
        <v>16.899999999999999</v>
      </c>
      <c r="S41" s="73">
        <v>17</v>
      </c>
      <c r="T41" s="73">
        <v>16.7</v>
      </c>
      <c r="U41" s="73">
        <v>22.9</v>
      </c>
      <c r="V41" s="73">
        <v>46</v>
      </c>
      <c r="W41" s="73">
        <v>35</v>
      </c>
      <c r="X41" s="73">
        <v>52.7</v>
      </c>
      <c r="Y41" s="73">
        <v>68.900000000000006</v>
      </c>
      <c r="Z41" s="73">
        <v>68</v>
      </c>
      <c r="AA41" s="73">
        <v>68</v>
      </c>
      <c r="AB41" s="73">
        <v>64.400000000000006</v>
      </c>
      <c r="AC41" s="73">
        <v>64.400000000000006</v>
      </c>
      <c r="AD41" s="73">
        <v>67.400000000000006</v>
      </c>
      <c r="AE41" s="73">
        <v>67.400000000000006</v>
      </c>
      <c r="AF41" s="73">
        <v>36.9</v>
      </c>
      <c r="AG41" s="67">
        <v>69</v>
      </c>
      <c r="AH41" s="54">
        <f t="shared" si="2"/>
        <v>68.900000000000006</v>
      </c>
      <c r="AI41" s="55">
        <f t="shared" si="3"/>
        <v>16.5</v>
      </c>
      <c r="AK41" s="56"/>
    </row>
    <row r="42" spans="1:88" x14ac:dyDescent="0.25">
      <c r="A42" s="66" t="s">
        <v>50</v>
      </c>
      <c r="B42" s="61">
        <v>44.4</v>
      </c>
      <c r="C42" s="61">
        <v>48.1</v>
      </c>
      <c r="D42" s="61">
        <v>48.1</v>
      </c>
      <c r="E42" s="61">
        <v>48.1</v>
      </c>
      <c r="F42" s="61">
        <v>48.1</v>
      </c>
      <c r="G42" s="61">
        <v>48.1</v>
      </c>
      <c r="H42" s="61">
        <v>48.1</v>
      </c>
      <c r="I42" s="61">
        <v>52.1</v>
      </c>
      <c r="J42" s="61">
        <v>49.9</v>
      </c>
      <c r="K42" s="61">
        <v>49.9</v>
      </c>
      <c r="L42" s="61">
        <v>48.1</v>
      </c>
      <c r="M42" s="73">
        <v>48.1</v>
      </c>
      <c r="N42" s="73">
        <v>48.1</v>
      </c>
      <c r="O42" s="73">
        <v>46.4</v>
      </c>
      <c r="P42" s="73">
        <v>46.4</v>
      </c>
      <c r="Q42" s="73">
        <v>46.4</v>
      </c>
      <c r="R42" s="73">
        <v>46.4</v>
      </c>
      <c r="S42" s="73">
        <v>52.9</v>
      </c>
      <c r="T42" s="73">
        <v>40.799999999999997</v>
      </c>
      <c r="U42" s="73">
        <v>46.4</v>
      </c>
      <c r="V42" s="73">
        <v>46.4</v>
      </c>
      <c r="W42" s="73">
        <v>46.4</v>
      </c>
      <c r="X42" s="73">
        <v>46.4</v>
      </c>
      <c r="Y42" s="73">
        <v>46.4</v>
      </c>
      <c r="Z42" s="73">
        <v>44.6</v>
      </c>
      <c r="AA42" s="73">
        <v>44.6</v>
      </c>
      <c r="AB42" s="73">
        <v>44.6</v>
      </c>
      <c r="AC42" s="73">
        <v>44.6</v>
      </c>
      <c r="AD42" s="73">
        <v>44.9</v>
      </c>
      <c r="AE42" s="73">
        <v>44.9</v>
      </c>
      <c r="AF42" s="73">
        <v>47.1</v>
      </c>
      <c r="AG42" s="67">
        <v>60</v>
      </c>
      <c r="AH42" s="54">
        <f t="shared" si="2"/>
        <v>52.9</v>
      </c>
      <c r="AI42" s="55">
        <f t="shared" si="3"/>
        <v>40.799999999999997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6.1</v>
      </c>
      <c r="H43" s="61">
        <v>6.1</v>
      </c>
      <c r="I43" s="61">
        <v>10</v>
      </c>
      <c r="J43" s="61">
        <v>10</v>
      </c>
      <c r="K43" s="61">
        <v>10</v>
      </c>
      <c r="L43" s="61">
        <v>15</v>
      </c>
      <c r="M43" s="50">
        <v>15</v>
      </c>
      <c r="N43" s="50">
        <v>15</v>
      </c>
      <c r="O43" s="50">
        <v>12</v>
      </c>
      <c r="P43" s="50">
        <v>12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15</v>
      </c>
      <c r="W43" s="50">
        <v>15</v>
      </c>
      <c r="X43" s="50">
        <v>15</v>
      </c>
      <c r="Y43" s="50">
        <v>15</v>
      </c>
      <c r="Z43" s="73">
        <v>28.3</v>
      </c>
      <c r="AA43" s="73">
        <v>28.3</v>
      </c>
      <c r="AB43" s="73">
        <v>10</v>
      </c>
      <c r="AC43" s="73">
        <v>10</v>
      </c>
      <c r="AD43" s="73">
        <v>8</v>
      </c>
      <c r="AE43" s="73">
        <v>8</v>
      </c>
      <c r="AF43" s="73">
        <v>8</v>
      </c>
      <c r="AG43" s="67">
        <v>30</v>
      </c>
      <c r="AH43" s="54">
        <f t="shared" si="2"/>
        <v>28.3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10</v>
      </c>
      <c r="T44" s="50">
        <v>10</v>
      </c>
      <c r="U44" s="50">
        <v>10</v>
      </c>
      <c r="V44" s="50">
        <v>10</v>
      </c>
      <c r="W44" s="50">
        <v>10</v>
      </c>
      <c r="X44" s="50">
        <v>10</v>
      </c>
      <c r="Y44" s="50">
        <v>10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61">
        <v>13</v>
      </c>
      <c r="D45" s="61">
        <v>13</v>
      </c>
      <c r="E45" s="61">
        <v>13</v>
      </c>
      <c r="F45" s="61">
        <v>13</v>
      </c>
      <c r="G45" s="61">
        <v>13</v>
      </c>
      <c r="H45" s="61">
        <v>13</v>
      </c>
      <c r="I45" s="61">
        <v>13</v>
      </c>
      <c r="J45" s="61">
        <v>13</v>
      </c>
      <c r="K45" s="61">
        <v>13</v>
      </c>
      <c r="L45" s="61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50">
        <v>5.5</v>
      </c>
      <c r="N46" s="50">
        <v>5.5</v>
      </c>
      <c r="O46" s="50">
        <v>5.5</v>
      </c>
      <c r="P46" s="50">
        <v>5.5</v>
      </c>
      <c r="Q46" s="50">
        <v>5.5</v>
      </c>
      <c r="R46" s="50">
        <v>5.5</v>
      </c>
      <c r="S46" s="50">
        <v>5.5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50">
        <v>4.8</v>
      </c>
      <c r="N49" s="50">
        <v>4.8</v>
      </c>
      <c r="O49" s="50">
        <v>4.8</v>
      </c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U200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105.74000000000001</v>
      </c>
      <c r="C52" s="72">
        <f t="shared" ref="C52:AF52" si="6">SUM(C39:C51)</f>
        <v>133.93999999999997</v>
      </c>
      <c r="D52" s="72">
        <f t="shared" si="6"/>
        <v>124.84</v>
      </c>
      <c r="E52" s="72">
        <f t="shared" si="6"/>
        <v>125.44</v>
      </c>
      <c r="F52" s="72">
        <f t="shared" si="6"/>
        <v>124.94</v>
      </c>
      <c r="G52" s="72">
        <f t="shared" si="6"/>
        <v>153.54</v>
      </c>
      <c r="H52" s="72">
        <f t="shared" si="6"/>
        <v>222.44</v>
      </c>
      <c r="I52" s="72">
        <f t="shared" si="6"/>
        <v>234.44</v>
      </c>
      <c r="J52" s="72">
        <f t="shared" si="6"/>
        <v>361.54</v>
      </c>
      <c r="K52" s="72">
        <f t="shared" si="6"/>
        <v>378.84</v>
      </c>
      <c r="L52" s="72">
        <f t="shared" si="6"/>
        <v>380.24000000000007</v>
      </c>
      <c r="M52" s="72">
        <f t="shared" si="6"/>
        <v>379.14000000000004</v>
      </c>
      <c r="N52" s="72">
        <f t="shared" si="6"/>
        <v>379.64000000000004</v>
      </c>
      <c r="O52" s="72">
        <f t="shared" si="6"/>
        <v>374.94</v>
      </c>
      <c r="P52" s="72">
        <f t="shared" si="6"/>
        <v>270.64</v>
      </c>
      <c r="Q52" s="72">
        <f t="shared" si="6"/>
        <v>243.44</v>
      </c>
      <c r="R52" s="72">
        <f t="shared" si="6"/>
        <v>200.84</v>
      </c>
      <c r="S52" s="72">
        <f t="shared" si="6"/>
        <v>217.04</v>
      </c>
      <c r="T52" s="72">
        <f t="shared" si="6"/>
        <v>197.24</v>
      </c>
      <c r="U52" s="72">
        <f t="shared" si="6"/>
        <v>228.64000000000001</v>
      </c>
      <c r="V52" s="72">
        <f t="shared" si="6"/>
        <v>244.74</v>
      </c>
      <c r="W52" s="72">
        <f t="shared" si="6"/>
        <v>246.74</v>
      </c>
      <c r="X52" s="72">
        <f t="shared" si="6"/>
        <v>337.44</v>
      </c>
      <c r="Y52" s="72">
        <f t="shared" si="6"/>
        <v>398.14</v>
      </c>
      <c r="Z52" s="72">
        <f t="shared" si="6"/>
        <v>400.94000000000005</v>
      </c>
      <c r="AA52" s="72">
        <f t="shared" si="6"/>
        <v>400.94000000000005</v>
      </c>
      <c r="AB52" s="72">
        <f t="shared" si="6"/>
        <v>367.44000000000005</v>
      </c>
      <c r="AC52" s="72">
        <f t="shared" si="6"/>
        <v>367.44000000000005</v>
      </c>
      <c r="AD52" s="72">
        <f t="shared" si="6"/>
        <v>273.64000000000004</v>
      </c>
      <c r="AE52" s="72">
        <f t="shared" si="6"/>
        <v>273.64000000000004</v>
      </c>
      <c r="AF52" s="72">
        <f t="shared" si="6"/>
        <v>136.34</v>
      </c>
      <c r="AG52" s="78">
        <f>SUM(AG39:AG51)</f>
        <v>489.91</v>
      </c>
      <c r="AH52" s="54">
        <f t="shared" si="2"/>
        <v>400.94000000000005</v>
      </c>
      <c r="AI52" s="55">
        <f t="shared" si="3"/>
        <v>105.74000000000001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30</v>
      </c>
      <c r="K53" s="61">
        <v>29.7</v>
      </c>
      <c r="L53" s="61">
        <v>29.7</v>
      </c>
      <c r="M53" s="79">
        <v>44.5</v>
      </c>
      <c r="N53" s="79">
        <v>44.3</v>
      </c>
      <c r="O53" s="79">
        <v>60</v>
      </c>
      <c r="P53" s="79">
        <v>40.1</v>
      </c>
      <c r="Q53" s="50">
        <v>40.4</v>
      </c>
      <c r="R53" s="50">
        <v>50.3</v>
      </c>
      <c r="S53" s="50">
        <v>39.299999999999997</v>
      </c>
      <c r="T53" s="50">
        <v>40.700000000000003</v>
      </c>
      <c r="U53" s="50">
        <v>40.4</v>
      </c>
      <c r="V53" s="50">
        <v>60</v>
      </c>
      <c r="W53" s="50">
        <v>60</v>
      </c>
      <c r="X53" s="50">
        <v>50</v>
      </c>
      <c r="Y53" s="50">
        <v>60</v>
      </c>
      <c r="Z53" s="50">
        <v>60</v>
      </c>
      <c r="AA53" s="50">
        <v>45</v>
      </c>
      <c r="AB53" s="50">
        <v>29.7</v>
      </c>
      <c r="AC53" s="50">
        <v>30.1</v>
      </c>
      <c r="AD53" s="50">
        <v>59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>
        <v>440</v>
      </c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6.4</v>
      </c>
      <c r="K54" s="61">
        <v>14.3</v>
      </c>
      <c r="L54" s="61">
        <v>15.3</v>
      </c>
      <c r="M54" s="79">
        <v>19.100000000000001</v>
      </c>
      <c r="N54" s="79">
        <v>20.100000000000001</v>
      </c>
      <c r="O54" s="79">
        <v>28</v>
      </c>
      <c r="P54" s="79">
        <v>28.3</v>
      </c>
      <c r="Q54" s="73">
        <v>16.8</v>
      </c>
      <c r="R54" s="73">
        <v>24</v>
      </c>
      <c r="S54" s="50">
        <v>19</v>
      </c>
      <c r="T54" s="50">
        <v>18.899999999999999</v>
      </c>
      <c r="U54" s="50">
        <v>17.5</v>
      </c>
      <c r="V54" s="73">
        <v>24</v>
      </c>
      <c r="W54" s="73">
        <v>29</v>
      </c>
      <c r="X54" s="73">
        <v>30</v>
      </c>
      <c r="Y54" s="73">
        <v>29.2</v>
      </c>
      <c r="Z54" s="73">
        <v>29.2</v>
      </c>
      <c r="AA54" s="73">
        <v>22</v>
      </c>
      <c r="AB54" s="73">
        <v>15.3</v>
      </c>
      <c r="AC54" s="73">
        <v>15.1</v>
      </c>
      <c r="AD54" s="73">
        <v>18.5</v>
      </c>
      <c r="AE54" s="73">
        <v>0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2.2999999999999998</v>
      </c>
      <c r="K55" s="74">
        <v>5.2</v>
      </c>
      <c r="L55" s="74">
        <v>5.6</v>
      </c>
      <c r="M55" s="81">
        <v>7</v>
      </c>
      <c r="N55" s="81">
        <v>7.3</v>
      </c>
      <c r="O55" s="81">
        <v>8.1999999999999993</v>
      </c>
      <c r="P55" s="81">
        <v>8.6999999999999993</v>
      </c>
      <c r="Q55" s="80">
        <v>6.1</v>
      </c>
      <c r="R55" s="80">
        <v>8.8000000000000007</v>
      </c>
      <c r="S55" s="50">
        <v>7</v>
      </c>
      <c r="T55" s="50">
        <v>6.9</v>
      </c>
      <c r="U55" s="50">
        <v>6.4</v>
      </c>
      <c r="V55" s="80">
        <v>9</v>
      </c>
      <c r="W55" s="80">
        <v>10.4</v>
      </c>
      <c r="X55" s="80">
        <v>10.6</v>
      </c>
      <c r="Y55" s="80">
        <v>10.6</v>
      </c>
      <c r="Z55" s="80">
        <v>10.6</v>
      </c>
      <c r="AA55" s="80">
        <v>8</v>
      </c>
      <c r="AB55" s="80">
        <v>5.6</v>
      </c>
      <c r="AC55" s="80">
        <v>5.5</v>
      </c>
      <c r="AD55" s="80">
        <v>6.8</v>
      </c>
      <c r="AE55" s="80">
        <v>0</v>
      </c>
      <c r="AF55" s="80">
        <v>0</v>
      </c>
      <c r="AG55" s="82">
        <v>14</v>
      </c>
      <c r="AH55" s="54">
        <f t="shared" si="2"/>
        <v>10.6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38.699999999999996</v>
      </c>
      <c r="K56" s="72">
        <f t="shared" si="7"/>
        <v>49.2</v>
      </c>
      <c r="L56" s="72">
        <f t="shared" si="7"/>
        <v>50.6</v>
      </c>
      <c r="M56" s="72">
        <f t="shared" si="7"/>
        <v>70.599999999999994</v>
      </c>
      <c r="N56" s="72">
        <f t="shared" si="7"/>
        <v>71.7</v>
      </c>
      <c r="O56" s="72">
        <f t="shared" si="7"/>
        <v>96.2</v>
      </c>
      <c r="P56" s="72">
        <f t="shared" si="7"/>
        <v>77.100000000000009</v>
      </c>
      <c r="Q56" s="72">
        <f t="shared" si="7"/>
        <v>63.300000000000004</v>
      </c>
      <c r="R56" s="72">
        <f t="shared" si="7"/>
        <v>83.1</v>
      </c>
      <c r="S56" s="72">
        <f t="shared" si="7"/>
        <v>65.3</v>
      </c>
      <c r="T56" s="72">
        <f t="shared" si="7"/>
        <v>66.5</v>
      </c>
      <c r="U56" s="72">
        <f t="shared" si="7"/>
        <v>64.3</v>
      </c>
      <c r="V56" s="72">
        <f t="shared" si="7"/>
        <v>93</v>
      </c>
      <c r="W56" s="72">
        <f t="shared" si="7"/>
        <v>99.4</v>
      </c>
      <c r="X56" s="72">
        <f t="shared" si="7"/>
        <v>90.6</v>
      </c>
      <c r="Y56" s="72">
        <f t="shared" si="7"/>
        <v>99.8</v>
      </c>
      <c r="Z56" s="72">
        <f t="shared" si="7"/>
        <v>99.8</v>
      </c>
      <c r="AA56" s="72">
        <f t="shared" si="7"/>
        <v>75</v>
      </c>
      <c r="AB56" s="72">
        <f t="shared" si="7"/>
        <v>50.6</v>
      </c>
      <c r="AC56" s="72">
        <f t="shared" si="7"/>
        <v>50.7</v>
      </c>
      <c r="AD56" s="72">
        <f t="shared" si="7"/>
        <v>84.3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99.8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</v>
      </c>
      <c r="C57" s="50">
        <v>72.400000000000006</v>
      </c>
      <c r="D57" s="50">
        <v>70</v>
      </c>
      <c r="E57" s="50">
        <v>70.5</v>
      </c>
      <c r="F57" s="50">
        <v>68.5</v>
      </c>
      <c r="G57" s="50">
        <v>69.3</v>
      </c>
      <c r="H57" s="50">
        <v>72</v>
      </c>
      <c r="I57" s="50">
        <v>69.2</v>
      </c>
      <c r="J57" s="50">
        <v>18.5</v>
      </c>
      <c r="K57" s="50">
        <v>28</v>
      </c>
      <c r="L57" s="50">
        <v>30.2</v>
      </c>
      <c r="M57" s="50">
        <v>32</v>
      </c>
      <c r="N57" s="50">
        <v>55.5</v>
      </c>
      <c r="O57" s="50">
        <v>55.5</v>
      </c>
      <c r="P57" s="50">
        <v>67.38</v>
      </c>
      <c r="Q57" s="50">
        <v>70.2</v>
      </c>
      <c r="R57" s="50">
        <v>72.599999999999994</v>
      </c>
      <c r="S57" s="50">
        <v>75</v>
      </c>
      <c r="T57" s="50">
        <v>71.900000000000006</v>
      </c>
      <c r="U57" s="50">
        <v>76.5</v>
      </c>
      <c r="V57" s="50">
        <v>61.7</v>
      </c>
      <c r="W57" s="50">
        <v>61.5</v>
      </c>
      <c r="X57" s="50">
        <v>62</v>
      </c>
      <c r="Y57" s="50">
        <v>65</v>
      </c>
      <c r="Z57" s="50">
        <v>36</v>
      </c>
      <c r="AA57" s="50">
        <v>15</v>
      </c>
      <c r="AB57" s="50">
        <v>25.5</v>
      </c>
      <c r="AC57" s="50">
        <v>53</v>
      </c>
      <c r="AD57" s="50">
        <v>55</v>
      </c>
      <c r="AE57" s="50">
        <v>55</v>
      </c>
      <c r="AF57" s="50">
        <v>0</v>
      </c>
      <c r="AG57" s="62"/>
      <c r="AH57" s="54">
        <f t="shared" si="2"/>
        <v>76.5</v>
      </c>
      <c r="AI57" s="55">
        <f t="shared" si="3"/>
        <v>0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95</v>
      </c>
      <c r="K58" s="73">
        <f>120</f>
        <v>120</v>
      </c>
      <c r="L58" s="73">
        <f>112.5+16</f>
        <v>128.5</v>
      </c>
      <c r="M58" s="50">
        <f>16+122</f>
        <v>138</v>
      </c>
      <c r="N58" s="50">
        <v>127.8</v>
      </c>
      <c r="O58" s="50">
        <v>127.8</v>
      </c>
      <c r="P58" s="50">
        <v>69.5</v>
      </c>
      <c r="Q58" s="50">
        <v>0</v>
      </c>
      <c r="R58" s="50">
        <v>0</v>
      </c>
      <c r="S58" s="50">
        <v>0</v>
      </c>
      <c r="T58" s="50">
        <v>57.5</v>
      </c>
      <c r="U58" s="50">
        <v>0</v>
      </c>
      <c r="V58" s="50">
        <v>106</v>
      </c>
      <c r="W58" s="50">
        <v>161</v>
      </c>
      <c r="X58" s="83">
        <v>106</v>
      </c>
      <c r="Y58" s="83">
        <v>110</v>
      </c>
      <c r="Z58" s="83">
        <v>112</v>
      </c>
      <c r="AA58" s="83">
        <v>110</v>
      </c>
      <c r="AB58" s="73">
        <v>100</v>
      </c>
      <c r="AC58" s="73">
        <v>65.3</v>
      </c>
      <c r="AD58" s="73">
        <v>0</v>
      </c>
      <c r="AE58" s="73">
        <v>0</v>
      </c>
      <c r="AF58" s="73">
        <v>0</v>
      </c>
      <c r="AG58" s="67"/>
      <c r="AH58" s="54">
        <f t="shared" si="2"/>
        <v>161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364</v>
      </c>
      <c r="C59" s="73">
        <v>340.7</v>
      </c>
      <c r="D59" s="73">
        <v>352</v>
      </c>
      <c r="E59" s="73">
        <v>352.3</v>
      </c>
      <c r="F59" s="73">
        <v>354</v>
      </c>
      <c r="G59" s="73">
        <v>340</v>
      </c>
      <c r="H59" s="50">
        <v>351.1</v>
      </c>
      <c r="I59" s="50">
        <v>404</v>
      </c>
      <c r="J59" s="50">
        <v>35.5</v>
      </c>
      <c r="K59" s="50">
        <v>62.1</v>
      </c>
      <c r="L59" s="50">
        <v>62.8</v>
      </c>
      <c r="M59" s="73">
        <v>62.1</v>
      </c>
      <c r="N59" s="73">
        <v>34.5</v>
      </c>
      <c r="O59" s="73">
        <v>34.5</v>
      </c>
      <c r="P59" s="73">
        <v>262.3</v>
      </c>
      <c r="Q59" s="73">
        <v>366.1</v>
      </c>
      <c r="R59" s="73">
        <v>350.1</v>
      </c>
      <c r="S59" s="73">
        <v>374</v>
      </c>
      <c r="T59" s="73">
        <v>332</v>
      </c>
      <c r="U59" s="73">
        <v>370</v>
      </c>
      <c r="V59" s="73">
        <v>137</v>
      </c>
      <c r="W59" s="73">
        <v>114</v>
      </c>
      <c r="X59" s="84">
        <v>67</v>
      </c>
      <c r="Y59" s="84">
        <v>85</v>
      </c>
      <c r="Z59" s="84">
        <v>52</v>
      </c>
      <c r="AA59" s="84">
        <v>58</v>
      </c>
      <c r="AB59" s="73">
        <v>68.900000000000006</v>
      </c>
      <c r="AC59" s="73">
        <v>272</v>
      </c>
      <c r="AD59" s="73">
        <v>185</v>
      </c>
      <c r="AE59" s="73">
        <v>345</v>
      </c>
      <c r="AF59" s="73">
        <v>340</v>
      </c>
      <c r="AG59" s="85"/>
      <c r="AH59" s="54">
        <f t="shared" si="2"/>
        <v>404</v>
      </c>
      <c r="AI59" s="55">
        <f t="shared" si="3"/>
        <v>34.5</v>
      </c>
      <c r="AK59" s="56"/>
    </row>
    <row r="60" spans="1:37" x14ac:dyDescent="0.25">
      <c r="A60" s="66" t="s">
        <v>68</v>
      </c>
      <c r="B60" s="58">
        <v>52.5</v>
      </c>
      <c r="C60" s="58">
        <v>51</v>
      </c>
      <c r="D60" s="58">
        <v>49</v>
      </c>
      <c r="E60" s="58">
        <v>15.8</v>
      </c>
      <c r="F60" s="58">
        <v>15.6</v>
      </c>
      <c r="G60" s="58">
        <v>32</v>
      </c>
      <c r="H60" s="58">
        <v>37</v>
      </c>
      <c r="I60" s="58">
        <v>38.5</v>
      </c>
      <c r="J60" s="58">
        <v>42.5</v>
      </c>
      <c r="K60" s="58">
        <v>40.5</v>
      </c>
      <c r="L60" s="58">
        <v>41</v>
      </c>
      <c r="M60" s="73">
        <v>42</v>
      </c>
      <c r="N60" s="73">
        <v>51.3</v>
      </c>
      <c r="O60" s="73">
        <v>51.3</v>
      </c>
      <c r="P60" s="73">
        <v>51.3</v>
      </c>
      <c r="Q60" s="73">
        <v>51.8</v>
      </c>
      <c r="R60" s="73">
        <v>51.5</v>
      </c>
      <c r="S60" s="73">
        <v>54.8</v>
      </c>
      <c r="T60" s="73">
        <v>50.4</v>
      </c>
      <c r="U60" s="73">
        <v>52</v>
      </c>
      <c r="V60" s="73">
        <v>50.7</v>
      </c>
      <c r="W60" s="73">
        <v>50</v>
      </c>
      <c r="X60" s="73">
        <v>40.700000000000003</v>
      </c>
      <c r="Y60" s="73">
        <v>51</v>
      </c>
      <c r="Z60" s="73">
        <v>49</v>
      </c>
      <c r="AA60" s="73">
        <v>53</v>
      </c>
      <c r="AB60" s="73">
        <v>49.3</v>
      </c>
      <c r="AC60" s="73">
        <v>52</v>
      </c>
      <c r="AD60" s="73">
        <v>54</v>
      </c>
      <c r="AE60" s="73">
        <v>54</v>
      </c>
      <c r="AF60" s="73">
        <v>54</v>
      </c>
      <c r="AG60" s="85"/>
      <c r="AH60" s="54">
        <f t="shared" si="2"/>
        <v>54.8</v>
      </c>
      <c r="AI60" s="55">
        <f t="shared" si="3"/>
        <v>15.6</v>
      </c>
      <c r="AK60" s="56"/>
    </row>
    <row r="61" spans="1:37" x14ac:dyDescent="0.25">
      <c r="A61" s="66" t="s">
        <v>69</v>
      </c>
      <c r="B61" s="50">
        <v>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82.6</v>
      </c>
      <c r="K61" s="58">
        <v>85.3</v>
      </c>
      <c r="L61" s="58">
        <v>91.7</v>
      </c>
      <c r="M61" s="50">
        <v>93.5</v>
      </c>
      <c r="N61" s="50">
        <v>91.3</v>
      </c>
      <c r="O61" s="50">
        <v>91.3</v>
      </c>
      <c r="P61" s="50">
        <v>79.599999999999994</v>
      </c>
      <c r="Q61" s="50">
        <v>88</v>
      </c>
      <c r="R61" s="50">
        <v>75.7</v>
      </c>
      <c r="S61" s="50">
        <v>91.2</v>
      </c>
      <c r="T61" s="50">
        <v>85.2</v>
      </c>
      <c r="U61" s="50">
        <v>80</v>
      </c>
      <c r="V61" s="50">
        <v>77.400000000000006</v>
      </c>
      <c r="W61" s="50">
        <v>76.3</v>
      </c>
      <c r="X61" s="50">
        <v>81.900000000000006</v>
      </c>
      <c r="Y61" s="50">
        <v>80</v>
      </c>
      <c r="Z61" s="50">
        <v>79</v>
      </c>
      <c r="AA61" s="50">
        <v>78</v>
      </c>
      <c r="AB61" s="50">
        <v>72.900000000000006</v>
      </c>
      <c r="AC61" s="50">
        <v>71.5</v>
      </c>
      <c r="AD61" s="50">
        <v>77.8</v>
      </c>
      <c r="AE61" s="50">
        <v>77.8</v>
      </c>
      <c r="AF61" s="50">
        <v>74</v>
      </c>
      <c r="AG61" s="85"/>
      <c r="AH61" s="54">
        <f t="shared" si="2"/>
        <v>93.5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6</v>
      </c>
      <c r="W62" s="60">
        <v>6</v>
      </c>
      <c r="X62" s="60">
        <v>6</v>
      </c>
      <c r="Y62" s="60">
        <v>6</v>
      </c>
      <c r="Z62" s="60">
        <v>7</v>
      </c>
      <c r="AA62" s="60">
        <v>8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0">
        <v>0</v>
      </c>
      <c r="K63" s="50">
        <v>0</v>
      </c>
      <c r="L63" s="50">
        <v>0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63">
        <v>0</v>
      </c>
      <c r="N66" s="63">
        <v>0</v>
      </c>
      <c r="O66" s="63">
        <v>0</v>
      </c>
      <c r="P66" s="60">
        <v>0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485.5</v>
      </c>
      <c r="C68" s="72">
        <f>SUM(C57:C67)</f>
        <v>464.1</v>
      </c>
      <c r="D68" s="72">
        <f t="shared" ref="D68:AF68" si="8">SUM(D57:D67)</f>
        <v>471</v>
      </c>
      <c r="E68" s="72">
        <f t="shared" si="8"/>
        <v>438.6</v>
      </c>
      <c r="F68" s="72">
        <f t="shared" si="8"/>
        <v>438.1</v>
      </c>
      <c r="G68" s="72">
        <f t="shared" si="8"/>
        <v>441.3</v>
      </c>
      <c r="H68" s="72">
        <f t="shared" si="8"/>
        <v>460.1</v>
      </c>
      <c r="I68" s="72">
        <f t="shared" si="8"/>
        <v>511.7</v>
      </c>
      <c r="J68" s="72">
        <f t="shared" si="8"/>
        <v>274.10000000000002</v>
      </c>
      <c r="K68" s="72">
        <f t="shared" si="8"/>
        <v>335.9</v>
      </c>
      <c r="L68" s="72">
        <f t="shared" si="8"/>
        <v>354.2</v>
      </c>
      <c r="M68" s="72">
        <f t="shared" si="8"/>
        <v>367.6</v>
      </c>
      <c r="N68" s="72">
        <f t="shared" si="8"/>
        <v>360.40000000000003</v>
      </c>
      <c r="O68" s="72">
        <f t="shared" si="8"/>
        <v>360.40000000000003</v>
      </c>
      <c r="P68" s="72">
        <f t="shared" si="8"/>
        <v>530.08000000000004</v>
      </c>
      <c r="Q68" s="72">
        <f t="shared" si="8"/>
        <v>576.1</v>
      </c>
      <c r="R68" s="72">
        <f t="shared" si="8"/>
        <v>549.90000000000009</v>
      </c>
      <c r="S68" s="72">
        <f t="shared" si="8"/>
        <v>595</v>
      </c>
      <c r="T68" s="72">
        <f t="shared" si="8"/>
        <v>597</v>
      </c>
      <c r="U68" s="72">
        <f t="shared" si="8"/>
        <v>578.5</v>
      </c>
      <c r="V68" s="72">
        <f t="shared" si="8"/>
        <v>438.79999999999995</v>
      </c>
      <c r="W68" s="72">
        <f t="shared" si="8"/>
        <v>468.8</v>
      </c>
      <c r="X68" s="72">
        <f t="shared" si="8"/>
        <v>363.6</v>
      </c>
      <c r="Y68" s="72">
        <f t="shared" si="8"/>
        <v>397</v>
      </c>
      <c r="Z68" s="72">
        <f t="shared" si="8"/>
        <v>335</v>
      </c>
      <c r="AA68" s="72">
        <f t="shared" si="8"/>
        <v>322</v>
      </c>
      <c r="AB68" s="72">
        <f t="shared" si="8"/>
        <v>316.60000000000002</v>
      </c>
      <c r="AC68" s="72">
        <f t="shared" si="8"/>
        <v>513.79999999999995</v>
      </c>
      <c r="AD68" s="72">
        <f t="shared" si="8"/>
        <v>371.8</v>
      </c>
      <c r="AE68" s="72">
        <f t="shared" si="8"/>
        <v>531.79999999999995</v>
      </c>
      <c r="AF68" s="72">
        <f t="shared" si="8"/>
        <v>468</v>
      </c>
      <c r="AG68" s="78">
        <f>SUM(AG57:AG67)</f>
        <v>0</v>
      </c>
      <c r="AH68" s="54">
        <f t="shared" si="2"/>
        <v>597</v>
      </c>
      <c r="AI68" s="55">
        <f t="shared" si="3"/>
        <v>274.10000000000002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996.44</v>
      </c>
      <c r="C73" s="89">
        <f>C68+C56+C52+C38+C72</f>
        <v>985.24</v>
      </c>
      <c r="D73" s="89">
        <f t="shared" ref="D73:AG73" si="10">D68+D56+D52+D38+D72</f>
        <v>983.04000000000008</v>
      </c>
      <c r="E73" s="89">
        <f t="shared" si="10"/>
        <v>951.24</v>
      </c>
      <c r="F73" s="89">
        <f t="shared" si="10"/>
        <v>950.24</v>
      </c>
      <c r="G73" s="89">
        <f t="shared" si="10"/>
        <v>982.04000000000008</v>
      </c>
      <c r="H73" s="89">
        <f t="shared" si="10"/>
        <v>1069.74</v>
      </c>
      <c r="I73" s="89">
        <f t="shared" si="10"/>
        <v>1133.3400000000001</v>
      </c>
      <c r="J73" s="89">
        <f t="shared" si="10"/>
        <v>1219.54</v>
      </c>
      <c r="K73" s="89">
        <f t="shared" si="10"/>
        <v>1309.1399999999999</v>
      </c>
      <c r="L73" s="89">
        <f t="shared" si="10"/>
        <v>1400.2400000000002</v>
      </c>
      <c r="M73" s="89">
        <f t="shared" si="10"/>
        <v>1436.5400000000002</v>
      </c>
      <c r="N73" s="89">
        <f t="shared" si="10"/>
        <v>1409.3400000000001</v>
      </c>
      <c r="O73" s="89">
        <f t="shared" si="10"/>
        <v>1221.1399999999999</v>
      </c>
      <c r="P73" s="89">
        <f t="shared" si="10"/>
        <v>1267.6200000000001</v>
      </c>
      <c r="Q73" s="89">
        <f t="shared" si="10"/>
        <v>1272.6399999999999</v>
      </c>
      <c r="R73" s="89">
        <f t="shared" si="10"/>
        <v>1223.7400000000002</v>
      </c>
      <c r="S73" s="89">
        <f t="shared" si="10"/>
        <v>1267.2399999999998</v>
      </c>
      <c r="T73" s="89">
        <f t="shared" si="10"/>
        <v>1250.6399999999999</v>
      </c>
      <c r="U73" s="89">
        <f t="shared" si="10"/>
        <v>1261.3399999999999</v>
      </c>
      <c r="V73" s="89">
        <f t="shared" si="10"/>
        <v>1254.44</v>
      </c>
      <c r="W73" s="89">
        <f t="shared" si="10"/>
        <v>1272.8400000000001</v>
      </c>
      <c r="X73" s="89">
        <f t="shared" si="10"/>
        <v>1369.5400000000002</v>
      </c>
      <c r="Y73" s="89">
        <f t="shared" si="10"/>
        <v>1500.8400000000001</v>
      </c>
      <c r="Z73" s="89">
        <f t="shared" si="10"/>
        <v>1533.14</v>
      </c>
      <c r="AA73" s="89">
        <f t="shared" si="10"/>
        <v>1495.3400000000001</v>
      </c>
      <c r="AB73" s="89">
        <f t="shared" si="10"/>
        <v>1364.0400000000002</v>
      </c>
      <c r="AC73" s="89">
        <f t="shared" si="10"/>
        <v>1359.3400000000001</v>
      </c>
      <c r="AD73" s="89">
        <f t="shared" si="10"/>
        <v>1257.1400000000001</v>
      </c>
      <c r="AE73" s="89">
        <f t="shared" si="10"/>
        <v>1194.8400000000001</v>
      </c>
      <c r="AF73" s="89">
        <f t="shared" si="10"/>
        <v>1006.74</v>
      </c>
      <c r="AG73" s="89">
        <f t="shared" si="10"/>
        <v>2144.14</v>
      </c>
      <c r="AH73" s="54">
        <f t="shared" si="2"/>
        <v>1533.14</v>
      </c>
      <c r="AI73" s="55">
        <f t="shared" si="3"/>
        <v>950.24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996.44</v>
      </c>
      <c r="C75" s="89">
        <f>C73+C74</f>
        <v>985.24</v>
      </c>
      <c r="D75" s="89">
        <f t="shared" ref="D75:AF75" si="11">D72+D68+D56+D52+D38+D74</f>
        <v>983.04000000000008</v>
      </c>
      <c r="E75" s="89">
        <f t="shared" si="11"/>
        <v>951.24</v>
      </c>
      <c r="F75" s="89">
        <f t="shared" si="11"/>
        <v>950.24</v>
      </c>
      <c r="G75" s="89">
        <f t="shared" si="11"/>
        <v>982.04000000000008</v>
      </c>
      <c r="H75" s="89">
        <f t="shared" si="11"/>
        <v>1069.74</v>
      </c>
      <c r="I75" s="89">
        <f t="shared" si="11"/>
        <v>1133.3400000000001</v>
      </c>
      <c r="J75" s="89">
        <f t="shared" si="11"/>
        <v>1219.54</v>
      </c>
      <c r="K75" s="89">
        <f t="shared" si="11"/>
        <v>1309.1399999999999</v>
      </c>
      <c r="L75" s="89">
        <f t="shared" si="11"/>
        <v>1400.2400000000002</v>
      </c>
      <c r="M75" s="89">
        <f t="shared" si="11"/>
        <v>1436.5400000000002</v>
      </c>
      <c r="N75" s="89">
        <f t="shared" si="11"/>
        <v>1409.3400000000001</v>
      </c>
      <c r="O75" s="89">
        <f t="shared" si="11"/>
        <v>1221.1399999999999</v>
      </c>
      <c r="P75" s="89">
        <f t="shared" si="11"/>
        <v>1267.6200000000001</v>
      </c>
      <c r="Q75" s="89">
        <f t="shared" si="11"/>
        <v>1272.6399999999999</v>
      </c>
      <c r="R75" s="89">
        <f t="shared" si="11"/>
        <v>1223.7400000000002</v>
      </c>
      <c r="S75" s="89">
        <f t="shared" si="11"/>
        <v>1267.2399999999998</v>
      </c>
      <c r="T75" s="89">
        <f t="shared" si="11"/>
        <v>1250.6399999999999</v>
      </c>
      <c r="U75" s="89">
        <f t="shared" si="11"/>
        <v>1261.3399999999999</v>
      </c>
      <c r="V75" s="89">
        <f t="shared" si="11"/>
        <v>1254.44</v>
      </c>
      <c r="W75" s="89">
        <f t="shared" si="11"/>
        <v>1272.8400000000001</v>
      </c>
      <c r="X75" s="89">
        <f t="shared" si="11"/>
        <v>1369.5400000000002</v>
      </c>
      <c r="Y75" s="89">
        <f t="shared" si="11"/>
        <v>1500.8400000000001</v>
      </c>
      <c r="Z75" s="89">
        <f t="shared" si="11"/>
        <v>1533.14</v>
      </c>
      <c r="AA75" s="89">
        <f t="shared" si="11"/>
        <v>1495.3400000000001</v>
      </c>
      <c r="AB75" s="89">
        <f t="shared" si="11"/>
        <v>1364.0400000000002</v>
      </c>
      <c r="AC75" s="89">
        <f t="shared" si="11"/>
        <v>1359.3400000000001</v>
      </c>
      <c r="AD75" s="89">
        <f t="shared" si="11"/>
        <v>1257.1400000000001</v>
      </c>
      <c r="AE75" s="89">
        <f t="shared" si="11"/>
        <v>1194.8400000000001</v>
      </c>
      <c r="AF75" s="89">
        <f t="shared" si="11"/>
        <v>1006.74</v>
      </c>
      <c r="AG75" s="78">
        <f>AG72+AG68+AG56+AG52+AG38+AG74</f>
        <v>2144.14</v>
      </c>
      <c r="AH75" s="54">
        <f t="shared" si="2"/>
        <v>1533.14</v>
      </c>
      <c r="AI75" s="55">
        <f t="shared" si="3"/>
        <v>950.24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1992.88</v>
      </c>
      <c r="C83" s="72">
        <f t="shared" ref="C83:AG83" si="20">SUM(C70:C82)</f>
        <v>1970.48</v>
      </c>
      <c r="D83" s="72">
        <f t="shared" si="20"/>
        <v>1966.0800000000002</v>
      </c>
      <c r="E83" s="72">
        <f t="shared" si="20"/>
        <v>1902.48</v>
      </c>
      <c r="F83" s="72">
        <f t="shared" si="20"/>
        <v>1900.48</v>
      </c>
      <c r="G83" s="72">
        <f t="shared" si="20"/>
        <v>1964.0800000000002</v>
      </c>
      <c r="H83" s="72">
        <f t="shared" si="20"/>
        <v>2139.48</v>
      </c>
      <c r="I83" s="72">
        <f t="shared" si="20"/>
        <v>2266.6800000000003</v>
      </c>
      <c r="J83" s="72">
        <f t="shared" si="20"/>
        <v>2439.08</v>
      </c>
      <c r="K83" s="72">
        <f t="shared" si="20"/>
        <v>2618.2799999999997</v>
      </c>
      <c r="L83" s="72">
        <f t="shared" si="20"/>
        <v>2800.4800000000005</v>
      </c>
      <c r="M83" s="72">
        <f t="shared" si="20"/>
        <v>2873.0800000000004</v>
      </c>
      <c r="N83" s="72">
        <f t="shared" si="20"/>
        <v>2818.6800000000003</v>
      </c>
      <c r="O83" s="72">
        <f t="shared" si="20"/>
        <v>2442.2799999999997</v>
      </c>
      <c r="P83" s="72">
        <f t="shared" si="20"/>
        <v>2535.2400000000002</v>
      </c>
      <c r="Q83" s="72">
        <f t="shared" si="20"/>
        <v>2545.2799999999997</v>
      </c>
      <c r="R83" s="72">
        <f t="shared" si="20"/>
        <v>2447.4800000000005</v>
      </c>
      <c r="S83" s="72">
        <f t="shared" si="20"/>
        <v>2534.4799999999996</v>
      </c>
      <c r="T83" s="72">
        <f t="shared" si="20"/>
        <v>2501.2799999999997</v>
      </c>
      <c r="U83" s="72">
        <f t="shared" si="20"/>
        <v>2522.6799999999998</v>
      </c>
      <c r="V83" s="72">
        <f t="shared" si="20"/>
        <v>2508.88</v>
      </c>
      <c r="W83" s="72">
        <f t="shared" si="20"/>
        <v>2545.6800000000003</v>
      </c>
      <c r="X83" s="72">
        <f t="shared" si="20"/>
        <v>2739.0800000000004</v>
      </c>
      <c r="Y83" s="72">
        <f t="shared" si="20"/>
        <v>3001.6800000000003</v>
      </c>
      <c r="Z83" s="72">
        <f t="shared" si="20"/>
        <v>3066.28</v>
      </c>
      <c r="AA83" s="72">
        <f t="shared" si="20"/>
        <v>2990.6800000000003</v>
      </c>
      <c r="AB83" s="72">
        <f t="shared" si="20"/>
        <v>2728.0800000000004</v>
      </c>
      <c r="AC83" s="72">
        <f t="shared" si="20"/>
        <v>2718.6800000000003</v>
      </c>
      <c r="AD83" s="72">
        <f t="shared" si="20"/>
        <v>2514.2800000000002</v>
      </c>
      <c r="AE83" s="72">
        <f t="shared" si="20"/>
        <v>2389.6800000000003</v>
      </c>
      <c r="AF83" s="72">
        <f t="shared" si="20"/>
        <v>2013.48</v>
      </c>
      <c r="AG83" s="78">
        <f t="shared" si="20"/>
        <v>4360.08</v>
      </c>
      <c r="AH83" s="54">
        <f t="shared" si="13"/>
        <v>3066.28</v>
      </c>
      <c r="AI83" s="55">
        <f t="shared" si="14"/>
        <v>1900.48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50.033999999999999</v>
      </c>
      <c r="C84" s="96">
        <v>50.026000000000003</v>
      </c>
      <c r="D84" s="96">
        <v>50.006</v>
      </c>
      <c r="E84" s="96">
        <v>50.042000000000002</v>
      </c>
      <c r="F84" s="96">
        <v>50.002000000000002</v>
      </c>
      <c r="G84" s="96">
        <v>49.975000000000001</v>
      </c>
      <c r="H84" s="96">
        <v>49.991</v>
      </c>
      <c r="I84" s="96">
        <v>50.073</v>
      </c>
      <c r="J84" s="96">
        <v>50</v>
      </c>
      <c r="K84" s="96">
        <v>50.03</v>
      </c>
      <c r="L84" s="96">
        <v>50.036999999999999</v>
      </c>
      <c r="M84" s="96">
        <v>50.034999999999997</v>
      </c>
      <c r="N84" s="96">
        <v>50.033999999999999</v>
      </c>
      <c r="O84" s="96">
        <v>50.034999999999997</v>
      </c>
      <c r="P84" s="96">
        <v>50</v>
      </c>
      <c r="Q84" s="96">
        <v>50.064</v>
      </c>
      <c r="R84" s="96">
        <v>50.011000000000003</v>
      </c>
      <c r="S84" s="96">
        <v>50.026000000000003</v>
      </c>
      <c r="T84" s="96">
        <v>49.892000000000003</v>
      </c>
      <c r="U84" s="96">
        <v>49.92</v>
      </c>
      <c r="V84" s="96">
        <v>49.92</v>
      </c>
      <c r="W84" s="96">
        <v>50</v>
      </c>
      <c r="X84" s="96">
        <v>49.991999999999997</v>
      </c>
      <c r="Y84" s="96">
        <v>49.9</v>
      </c>
      <c r="Z84" s="96">
        <v>49.8</v>
      </c>
      <c r="AA84" s="96">
        <v>49.96</v>
      </c>
      <c r="AB84" s="96">
        <v>50.024000000000001</v>
      </c>
      <c r="AC84" s="96">
        <v>50.04</v>
      </c>
      <c r="AD84" s="96">
        <v>49.92</v>
      </c>
      <c r="AE84" s="96">
        <v>50.01</v>
      </c>
      <c r="AF84" s="96">
        <v>49.91</v>
      </c>
      <c r="AG84" s="97"/>
      <c r="AH84" s="54">
        <f t="shared" si="13"/>
        <v>50.073</v>
      </c>
      <c r="AI84" s="55">
        <f t="shared" si="14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127.7</v>
      </c>
      <c r="C85" s="73">
        <v>125.8</v>
      </c>
      <c r="D85" s="73">
        <v>124.9</v>
      </c>
      <c r="E85" s="73">
        <v>125.5</v>
      </c>
      <c r="F85" s="73">
        <v>125.5</v>
      </c>
      <c r="G85" s="73">
        <v>125.5</v>
      </c>
      <c r="H85" s="73">
        <v>123.4</v>
      </c>
      <c r="I85" s="73">
        <v>124.2</v>
      </c>
      <c r="J85" s="73">
        <v>125.8</v>
      </c>
      <c r="K85" s="73">
        <v>125.6</v>
      </c>
      <c r="L85" s="73">
        <v>124.5</v>
      </c>
      <c r="M85" s="73">
        <v>124.5</v>
      </c>
      <c r="N85" s="73">
        <v>126.1</v>
      </c>
      <c r="O85" s="73">
        <v>124.5</v>
      </c>
      <c r="P85" s="73">
        <v>126.5</v>
      </c>
      <c r="Q85" s="73">
        <v>125.3</v>
      </c>
      <c r="R85" s="73">
        <v>126.1</v>
      </c>
      <c r="S85" s="73">
        <v>124</v>
      </c>
      <c r="T85" s="73">
        <v>124</v>
      </c>
      <c r="U85" s="100">
        <v>126</v>
      </c>
      <c r="V85" s="100">
        <v>126</v>
      </c>
      <c r="W85" s="100">
        <v>127</v>
      </c>
      <c r="X85" s="100">
        <v>127</v>
      </c>
      <c r="Y85" s="100">
        <v>125</v>
      </c>
      <c r="Z85" s="100">
        <v>126.3</v>
      </c>
      <c r="AA85" s="100">
        <v>128</v>
      </c>
      <c r="AB85" s="73">
        <v>127.5</v>
      </c>
      <c r="AC85" s="73">
        <v>270</v>
      </c>
      <c r="AD85" s="73">
        <v>128.69999999999999</v>
      </c>
      <c r="AE85" s="73">
        <v>127</v>
      </c>
      <c r="AF85" s="73">
        <v>127.3</v>
      </c>
      <c r="AG85" s="101"/>
      <c r="AH85" s="54">
        <f t="shared" si="13"/>
        <v>270</v>
      </c>
      <c r="AI85" s="55">
        <f t="shared" si="14"/>
        <v>123.4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131.19999999999999</v>
      </c>
      <c r="C86" s="73">
        <v>130.19999999999999</v>
      </c>
      <c r="D86" s="73">
        <v>129.80000000000001</v>
      </c>
      <c r="E86" s="73">
        <v>130.4</v>
      </c>
      <c r="F86" s="73">
        <v>130.19999999999999</v>
      </c>
      <c r="G86" s="73">
        <v>129.9</v>
      </c>
      <c r="H86" s="73">
        <v>128.19999999999999</v>
      </c>
      <c r="I86" s="73">
        <v>128.30000000000001</v>
      </c>
      <c r="J86" s="73">
        <v>128.6</v>
      </c>
      <c r="K86" s="73">
        <v>128.30000000000001</v>
      </c>
      <c r="L86" s="73">
        <v>127.3</v>
      </c>
      <c r="M86" s="73">
        <v>127.7</v>
      </c>
      <c r="N86" s="73">
        <v>128.6</v>
      </c>
      <c r="O86" s="73">
        <v>127.7</v>
      </c>
      <c r="P86" s="73">
        <v>129.4</v>
      </c>
      <c r="Q86" s="73">
        <v>128.4</v>
      </c>
      <c r="R86" s="73">
        <v>129</v>
      </c>
      <c r="S86" s="73">
        <v>127</v>
      </c>
      <c r="T86" s="73">
        <v>128</v>
      </c>
      <c r="U86" s="100">
        <v>129.30000000000001</v>
      </c>
      <c r="V86" s="100">
        <v>129.30000000000001</v>
      </c>
      <c r="W86" s="100">
        <v>130</v>
      </c>
      <c r="X86" s="100">
        <v>130</v>
      </c>
      <c r="Y86" s="100">
        <v>128</v>
      </c>
      <c r="Z86" s="100">
        <v>128</v>
      </c>
      <c r="AA86" s="100">
        <v>130.5</v>
      </c>
      <c r="AB86" s="73">
        <v>130.5</v>
      </c>
      <c r="AC86" s="73">
        <v>130.80000000000001</v>
      </c>
      <c r="AD86" s="73">
        <v>131.30000000000001</v>
      </c>
      <c r="AE86" s="73">
        <v>130</v>
      </c>
      <c r="AF86" s="73">
        <v>131</v>
      </c>
      <c r="AG86" s="101"/>
      <c r="AH86" s="54">
        <f t="shared" si="13"/>
        <v>131.30000000000001</v>
      </c>
      <c r="AI86" s="55">
        <f t="shared" si="14"/>
        <v>127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</v>
      </c>
      <c r="C87" s="73">
        <v>129.9</v>
      </c>
      <c r="D87" s="73">
        <v>129.69999999999999</v>
      </c>
      <c r="E87" s="73">
        <v>129.9</v>
      </c>
      <c r="F87" s="73">
        <v>129.5</v>
      </c>
      <c r="G87" s="73">
        <v>129.9</v>
      </c>
      <c r="H87" s="73">
        <v>126.8</v>
      </c>
      <c r="I87" s="73">
        <v>126</v>
      </c>
      <c r="J87" s="73">
        <v>130.19999999999999</v>
      </c>
      <c r="K87" s="73">
        <v>128.1</v>
      </c>
      <c r="L87" s="73">
        <v>127.5</v>
      </c>
      <c r="M87" s="73">
        <v>128.69999999999999</v>
      </c>
      <c r="N87" s="73">
        <v>128.5</v>
      </c>
      <c r="O87" s="73">
        <v>128.69999999999999</v>
      </c>
      <c r="P87" s="73">
        <v>128.4</v>
      </c>
      <c r="Q87" s="73">
        <v>125.8</v>
      </c>
      <c r="R87" s="73">
        <v>126.5</v>
      </c>
      <c r="S87" s="73">
        <v>126</v>
      </c>
      <c r="T87" s="73">
        <v>130</v>
      </c>
      <c r="U87" s="73">
        <v>127</v>
      </c>
      <c r="V87" s="73">
        <v>127</v>
      </c>
      <c r="W87" s="73">
        <v>127</v>
      </c>
      <c r="X87" s="73">
        <v>127</v>
      </c>
      <c r="Y87" s="100">
        <v>125</v>
      </c>
      <c r="Z87" s="100">
        <v>128</v>
      </c>
      <c r="AA87" s="100">
        <v>130</v>
      </c>
      <c r="AB87" s="73">
        <v>130.9</v>
      </c>
      <c r="AC87" s="73">
        <v>130</v>
      </c>
      <c r="AD87" s="73">
        <v>132.1</v>
      </c>
      <c r="AE87" s="73">
        <v>132.1</v>
      </c>
      <c r="AF87" s="73">
        <v>132.4</v>
      </c>
      <c r="AG87" s="101"/>
      <c r="AH87" s="54">
        <f t="shared" si="13"/>
        <v>132.4</v>
      </c>
      <c r="AI87" s="55">
        <f t="shared" si="14"/>
        <v>125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</v>
      </c>
      <c r="C88" s="73">
        <v>131.9</v>
      </c>
      <c r="D88" s="73">
        <v>132.1</v>
      </c>
      <c r="E88" s="73">
        <v>132.6</v>
      </c>
      <c r="F88" s="73">
        <v>132.19999999999999</v>
      </c>
      <c r="G88" s="73">
        <v>132.19999999999999</v>
      </c>
      <c r="H88" s="73">
        <v>129.19999999999999</v>
      </c>
      <c r="I88" s="73">
        <v>129.69999999999999</v>
      </c>
      <c r="J88" s="73">
        <v>132.30000000000001</v>
      </c>
      <c r="K88" s="73">
        <v>129.9</v>
      </c>
      <c r="L88" s="73">
        <v>130.5</v>
      </c>
      <c r="M88" s="73">
        <v>130.69999999999999</v>
      </c>
      <c r="N88" s="73">
        <v>130.80000000000001</v>
      </c>
      <c r="O88" s="73">
        <v>130.69999999999999</v>
      </c>
      <c r="P88" s="73">
        <v>130.6</v>
      </c>
      <c r="Q88" s="73">
        <v>128.69999999999999</v>
      </c>
      <c r="R88" s="73">
        <v>129.4</v>
      </c>
      <c r="S88" s="73">
        <v>129</v>
      </c>
      <c r="T88" s="73">
        <v>131.6</v>
      </c>
      <c r="U88" s="73">
        <v>129</v>
      </c>
      <c r="V88" s="73">
        <v>129</v>
      </c>
      <c r="W88" s="73">
        <v>129</v>
      </c>
      <c r="X88" s="73">
        <v>129</v>
      </c>
      <c r="Y88" s="100">
        <v>126</v>
      </c>
      <c r="Z88" s="100">
        <v>129</v>
      </c>
      <c r="AA88" s="100">
        <v>133</v>
      </c>
      <c r="AB88" s="73">
        <v>133.5</v>
      </c>
      <c r="AC88" s="73">
        <v>132.19999999999999</v>
      </c>
      <c r="AD88" s="73">
        <v>135.4</v>
      </c>
      <c r="AE88" s="73">
        <v>135.19999999999999</v>
      </c>
      <c r="AF88" s="73">
        <v>135.1</v>
      </c>
      <c r="AG88" s="101"/>
      <c r="AH88" s="54">
        <f t="shared" si="13"/>
        <v>135.4</v>
      </c>
      <c r="AI88" s="55">
        <f t="shared" si="14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128.19999999999999</v>
      </c>
      <c r="C89" s="104">
        <v>131.30000000000001</v>
      </c>
      <c r="D89" s="104">
        <v>130</v>
      </c>
      <c r="E89" s="104">
        <v>133.30000000000001</v>
      </c>
      <c r="F89" s="104">
        <v>132.69999999999999</v>
      </c>
      <c r="G89" s="104">
        <v>131.1</v>
      </c>
      <c r="H89" s="104">
        <v>135.30000000000001</v>
      </c>
      <c r="I89" s="104">
        <v>134.1</v>
      </c>
      <c r="J89" s="104">
        <v>133.5</v>
      </c>
      <c r="K89" s="104">
        <v>132.9</v>
      </c>
      <c r="L89" s="104">
        <v>132</v>
      </c>
      <c r="M89" s="104">
        <v>132.6</v>
      </c>
      <c r="N89" s="104">
        <v>133.1</v>
      </c>
      <c r="O89" s="104">
        <v>132.6</v>
      </c>
      <c r="P89" s="104">
        <v>136.5</v>
      </c>
      <c r="Q89" s="104">
        <v>132.4</v>
      </c>
      <c r="R89" s="104">
        <v>136.1</v>
      </c>
      <c r="S89" s="104">
        <v>129</v>
      </c>
      <c r="T89" s="104">
        <v>128.69999999999999</v>
      </c>
      <c r="U89" s="104">
        <v>135</v>
      </c>
      <c r="V89" s="104">
        <v>135</v>
      </c>
      <c r="W89" s="104">
        <v>129</v>
      </c>
      <c r="X89" s="104">
        <v>129</v>
      </c>
      <c r="Y89" s="100">
        <v>131</v>
      </c>
      <c r="Z89" s="100">
        <v>136</v>
      </c>
      <c r="AA89" s="100">
        <v>133.80000000000001</v>
      </c>
      <c r="AB89" s="104">
        <v>135.6</v>
      </c>
      <c r="AC89" s="104">
        <v>134.4</v>
      </c>
      <c r="AD89" s="104">
        <v>135</v>
      </c>
      <c r="AE89" s="104">
        <v>135</v>
      </c>
      <c r="AF89" s="104">
        <v>126</v>
      </c>
      <c r="AG89" s="105"/>
      <c r="AH89" s="54">
        <f t="shared" si="13"/>
        <v>136.5</v>
      </c>
      <c r="AI89" s="55">
        <f t="shared" si="14"/>
        <v>126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135.5</v>
      </c>
      <c r="C90" s="73">
        <v>133.4</v>
      </c>
      <c r="D90" s="73">
        <v>134.6</v>
      </c>
      <c r="E90" s="73">
        <v>136.30000000000001</v>
      </c>
      <c r="F90" s="73">
        <v>135.9</v>
      </c>
      <c r="G90" s="73">
        <v>134.6</v>
      </c>
      <c r="H90" s="73">
        <v>134.19999999999999</v>
      </c>
      <c r="I90" s="73">
        <v>134.4</v>
      </c>
      <c r="J90" s="73">
        <v>131</v>
      </c>
      <c r="K90" s="73">
        <v>130.4</v>
      </c>
      <c r="L90" s="73">
        <v>130</v>
      </c>
      <c r="M90" s="73">
        <v>130.19999999999999</v>
      </c>
      <c r="N90" s="73">
        <v>128.9</v>
      </c>
      <c r="O90" s="73">
        <v>130.19999999999999</v>
      </c>
      <c r="P90" s="73">
        <v>128.80000000000001</v>
      </c>
      <c r="Q90" s="73">
        <v>138.69999999999999</v>
      </c>
      <c r="R90" s="73">
        <v>131.69999999999999</v>
      </c>
      <c r="S90" s="73">
        <v>130</v>
      </c>
      <c r="T90" s="73">
        <v>131</v>
      </c>
      <c r="U90" s="73">
        <v>132</v>
      </c>
      <c r="V90" s="73">
        <v>132</v>
      </c>
      <c r="W90" s="73">
        <v>132</v>
      </c>
      <c r="X90" s="73">
        <v>132</v>
      </c>
      <c r="Y90" s="100">
        <v>131</v>
      </c>
      <c r="Z90" s="100">
        <v>132</v>
      </c>
      <c r="AA90" s="100">
        <v>133</v>
      </c>
      <c r="AB90" s="73">
        <v>134.19999999999999</v>
      </c>
      <c r="AC90" s="73">
        <v>134.30000000000001</v>
      </c>
      <c r="AD90" s="73">
        <v>134.9</v>
      </c>
      <c r="AE90" s="73">
        <v>135</v>
      </c>
      <c r="AF90" s="73">
        <v>136.80000000000001</v>
      </c>
      <c r="AG90" s="101"/>
      <c r="AH90" s="54">
        <f t="shared" si="13"/>
        <v>138.69999999999999</v>
      </c>
      <c r="AI90" s="55">
        <f t="shared" si="14"/>
        <v>128.80000000000001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66.8</v>
      </c>
      <c r="C91" s="107">
        <v>66</v>
      </c>
      <c r="D91" s="107">
        <v>65.900000000000006</v>
      </c>
      <c r="E91" s="107">
        <v>66.099999999999994</v>
      </c>
      <c r="F91" s="107">
        <v>65.900000000000006</v>
      </c>
      <c r="G91" s="107">
        <v>65.7</v>
      </c>
      <c r="H91" s="107">
        <v>64.900000000000006</v>
      </c>
      <c r="I91" s="107">
        <v>64.599999999999994</v>
      </c>
      <c r="J91" s="107">
        <v>65</v>
      </c>
      <c r="K91" s="107">
        <v>65</v>
      </c>
      <c r="L91" s="107">
        <v>64.599999999999994</v>
      </c>
      <c r="M91" s="107">
        <v>64.599999999999994</v>
      </c>
      <c r="N91" s="107">
        <v>65.2</v>
      </c>
      <c r="O91" s="107">
        <v>64.599999999999994</v>
      </c>
      <c r="P91" s="107">
        <v>65.099999999999994</v>
      </c>
      <c r="Q91" s="107">
        <v>64.599999999999994</v>
      </c>
      <c r="R91" s="107">
        <v>65</v>
      </c>
      <c r="S91" s="107">
        <v>64.3</v>
      </c>
      <c r="T91" s="107">
        <v>64.5</v>
      </c>
      <c r="U91" s="107">
        <v>65.099999999999994</v>
      </c>
      <c r="V91" s="107">
        <v>65.099999999999994</v>
      </c>
      <c r="W91" s="107">
        <v>65.5</v>
      </c>
      <c r="X91" s="107">
        <v>65.5</v>
      </c>
      <c r="Y91" s="107">
        <v>64.3</v>
      </c>
      <c r="Z91" s="107">
        <v>64.78</v>
      </c>
      <c r="AA91" s="107">
        <v>66</v>
      </c>
      <c r="AB91" s="107">
        <v>65.8</v>
      </c>
      <c r="AC91" s="107">
        <v>66.2</v>
      </c>
      <c r="AD91" s="107">
        <v>66.3</v>
      </c>
      <c r="AE91" s="107">
        <v>64</v>
      </c>
      <c r="AF91" s="107">
        <v>66.2</v>
      </c>
      <c r="AG91" s="108"/>
      <c r="AH91" s="54">
        <f t="shared" si="13"/>
        <v>66.8</v>
      </c>
      <c r="AI91" s="55">
        <f t="shared" si="14"/>
        <v>64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AF93" si="21">SUM(B15,B18,B21:B22,B42,B44:B45,B47,B49,B94:B97,B103,B109,B115,B124,B126,B138,B145,B148:B149,B156,B158,B160,B164:B166,B168:B170,B175,B181:B182,B184:B186,B194,B199)</f>
        <v>166.03999999999996</v>
      </c>
      <c r="C93" s="114">
        <f t="shared" si="21"/>
        <v>155.53999999999996</v>
      </c>
      <c r="D93" s="114">
        <f t="shared" si="21"/>
        <v>158.83999999999997</v>
      </c>
      <c r="E93" s="114">
        <f t="shared" si="21"/>
        <v>159.44</v>
      </c>
      <c r="F93" s="114">
        <f t="shared" si="21"/>
        <v>160.13999999999999</v>
      </c>
      <c r="G93" s="113">
        <f t="shared" si="21"/>
        <v>179.03999999999996</v>
      </c>
      <c r="H93" s="113">
        <f t="shared" si="21"/>
        <v>198.33999999999997</v>
      </c>
      <c r="I93" s="113">
        <f t="shared" si="21"/>
        <v>234.83999999999997</v>
      </c>
      <c r="J93" s="113">
        <f t="shared" si="21"/>
        <v>281.34000000000003</v>
      </c>
      <c r="K93" s="113">
        <f t="shared" si="21"/>
        <v>312.04000000000002</v>
      </c>
      <c r="L93" s="113">
        <f t="shared" si="21"/>
        <v>336.74</v>
      </c>
      <c r="M93" s="113">
        <f t="shared" si="21"/>
        <v>347.24</v>
      </c>
      <c r="N93" s="113">
        <f t="shared" si="21"/>
        <v>334.14000000000004</v>
      </c>
      <c r="O93" s="113">
        <f t="shared" si="21"/>
        <v>332.44000000000005</v>
      </c>
      <c r="P93" s="113">
        <f t="shared" si="21"/>
        <v>282.94</v>
      </c>
      <c r="Q93" s="113">
        <f t="shared" si="21"/>
        <v>286.94</v>
      </c>
      <c r="R93" s="113">
        <f t="shared" si="21"/>
        <v>277.84000000000003</v>
      </c>
      <c r="S93" s="113">
        <f t="shared" si="21"/>
        <v>284.74</v>
      </c>
      <c r="T93" s="113">
        <f t="shared" si="21"/>
        <v>286.74</v>
      </c>
      <c r="U93" s="113">
        <f t="shared" si="21"/>
        <v>288.54000000000002</v>
      </c>
      <c r="V93" s="113">
        <f t="shared" si="21"/>
        <v>288.54000000000002</v>
      </c>
      <c r="W93" s="113">
        <f t="shared" si="21"/>
        <v>305.94000000000005</v>
      </c>
      <c r="X93" s="113">
        <f t="shared" si="21"/>
        <v>339.14000000000004</v>
      </c>
      <c r="Y93" s="113">
        <f t="shared" si="21"/>
        <v>394.54</v>
      </c>
      <c r="Z93" s="113">
        <f t="shared" si="21"/>
        <v>391.14000000000004</v>
      </c>
      <c r="AA93" s="113">
        <f t="shared" si="21"/>
        <v>361.14000000000004</v>
      </c>
      <c r="AB93" s="113">
        <f t="shared" si="21"/>
        <v>331.84000000000003</v>
      </c>
      <c r="AC93" s="113">
        <f t="shared" si="21"/>
        <v>305.94000000000005</v>
      </c>
      <c r="AD93" s="113">
        <f t="shared" si="21"/>
        <v>318.54000000000002</v>
      </c>
      <c r="AE93" s="113">
        <f t="shared" si="21"/>
        <v>217.43999999999997</v>
      </c>
      <c r="AF93" s="113">
        <f t="shared" si="21"/>
        <v>174.83999999999997</v>
      </c>
      <c r="AG93" s="115"/>
      <c r="AH93" s="54">
        <f>MAX(C93:AF93)</f>
        <v>394.54</v>
      </c>
      <c r="AI93" s="55">
        <f>MIN(C93:AF93)</f>
        <v>155.53999999999996</v>
      </c>
    </row>
    <row r="94" spans="1:88" x14ac:dyDescent="0.25">
      <c r="A94" s="116" t="s">
        <v>98</v>
      </c>
      <c r="B94" s="117">
        <v>-22.3</v>
      </c>
      <c r="C94" s="58">
        <v>-6.4</v>
      </c>
      <c r="D94" s="58">
        <v>-11.2</v>
      </c>
      <c r="E94" s="58">
        <v>-15</v>
      </c>
      <c r="F94" s="58">
        <v>-16.3</v>
      </c>
      <c r="G94" s="118">
        <v>-2.4</v>
      </c>
      <c r="H94" s="118">
        <v>20.5</v>
      </c>
      <c r="I94" s="118">
        <v>13.3</v>
      </c>
      <c r="J94" s="118">
        <v>39.5</v>
      </c>
      <c r="K94" s="118">
        <v>41.3</v>
      </c>
      <c r="L94" s="118">
        <v>35.5</v>
      </c>
      <c r="M94" s="119">
        <v>35.799999999999997</v>
      </c>
      <c r="N94" s="118">
        <v>53.5</v>
      </c>
      <c r="O94" s="118">
        <v>53.5</v>
      </c>
      <c r="P94" s="118">
        <v>34.9</v>
      </c>
      <c r="Q94" s="118">
        <v>18.899999999999999</v>
      </c>
      <c r="R94" s="118">
        <v>10.3</v>
      </c>
      <c r="S94" s="118">
        <v>3.4</v>
      </c>
      <c r="T94" s="118">
        <v>-2.4</v>
      </c>
      <c r="U94" s="119">
        <v>7</v>
      </c>
      <c r="V94" s="119">
        <v>7</v>
      </c>
      <c r="W94" s="119">
        <v>2.7</v>
      </c>
      <c r="X94" s="118">
        <v>44.3</v>
      </c>
      <c r="Y94" s="118">
        <v>56</v>
      </c>
      <c r="Z94" s="118">
        <v>36</v>
      </c>
      <c r="AA94" s="118">
        <v>46</v>
      </c>
      <c r="AB94" s="119">
        <v>45.4</v>
      </c>
      <c r="AC94" s="119">
        <v>64.7</v>
      </c>
      <c r="AD94" s="119">
        <v>65.7</v>
      </c>
      <c r="AE94" s="119">
        <v>-10</v>
      </c>
      <c r="AF94" s="119">
        <v>-30.4</v>
      </c>
      <c r="AG94" s="120">
        <v>75</v>
      </c>
      <c r="AH94" s="54">
        <f t="shared" ref="AH94:AH100" si="22">IF(ABS(MAX(C94:AF94))&gt;ABS(MIN(C94:AF94)),MAX(C94:AF94),MIN(C94:AF94))</f>
        <v>65.7</v>
      </c>
      <c r="AI94" s="121">
        <f t="shared" ref="AI94:AI100" si="23">INDEX($C$9:$AF$9,1,MATCH(AH94,C94:AF94,0))</f>
        <v>0.875</v>
      </c>
    </row>
    <row r="95" spans="1:88" x14ac:dyDescent="0.25">
      <c r="A95" s="122" t="s">
        <v>99</v>
      </c>
      <c r="B95" s="123">
        <v>-42</v>
      </c>
      <c r="C95" s="60">
        <v>-50</v>
      </c>
      <c r="D95" s="60">
        <v>-49</v>
      </c>
      <c r="E95" s="60">
        <v>-47</v>
      </c>
      <c r="F95" s="60">
        <v>-47</v>
      </c>
      <c r="G95" s="60">
        <v>-42</v>
      </c>
      <c r="H95" s="60">
        <v>-40</v>
      </c>
      <c r="I95" s="60">
        <v>-26</v>
      </c>
      <c r="J95" s="60">
        <v>0</v>
      </c>
      <c r="K95" s="60">
        <v>14</v>
      </c>
      <c r="L95" s="60">
        <v>22</v>
      </c>
      <c r="M95" s="60">
        <v>31</v>
      </c>
      <c r="N95" s="60">
        <v>10.9</v>
      </c>
      <c r="O95" s="60">
        <v>10.9</v>
      </c>
      <c r="P95" s="60">
        <v>13.2</v>
      </c>
      <c r="Q95" s="60">
        <v>26.6</v>
      </c>
      <c r="R95" s="60">
        <v>25.6</v>
      </c>
      <c r="S95" s="60">
        <v>28</v>
      </c>
      <c r="T95" s="60">
        <v>36.700000000000003</v>
      </c>
      <c r="U95" s="60">
        <v>20</v>
      </c>
      <c r="V95" s="60">
        <v>20</v>
      </c>
      <c r="W95" s="60">
        <v>16.8</v>
      </c>
      <c r="X95" s="60">
        <v>8.4</v>
      </c>
      <c r="Y95" s="60">
        <v>36</v>
      </c>
      <c r="Z95" s="60">
        <v>51</v>
      </c>
      <c r="AA95" s="60">
        <v>30</v>
      </c>
      <c r="AB95" s="73">
        <v>24</v>
      </c>
      <c r="AC95" s="73">
        <f>0.7-2.8</f>
        <v>-2.0999999999999996</v>
      </c>
      <c r="AD95" s="73">
        <f>6.7+0</f>
        <v>6.7</v>
      </c>
      <c r="AE95" s="73">
        <v>-14</v>
      </c>
      <c r="AF95" s="73">
        <f>-11.2-12.5</f>
        <v>-23.7</v>
      </c>
      <c r="AG95" s="120">
        <v>240</v>
      </c>
      <c r="AH95" s="54">
        <f t="shared" si="22"/>
        <v>51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-6.7</v>
      </c>
      <c r="C96" s="60">
        <v>-10.4</v>
      </c>
      <c r="D96" s="60">
        <v>-9.5</v>
      </c>
      <c r="E96" s="60">
        <v>-12.3</v>
      </c>
      <c r="F96" s="60">
        <v>-8.8000000000000007</v>
      </c>
      <c r="G96" s="60">
        <v>-6.6</v>
      </c>
      <c r="H96" s="60">
        <v>-10.4</v>
      </c>
      <c r="I96" s="60">
        <v>-3.8</v>
      </c>
      <c r="J96" s="60">
        <v>18.600000000000001</v>
      </c>
      <c r="K96" s="60">
        <v>21</v>
      </c>
      <c r="L96" s="60">
        <v>22.9</v>
      </c>
      <c r="M96" s="60">
        <v>33</v>
      </c>
      <c r="N96" s="60">
        <v>32.4</v>
      </c>
      <c r="O96" s="60">
        <v>32.4</v>
      </c>
      <c r="P96" s="60">
        <v>32.799999999999997</v>
      </c>
      <c r="Q96" s="60">
        <v>36.1</v>
      </c>
      <c r="R96" s="60">
        <v>35.4</v>
      </c>
      <c r="S96" s="60">
        <v>37.700000000000003</v>
      </c>
      <c r="T96" s="60">
        <v>22</v>
      </c>
      <c r="U96" s="60">
        <v>25</v>
      </c>
      <c r="V96" s="60">
        <v>25</v>
      </c>
      <c r="W96" s="60">
        <v>32</v>
      </c>
      <c r="X96" s="60">
        <v>33</v>
      </c>
      <c r="Y96" s="60">
        <v>43</v>
      </c>
      <c r="Z96" s="60">
        <v>52</v>
      </c>
      <c r="AA96" s="60">
        <v>29</v>
      </c>
      <c r="AB96" s="73">
        <v>20.100000000000001</v>
      </c>
      <c r="AC96" s="73">
        <v>16.7</v>
      </c>
      <c r="AD96" s="73">
        <v>29</v>
      </c>
      <c r="AE96" s="73">
        <v>8</v>
      </c>
      <c r="AF96" s="73">
        <v>-4.9000000000000004</v>
      </c>
      <c r="AG96" s="120">
        <v>60</v>
      </c>
      <c r="AH96" s="54">
        <f t="shared" si="22"/>
        <v>52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86.2</v>
      </c>
      <c r="C97" s="63">
        <v>67.8</v>
      </c>
      <c r="D97" s="63">
        <v>74</v>
      </c>
      <c r="E97" s="63">
        <v>79.2</v>
      </c>
      <c r="F97" s="63">
        <v>77.7</v>
      </c>
      <c r="G97" s="63">
        <v>75.5</v>
      </c>
      <c r="H97" s="63">
        <v>73.7</v>
      </c>
      <c r="I97" s="63">
        <v>92.8</v>
      </c>
      <c r="J97" s="63">
        <v>66.900000000000006</v>
      </c>
      <c r="K97" s="63">
        <v>79.400000000000006</v>
      </c>
      <c r="L97" s="63">
        <v>101.8</v>
      </c>
      <c r="M97" s="63">
        <v>93</v>
      </c>
      <c r="N97" s="63">
        <v>82.9</v>
      </c>
      <c r="O97" s="63">
        <v>82.9</v>
      </c>
      <c r="P97" s="63">
        <v>49.5</v>
      </c>
      <c r="Q97" s="63">
        <v>52.8</v>
      </c>
      <c r="R97" s="63">
        <v>54</v>
      </c>
      <c r="S97" s="63">
        <v>46.6</v>
      </c>
      <c r="T97" s="63">
        <v>73.5</v>
      </c>
      <c r="U97" s="63">
        <v>74</v>
      </c>
      <c r="V97" s="63">
        <v>74</v>
      </c>
      <c r="W97" s="63">
        <v>91.9</v>
      </c>
      <c r="X97" s="63">
        <v>90.9</v>
      </c>
      <c r="Y97" s="63">
        <v>97</v>
      </c>
      <c r="Z97" s="63">
        <v>99</v>
      </c>
      <c r="AA97" s="63">
        <v>103</v>
      </c>
      <c r="AB97" s="126">
        <v>89.2</v>
      </c>
      <c r="AC97" s="126">
        <v>73.5</v>
      </c>
      <c r="AD97" s="126">
        <v>63.7</v>
      </c>
      <c r="AE97" s="126">
        <v>80</v>
      </c>
      <c r="AF97" s="126">
        <v>78.2</v>
      </c>
      <c r="AG97" s="127">
        <v>120</v>
      </c>
      <c r="AH97" s="54">
        <f t="shared" si="22"/>
        <v>103</v>
      </c>
      <c r="AI97" s="121">
        <f t="shared" si="23"/>
        <v>0.8125</v>
      </c>
    </row>
    <row r="98" spans="1:37" x14ac:dyDescent="0.25">
      <c r="A98" s="124" t="s">
        <v>102</v>
      </c>
      <c r="B98" s="125">
        <v>97</v>
      </c>
      <c r="C98" s="63">
        <v>81.599999999999994</v>
      </c>
      <c r="D98" s="63">
        <v>87.5</v>
      </c>
      <c r="E98" s="63">
        <v>90</v>
      </c>
      <c r="F98" s="63">
        <v>88</v>
      </c>
      <c r="G98" s="63">
        <v>85</v>
      </c>
      <c r="H98" s="63">
        <v>82.2</v>
      </c>
      <c r="I98" s="63">
        <v>97</v>
      </c>
      <c r="J98" s="63">
        <v>48.4</v>
      </c>
      <c r="K98" s="63">
        <v>56.2</v>
      </c>
      <c r="L98" s="63">
        <v>73.900000000000006</v>
      </c>
      <c r="M98" s="63">
        <v>74</v>
      </c>
      <c r="N98" s="63">
        <v>39.200000000000003</v>
      </c>
      <c r="O98" s="63">
        <v>39.200000000000003</v>
      </c>
      <c r="P98" s="63">
        <v>55.8</v>
      </c>
      <c r="Q98" s="63">
        <v>72.3</v>
      </c>
      <c r="R98" s="63">
        <v>70.8</v>
      </c>
      <c r="S98" s="63">
        <v>82.2</v>
      </c>
      <c r="T98" s="63">
        <v>99.6</v>
      </c>
      <c r="U98" s="63">
        <v>70</v>
      </c>
      <c r="V98" s="63">
        <v>70</v>
      </c>
      <c r="W98" s="63">
        <v>60.6</v>
      </c>
      <c r="X98" s="63">
        <v>38.9</v>
      </c>
      <c r="Y98" s="63">
        <v>56</v>
      </c>
      <c r="Z98" s="63">
        <v>70</v>
      </c>
      <c r="AA98" s="63">
        <v>61</v>
      </c>
      <c r="AB98" s="126">
        <v>65.900000000000006</v>
      </c>
      <c r="AC98" s="126">
        <v>31</v>
      </c>
      <c r="AD98" s="126">
        <v>42.7</v>
      </c>
      <c r="AE98" s="126">
        <v>75</v>
      </c>
      <c r="AF98" s="126">
        <v>75.7</v>
      </c>
      <c r="AG98" s="127"/>
      <c r="AH98" s="54">
        <f t="shared" si="22"/>
        <v>99.6</v>
      </c>
      <c r="AI98" s="121">
        <f t="shared" si="23"/>
        <v>0.625</v>
      </c>
    </row>
    <row r="99" spans="1:37" x14ac:dyDescent="0.25">
      <c r="A99" s="124" t="s">
        <v>103</v>
      </c>
      <c r="B99" s="125">
        <v>57.4</v>
      </c>
      <c r="C99" s="63">
        <v>47.5</v>
      </c>
      <c r="D99" s="63">
        <v>49.7</v>
      </c>
      <c r="E99" s="63">
        <v>54</v>
      </c>
      <c r="F99" s="63">
        <v>56</v>
      </c>
      <c r="G99" s="63">
        <v>50.1</v>
      </c>
      <c r="H99" s="63">
        <v>24.4</v>
      </c>
      <c r="I99" s="63">
        <v>37.200000000000003</v>
      </c>
      <c r="J99" s="63">
        <v>36.5</v>
      </c>
      <c r="K99" s="63">
        <v>36.799999999999997</v>
      </c>
      <c r="L99" s="63">
        <v>43.6</v>
      </c>
      <c r="M99" s="63">
        <v>39.200000000000003</v>
      </c>
      <c r="N99" s="63">
        <v>18</v>
      </c>
      <c r="O99" s="63">
        <v>18</v>
      </c>
      <c r="P99" s="63">
        <v>14.1</v>
      </c>
      <c r="Q99" s="63">
        <v>14.5</v>
      </c>
      <c r="R99" s="63">
        <v>14.4</v>
      </c>
      <c r="S99" s="63">
        <v>15</v>
      </c>
      <c r="T99" s="63">
        <v>14.7</v>
      </c>
      <c r="U99" s="63">
        <v>15</v>
      </c>
      <c r="V99" s="63">
        <v>15</v>
      </c>
      <c r="W99" s="63">
        <v>14.4</v>
      </c>
      <c r="X99" s="63">
        <v>9</v>
      </c>
      <c r="Y99" s="63">
        <v>22</v>
      </c>
      <c r="Z99" s="63">
        <v>44</v>
      </c>
      <c r="AA99" s="63">
        <v>39</v>
      </c>
      <c r="AB99" s="126">
        <v>36.299999999999997</v>
      </c>
      <c r="AC99" s="126">
        <v>17.899999999999999</v>
      </c>
      <c r="AD99" s="126">
        <v>44</v>
      </c>
      <c r="AE99" s="126">
        <v>55</v>
      </c>
      <c r="AF99" s="126">
        <v>83.2</v>
      </c>
      <c r="AG99" s="128"/>
      <c r="AH99" s="54">
        <f t="shared" si="22"/>
        <v>83.2</v>
      </c>
      <c r="AI99" s="121">
        <f t="shared" si="23"/>
        <v>0.95833333333333304</v>
      </c>
    </row>
    <row r="100" spans="1:37" ht="15.75" thickBot="1" x14ac:dyDescent="0.3">
      <c r="A100" s="181" t="s">
        <v>222</v>
      </c>
      <c r="B100" s="104">
        <v>72</v>
      </c>
      <c r="C100" s="60">
        <v>69.099999999999994</v>
      </c>
      <c r="D100" s="60">
        <v>68.2</v>
      </c>
      <c r="E100" s="60">
        <v>67</v>
      </c>
      <c r="F100" s="60">
        <v>68</v>
      </c>
      <c r="G100" s="60">
        <v>70</v>
      </c>
      <c r="H100" s="60">
        <v>73.8</v>
      </c>
      <c r="I100" s="60">
        <v>76.400000000000006</v>
      </c>
      <c r="J100" s="60">
        <v>35.299999999999997</v>
      </c>
      <c r="K100" s="60">
        <v>33.6</v>
      </c>
      <c r="L100" s="60">
        <v>36.700000000000003</v>
      </c>
      <c r="M100" s="60">
        <v>42.1</v>
      </c>
      <c r="N100" s="60">
        <v>52.1</v>
      </c>
      <c r="O100" s="60">
        <v>52.1</v>
      </c>
      <c r="P100" s="60">
        <v>60.4</v>
      </c>
      <c r="Q100" s="60">
        <v>101.1</v>
      </c>
      <c r="R100" s="60">
        <v>94.5</v>
      </c>
      <c r="S100" s="60">
        <v>98.9</v>
      </c>
      <c r="T100" s="60">
        <v>53</v>
      </c>
      <c r="U100" s="60">
        <v>100</v>
      </c>
      <c r="V100" s="60">
        <v>60</v>
      </c>
      <c r="W100" s="60">
        <v>4.4000000000000004</v>
      </c>
      <c r="X100" s="60">
        <v>45.5</v>
      </c>
      <c r="Y100" s="60">
        <v>69</v>
      </c>
      <c r="Z100" s="60">
        <v>68</v>
      </c>
      <c r="AA100" s="60">
        <v>59</v>
      </c>
      <c r="AB100" s="104">
        <v>58</v>
      </c>
      <c r="AC100" s="104">
        <v>31.9</v>
      </c>
      <c r="AD100" s="104">
        <v>92.8</v>
      </c>
      <c r="AE100" s="104">
        <v>75</v>
      </c>
      <c r="AF100" s="104">
        <v>75.5</v>
      </c>
      <c r="AG100" s="128"/>
      <c r="AH100" s="54">
        <f t="shared" si="22"/>
        <v>101.1</v>
      </c>
      <c r="AI100" s="121">
        <f t="shared" si="23"/>
        <v>0.5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24">AF102</f>
        <v>9.9</v>
      </c>
      <c r="C102" s="53">
        <v>9.9</v>
      </c>
      <c r="D102" s="134">
        <f t="shared" ref="D102:S107" si="25">C102</f>
        <v>9.9</v>
      </c>
      <c r="E102" s="134">
        <f t="shared" si="25"/>
        <v>9.9</v>
      </c>
      <c r="F102" s="134">
        <f t="shared" si="25"/>
        <v>9.9</v>
      </c>
      <c r="G102" s="134">
        <f t="shared" si="25"/>
        <v>9.9</v>
      </c>
      <c r="H102" s="134">
        <f t="shared" si="25"/>
        <v>9.9</v>
      </c>
      <c r="I102" s="134">
        <f t="shared" si="25"/>
        <v>9.9</v>
      </c>
      <c r="J102" s="134">
        <f t="shared" si="25"/>
        <v>9.9</v>
      </c>
      <c r="K102" s="134">
        <f t="shared" si="25"/>
        <v>9.9</v>
      </c>
      <c r="L102" s="134">
        <f t="shared" si="25"/>
        <v>9.9</v>
      </c>
      <c r="M102" s="134">
        <f t="shared" si="25"/>
        <v>9.9</v>
      </c>
      <c r="N102" s="134">
        <f t="shared" si="25"/>
        <v>9.9</v>
      </c>
      <c r="O102" s="134">
        <f t="shared" si="25"/>
        <v>9.9</v>
      </c>
      <c r="P102" s="134">
        <f t="shared" si="25"/>
        <v>9.9</v>
      </c>
      <c r="Q102" s="134">
        <f t="shared" si="25"/>
        <v>9.9</v>
      </c>
      <c r="R102" s="134">
        <f t="shared" si="25"/>
        <v>9.9</v>
      </c>
      <c r="S102" s="134">
        <f t="shared" si="25"/>
        <v>9.9</v>
      </c>
      <c r="T102" s="134">
        <f t="shared" ref="T102:AF107" si="26">S102</f>
        <v>9.9</v>
      </c>
      <c r="U102" s="134">
        <f t="shared" si="26"/>
        <v>9.9</v>
      </c>
      <c r="V102" s="134">
        <f t="shared" si="26"/>
        <v>9.9</v>
      </c>
      <c r="W102" s="134">
        <f t="shared" si="26"/>
        <v>9.9</v>
      </c>
      <c r="X102" s="134">
        <f t="shared" si="26"/>
        <v>9.9</v>
      </c>
      <c r="Y102" s="134">
        <f t="shared" si="26"/>
        <v>9.9</v>
      </c>
      <c r="Z102" s="134">
        <f t="shared" si="26"/>
        <v>9.9</v>
      </c>
      <c r="AA102" s="134">
        <f t="shared" si="26"/>
        <v>9.9</v>
      </c>
      <c r="AB102" s="134">
        <f t="shared" si="26"/>
        <v>9.9</v>
      </c>
      <c r="AC102" s="134">
        <f t="shared" si="26"/>
        <v>9.9</v>
      </c>
      <c r="AD102" s="134">
        <f t="shared" si="26"/>
        <v>9.9</v>
      </c>
      <c r="AE102" s="134">
        <f t="shared" si="26"/>
        <v>9.9</v>
      </c>
      <c r="AF102" s="134">
        <f t="shared" si="26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24"/>
        <v>9.6</v>
      </c>
      <c r="C103" s="137">
        <v>9.6</v>
      </c>
      <c r="D103" s="136">
        <f t="shared" si="25"/>
        <v>9.6</v>
      </c>
      <c r="E103" s="136">
        <f t="shared" si="25"/>
        <v>9.6</v>
      </c>
      <c r="F103" s="136">
        <f t="shared" si="25"/>
        <v>9.6</v>
      </c>
      <c r="G103" s="136">
        <f t="shared" si="25"/>
        <v>9.6</v>
      </c>
      <c r="H103" s="136">
        <f t="shared" si="25"/>
        <v>9.6</v>
      </c>
      <c r="I103" s="136">
        <f t="shared" si="25"/>
        <v>9.6</v>
      </c>
      <c r="J103" s="136">
        <f t="shared" si="25"/>
        <v>9.6</v>
      </c>
      <c r="K103" s="136">
        <f t="shared" si="25"/>
        <v>9.6</v>
      </c>
      <c r="L103" s="136">
        <f t="shared" si="25"/>
        <v>9.6</v>
      </c>
      <c r="M103" s="136">
        <f t="shared" si="25"/>
        <v>9.6</v>
      </c>
      <c r="N103" s="136">
        <f t="shared" si="25"/>
        <v>9.6</v>
      </c>
      <c r="O103" s="136">
        <f t="shared" si="25"/>
        <v>9.6</v>
      </c>
      <c r="P103" s="136">
        <f t="shared" si="25"/>
        <v>9.6</v>
      </c>
      <c r="Q103" s="136">
        <f t="shared" si="25"/>
        <v>9.6</v>
      </c>
      <c r="R103" s="136">
        <f t="shared" si="25"/>
        <v>9.6</v>
      </c>
      <c r="S103" s="136">
        <f t="shared" si="25"/>
        <v>9.6</v>
      </c>
      <c r="T103" s="136">
        <f t="shared" si="26"/>
        <v>9.6</v>
      </c>
      <c r="U103" s="136">
        <f t="shared" si="26"/>
        <v>9.6</v>
      </c>
      <c r="V103" s="136">
        <f t="shared" si="26"/>
        <v>9.6</v>
      </c>
      <c r="W103" s="136">
        <f t="shared" si="26"/>
        <v>9.6</v>
      </c>
      <c r="X103" s="136">
        <f t="shared" si="26"/>
        <v>9.6</v>
      </c>
      <c r="Y103" s="136">
        <f t="shared" si="26"/>
        <v>9.6</v>
      </c>
      <c r="Z103" s="136">
        <f t="shared" si="26"/>
        <v>9.6</v>
      </c>
      <c r="AA103" s="136">
        <f t="shared" si="26"/>
        <v>9.6</v>
      </c>
      <c r="AB103" s="136">
        <f t="shared" si="26"/>
        <v>9.6</v>
      </c>
      <c r="AC103" s="136">
        <f t="shared" si="26"/>
        <v>9.6</v>
      </c>
      <c r="AD103" s="136">
        <f t="shared" si="26"/>
        <v>9.6</v>
      </c>
      <c r="AE103" s="136">
        <f t="shared" si="26"/>
        <v>9.6</v>
      </c>
      <c r="AF103" s="136">
        <f t="shared" si="26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24"/>
        <v>9.98</v>
      </c>
      <c r="C104" s="137">
        <v>9.98</v>
      </c>
      <c r="D104" s="136">
        <f t="shared" si="25"/>
        <v>9.98</v>
      </c>
      <c r="E104" s="136">
        <f t="shared" si="25"/>
        <v>9.98</v>
      </c>
      <c r="F104" s="136">
        <f t="shared" si="25"/>
        <v>9.98</v>
      </c>
      <c r="G104" s="136">
        <f t="shared" si="25"/>
        <v>9.98</v>
      </c>
      <c r="H104" s="136">
        <f t="shared" si="25"/>
        <v>9.98</v>
      </c>
      <c r="I104" s="136">
        <f t="shared" si="25"/>
        <v>9.98</v>
      </c>
      <c r="J104" s="136">
        <f t="shared" si="25"/>
        <v>9.98</v>
      </c>
      <c r="K104" s="136">
        <f t="shared" si="25"/>
        <v>9.98</v>
      </c>
      <c r="L104" s="136">
        <f t="shared" si="25"/>
        <v>9.98</v>
      </c>
      <c r="M104" s="136">
        <f t="shared" si="25"/>
        <v>9.98</v>
      </c>
      <c r="N104" s="136">
        <f t="shared" si="25"/>
        <v>9.98</v>
      </c>
      <c r="O104" s="136">
        <f t="shared" si="25"/>
        <v>9.98</v>
      </c>
      <c r="P104" s="136">
        <f t="shared" si="25"/>
        <v>9.98</v>
      </c>
      <c r="Q104" s="136">
        <f t="shared" si="25"/>
        <v>9.98</v>
      </c>
      <c r="R104" s="136">
        <f t="shared" si="25"/>
        <v>9.98</v>
      </c>
      <c r="S104" s="136">
        <f t="shared" si="25"/>
        <v>9.98</v>
      </c>
      <c r="T104" s="136">
        <f t="shared" si="26"/>
        <v>9.98</v>
      </c>
      <c r="U104" s="136">
        <f t="shared" si="26"/>
        <v>9.98</v>
      </c>
      <c r="V104" s="136">
        <f t="shared" si="26"/>
        <v>9.98</v>
      </c>
      <c r="W104" s="136">
        <f t="shared" si="26"/>
        <v>9.98</v>
      </c>
      <c r="X104" s="136">
        <f t="shared" si="26"/>
        <v>9.98</v>
      </c>
      <c r="Y104" s="136">
        <f t="shared" si="26"/>
        <v>9.98</v>
      </c>
      <c r="Z104" s="136">
        <f t="shared" si="26"/>
        <v>9.98</v>
      </c>
      <c r="AA104" s="136">
        <f t="shared" si="26"/>
        <v>9.98</v>
      </c>
      <c r="AB104" s="136">
        <f t="shared" si="26"/>
        <v>9.98</v>
      </c>
      <c r="AC104" s="136">
        <f t="shared" si="26"/>
        <v>9.98</v>
      </c>
      <c r="AD104" s="136">
        <f t="shared" si="26"/>
        <v>9.98</v>
      </c>
      <c r="AE104" s="136">
        <f t="shared" si="26"/>
        <v>9.98</v>
      </c>
      <c r="AF104" s="136">
        <f t="shared" si="26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24"/>
        <v>9.1</v>
      </c>
      <c r="C105" s="137">
        <v>9.1</v>
      </c>
      <c r="D105" s="136">
        <f t="shared" si="25"/>
        <v>9.1</v>
      </c>
      <c r="E105" s="136">
        <f t="shared" si="25"/>
        <v>9.1</v>
      </c>
      <c r="F105" s="136">
        <f t="shared" si="25"/>
        <v>9.1</v>
      </c>
      <c r="G105" s="136">
        <f t="shared" si="25"/>
        <v>9.1</v>
      </c>
      <c r="H105" s="136">
        <f t="shared" si="25"/>
        <v>9.1</v>
      </c>
      <c r="I105" s="136">
        <f t="shared" si="25"/>
        <v>9.1</v>
      </c>
      <c r="J105" s="136">
        <f t="shared" si="25"/>
        <v>9.1</v>
      </c>
      <c r="K105" s="136">
        <f t="shared" si="25"/>
        <v>9.1</v>
      </c>
      <c r="L105" s="136">
        <f t="shared" si="25"/>
        <v>9.1</v>
      </c>
      <c r="M105" s="136">
        <f t="shared" si="25"/>
        <v>9.1</v>
      </c>
      <c r="N105" s="136">
        <f t="shared" si="25"/>
        <v>9.1</v>
      </c>
      <c r="O105" s="136">
        <f t="shared" si="25"/>
        <v>9.1</v>
      </c>
      <c r="P105" s="136">
        <f t="shared" si="25"/>
        <v>9.1</v>
      </c>
      <c r="Q105" s="136">
        <f t="shared" si="25"/>
        <v>9.1</v>
      </c>
      <c r="R105" s="136">
        <f t="shared" si="25"/>
        <v>9.1</v>
      </c>
      <c r="S105" s="136">
        <f t="shared" si="25"/>
        <v>9.1</v>
      </c>
      <c r="T105" s="136">
        <f t="shared" si="26"/>
        <v>9.1</v>
      </c>
      <c r="U105" s="136">
        <f t="shared" si="26"/>
        <v>9.1</v>
      </c>
      <c r="V105" s="136">
        <f t="shared" si="26"/>
        <v>9.1</v>
      </c>
      <c r="W105" s="136">
        <f t="shared" si="26"/>
        <v>9.1</v>
      </c>
      <c r="X105" s="136">
        <f t="shared" si="26"/>
        <v>9.1</v>
      </c>
      <c r="Y105" s="136">
        <f t="shared" si="26"/>
        <v>9.1</v>
      </c>
      <c r="Z105" s="136">
        <f t="shared" si="26"/>
        <v>9.1</v>
      </c>
      <c r="AA105" s="136">
        <f t="shared" si="26"/>
        <v>9.1</v>
      </c>
      <c r="AB105" s="136">
        <f t="shared" si="26"/>
        <v>9.1</v>
      </c>
      <c r="AC105" s="136">
        <f t="shared" si="26"/>
        <v>9.1</v>
      </c>
      <c r="AD105" s="136">
        <f t="shared" si="26"/>
        <v>9.1</v>
      </c>
      <c r="AE105" s="136">
        <f t="shared" si="26"/>
        <v>9.1</v>
      </c>
      <c r="AF105" s="136">
        <f t="shared" si="26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24"/>
        <v>9.18</v>
      </c>
      <c r="C106" s="137">
        <v>9.18</v>
      </c>
      <c r="D106" s="136">
        <f t="shared" si="25"/>
        <v>9.18</v>
      </c>
      <c r="E106" s="136">
        <f t="shared" si="25"/>
        <v>9.18</v>
      </c>
      <c r="F106" s="136">
        <f t="shared" si="25"/>
        <v>9.18</v>
      </c>
      <c r="G106" s="136">
        <f t="shared" si="25"/>
        <v>9.18</v>
      </c>
      <c r="H106" s="136">
        <f t="shared" si="25"/>
        <v>9.18</v>
      </c>
      <c r="I106" s="136">
        <f t="shared" si="25"/>
        <v>9.18</v>
      </c>
      <c r="J106" s="136">
        <f t="shared" si="25"/>
        <v>9.18</v>
      </c>
      <c r="K106" s="136">
        <f t="shared" si="25"/>
        <v>9.18</v>
      </c>
      <c r="L106" s="136">
        <f t="shared" si="25"/>
        <v>9.18</v>
      </c>
      <c r="M106" s="136">
        <f t="shared" si="25"/>
        <v>9.18</v>
      </c>
      <c r="N106" s="136">
        <f t="shared" si="25"/>
        <v>9.18</v>
      </c>
      <c r="O106" s="136">
        <f t="shared" si="25"/>
        <v>9.18</v>
      </c>
      <c r="P106" s="136">
        <f t="shared" si="25"/>
        <v>9.18</v>
      </c>
      <c r="Q106" s="136">
        <f t="shared" si="25"/>
        <v>9.18</v>
      </c>
      <c r="R106" s="136">
        <f t="shared" si="25"/>
        <v>9.18</v>
      </c>
      <c r="S106" s="136">
        <f t="shared" si="25"/>
        <v>9.18</v>
      </c>
      <c r="T106" s="136">
        <f t="shared" si="26"/>
        <v>9.18</v>
      </c>
      <c r="U106" s="136">
        <f t="shared" si="26"/>
        <v>9.18</v>
      </c>
      <c r="V106" s="136">
        <f t="shared" si="26"/>
        <v>9.18</v>
      </c>
      <c r="W106" s="136">
        <f t="shared" si="26"/>
        <v>9.18</v>
      </c>
      <c r="X106" s="136">
        <f t="shared" si="26"/>
        <v>9.18</v>
      </c>
      <c r="Y106" s="136">
        <f t="shared" si="26"/>
        <v>9.18</v>
      </c>
      <c r="Z106" s="136">
        <f t="shared" si="26"/>
        <v>9.18</v>
      </c>
      <c r="AA106" s="136">
        <f t="shared" si="26"/>
        <v>9.18</v>
      </c>
      <c r="AB106" s="136">
        <f t="shared" si="26"/>
        <v>9.18</v>
      </c>
      <c r="AC106" s="136">
        <f t="shared" si="26"/>
        <v>9.18</v>
      </c>
      <c r="AD106" s="136">
        <f t="shared" si="26"/>
        <v>9.18</v>
      </c>
      <c r="AE106" s="136">
        <f t="shared" si="26"/>
        <v>9.18</v>
      </c>
      <c r="AF106" s="136">
        <f t="shared" si="26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24"/>
        <v>7</v>
      </c>
      <c r="C107" s="137">
        <v>7</v>
      </c>
      <c r="D107" s="136">
        <f t="shared" si="25"/>
        <v>7</v>
      </c>
      <c r="E107" s="136">
        <f t="shared" si="25"/>
        <v>7</v>
      </c>
      <c r="F107" s="136">
        <f t="shared" si="25"/>
        <v>7</v>
      </c>
      <c r="G107" s="136">
        <f t="shared" si="25"/>
        <v>7</v>
      </c>
      <c r="H107" s="136">
        <f t="shared" si="25"/>
        <v>7</v>
      </c>
      <c r="I107" s="136">
        <f t="shared" si="25"/>
        <v>7</v>
      </c>
      <c r="J107" s="136">
        <f t="shared" si="25"/>
        <v>7</v>
      </c>
      <c r="K107" s="136">
        <f t="shared" si="25"/>
        <v>7</v>
      </c>
      <c r="L107" s="136">
        <f t="shared" si="25"/>
        <v>7</v>
      </c>
      <c r="M107" s="136">
        <f t="shared" si="25"/>
        <v>7</v>
      </c>
      <c r="N107" s="136">
        <f t="shared" si="25"/>
        <v>7</v>
      </c>
      <c r="O107" s="136">
        <f t="shared" si="25"/>
        <v>7</v>
      </c>
      <c r="P107" s="136">
        <f t="shared" si="25"/>
        <v>7</v>
      </c>
      <c r="Q107" s="136">
        <f t="shared" si="25"/>
        <v>7</v>
      </c>
      <c r="R107" s="136">
        <f t="shared" si="25"/>
        <v>7</v>
      </c>
      <c r="S107" s="136">
        <f t="shared" si="25"/>
        <v>7</v>
      </c>
      <c r="T107" s="136">
        <f t="shared" si="26"/>
        <v>7</v>
      </c>
      <c r="U107" s="136">
        <f t="shared" si="26"/>
        <v>7</v>
      </c>
      <c r="V107" s="136">
        <f t="shared" si="26"/>
        <v>7</v>
      </c>
      <c r="W107" s="136">
        <f t="shared" si="26"/>
        <v>7</v>
      </c>
      <c r="X107" s="136">
        <f t="shared" si="26"/>
        <v>7</v>
      </c>
      <c r="Y107" s="136">
        <f t="shared" si="26"/>
        <v>7</v>
      </c>
      <c r="Z107" s="136">
        <f t="shared" si="26"/>
        <v>7</v>
      </c>
      <c r="AA107" s="136">
        <f t="shared" si="26"/>
        <v>7</v>
      </c>
      <c r="AB107" s="136">
        <f t="shared" si="26"/>
        <v>7</v>
      </c>
      <c r="AC107" s="136">
        <f t="shared" si="26"/>
        <v>7</v>
      </c>
      <c r="AD107" s="136">
        <f t="shared" si="26"/>
        <v>7</v>
      </c>
      <c r="AE107" s="136">
        <f t="shared" si="26"/>
        <v>7</v>
      </c>
      <c r="AF107" s="136">
        <f t="shared" si="26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27">C109</f>
        <v>2.25</v>
      </c>
      <c r="E109" s="136">
        <f t="shared" si="27"/>
        <v>2.25</v>
      </c>
      <c r="F109" s="136">
        <f t="shared" si="27"/>
        <v>2.25</v>
      </c>
      <c r="G109" s="136">
        <f t="shared" si="27"/>
        <v>2.25</v>
      </c>
      <c r="H109" s="136">
        <f t="shared" si="27"/>
        <v>2.25</v>
      </c>
      <c r="I109" s="136">
        <f t="shared" si="27"/>
        <v>2.25</v>
      </c>
      <c r="J109" s="136">
        <f t="shared" si="27"/>
        <v>2.25</v>
      </c>
      <c r="K109" s="136">
        <f t="shared" si="27"/>
        <v>2.25</v>
      </c>
      <c r="L109" s="136">
        <f t="shared" si="27"/>
        <v>2.25</v>
      </c>
      <c r="M109" s="136">
        <f t="shared" si="27"/>
        <v>2.25</v>
      </c>
      <c r="N109" s="136">
        <f t="shared" si="27"/>
        <v>2.25</v>
      </c>
      <c r="O109" s="136">
        <f t="shared" si="27"/>
        <v>2.25</v>
      </c>
      <c r="P109" s="136">
        <f t="shared" si="27"/>
        <v>2.25</v>
      </c>
      <c r="Q109" s="136">
        <f t="shared" si="27"/>
        <v>2.25</v>
      </c>
      <c r="R109" s="136">
        <f t="shared" si="27"/>
        <v>2.25</v>
      </c>
      <c r="S109" s="136">
        <f t="shared" si="27"/>
        <v>2.25</v>
      </c>
      <c r="T109" s="136">
        <f t="shared" ref="T109:AF110" si="28">S109</f>
        <v>2.25</v>
      </c>
      <c r="U109" s="136">
        <f t="shared" si="28"/>
        <v>2.25</v>
      </c>
      <c r="V109" s="136">
        <f t="shared" si="28"/>
        <v>2.25</v>
      </c>
      <c r="W109" s="136">
        <f t="shared" si="28"/>
        <v>2.25</v>
      </c>
      <c r="X109" s="136">
        <f t="shared" si="28"/>
        <v>2.25</v>
      </c>
      <c r="Y109" s="136">
        <f t="shared" si="28"/>
        <v>2.25</v>
      </c>
      <c r="Z109" s="136">
        <f t="shared" si="28"/>
        <v>2.25</v>
      </c>
      <c r="AA109" s="136">
        <f t="shared" si="28"/>
        <v>2.25</v>
      </c>
      <c r="AB109" s="136">
        <f t="shared" si="28"/>
        <v>2.25</v>
      </c>
      <c r="AC109" s="136">
        <f t="shared" si="28"/>
        <v>2.25</v>
      </c>
      <c r="AD109" s="136">
        <f t="shared" si="28"/>
        <v>2.25</v>
      </c>
      <c r="AE109" s="136">
        <f t="shared" si="28"/>
        <v>2.25</v>
      </c>
      <c r="AF109" s="136">
        <f t="shared" si="28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27"/>
        <v>1.64</v>
      </c>
      <c r="E110" s="136">
        <f t="shared" si="27"/>
        <v>1.64</v>
      </c>
      <c r="F110" s="136">
        <f t="shared" si="27"/>
        <v>1.64</v>
      </c>
      <c r="G110" s="136">
        <f t="shared" si="27"/>
        <v>1.64</v>
      </c>
      <c r="H110" s="136">
        <f t="shared" si="27"/>
        <v>1.64</v>
      </c>
      <c r="I110" s="136">
        <f t="shared" si="27"/>
        <v>1.64</v>
      </c>
      <c r="J110" s="136">
        <f t="shared" si="27"/>
        <v>1.64</v>
      </c>
      <c r="K110" s="136">
        <f t="shared" si="27"/>
        <v>1.64</v>
      </c>
      <c r="L110" s="136">
        <f t="shared" si="27"/>
        <v>1.64</v>
      </c>
      <c r="M110" s="136">
        <f t="shared" si="27"/>
        <v>1.64</v>
      </c>
      <c r="N110" s="136">
        <f t="shared" si="27"/>
        <v>1.64</v>
      </c>
      <c r="O110" s="136">
        <f t="shared" si="27"/>
        <v>1.64</v>
      </c>
      <c r="P110" s="136">
        <f t="shared" si="27"/>
        <v>1.64</v>
      </c>
      <c r="Q110" s="136">
        <f t="shared" si="27"/>
        <v>1.64</v>
      </c>
      <c r="R110" s="136">
        <f t="shared" si="27"/>
        <v>1.64</v>
      </c>
      <c r="S110" s="136">
        <f t="shared" si="27"/>
        <v>1.64</v>
      </c>
      <c r="T110" s="136">
        <f t="shared" si="28"/>
        <v>1.64</v>
      </c>
      <c r="U110" s="136">
        <f t="shared" si="28"/>
        <v>1.64</v>
      </c>
      <c r="V110" s="136">
        <f t="shared" si="28"/>
        <v>1.64</v>
      </c>
      <c r="W110" s="136">
        <f t="shared" si="28"/>
        <v>1.64</v>
      </c>
      <c r="X110" s="136">
        <f t="shared" si="28"/>
        <v>1.64</v>
      </c>
      <c r="Y110" s="136">
        <f t="shared" si="28"/>
        <v>1.64</v>
      </c>
      <c r="Z110" s="136">
        <f t="shared" si="28"/>
        <v>1.64</v>
      </c>
      <c r="AA110" s="136">
        <f t="shared" si="28"/>
        <v>1.64</v>
      </c>
      <c r="AB110" s="136">
        <f t="shared" si="28"/>
        <v>1.64</v>
      </c>
      <c r="AC110" s="136">
        <f t="shared" si="28"/>
        <v>1.64</v>
      </c>
      <c r="AD110" s="136">
        <f t="shared" si="28"/>
        <v>1.64</v>
      </c>
      <c r="AE110" s="136">
        <f t="shared" si="28"/>
        <v>1.64</v>
      </c>
      <c r="AF110" s="136">
        <f t="shared" si="28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29">AF112</f>
        <v>1.62</v>
      </c>
      <c r="C112" s="137">
        <v>1.62</v>
      </c>
      <c r="D112" s="136">
        <f t="shared" ref="D112:S119" si="30">C112</f>
        <v>1.62</v>
      </c>
      <c r="E112" s="136">
        <f t="shared" si="30"/>
        <v>1.62</v>
      </c>
      <c r="F112" s="136">
        <f t="shared" si="30"/>
        <v>1.62</v>
      </c>
      <c r="G112" s="136">
        <f t="shared" si="30"/>
        <v>1.62</v>
      </c>
      <c r="H112" s="136">
        <f t="shared" si="30"/>
        <v>1.62</v>
      </c>
      <c r="I112" s="136">
        <f t="shared" si="30"/>
        <v>1.62</v>
      </c>
      <c r="J112" s="136">
        <f t="shared" si="30"/>
        <v>1.62</v>
      </c>
      <c r="K112" s="136">
        <f t="shared" si="30"/>
        <v>1.62</v>
      </c>
      <c r="L112" s="136">
        <f t="shared" si="30"/>
        <v>1.62</v>
      </c>
      <c r="M112" s="136">
        <f t="shared" si="30"/>
        <v>1.62</v>
      </c>
      <c r="N112" s="136">
        <f t="shared" si="30"/>
        <v>1.62</v>
      </c>
      <c r="O112" s="136">
        <f t="shared" si="30"/>
        <v>1.62</v>
      </c>
      <c r="P112" s="136">
        <f t="shared" si="30"/>
        <v>1.62</v>
      </c>
      <c r="Q112" s="136">
        <f t="shared" si="30"/>
        <v>1.62</v>
      </c>
      <c r="R112" s="136">
        <f t="shared" si="30"/>
        <v>1.62</v>
      </c>
      <c r="S112" s="136">
        <f t="shared" si="30"/>
        <v>1.62</v>
      </c>
      <c r="T112" s="136">
        <f t="shared" ref="T112:AF127" si="31">S112</f>
        <v>1.62</v>
      </c>
      <c r="U112" s="136">
        <f t="shared" si="31"/>
        <v>1.62</v>
      </c>
      <c r="V112" s="136">
        <f t="shared" si="31"/>
        <v>1.62</v>
      </c>
      <c r="W112" s="136">
        <f t="shared" si="31"/>
        <v>1.62</v>
      </c>
      <c r="X112" s="136">
        <f t="shared" si="31"/>
        <v>1.62</v>
      </c>
      <c r="Y112" s="136">
        <f t="shared" si="31"/>
        <v>1.62</v>
      </c>
      <c r="Z112" s="136">
        <f t="shared" si="31"/>
        <v>1.62</v>
      </c>
      <c r="AA112" s="136">
        <f t="shared" si="31"/>
        <v>1.62</v>
      </c>
      <c r="AB112" s="136">
        <f t="shared" si="31"/>
        <v>1.62</v>
      </c>
      <c r="AC112" s="136">
        <f t="shared" si="31"/>
        <v>1.62</v>
      </c>
      <c r="AD112" s="136">
        <f t="shared" si="31"/>
        <v>1.62</v>
      </c>
      <c r="AE112" s="136">
        <f t="shared" si="31"/>
        <v>1.62</v>
      </c>
      <c r="AF112" s="136">
        <f t="shared" si="31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29"/>
        <v>8.36</v>
      </c>
      <c r="C113" s="137">
        <v>8.36</v>
      </c>
      <c r="D113" s="136">
        <f t="shared" si="30"/>
        <v>8.36</v>
      </c>
      <c r="E113" s="136">
        <f t="shared" si="30"/>
        <v>8.36</v>
      </c>
      <c r="F113" s="136">
        <f t="shared" si="30"/>
        <v>8.36</v>
      </c>
      <c r="G113" s="136">
        <f t="shared" si="30"/>
        <v>8.36</v>
      </c>
      <c r="H113" s="136">
        <f t="shared" si="30"/>
        <v>8.36</v>
      </c>
      <c r="I113" s="136">
        <f t="shared" si="30"/>
        <v>8.36</v>
      </c>
      <c r="J113" s="136">
        <f t="shared" si="30"/>
        <v>8.36</v>
      </c>
      <c r="K113" s="136">
        <f t="shared" si="30"/>
        <v>8.36</v>
      </c>
      <c r="L113" s="136">
        <f t="shared" si="30"/>
        <v>8.36</v>
      </c>
      <c r="M113" s="136">
        <f t="shared" si="30"/>
        <v>8.36</v>
      </c>
      <c r="N113" s="136">
        <f t="shared" si="30"/>
        <v>8.36</v>
      </c>
      <c r="O113" s="136">
        <f t="shared" si="30"/>
        <v>8.36</v>
      </c>
      <c r="P113" s="136">
        <f t="shared" si="30"/>
        <v>8.36</v>
      </c>
      <c r="Q113" s="136">
        <f t="shared" si="30"/>
        <v>8.36</v>
      </c>
      <c r="R113" s="136">
        <f t="shared" si="30"/>
        <v>8.36</v>
      </c>
      <c r="S113" s="136">
        <f t="shared" si="30"/>
        <v>8.36</v>
      </c>
      <c r="T113" s="136">
        <f t="shared" si="31"/>
        <v>8.36</v>
      </c>
      <c r="U113" s="136">
        <f t="shared" si="31"/>
        <v>8.36</v>
      </c>
      <c r="V113" s="136">
        <f t="shared" si="31"/>
        <v>8.36</v>
      </c>
      <c r="W113" s="136">
        <f t="shared" si="31"/>
        <v>8.36</v>
      </c>
      <c r="X113" s="136">
        <f t="shared" si="31"/>
        <v>8.36</v>
      </c>
      <c r="Y113" s="136">
        <f t="shared" si="31"/>
        <v>8.36</v>
      </c>
      <c r="Z113" s="136">
        <f t="shared" si="31"/>
        <v>8.36</v>
      </c>
      <c r="AA113" s="136">
        <f t="shared" si="31"/>
        <v>8.36</v>
      </c>
      <c r="AB113" s="136">
        <f t="shared" si="31"/>
        <v>8.36</v>
      </c>
      <c r="AC113" s="136">
        <f t="shared" si="31"/>
        <v>8.36</v>
      </c>
      <c r="AD113" s="136">
        <f t="shared" si="31"/>
        <v>8.36</v>
      </c>
      <c r="AE113" s="136">
        <f t="shared" si="31"/>
        <v>8.36</v>
      </c>
      <c r="AF113" s="136">
        <f t="shared" si="31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29"/>
        <v>5.4</v>
      </c>
      <c r="C114" s="137">
        <v>8</v>
      </c>
      <c r="D114" s="136">
        <f t="shared" si="30"/>
        <v>8</v>
      </c>
      <c r="E114" s="136">
        <f t="shared" si="30"/>
        <v>8</v>
      </c>
      <c r="F114" s="136">
        <f t="shared" si="30"/>
        <v>8</v>
      </c>
      <c r="G114" s="136">
        <f t="shared" si="30"/>
        <v>8</v>
      </c>
      <c r="H114" s="136">
        <f t="shared" si="30"/>
        <v>8</v>
      </c>
      <c r="I114" s="136">
        <f t="shared" si="30"/>
        <v>8</v>
      </c>
      <c r="J114" s="136">
        <v>5.4</v>
      </c>
      <c r="K114" s="136">
        <f t="shared" si="30"/>
        <v>5.4</v>
      </c>
      <c r="L114" s="136">
        <f t="shared" si="30"/>
        <v>5.4</v>
      </c>
      <c r="M114" s="136">
        <f t="shared" si="30"/>
        <v>5.4</v>
      </c>
      <c r="N114" s="136">
        <f t="shared" si="30"/>
        <v>5.4</v>
      </c>
      <c r="O114" s="136">
        <f t="shared" si="30"/>
        <v>5.4</v>
      </c>
      <c r="P114" s="136">
        <f t="shared" si="30"/>
        <v>5.4</v>
      </c>
      <c r="Q114" s="136">
        <f t="shared" si="30"/>
        <v>5.4</v>
      </c>
      <c r="R114" s="136">
        <f t="shared" si="30"/>
        <v>5.4</v>
      </c>
      <c r="S114" s="136">
        <f t="shared" si="30"/>
        <v>5.4</v>
      </c>
      <c r="T114" s="136">
        <f t="shared" si="31"/>
        <v>5.4</v>
      </c>
      <c r="U114" s="136">
        <f t="shared" si="31"/>
        <v>5.4</v>
      </c>
      <c r="V114" s="136">
        <f t="shared" si="31"/>
        <v>5.4</v>
      </c>
      <c r="W114" s="136">
        <f t="shared" si="31"/>
        <v>5.4</v>
      </c>
      <c r="X114" s="136">
        <f t="shared" si="31"/>
        <v>5.4</v>
      </c>
      <c r="Y114" s="136">
        <f t="shared" si="31"/>
        <v>5.4</v>
      </c>
      <c r="Z114" s="136">
        <f t="shared" si="31"/>
        <v>5.4</v>
      </c>
      <c r="AA114" s="136">
        <f t="shared" si="31"/>
        <v>5.4</v>
      </c>
      <c r="AB114" s="136">
        <f t="shared" si="31"/>
        <v>5.4</v>
      </c>
      <c r="AC114" s="136">
        <f t="shared" si="31"/>
        <v>5.4</v>
      </c>
      <c r="AD114" s="136">
        <f t="shared" si="31"/>
        <v>5.4</v>
      </c>
      <c r="AE114" s="136">
        <f t="shared" si="31"/>
        <v>5.4</v>
      </c>
      <c r="AF114" s="136">
        <f t="shared" si="31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29"/>
        <v>6.57</v>
      </c>
      <c r="C115" s="137">
        <v>6.57</v>
      </c>
      <c r="D115" s="136">
        <f t="shared" si="30"/>
        <v>6.57</v>
      </c>
      <c r="E115" s="136">
        <f t="shared" si="30"/>
        <v>6.57</v>
      </c>
      <c r="F115" s="136">
        <f t="shared" si="30"/>
        <v>6.57</v>
      </c>
      <c r="G115" s="136">
        <f t="shared" si="30"/>
        <v>6.57</v>
      </c>
      <c r="H115" s="136">
        <f t="shared" si="30"/>
        <v>6.57</v>
      </c>
      <c r="I115" s="136">
        <f t="shared" si="30"/>
        <v>6.57</v>
      </c>
      <c r="J115" s="136">
        <f t="shared" si="30"/>
        <v>6.57</v>
      </c>
      <c r="K115" s="136">
        <f t="shared" si="30"/>
        <v>6.57</v>
      </c>
      <c r="L115" s="136">
        <f t="shared" si="30"/>
        <v>6.57</v>
      </c>
      <c r="M115" s="136">
        <f t="shared" si="30"/>
        <v>6.57</v>
      </c>
      <c r="N115" s="136">
        <f t="shared" si="30"/>
        <v>6.57</v>
      </c>
      <c r="O115" s="136">
        <f t="shared" si="30"/>
        <v>6.57</v>
      </c>
      <c r="P115" s="136">
        <f t="shared" si="30"/>
        <v>6.57</v>
      </c>
      <c r="Q115" s="136">
        <f t="shared" si="30"/>
        <v>6.57</v>
      </c>
      <c r="R115" s="136">
        <f t="shared" si="30"/>
        <v>6.57</v>
      </c>
      <c r="S115" s="136">
        <f t="shared" si="30"/>
        <v>6.57</v>
      </c>
      <c r="T115" s="136">
        <f t="shared" si="31"/>
        <v>6.57</v>
      </c>
      <c r="U115" s="136">
        <f t="shared" si="31"/>
        <v>6.57</v>
      </c>
      <c r="V115" s="136">
        <f t="shared" si="31"/>
        <v>6.57</v>
      </c>
      <c r="W115" s="136">
        <f t="shared" si="31"/>
        <v>6.57</v>
      </c>
      <c r="X115" s="136">
        <f t="shared" si="31"/>
        <v>6.57</v>
      </c>
      <c r="Y115" s="136">
        <f t="shared" si="31"/>
        <v>6.57</v>
      </c>
      <c r="Z115" s="136">
        <f t="shared" si="31"/>
        <v>6.57</v>
      </c>
      <c r="AA115" s="136">
        <f t="shared" si="31"/>
        <v>6.57</v>
      </c>
      <c r="AB115" s="136">
        <f t="shared" si="31"/>
        <v>6.57</v>
      </c>
      <c r="AC115" s="136">
        <f t="shared" si="31"/>
        <v>6.57</v>
      </c>
      <c r="AD115" s="136">
        <f t="shared" si="31"/>
        <v>6.57</v>
      </c>
      <c r="AE115" s="136">
        <f t="shared" si="31"/>
        <v>6.57</v>
      </c>
      <c r="AF115" s="136">
        <f t="shared" si="31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29"/>
        <v>3.43</v>
      </c>
      <c r="C116" s="137">
        <v>3.43</v>
      </c>
      <c r="D116" s="136">
        <f t="shared" si="30"/>
        <v>3.43</v>
      </c>
      <c r="E116" s="136">
        <f t="shared" si="30"/>
        <v>3.43</v>
      </c>
      <c r="F116" s="136">
        <f t="shared" si="30"/>
        <v>3.43</v>
      </c>
      <c r="G116" s="136">
        <f t="shared" si="30"/>
        <v>3.43</v>
      </c>
      <c r="H116" s="136">
        <f t="shared" si="30"/>
        <v>3.43</v>
      </c>
      <c r="I116" s="136">
        <f t="shared" si="30"/>
        <v>3.43</v>
      </c>
      <c r="J116" s="136">
        <f t="shared" si="30"/>
        <v>3.43</v>
      </c>
      <c r="K116" s="136">
        <f t="shared" si="30"/>
        <v>3.43</v>
      </c>
      <c r="L116" s="136">
        <f t="shared" si="30"/>
        <v>3.43</v>
      </c>
      <c r="M116" s="136">
        <f t="shared" si="30"/>
        <v>3.43</v>
      </c>
      <c r="N116" s="136">
        <f t="shared" si="30"/>
        <v>3.43</v>
      </c>
      <c r="O116" s="136">
        <f t="shared" si="30"/>
        <v>3.43</v>
      </c>
      <c r="P116" s="136">
        <f t="shared" si="30"/>
        <v>3.43</v>
      </c>
      <c r="Q116" s="136">
        <f t="shared" si="30"/>
        <v>3.43</v>
      </c>
      <c r="R116" s="136">
        <f t="shared" si="30"/>
        <v>3.43</v>
      </c>
      <c r="S116" s="136">
        <f t="shared" si="30"/>
        <v>3.43</v>
      </c>
      <c r="T116" s="136">
        <f t="shared" si="31"/>
        <v>3.43</v>
      </c>
      <c r="U116" s="136">
        <f t="shared" si="31"/>
        <v>3.43</v>
      </c>
      <c r="V116" s="136">
        <f t="shared" si="31"/>
        <v>3.43</v>
      </c>
      <c r="W116" s="136">
        <f t="shared" si="31"/>
        <v>3.43</v>
      </c>
      <c r="X116" s="136">
        <f t="shared" si="31"/>
        <v>3.43</v>
      </c>
      <c r="Y116" s="136">
        <f t="shared" si="31"/>
        <v>3.43</v>
      </c>
      <c r="Z116" s="136">
        <f t="shared" si="31"/>
        <v>3.43</v>
      </c>
      <c r="AA116" s="136">
        <f t="shared" si="31"/>
        <v>3.43</v>
      </c>
      <c r="AB116" s="136">
        <f t="shared" si="31"/>
        <v>3.43</v>
      </c>
      <c r="AC116" s="136">
        <f t="shared" si="31"/>
        <v>3.43</v>
      </c>
      <c r="AD116" s="136">
        <f t="shared" si="31"/>
        <v>3.43</v>
      </c>
      <c r="AE116" s="136">
        <f t="shared" si="31"/>
        <v>3.43</v>
      </c>
      <c r="AF116" s="136">
        <f t="shared" si="31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29"/>
        <v>2.96</v>
      </c>
      <c r="C117" s="137">
        <v>2.96</v>
      </c>
      <c r="D117" s="136">
        <f t="shared" si="30"/>
        <v>2.96</v>
      </c>
      <c r="E117" s="136">
        <f t="shared" si="30"/>
        <v>2.96</v>
      </c>
      <c r="F117" s="136">
        <f t="shared" si="30"/>
        <v>2.96</v>
      </c>
      <c r="G117" s="136">
        <f t="shared" si="30"/>
        <v>2.96</v>
      </c>
      <c r="H117" s="136">
        <f t="shared" si="30"/>
        <v>2.96</v>
      </c>
      <c r="I117" s="136">
        <f t="shared" si="30"/>
        <v>2.96</v>
      </c>
      <c r="J117" s="136">
        <f t="shared" si="30"/>
        <v>2.96</v>
      </c>
      <c r="K117" s="136">
        <f t="shared" si="30"/>
        <v>2.96</v>
      </c>
      <c r="L117" s="136">
        <f t="shared" si="30"/>
        <v>2.96</v>
      </c>
      <c r="M117" s="136">
        <f t="shared" si="30"/>
        <v>2.96</v>
      </c>
      <c r="N117" s="136">
        <f t="shared" si="30"/>
        <v>2.96</v>
      </c>
      <c r="O117" s="136">
        <f t="shared" si="30"/>
        <v>2.96</v>
      </c>
      <c r="P117" s="136">
        <f t="shared" si="30"/>
        <v>2.96</v>
      </c>
      <c r="Q117" s="136">
        <f t="shared" si="30"/>
        <v>2.96</v>
      </c>
      <c r="R117" s="136">
        <f t="shared" si="30"/>
        <v>2.96</v>
      </c>
      <c r="S117" s="136">
        <f t="shared" si="30"/>
        <v>2.96</v>
      </c>
      <c r="T117" s="136">
        <f t="shared" si="31"/>
        <v>2.96</v>
      </c>
      <c r="U117" s="136">
        <f t="shared" si="31"/>
        <v>2.96</v>
      </c>
      <c r="V117" s="136">
        <f t="shared" si="31"/>
        <v>2.96</v>
      </c>
      <c r="W117" s="136">
        <f t="shared" si="31"/>
        <v>2.96</v>
      </c>
      <c r="X117" s="136">
        <f t="shared" si="31"/>
        <v>2.96</v>
      </c>
      <c r="Y117" s="136">
        <f t="shared" si="31"/>
        <v>2.96</v>
      </c>
      <c r="Z117" s="136">
        <f t="shared" si="31"/>
        <v>2.96</v>
      </c>
      <c r="AA117" s="136">
        <f t="shared" si="31"/>
        <v>2.96</v>
      </c>
      <c r="AB117" s="136">
        <f t="shared" si="31"/>
        <v>2.96</v>
      </c>
      <c r="AC117" s="136">
        <f t="shared" si="31"/>
        <v>2.96</v>
      </c>
      <c r="AD117" s="136">
        <f t="shared" si="31"/>
        <v>2.96</v>
      </c>
      <c r="AE117" s="136">
        <f t="shared" si="31"/>
        <v>2.96</v>
      </c>
      <c r="AF117" s="136">
        <f t="shared" si="31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29"/>
        <v>8</v>
      </c>
      <c r="C118" s="137">
        <v>8</v>
      </c>
      <c r="D118" s="136">
        <f t="shared" si="30"/>
        <v>8</v>
      </c>
      <c r="E118" s="136">
        <f t="shared" si="30"/>
        <v>8</v>
      </c>
      <c r="F118" s="136">
        <f t="shared" si="30"/>
        <v>8</v>
      </c>
      <c r="G118" s="136">
        <f t="shared" si="30"/>
        <v>8</v>
      </c>
      <c r="H118" s="136">
        <f t="shared" si="30"/>
        <v>8</v>
      </c>
      <c r="I118" s="136">
        <f t="shared" si="30"/>
        <v>8</v>
      </c>
      <c r="J118" s="136">
        <f t="shared" si="30"/>
        <v>8</v>
      </c>
      <c r="K118" s="136">
        <f t="shared" si="30"/>
        <v>8</v>
      </c>
      <c r="L118" s="136">
        <f t="shared" si="30"/>
        <v>8</v>
      </c>
      <c r="M118" s="136">
        <f t="shared" si="30"/>
        <v>8</v>
      </c>
      <c r="N118" s="136">
        <f t="shared" si="30"/>
        <v>8</v>
      </c>
      <c r="O118" s="136">
        <f t="shared" si="30"/>
        <v>8</v>
      </c>
      <c r="P118" s="136">
        <f t="shared" si="30"/>
        <v>8</v>
      </c>
      <c r="Q118" s="136">
        <f t="shared" si="30"/>
        <v>8</v>
      </c>
      <c r="R118" s="136">
        <f t="shared" si="30"/>
        <v>8</v>
      </c>
      <c r="S118" s="136">
        <f t="shared" si="30"/>
        <v>8</v>
      </c>
      <c r="T118" s="136">
        <f t="shared" si="31"/>
        <v>8</v>
      </c>
      <c r="U118" s="136">
        <f t="shared" si="31"/>
        <v>8</v>
      </c>
      <c r="V118" s="136">
        <f t="shared" si="31"/>
        <v>8</v>
      </c>
      <c r="W118" s="136">
        <f t="shared" si="31"/>
        <v>8</v>
      </c>
      <c r="X118" s="136">
        <f t="shared" si="31"/>
        <v>8</v>
      </c>
      <c r="Y118" s="136">
        <f t="shared" si="31"/>
        <v>8</v>
      </c>
      <c r="Z118" s="136">
        <f t="shared" si="31"/>
        <v>8</v>
      </c>
      <c r="AA118" s="136">
        <f t="shared" si="31"/>
        <v>8</v>
      </c>
      <c r="AB118" s="136">
        <f t="shared" si="31"/>
        <v>8</v>
      </c>
      <c r="AC118" s="136">
        <f t="shared" si="31"/>
        <v>8</v>
      </c>
      <c r="AD118" s="136">
        <f t="shared" si="31"/>
        <v>8</v>
      </c>
      <c r="AE118" s="136">
        <f t="shared" si="31"/>
        <v>8</v>
      </c>
      <c r="AF118" s="136">
        <f t="shared" si="31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29"/>
        <v>7</v>
      </c>
      <c r="C119" s="137">
        <v>7</v>
      </c>
      <c r="D119" s="136">
        <f>C119</f>
        <v>7</v>
      </c>
      <c r="E119" s="136">
        <f t="shared" si="30"/>
        <v>7</v>
      </c>
      <c r="F119" s="136">
        <f t="shared" si="30"/>
        <v>7</v>
      </c>
      <c r="G119" s="136">
        <f t="shared" si="30"/>
        <v>7</v>
      </c>
      <c r="H119" s="136">
        <f t="shared" si="30"/>
        <v>7</v>
      </c>
      <c r="I119" s="136">
        <f t="shared" si="30"/>
        <v>7</v>
      </c>
      <c r="J119" s="136">
        <f t="shared" si="30"/>
        <v>7</v>
      </c>
      <c r="K119" s="136">
        <f t="shared" si="30"/>
        <v>7</v>
      </c>
      <c r="L119" s="136">
        <f t="shared" si="30"/>
        <v>7</v>
      </c>
      <c r="M119" s="136">
        <f t="shared" si="30"/>
        <v>7</v>
      </c>
      <c r="N119" s="136">
        <f t="shared" si="30"/>
        <v>7</v>
      </c>
      <c r="O119" s="136">
        <f t="shared" si="30"/>
        <v>7</v>
      </c>
      <c r="P119" s="136">
        <f t="shared" si="30"/>
        <v>7</v>
      </c>
      <c r="Q119" s="136">
        <f t="shared" si="30"/>
        <v>7</v>
      </c>
      <c r="R119" s="136">
        <f t="shared" si="30"/>
        <v>7</v>
      </c>
      <c r="S119" s="136">
        <f t="shared" si="30"/>
        <v>7</v>
      </c>
      <c r="T119" s="136">
        <f t="shared" si="31"/>
        <v>7</v>
      </c>
      <c r="U119" s="136">
        <f t="shared" si="31"/>
        <v>7</v>
      </c>
      <c r="V119" s="136">
        <f t="shared" si="31"/>
        <v>7</v>
      </c>
      <c r="W119" s="136">
        <f t="shared" si="31"/>
        <v>7</v>
      </c>
      <c r="X119" s="136">
        <f t="shared" si="31"/>
        <v>7</v>
      </c>
      <c r="Y119" s="136">
        <f t="shared" si="31"/>
        <v>7</v>
      </c>
      <c r="Z119" s="136">
        <f t="shared" si="31"/>
        <v>7</v>
      </c>
      <c r="AA119" s="136">
        <f t="shared" si="31"/>
        <v>7</v>
      </c>
      <c r="AB119" s="136">
        <f t="shared" si="31"/>
        <v>7</v>
      </c>
      <c r="AC119" s="136">
        <f t="shared" si="31"/>
        <v>7</v>
      </c>
      <c r="AD119" s="136">
        <f t="shared" si="31"/>
        <v>7</v>
      </c>
      <c r="AE119" s="136">
        <f t="shared" si="31"/>
        <v>7</v>
      </c>
      <c r="AF119" s="136">
        <f t="shared" si="31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29"/>
        <v>3.47</v>
      </c>
      <c r="C120" s="137">
        <v>3.47</v>
      </c>
      <c r="D120" s="136">
        <f t="shared" ref="D120:S129" si="32">C120</f>
        <v>3.47</v>
      </c>
      <c r="E120" s="136">
        <f t="shared" si="32"/>
        <v>3.47</v>
      </c>
      <c r="F120" s="136">
        <f t="shared" si="32"/>
        <v>3.47</v>
      </c>
      <c r="G120" s="136">
        <f t="shared" si="32"/>
        <v>3.47</v>
      </c>
      <c r="H120" s="136">
        <f t="shared" si="32"/>
        <v>3.47</v>
      </c>
      <c r="I120" s="136">
        <f t="shared" si="32"/>
        <v>3.47</v>
      </c>
      <c r="J120" s="136">
        <f t="shared" si="32"/>
        <v>3.47</v>
      </c>
      <c r="K120" s="136">
        <f t="shared" si="32"/>
        <v>3.47</v>
      </c>
      <c r="L120" s="136">
        <f t="shared" si="32"/>
        <v>3.47</v>
      </c>
      <c r="M120" s="136">
        <f t="shared" si="32"/>
        <v>3.47</v>
      </c>
      <c r="N120" s="136">
        <f t="shared" si="32"/>
        <v>3.47</v>
      </c>
      <c r="O120" s="136">
        <f t="shared" si="32"/>
        <v>3.47</v>
      </c>
      <c r="P120" s="136">
        <f t="shared" si="32"/>
        <v>3.47</v>
      </c>
      <c r="Q120" s="136">
        <f t="shared" si="32"/>
        <v>3.47</v>
      </c>
      <c r="R120" s="136">
        <f t="shared" si="32"/>
        <v>3.47</v>
      </c>
      <c r="S120" s="136">
        <f t="shared" si="32"/>
        <v>3.47</v>
      </c>
      <c r="T120" s="136">
        <f t="shared" si="31"/>
        <v>3.47</v>
      </c>
      <c r="U120" s="136">
        <f t="shared" si="31"/>
        <v>3.47</v>
      </c>
      <c r="V120" s="136">
        <f t="shared" si="31"/>
        <v>3.47</v>
      </c>
      <c r="W120" s="136">
        <f t="shared" si="31"/>
        <v>3.47</v>
      </c>
      <c r="X120" s="136">
        <f t="shared" si="31"/>
        <v>3.47</v>
      </c>
      <c r="Y120" s="136">
        <f t="shared" si="31"/>
        <v>3.47</v>
      </c>
      <c r="Z120" s="136">
        <f t="shared" si="31"/>
        <v>3.47</v>
      </c>
      <c r="AA120" s="136">
        <f t="shared" si="31"/>
        <v>3.47</v>
      </c>
      <c r="AB120" s="136">
        <f t="shared" si="31"/>
        <v>3.47</v>
      </c>
      <c r="AC120" s="136">
        <f t="shared" si="31"/>
        <v>3.47</v>
      </c>
      <c r="AD120" s="136">
        <f t="shared" si="31"/>
        <v>3.47</v>
      </c>
      <c r="AE120" s="136">
        <f t="shared" si="31"/>
        <v>3.47</v>
      </c>
      <c r="AF120" s="136">
        <f t="shared" si="31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29"/>
        <v>2.1</v>
      </c>
      <c r="C121" s="137">
        <v>2.1</v>
      </c>
      <c r="D121" s="136">
        <f t="shared" si="32"/>
        <v>2.1</v>
      </c>
      <c r="E121" s="136">
        <f t="shared" si="32"/>
        <v>2.1</v>
      </c>
      <c r="F121" s="136">
        <f t="shared" si="32"/>
        <v>2.1</v>
      </c>
      <c r="G121" s="136">
        <f t="shared" si="32"/>
        <v>2.1</v>
      </c>
      <c r="H121" s="136">
        <f t="shared" si="32"/>
        <v>2.1</v>
      </c>
      <c r="I121" s="136">
        <f t="shared" si="32"/>
        <v>2.1</v>
      </c>
      <c r="J121" s="136">
        <f t="shared" si="32"/>
        <v>2.1</v>
      </c>
      <c r="K121" s="136">
        <f t="shared" si="32"/>
        <v>2.1</v>
      </c>
      <c r="L121" s="136">
        <f t="shared" si="32"/>
        <v>2.1</v>
      </c>
      <c r="M121" s="136">
        <f t="shared" si="32"/>
        <v>2.1</v>
      </c>
      <c r="N121" s="136">
        <f t="shared" si="32"/>
        <v>2.1</v>
      </c>
      <c r="O121" s="136">
        <f t="shared" si="32"/>
        <v>2.1</v>
      </c>
      <c r="P121" s="136">
        <f t="shared" si="32"/>
        <v>2.1</v>
      </c>
      <c r="Q121" s="136">
        <f t="shared" si="32"/>
        <v>2.1</v>
      </c>
      <c r="R121" s="136">
        <f t="shared" si="32"/>
        <v>2.1</v>
      </c>
      <c r="S121" s="136">
        <f t="shared" si="32"/>
        <v>2.1</v>
      </c>
      <c r="T121" s="136">
        <f t="shared" si="31"/>
        <v>2.1</v>
      </c>
      <c r="U121" s="136">
        <f t="shared" si="31"/>
        <v>2.1</v>
      </c>
      <c r="V121" s="136">
        <f t="shared" si="31"/>
        <v>2.1</v>
      </c>
      <c r="W121" s="136">
        <f t="shared" si="31"/>
        <v>2.1</v>
      </c>
      <c r="X121" s="136">
        <f t="shared" si="31"/>
        <v>2.1</v>
      </c>
      <c r="Y121" s="136">
        <f t="shared" si="31"/>
        <v>2.1</v>
      </c>
      <c r="Z121" s="136">
        <f t="shared" si="31"/>
        <v>2.1</v>
      </c>
      <c r="AA121" s="136">
        <f t="shared" si="31"/>
        <v>2.1</v>
      </c>
      <c r="AB121" s="136">
        <f t="shared" si="31"/>
        <v>2.1</v>
      </c>
      <c r="AC121" s="136">
        <f t="shared" si="31"/>
        <v>2.1</v>
      </c>
      <c r="AD121" s="136">
        <f t="shared" si="31"/>
        <v>2.1</v>
      </c>
      <c r="AE121" s="136">
        <f t="shared" si="31"/>
        <v>2.1</v>
      </c>
      <c r="AF121" s="136">
        <f t="shared" si="31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29"/>
        <v>9.3000000000000007</v>
      </c>
      <c r="C122" s="137">
        <v>9.3000000000000007</v>
      </c>
      <c r="D122" s="136">
        <f t="shared" si="32"/>
        <v>9.3000000000000007</v>
      </c>
      <c r="E122" s="136">
        <f t="shared" si="32"/>
        <v>9.3000000000000007</v>
      </c>
      <c r="F122" s="136">
        <f t="shared" si="32"/>
        <v>9.3000000000000007</v>
      </c>
      <c r="G122" s="136">
        <f t="shared" si="32"/>
        <v>9.3000000000000007</v>
      </c>
      <c r="H122" s="136">
        <f t="shared" si="32"/>
        <v>9.3000000000000007</v>
      </c>
      <c r="I122" s="136">
        <f t="shared" si="32"/>
        <v>9.3000000000000007</v>
      </c>
      <c r="J122" s="136">
        <f t="shared" si="32"/>
        <v>9.3000000000000007</v>
      </c>
      <c r="K122" s="136">
        <f t="shared" si="32"/>
        <v>9.3000000000000007</v>
      </c>
      <c r="L122" s="136">
        <f t="shared" si="32"/>
        <v>9.3000000000000007</v>
      </c>
      <c r="M122" s="136">
        <f t="shared" si="32"/>
        <v>9.3000000000000007</v>
      </c>
      <c r="N122" s="136">
        <f t="shared" si="32"/>
        <v>9.3000000000000007</v>
      </c>
      <c r="O122" s="136">
        <f t="shared" si="32"/>
        <v>9.3000000000000007</v>
      </c>
      <c r="P122" s="136">
        <f t="shared" si="32"/>
        <v>9.3000000000000007</v>
      </c>
      <c r="Q122" s="136">
        <f t="shared" si="32"/>
        <v>9.3000000000000007</v>
      </c>
      <c r="R122" s="136">
        <f t="shared" si="32"/>
        <v>9.3000000000000007</v>
      </c>
      <c r="S122" s="136">
        <f t="shared" si="32"/>
        <v>9.3000000000000007</v>
      </c>
      <c r="T122" s="136">
        <f t="shared" si="31"/>
        <v>9.3000000000000007</v>
      </c>
      <c r="U122" s="136">
        <f t="shared" si="31"/>
        <v>9.3000000000000007</v>
      </c>
      <c r="V122" s="136">
        <f t="shared" si="31"/>
        <v>9.3000000000000007</v>
      </c>
      <c r="W122" s="136">
        <f t="shared" si="31"/>
        <v>9.3000000000000007</v>
      </c>
      <c r="X122" s="136">
        <f t="shared" si="31"/>
        <v>9.3000000000000007</v>
      </c>
      <c r="Y122" s="136">
        <f t="shared" si="31"/>
        <v>9.3000000000000007</v>
      </c>
      <c r="Z122" s="136">
        <f t="shared" si="31"/>
        <v>9.3000000000000007</v>
      </c>
      <c r="AA122" s="136">
        <f t="shared" si="31"/>
        <v>9.3000000000000007</v>
      </c>
      <c r="AB122" s="136">
        <f t="shared" si="31"/>
        <v>9.3000000000000007</v>
      </c>
      <c r="AC122" s="136">
        <f t="shared" si="31"/>
        <v>9.3000000000000007</v>
      </c>
      <c r="AD122" s="136">
        <f t="shared" si="31"/>
        <v>9.3000000000000007</v>
      </c>
      <c r="AE122" s="136">
        <f t="shared" si="31"/>
        <v>9.3000000000000007</v>
      </c>
      <c r="AF122" s="136">
        <f t="shared" si="31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29"/>
        <v>0</v>
      </c>
      <c r="C124" s="137">
        <v>0</v>
      </c>
      <c r="D124" s="136">
        <f t="shared" si="32"/>
        <v>0</v>
      </c>
      <c r="E124" s="136">
        <f t="shared" si="32"/>
        <v>0</v>
      </c>
      <c r="F124" s="136">
        <f t="shared" si="32"/>
        <v>0</v>
      </c>
      <c r="G124" s="136">
        <f t="shared" si="32"/>
        <v>0</v>
      </c>
      <c r="H124" s="136">
        <f t="shared" si="32"/>
        <v>0</v>
      </c>
      <c r="I124" s="136">
        <f t="shared" si="32"/>
        <v>0</v>
      </c>
      <c r="J124" s="136">
        <f t="shared" si="32"/>
        <v>0</v>
      </c>
      <c r="K124" s="136">
        <f t="shared" si="32"/>
        <v>0</v>
      </c>
      <c r="L124" s="136">
        <f t="shared" si="32"/>
        <v>0</v>
      </c>
      <c r="M124" s="136">
        <f t="shared" si="32"/>
        <v>0</v>
      </c>
      <c r="N124" s="136">
        <f t="shared" si="32"/>
        <v>0</v>
      </c>
      <c r="O124" s="136">
        <f t="shared" si="32"/>
        <v>0</v>
      </c>
      <c r="P124" s="136">
        <f t="shared" si="32"/>
        <v>0</v>
      </c>
      <c r="Q124" s="136">
        <f t="shared" si="32"/>
        <v>0</v>
      </c>
      <c r="R124" s="136">
        <f t="shared" si="32"/>
        <v>0</v>
      </c>
      <c r="S124" s="136">
        <f t="shared" si="32"/>
        <v>0</v>
      </c>
      <c r="T124" s="136">
        <f t="shared" si="31"/>
        <v>0</v>
      </c>
      <c r="U124" s="136">
        <f t="shared" si="31"/>
        <v>0</v>
      </c>
      <c r="V124" s="136">
        <f t="shared" si="31"/>
        <v>0</v>
      </c>
      <c r="W124" s="136">
        <f t="shared" si="31"/>
        <v>0</v>
      </c>
      <c r="X124" s="136">
        <f t="shared" si="31"/>
        <v>0</v>
      </c>
      <c r="Y124" s="136">
        <f t="shared" si="31"/>
        <v>0</v>
      </c>
      <c r="Z124" s="136">
        <f t="shared" si="31"/>
        <v>0</v>
      </c>
      <c r="AA124" s="136">
        <f t="shared" si="31"/>
        <v>0</v>
      </c>
      <c r="AB124" s="136">
        <f t="shared" si="31"/>
        <v>0</v>
      </c>
      <c r="AC124" s="136">
        <f t="shared" si="31"/>
        <v>0</v>
      </c>
      <c r="AD124" s="136">
        <f t="shared" si="31"/>
        <v>0</v>
      </c>
      <c r="AE124" s="136">
        <f t="shared" si="31"/>
        <v>0</v>
      </c>
      <c r="AF124" s="136">
        <f t="shared" si="31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29"/>
        <v>5</v>
      </c>
      <c r="C125" s="137">
        <v>5</v>
      </c>
      <c r="D125" s="136">
        <f t="shared" si="32"/>
        <v>5</v>
      </c>
      <c r="E125" s="136">
        <f t="shared" si="32"/>
        <v>5</v>
      </c>
      <c r="F125" s="136">
        <f t="shared" si="32"/>
        <v>5</v>
      </c>
      <c r="G125" s="136">
        <f t="shared" si="32"/>
        <v>5</v>
      </c>
      <c r="H125" s="136">
        <f t="shared" si="32"/>
        <v>5</v>
      </c>
      <c r="I125" s="136">
        <f t="shared" si="32"/>
        <v>5</v>
      </c>
      <c r="J125" s="136">
        <f t="shared" si="32"/>
        <v>5</v>
      </c>
      <c r="K125" s="136">
        <f t="shared" si="32"/>
        <v>5</v>
      </c>
      <c r="L125" s="136">
        <f t="shared" si="32"/>
        <v>5</v>
      </c>
      <c r="M125" s="136">
        <f t="shared" si="32"/>
        <v>5</v>
      </c>
      <c r="N125" s="136">
        <f t="shared" si="32"/>
        <v>5</v>
      </c>
      <c r="O125" s="136">
        <f t="shared" si="32"/>
        <v>5</v>
      </c>
      <c r="P125" s="136">
        <f t="shared" si="32"/>
        <v>5</v>
      </c>
      <c r="Q125" s="136">
        <f t="shared" si="32"/>
        <v>5</v>
      </c>
      <c r="R125" s="136">
        <f t="shared" si="32"/>
        <v>5</v>
      </c>
      <c r="S125" s="136">
        <f t="shared" si="32"/>
        <v>5</v>
      </c>
      <c r="T125" s="136">
        <f t="shared" si="31"/>
        <v>5</v>
      </c>
      <c r="U125" s="136">
        <f t="shared" si="31"/>
        <v>5</v>
      </c>
      <c r="V125" s="136">
        <f t="shared" si="31"/>
        <v>5</v>
      </c>
      <c r="W125" s="136">
        <f t="shared" si="31"/>
        <v>5</v>
      </c>
      <c r="X125" s="136">
        <f t="shared" si="31"/>
        <v>5</v>
      </c>
      <c r="Y125" s="136">
        <f t="shared" si="31"/>
        <v>5</v>
      </c>
      <c r="Z125" s="136">
        <f t="shared" si="31"/>
        <v>5</v>
      </c>
      <c r="AA125" s="136">
        <f t="shared" si="31"/>
        <v>5</v>
      </c>
      <c r="AB125" s="136">
        <f t="shared" si="31"/>
        <v>5</v>
      </c>
      <c r="AC125" s="136">
        <f t="shared" si="31"/>
        <v>5</v>
      </c>
      <c r="AD125" s="136">
        <f t="shared" si="31"/>
        <v>5</v>
      </c>
      <c r="AE125" s="136">
        <f t="shared" si="31"/>
        <v>5</v>
      </c>
      <c r="AF125" s="136">
        <f t="shared" si="31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29"/>
        <v>1</v>
      </c>
      <c r="C126" s="137">
        <v>1</v>
      </c>
      <c r="D126" s="136">
        <f t="shared" si="32"/>
        <v>1</v>
      </c>
      <c r="E126" s="136">
        <f t="shared" si="32"/>
        <v>1</v>
      </c>
      <c r="F126" s="136">
        <f t="shared" si="32"/>
        <v>1</v>
      </c>
      <c r="G126" s="136">
        <f t="shared" si="32"/>
        <v>1</v>
      </c>
      <c r="H126" s="136">
        <f t="shared" si="32"/>
        <v>1</v>
      </c>
      <c r="I126" s="136">
        <f t="shared" si="32"/>
        <v>1</v>
      </c>
      <c r="J126" s="136">
        <f t="shared" si="32"/>
        <v>1</v>
      </c>
      <c r="K126" s="136">
        <f t="shared" si="32"/>
        <v>1</v>
      </c>
      <c r="L126" s="136">
        <f t="shared" si="32"/>
        <v>1</v>
      </c>
      <c r="M126" s="136">
        <f t="shared" si="32"/>
        <v>1</v>
      </c>
      <c r="N126" s="136">
        <f t="shared" si="32"/>
        <v>1</v>
      </c>
      <c r="O126" s="136">
        <f t="shared" si="32"/>
        <v>1</v>
      </c>
      <c r="P126" s="136">
        <f t="shared" si="32"/>
        <v>1</v>
      </c>
      <c r="Q126" s="136">
        <f t="shared" si="32"/>
        <v>1</v>
      </c>
      <c r="R126" s="136">
        <f t="shared" si="32"/>
        <v>1</v>
      </c>
      <c r="S126" s="136">
        <f t="shared" si="32"/>
        <v>1</v>
      </c>
      <c r="T126" s="136">
        <f t="shared" si="31"/>
        <v>1</v>
      </c>
      <c r="U126" s="136">
        <f t="shared" si="31"/>
        <v>1</v>
      </c>
      <c r="V126" s="136">
        <f t="shared" si="31"/>
        <v>1</v>
      </c>
      <c r="W126" s="136">
        <f t="shared" si="31"/>
        <v>1</v>
      </c>
      <c r="X126" s="136">
        <f t="shared" si="31"/>
        <v>1</v>
      </c>
      <c r="Y126" s="136">
        <f t="shared" si="31"/>
        <v>1</v>
      </c>
      <c r="Z126" s="136">
        <f t="shared" si="31"/>
        <v>1</v>
      </c>
      <c r="AA126" s="136">
        <f t="shared" si="31"/>
        <v>1</v>
      </c>
      <c r="AB126" s="136">
        <f t="shared" si="31"/>
        <v>1</v>
      </c>
      <c r="AC126" s="136">
        <f t="shared" si="31"/>
        <v>1</v>
      </c>
      <c r="AD126" s="136">
        <f t="shared" si="31"/>
        <v>1</v>
      </c>
      <c r="AE126" s="136">
        <f t="shared" si="31"/>
        <v>1</v>
      </c>
      <c r="AF126" s="136">
        <f t="shared" si="31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29"/>
        <v>1.58</v>
      </c>
      <c r="C127" s="137">
        <v>1.58</v>
      </c>
      <c r="D127" s="136">
        <f t="shared" si="32"/>
        <v>1.58</v>
      </c>
      <c r="E127" s="136">
        <f t="shared" si="32"/>
        <v>1.58</v>
      </c>
      <c r="F127" s="136">
        <f t="shared" si="32"/>
        <v>1.58</v>
      </c>
      <c r="G127" s="136">
        <f t="shared" si="32"/>
        <v>1.58</v>
      </c>
      <c r="H127" s="136">
        <f t="shared" si="32"/>
        <v>1.58</v>
      </c>
      <c r="I127" s="136">
        <f t="shared" si="32"/>
        <v>1.58</v>
      </c>
      <c r="J127" s="136">
        <f t="shared" si="32"/>
        <v>1.58</v>
      </c>
      <c r="K127" s="136">
        <f t="shared" si="32"/>
        <v>1.58</v>
      </c>
      <c r="L127" s="136">
        <f t="shared" si="32"/>
        <v>1.58</v>
      </c>
      <c r="M127" s="136">
        <f t="shared" si="32"/>
        <v>1.58</v>
      </c>
      <c r="N127" s="136">
        <f t="shared" si="32"/>
        <v>1.58</v>
      </c>
      <c r="O127" s="136">
        <f t="shared" si="32"/>
        <v>1.58</v>
      </c>
      <c r="P127" s="136">
        <f t="shared" si="32"/>
        <v>1.58</v>
      </c>
      <c r="Q127" s="136">
        <f t="shared" si="32"/>
        <v>1.58</v>
      </c>
      <c r="R127" s="136">
        <f t="shared" si="32"/>
        <v>1.58</v>
      </c>
      <c r="S127" s="136">
        <f t="shared" si="32"/>
        <v>1.58</v>
      </c>
      <c r="T127" s="136">
        <f t="shared" si="31"/>
        <v>1.58</v>
      </c>
      <c r="U127" s="136">
        <f t="shared" si="31"/>
        <v>1.58</v>
      </c>
      <c r="V127" s="136">
        <f t="shared" si="31"/>
        <v>1.58</v>
      </c>
      <c r="W127" s="136">
        <f t="shared" si="31"/>
        <v>1.58</v>
      </c>
      <c r="X127" s="136">
        <f t="shared" si="31"/>
        <v>1.58</v>
      </c>
      <c r="Y127" s="136">
        <f t="shared" si="31"/>
        <v>1.58</v>
      </c>
      <c r="Z127" s="136">
        <f t="shared" si="31"/>
        <v>1.58</v>
      </c>
      <c r="AA127" s="136">
        <f t="shared" si="31"/>
        <v>1.58</v>
      </c>
      <c r="AB127" s="136">
        <f t="shared" si="31"/>
        <v>1.58</v>
      </c>
      <c r="AC127" s="136">
        <f t="shared" si="31"/>
        <v>1.58</v>
      </c>
      <c r="AD127" s="136">
        <f t="shared" si="31"/>
        <v>1.58</v>
      </c>
      <c r="AE127" s="136">
        <f t="shared" si="31"/>
        <v>1.58</v>
      </c>
      <c r="AF127" s="136">
        <f t="shared" si="31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29"/>
        <v>1.46</v>
      </c>
      <c r="C128" s="137">
        <v>1.46</v>
      </c>
      <c r="D128" s="136">
        <f t="shared" si="32"/>
        <v>1.46</v>
      </c>
      <c r="E128" s="136">
        <f t="shared" si="32"/>
        <v>1.46</v>
      </c>
      <c r="F128" s="136">
        <f t="shared" si="32"/>
        <v>1.46</v>
      </c>
      <c r="G128" s="136">
        <f t="shared" si="32"/>
        <v>1.46</v>
      </c>
      <c r="H128" s="136">
        <f t="shared" si="32"/>
        <v>1.46</v>
      </c>
      <c r="I128" s="136">
        <f t="shared" si="32"/>
        <v>1.46</v>
      </c>
      <c r="J128" s="136">
        <f t="shared" si="32"/>
        <v>1.46</v>
      </c>
      <c r="K128" s="136">
        <f t="shared" si="32"/>
        <v>1.46</v>
      </c>
      <c r="L128" s="136">
        <f t="shared" si="32"/>
        <v>1.46</v>
      </c>
      <c r="M128" s="136">
        <f t="shared" si="32"/>
        <v>1.46</v>
      </c>
      <c r="N128" s="136">
        <f t="shared" si="32"/>
        <v>1.46</v>
      </c>
      <c r="O128" s="136">
        <f t="shared" si="32"/>
        <v>1.46</v>
      </c>
      <c r="P128" s="136">
        <f t="shared" si="32"/>
        <v>1.46</v>
      </c>
      <c r="Q128" s="136">
        <f t="shared" si="32"/>
        <v>1.46</v>
      </c>
      <c r="R128" s="136">
        <f t="shared" si="32"/>
        <v>1.46</v>
      </c>
      <c r="S128" s="136">
        <f t="shared" si="32"/>
        <v>1.46</v>
      </c>
      <c r="T128" s="136">
        <f t="shared" ref="T128:AF129" si="33">S128</f>
        <v>1.46</v>
      </c>
      <c r="U128" s="136">
        <f t="shared" si="33"/>
        <v>1.46</v>
      </c>
      <c r="V128" s="136">
        <f t="shared" si="33"/>
        <v>1.46</v>
      </c>
      <c r="W128" s="136">
        <f t="shared" si="33"/>
        <v>1.46</v>
      </c>
      <c r="X128" s="136">
        <f t="shared" si="33"/>
        <v>1.46</v>
      </c>
      <c r="Y128" s="136">
        <f t="shared" si="33"/>
        <v>1.46</v>
      </c>
      <c r="Z128" s="136">
        <f t="shared" si="33"/>
        <v>1.46</v>
      </c>
      <c r="AA128" s="136">
        <f t="shared" si="33"/>
        <v>1.46</v>
      </c>
      <c r="AB128" s="136">
        <f t="shared" si="33"/>
        <v>1.46</v>
      </c>
      <c r="AC128" s="136">
        <f t="shared" si="33"/>
        <v>1.46</v>
      </c>
      <c r="AD128" s="136">
        <f t="shared" si="33"/>
        <v>1.46</v>
      </c>
      <c r="AE128" s="136">
        <f t="shared" si="33"/>
        <v>1.46</v>
      </c>
      <c r="AF128" s="136">
        <f t="shared" si="33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29"/>
        <v>1.48</v>
      </c>
      <c r="C129" s="137">
        <v>1.48</v>
      </c>
      <c r="D129" s="136">
        <f t="shared" si="32"/>
        <v>1.48</v>
      </c>
      <c r="E129" s="136">
        <f t="shared" si="32"/>
        <v>1.48</v>
      </c>
      <c r="F129" s="136">
        <f t="shared" si="32"/>
        <v>1.48</v>
      </c>
      <c r="G129" s="136">
        <f t="shared" si="32"/>
        <v>1.48</v>
      </c>
      <c r="H129" s="136">
        <f t="shared" si="32"/>
        <v>1.48</v>
      </c>
      <c r="I129" s="136">
        <f t="shared" si="32"/>
        <v>1.48</v>
      </c>
      <c r="J129" s="136">
        <f t="shared" si="32"/>
        <v>1.48</v>
      </c>
      <c r="K129" s="136">
        <f t="shared" si="32"/>
        <v>1.48</v>
      </c>
      <c r="L129" s="136">
        <f t="shared" si="32"/>
        <v>1.48</v>
      </c>
      <c r="M129" s="136">
        <f t="shared" si="32"/>
        <v>1.48</v>
      </c>
      <c r="N129" s="136">
        <f t="shared" si="32"/>
        <v>1.48</v>
      </c>
      <c r="O129" s="136">
        <f t="shared" si="32"/>
        <v>1.48</v>
      </c>
      <c r="P129" s="136">
        <f t="shared" si="32"/>
        <v>1.48</v>
      </c>
      <c r="Q129" s="136">
        <f t="shared" si="32"/>
        <v>1.48</v>
      </c>
      <c r="R129" s="136">
        <f t="shared" si="32"/>
        <v>1.48</v>
      </c>
      <c r="S129" s="136">
        <f t="shared" si="32"/>
        <v>1.48</v>
      </c>
      <c r="T129" s="136">
        <f t="shared" si="33"/>
        <v>1.48</v>
      </c>
      <c r="U129" s="136">
        <f t="shared" si="33"/>
        <v>1.48</v>
      </c>
      <c r="V129" s="136">
        <f t="shared" si="33"/>
        <v>1.48</v>
      </c>
      <c r="W129" s="136">
        <f t="shared" si="33"/>
        <v>1.48</v>
      </c>
      <c r="X129" s="136">
        <f t="shared" si="33"/>
        <v>1.48</v>
      </c>
      <c r="Y129" s="136">
        <f t="shared" si="33"/>
        <v>1.48</v>
      </c>
      <c r="Z129" s="136">
        <f t="shared" si="33"/>
        <v>1.48</v>
      </c>
      <c r="AA129" s="136">
        <f t="shared" si="33"/>
        <v>1.48</v>
      </c>
      <c r="AB129" s="136">
        <f t="shared" si="33"/>
        <v>1.48</v>
      </c>
      <c r="AC129" s="136">
        <f t="shared" si="33"/>
        <v>1.48</v>
      </c>
      <c r="AD129" s="136">
        <f t="shared" si="33"/>
        <v>1.48</v>
      </c>
      <c r="AE129" s="136">
        <f t="shared" si="33"/>
        <v>1.48</v>
      </c>
      <c r="AF129" s="136">
        <f t="shared" si="33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34">AF131</f>
        <v>2.2000000000000002</v>
      </c>
      <c r="C131" s="137">
        <v>2.2000000000000002</v>
      </c>
      <c r="D131" s="136">
        <f t="shared" ref="D131:S138" si="35">C131</f>
        <v>2.2000000000000002</v>
      </c>
      <c r="E131" s="136">
        <f t="shared" si="35"/>
        <v>2.2000000000000002</v>
      </c>
      <c r="F131" s="136">
        <f t="shared" si="35"/>
        <v>2.2000000000000002</v>
      </c>
      <c r="G131" s="136">
        <f t="shared" si="35"/>
        <v>2.2000000000000002</v>
      </c>
      <c r="H131" s="136">
        <f t="shared" si="35"/>
        <v>2.2000000000000002</v>
      </c>
      <c r="I131" s="136">
        <f t="shared" si="35"/>
        <v>2.2000000000000002</v>
      </c>
      <c r="J131" s="136">
        <f t="shared" si="35"/>
        <v>2.2000000000000002</v>
      </c>
      <c r="K131" s="136">
        <f t="shared" si="35"/>
        <v>2.2000000000000002</v>
      </c>
      <c r="L131" s="136">
        <f t="shared" si="35"/>
        <v>2.2000000000000002</v>
      </c>
      <c r="M131" s="136">
        <f t="shared" si="35"/>
        <v>2.2000000000000002</v>
      </c>
      <c r="N131" s="136">
        <f t="shared" si="35"/>
        <v>2.2000000000000002</v>
      </c>
      <c r="O131" s="136">
        <f t="shared" si="35"/>
        <v>2.2000000000000002</v>
      </c>
      <c r="P131" s="136">
        <f t="shared" si="35"/>
        <v>2.2000000000000002</v>
      </c>
      <c r="Q131" s="136">
        <f t="shared" si="35"/>
        <v>2.2000000000000002</v>
      </c>
      <c r="R131" s="136">
        <f t="shared" si="35"/>
        <v>2.2000000000000002</v>
      </c>
      <c r="S131" s="136">
        <f t="shared" si="35"/>
        <v>2.2000000000000002</v>
      </c>
      <c r="T131" s="136">
        <f t="shared" ref="T131:AF138" si="36">S131</f>
        <v>2.2000000000000002</v>
      </c>
      <c r="U131" s="136">
        <f t="shared" si="36"/>
        <v>2.2000000000000002</v>
      </c>
      <c r="V131" s="136">
        <f t="shared" si="36"/>
        <v>2.2000000000000002</v>
      </c>
      <c r="W131" s="136">
        <f t="shared" si="36"/>
        <v>2.2000000000000002</v>
      </c>
      <c r="X131" s="136">
        <f t="shared" si="36"/>
        <v>2.2000000000000002</v>
      </c>
      <c r="Y131" s="136">
        <f t="shared" si="36"/>
        <v>2.2000000000000002</v>
      </c>
      <c r="Z131" s="136">
        <f t="shared" si="36"/>
        <v>2.2000000000000002</v>
      </c>
      <c r="AA131" s="136">
        <f t="shared" si="36"/>
        <v>2.2000000000000002</v>
      </c>
      <c r="AB131" s="136">
        <f t="shared" si="36"/>
        <v>2.2000000000000002</v>
      </c>
      <c r="AC131" s="136">
        <f t="shared" si="36"/>
        <v>2.2000000000000002</v>
      </c>
      <c r="AD131" s="136">
        <f t="shared" si="36"/>
        <v>2.2000000000000002</v>
      </c>
      <c r="AE131" s="136">
        <f t="shared" si="36"/>
        <v>2.2000000000000002</v>
      </c>
      <c r="AF131" s="136">
        <f t="shared" si="36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34"/>
        <v>2</v>
      </c>
      <c r="C132" s="137">
        <v>2</v>
      </c>
      <c r="D132" s="136">
        <f t="shared" si="35"/>
        <v>2</v>
      </c>
      <c r="E132" s="136">
        <f t="shared" si="35"/>
        <v>2</v>
      </c>
      <c r="F132" s="136">
        <f t="shared" si="35"/>
        <v>2</v>
      </c>
      <c r="G132" s="136">
        <f t="shared" si="35"/>
        <v>2</v>
      </c>
      <c r="H132" s="136">
        <f t="shared" si="35"/>
        <v>2</v>
      </c>
      <c r="I132" s="136">
        <f t="shared" si="35"/>
        <v>2</v>
      </c>
      <c r="J132" s="136">
        <f t="shared" si="35"/>
        <v>2</v>
      </c>
      <c r="K132" s="136">
        <f t="shared" si="35"/>
        <v>2</v>
      </c>
      <c r="L132" s="136">
        <f t="shared" si="35"/>
        <v>2</v>
      </c>
      <c r="M132" s="136">
        <f t="shared" si="35"/>
        <v>2</v>
      </c>
      <c r="N132" s="136">
        <f t="shared" si="35"/>
        <v>2</v>
      </c>
      <c r="O132" s="136">
        <f t="shared" si="35"/>
        <v>2</v>
      </c>
      <c r="P132" s="136">
        <f t="shared" si="35"/>
        <v>2</v>
      </c>
      <c r="Q132" s="136">
        <f t="shared" si="35"/>
        <v>2</v>
      </c>
      <c r="R132" s="136">
        <f t="shared" si="35"/>
        <v>2</v>
      </c>
      <c r="S132" s="136">
        <f t="shared" si="35"/>
        <v>2</v>
      </c>
      <c r="T132" s="136">
        <f t="shared" si="36"/>
        <v>2</v>
      </c>
      <c r="U132" s="136">
        <f t="shared" si="36"/>
        <v>2</v>
      </c>
      <c r="V132" s="136">
        <f t="shared" si="36"/>
        <v>2</v>
      </c>
      <c r="W132" s="136">
        <f t="shared" si="36"/>
        <v>2</v>
      </c>
      <c r="X132" s="136">
        <f t="shared" si="36"/>
        <v>2</v>
      </c>
      <c r="Y132" s="136">
        <f t="shared" si="36"/>
        <v>2</v>
      </c>
      <c r="Z132" s="136">
        <f t="shared" si="36"/>
        <v>2</v>
      </c>
      <c r="AA132" s="136">
        <f t="shared" si="36"/>
        <v>2</v>
      </c>
      <c r="AB132" s="136">
        <f t="shared" si="36"/>
        <v>2</v>
      </c>
      <c r="AC132" s="136">
        <f t="shared" si="36"/>
        <v>2</v>
      </c>
      <c r="AD132" s="136">
        <f t="shared" si="36"/>
        <v>2</v>
      </c>
      <c r="AE132" s="136">
        <f t="shared" si="36"/>
        <v>2</v>
      </c>
      <c r="AF132" s="136">
        <f t="shared" si="36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34"/>
        <v>1.25</v>
      </c>
      <c r="C133" s="137">
        <v>1.25</v>
      </c>
      <c r="D133" s="136">
        <f t="shared" si="35"/>
        <v>1.25</v>
      </c>
      <c r="E133" s="136">
        <f t="shared" si="35"/>
        <v>1.25</v>
      </c>
      <c r="F133" s="136">
        <f t="shared" si="35"/>
        <v>1.25</v>
      </c>
      <c r="G133" s="136">
        <f t="shared" si="35"/>
        <v>1.25</v>
      </c>
      <c r="H133" s="136">
        <f t="shared" si="35"/>
        <v>1.25</v>
      </c>
      <c r="I133" s="136">
        <f t="shared" si="35"/>
        <v>1.25</v>
      </c>
      <c r="J133" s="136">
        <f t="shared" si="35"/>
        <v>1.25</v>
      </c>
      <c r="K133" s="136">
        <f t="shared" si="35"/>
        <v>1.25</v>
      </c>
      <c r="L133" s="136">
        <f t="shared" si="35"/>
        <v>1.25</v>
      </c>
      <c r="M133" s="136">
        <f t="shared" si="35"/>
        <v>1.25</v>
      </c>
      <c r="N133" s="136">
        <f t="shared" si="35"/>
        <v>1.25</v>
      </c>
      <c r="O133" s="136">
        <f t="shared" si="35"/>
        <v>1.25</v>
      </c>
      <c r="P133" s="136">
        <f t="shared" si="35"/>
        <v>1.25</v>
      </c>
      <c r="Q133" s="136">
        <f t="shared" si="35"/>
        <v>1.25</v>
      </c>
      <c r="R133" s="136">
        <f t="shared" si="35"/>
        <v>1.25</v>
      </c>
      <c r="S133" s="136">
        <f t="shared" si="35"/>
        <v>1.25</v>
      </c>
      <c r="T133" s="136">
        <f t="shared" si="36"/>
        <v>1.25</v>
      </c>
      <c r="U133" s="136">
        <f t="shared" si="36"/>
        <v>1.25</v>
      </c>
      <c r="V133" s="136">
        <f t="shared" si="36"/>
        <v>1.25</v>
      </c>
      <c r="W133" s="136">
        <f t="shared" si="36"/>
        <v>1.25</v>
      </c>
      <c r="X133" s="136">
        <f t="shared" si="36"/>
        <v>1.25</v>
      </c>
      <c r="Y133" s="136">
        <f t="shared" si="36"/>
        <v>1.25</v>
      </c>
      <c r="Z133" s="136">
        <f t="shared" si="36"/>
        <v>1.25</v>
      </c>
      <c r="AA133" s="136">
        <f t="shared" si="36"/>
        <v>1.25</v>
      </c>
      <c r="AB133" s="136">
        <f t="shared" si="36"/>
        <v>1.25</v>
      </c>
      <c r="AC133" s="136">
        <f t="shared" si="36"/>
        <v>1.25</v>
      </c>
      <c r="AD133" s="136">
        <f t="shared" si="36"/>
        <v>1.25</v>
      </c>
      <c r="AE133" s="136">
        <f t="shared" si="36"/>
        <v>1.25</v>
      </c>
      <c r="AF133" s="136">
        <f t="shared" si="36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34"/>
        <v>1.1499999999999999</v>
      </c>
      <c r="C134" s="137">
        <v>1.1499999999999999</v>
      </c>
      <c r="D134" s="136">
        <f t="shared" si="35"/>
        <v>1.1499999999999999</v>
      </c>
      <c r="E134" s="136">
        <f t="shared" si="35"/>
        <v>1.1499999999999999</v>
      </c>
      <c r="F134" s="136">
        <f t="shared" si="35"/>
        <v>1.1499999999999999</v>
      </c>
      <c r="G134" s="136">
        <f t="shared" si="35"/>
        <v>1.1499999999999999</v>
      </c>
      <c r="H134" s="136">
        <f t="shared" si="35"/>
        <v>1.1499999999999999</v>
      </c>
      <c r="I134" s="136">
        <f t="shared" si="35"/>
        <v>1.1499999999999999</v>
      </c>
      <c r="J134" s="136">
        <f t="shared" si="35"/>
        <v>1.1499999999999999</v>
      </c>
      <c r="K134" s="136">
        <f t="shared" si="35"/>
        <v>1.1499999999999999</v>
      </c>
      <c r="L134" s="136">
        <f t="shared" si="35"/>
        <v>1.1499999999999999</v>
      </c>
      <c r="M134" s="136">
        <f t="shared" si="35"/>
        <v>1.1499999999999999</v>
      </c>
      <c r="N134" s="136">
        <f t="shared" si="35"/>
        <v>1.1499999999999999</v>
      </c>
      <c r="O134" s="136">
        <f t="shared" si="35"/>
        <v>1.1499999999999999</v>
      </c>
      <c r="P134" s="136">
        <f t="shared" si="35"/>
        <v>1.1499999999999999</v>
      </c>
      <c r="Q134" s="136">
        <f t="shared" si="35"/>
        <v>1.1499999999999999</v>
      </c>
      <c r="R134" s="136">
        <f t="shared" si="35"/>
        <v>1.1499999999999999</v>
      </c>
      <c r="S134" s="136">
        <f t="shared" si="35"/>
        <v>1.1499999999999999</v>
      </c>
      <c r="T134" s="136">
        <f t="shared" si="36"/>
        <v>1.1499999999999999</v>
      </c>
      <c r="U134" s="136">
        <f t="shared" si="36"/>
        <v>1.1499999999999999</v>
      </c>
      <c r="V134" s="136">
        <f t="shared" si="36"/>
        <v>1.1499999999999999</v>
      </c>
      <c r="W134" s="136">
        <f t="shared" si="36"/>
        <v>1.1499999999999999</v>
      </c>
      <c r="X134" s="136">
        <f t="shared" si="36"/>
        <v>1.1499999999999999</v>
      </c>
      <c r="Y134" s="136">
        <f t="shared" si="36"/>
        <v>1.1499999999999999</v>
      </c>
      <c r="Z134" s="136">
        <f t="shared" si="36"/>
        <v>1.1499999999999999</v>
      </c>
      <c r="AA134" s="136">
        <f t="shared" si="36"/>
        <v>1.1499999999999999</v>
      </c>
      <c r="AB134" s="136">
        <f t="shared" si="36"/>
        <v>1.1499999999999999</v>
      </c>
      <c r="AC134" s="136">
        <f t="shared" si="36"/>
        <v>1.1499999999999999</v>
      </c>
      <c r="AD134" s="136">
        <f t="shared" si="36"/>
        <v>1.1499999999999999</v>
      </c>
      <c r="AE134" s="136">
        <f t="shared" si="36"/>
        <v>1.1499999999999999</v>
      </c>
      <c r="AF134" s="136">
        <f t="shared" si="36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34"/>
        <v>2.133</v>
      </c>
      <c r="C135" s="137">
        <v>2.133</v>
      </c>
      <c r="D135" s="136">
        <f t="shared" si="35"/>
        <v>2.133</v>
      </c>
      <c r="E135" s="136">
        <f t="shared" si="35"/>
        <v>2.133</v>
      </c>
      <c r="F135" s="136">
        <f t="shared" si="35"/>
        <v>2.133</v>
      </c>
      <c r="G135" s="136">
        <f t="shared" si="35"/>
        <v>2.133</v>
      </c>
      <c r="H135" s="136">
        <f t="shared" si="35"/>
        <v>2.133</v>
      </c>
      <c r="I135" s="136">
        <f t="shared" si="35"/>
        <v>2.133</v>
      </c>
      <c r="J135" s="136">
        <f t="shared" si="35"/>
        <v>2.133</v>
      </c>
      <c r="K135" s="136">
        <f t="shared" si="35"/>
        <v>2.133</v>
      </c>
      <c r="L135" s="136">
        <f t="shared" si="35"/>
        <v>2.133</v>
      </c>
      <c r="M135" s="136">
        <f t="shared" si="35"/>
        <v>2.133</v>
      </c>
      <c r="N135" s="136">
        <f t="shared" si="35"/>
        <v>2.133</v>
      </c>
      <c r="O135" s="136">
        <f t="shared" si="35"/>
        <v>2.133</v>
      </c>
      <c r="P135" s="136">
        <f t="shared" si="35"/>
        <v>2.133</v>
      </c>
      <c r="Q135" s="136">
        <f t="shared" si="35"/>
        <v>2.133</v>
      </c>
      <c r="R135" s="136">
        <f t="shared" si="35"/>
        <v>2.133</v>
      </c>
      <c r="S135" s="136">
        <f t="shared" si="35"/>
        <v>2.133</v>
      </c>
      <c r="T135" s="136">
        <f t="shared" si="36"/>
        <v>2.133</v>
      </c>
      <c r="U135" s="136">
        <f t="shared" si="36"/>
        <v>2.133</v>
      </c>
      <c r="V135" s="136">
        <f t="shared" si="36"/>
        <v>2.133</v>
      </c>
      <c r="W135" s="136">
        <f t="shared" si="36"/>
        <v>2.133</v>
      </c>
      <c r="X135" s="136">
        <f t="shared" si="36"/>
        <v>2.133</v>
      </c>
      <c r="Y135" s="136">
        <f t="shared" si="36"/>
        <v>2.133</v>
      </c>
      <c r="Z135" s="136">
        <f t="shared" si="36"/>
        <v>2.133</v>
      </c>
      <c r="AA135" s="136">
        <f t="shared" si="36"/>
        <v>2.133</v>
      </c>
      <c r="AB135" s="136">
        <f t="shared" si="36"/>
        <v>2.133</v>
      </c>
      <c r="AC135" s="136">
        <f t="shared" si="36"/>
        <v>2.133</v>
      </c>
      <c r="AD135" s="136">
        <f t="shared" si="36"/>
        <v>2.133</v>
      </c>
      <c r="AE135" s="136">
        <f t="shared" si="36"/>
        <v>2.133</v>
      </c>
      <c r="AF135" s="136">
        <f t="shared" si="36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34"/>
        <v>2.09</v>
      </c>
      <c r="C136" s="137">
        <v>2.09</v>
      </c>
      <c r="D136" s="136">
        <f t="shared" si="35"/>
        <v>2.09</v>
      </c>
      <c r="E136" s="136">
        <f t="shared" si="35"/>
        <v>2.09</v>
      </c>
      <c r="F136" s="136">
        <f t="shared" si="35"/>
        <v>2.09</v>
      </c>
      <c r="G136" s="136">
        <f t="shared" si="35"/>
        <v>2.09</v>
      </c>
      <c r="H136" s="136">
        <f t="shared" si="35"/>
        <v>2.09</v>
      </c>
      <c r="I136" s="136">
        <f t="shared" si="35"/>
        <v>2.09</v>
      </c>
      <c r="J136" s="136">
        <f t="shared" si="35"/>
        <v>2.09</v>
      </c>
      <c r="K136" s="136">
        <f t="shared" si="35"/>
        <v>2.09</v>
      </c>
      <c r="L136" s="136">
        <f t="shared" si="35"/>
        <v>2.09</v>
      </c>
      <c r="M136" s="136">
        <f t="shared" si="35"/>
        <v>2.09</v>
      </c>
      <c r="N136" s="136">
        <f t="shared" si="35"/>
        <v>2.09</v>
      </c>
      <c r="O136" s="136">
        <f t="shared" si="35"/>
        <v>2.09</v>
      </c>
      <c r="P136" s="136">
        <f t="shared" si="35"/>
        <v>2.09</v>
      </c>
      <c r="Q136" s="136">
        <f t="shared" si="35"/>
        <v>2.09</v>
      </c>
      <c r="R136" s="136">
        <f t="shared" si="35"/>
        <v>2.09</v>
      </c>
      <c r="S136" s="136">
        <f t="shared" si="35"/>
        <v>2.09</v>
      </c>
      <c r="T136" s="136">
        <f t="shared" si="36"/>
        <v>2.09</v>
      </c>
      <c r="U136" s="136">
        <f t="shared" si="36"/>
        <v>2.09</v>
      </c>
      <c r="V136" s="136">
        <f t="shared" si="36"/>
        <v>2.09</v>
      </c>
      <c r="W136" s="136">
        <f t="shared" si="36"/>
        <v>2.09</v>
      </c>
      <c r="X136" s="136">
        <f t="shared" si="36"/>
        <v>2.09</v>
      </c>
      <c r="Y136" s="136">
        <f t="shared" si="36"/>
        <v>2.09</v>
      </c>
      <c r="Z136" s="136">
        <f t="shared" si="36"/>
        <v>2.09</v>
      </c>
      <c r="AA136" s="136">
        <f t="shared" si="36"/>
        <v>2.09</v>
      </c>
      <c r="AB136" s="136">
        <f t="shared" si="36"/>
        <v>2.09</v>
      </c>
      <c r="AC136" s="136">
        <f t="shared" si="36"/>
        <v>2.09</v>
      </c>
      <c r="AD136" s="136">
        <f t="shared" si="36"/>
        <v>2.09</v>
      </c>
      <c r="AE136" s="136">
        <f t="shared" si="36"/>
        <v>2.09</v>
      </c>
      <c r="AF136" s="136">
        <f t="shared" si="36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34"/>
        <v>1.1399999999999999</v>
      </c>
      <c r="C137" s="137">
        <v>1.1399999999999999</v>
      </c>
      <c r="D137" s="136">
        <f t="shared" si="35"/>
        <v>1.1399999999999999</v>
      </c>
      <c r="E137" s="136">
        <f t="shared" si="35"/>
        <v>1.1399999999999999</v>
      </c>
      <c r="F137" s="136">
        <f t="shared" si="35"/>
        <v>1.1399999999999999</v>
      </c>
      <c r="G137" s="136">
        <f t="shared" si="35"/>
        <v>1.1399999999999999</v>
      </c>
      <c r="H137" s="136">
        <f t="shared" si="35"/>
        <v>1.1399999999999999</v>
      </c>
      <c r="I137" s="136">
        <f t="shared" si="35"/>
        <v>1.1399999999999999</v>
      </c>
      <c r="J137" s="136">
        <f t="shared" si="35"/>
        <v>1.1399999999999999</v>
      </c>
      <c r="K137" s="136">
        <f t="shared" si="35"/>
        <v>1.1399999999999999</v>
      </c>
      <c r="L137" s="136">
        <f t="shared" si="35"/>
        <v>1.1399999999999999</v>
      </c>
      <c r="M137" s="136">
        <f t="shared" si="35"/>
        <v>1.1399999999999999</v>
      </c>
      <c r="N137" s="136">
        <f t="shared" si="35"/>
        <v>1.1399999999999999</v>
      </c>
      <c r="O137" s="136">
        <f t="shared" si="35"/>
        <v>1.1399999999999999</v>
      </c>
      <c r="P137" s="136">
        <f t="shared" si="35"/>
        <v>1.1399999999999999</v>
      </c>
      <c r="Q137" s="136">
        <f t="shared" si="35"/>
        <v>1.1399999999999999</v>
      </c>
      <c r="R137" s="136">
        <f t="shared" si="35"/>
        <v>1.1399999999999999</v>
      </c>
      <c r="S137" s="136">
        <f t="shared" si="35"/>
        <v>1.1399999999999999</v>
      </c>
      <c r="T137" s="136">
        <f t="shared" si="36"/>
        <v>1.1399999999999999</v>
      </c>
      <c r="U137" s="136">
        <f t="shared" si="36"/>
        <v>1.1399999999999999</v>
      </c>
      <c r="V137" s="136">
        <f t="shared" si="36"/>
        <v>1.1399999999999999</v>
      </c>
      <c r="W137" s="136">
        <f t="shared" si="36"/>
        <v>1.1399999999999999</v>
      </c>
      <c r="X137" s="136">
        <f t="shared" si="36"/>
        <v>1.1399999999999999</v>
      </c>
      <c r="Y137" s="136">
        <f t="shared" si="36"/>
        <v>1.1399999999999999</v>
      </c>
      <c r="Z137" s="136">
        <f t="shared" si="36"/>
        <v>1.1399999999999999</v>
      </c>
      <c r="AA137" s="136">
        <f t="shared" si="36"/>
        <v>1.1399999999999999</v>
      </c>
      <c r="AB137" s="136">
        <f t="shared" si="36"/>
        <v>1.1399999999999999</v>
      </c>
      <c r="AC137" s="136">
        <f t="shared" si="36"/>
        <v>1.1399999999999999</v>
      </c>
      <c r="AD137" s="136">
        <f t="shared" si="36"/>
        <v>1.1399999999999999</v>
      </c>
      <c r="AE137" s="136">
        <f t="shared" si="36"/>
        <v>1.1399999999999999</v>
      </c>
      <c r="AF137" s="136">
        <f t="shared" si="36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34"/>
        <v>0.82</v>
      </c>
      <c r="C138" s="137">
        <v>0.82</v>
      </c>
      <c r="D138" s="136">
        <f t="shared" si="35"/>
        <v>0.82</v>
      </c>
      <c r="E138" s="136">
        <f t="shared" si="35"/>
        <v>0.82</v>
      </c>
      <c r="F138" s="136">
        <f t="shared" si="35"/>
        <v>0.82</v>
      </c>
      <c r="G138" s="136">
        <f t="shared" si="35"/>
        <v>0.82</v>
      </c>
      <c r="H138" s="136">
        <f t="shared" si="35"/>
        <v>0.82</v>
      </c>
      <c r="I138" s="136">
        <f t="shared" si="35"/>
        <v>0.82</v>
      </c>
      <c r="J138" s="136">
        <f t="shared" si="35"/>
        <v>0.82</v>
      </c>
      <c r="K138" s="136">
        <f t="shared" si="35"/>
        <v>0.82</v>
      </c>
      <c r="L138" s="136">
        <f t="shared" si="35"/>
        <v>0.82</v>
      </c>
      <c r="M138" s="136">
        <f t="shared" si="35"/>
        <v>0.82</v>
      </c>
      <c r="N138" s="136">
        <f t="shared" si="35"/>
        <v>0.82</v>
      </c>
      <c r="O138" s="136">
        <f t="shared" si="35"/>
        <v>0.82</v>
      </c>
      <c r="P138" s="136">
        <f t="shared" si="35"/>
        <v>0.82</v>
      </c>
      <c r="Q138" s="136">
        <f t="shared" si="35"/>
        <v>0.82</v>
      </c>
      <c r="R138" s="136">
        <f t="shared" si="35"/>
        <v>0.82</v>
      </c>
      <c r="S138" s="136">
        <f t="shared" si="35"/>
        <v>0.82</v>
      </c>
      <c r="T138" s="136">
        <f t="shared" si="36"/>
        <v>0.82</v>
      </c>
      <c r="U138" s="136">
        <f t="shared" si="36"/>
        <v>0.82</v>
      </c>
      <c r="V138" s="136">
        <f t="shared" si="36"/>
        <v>0.82</v>
      </c>
      <c r="W138" s="136">
        <f t="shared" si="36"/>
        <v>0.82</v>
      </c>
      <c r="X138" s="136">
        <f t="shared" si="36"/>
        <v>0.82</v>
      </c>
      <c r="Y138" s="136">
        <f t="shared" si="36"/>
        <v>0.82</v>
      </c>
      <c r="Z138" s="136">
        <f t="shared" si="36"/>
        <v>0.82</v>
      </c>
      <c r="AA138" s="136">
        <f t="shared" si="36"/>
        <v>0.82</v>
      </c>
      <c r="AB138" s="136">
        <f t="shared" si="36"/>
        <v>0.82</v>
      </c>
      <c r="AC138" s="136">
        <f t="shared" si="36"/>
        <v>0.82</v>
      </c>
      <c r="AD138" s="136">
        <f t="shared" si="36"/>
        <v>0.82</v>
      </c>
      <c r="AE138" s="136">
        <f t="shared" si="36"/>
        <v>0.82</v>
      </c>
      <c r="AF138" s="136">
        <f t="shared" si="36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37">AF140</f>
        <v>2</v>
      </c>
      <c r="C140" s="137">
        <v>2</v>
      </c>
      <c r="D140" s="136">
        <f t="shared" ref="D140:S146" si="38">C140</f>
        <v>2</v>
      </c>
      <c r="E140" s="136">
        <f t="shared" si="38"/>
        <v>2</v>
      </c>
      <c r="F140" s="136">
        <f t="shared" si="38"/>
        <v>2</v>
      </c>
      <c r="G140" s="136">
        <f t="shared" si="38"/>
        <v>2</v>
      </c>
      <c r="H140" s="136">
        <f t="shared" si="38"/>
        <v>2</v>
      </c>
      <c r="I140" s="136">
        <f t="shared" si="38"/>
        <v>2</v>
      </c>
      <c r="J140" s="136">
        <f t="shared" si="38"/>
        <v>2</v>
      </c>
      <c r="K140" s="136">
        <f t="shared" si="38"/>
        <v>2</v>
      </c>
      <c r="L140" s="136">
        <f t="shared" si="38"/>
        <v>2</v>
      </c>
      <c r="M140" s="136">
        <f t="shared" si="38"/>
        <v>2</v>
      </c>
      <c r="N140" s="136">
        <f t="shared" si="38"/>
        <v>2</v>
      </c>
      <c r="O140" s="136">
        <f t="shared" si="38"/>
        <v>2</v>
      </c>
      <c r="P140" s="136">
        <f t="shared" si="38"/>
        <v>2</v>
      </c>
      <c r="Q140" s="136">
        <f t="shared" si="38"/>
        <v>2</v>
      </c>
      <c r="R140" s="136">
        <f t="shared" si="38"/>
        <v>2</v>
      </c>
      <c r="S140" s="136">
        <f t="shared" si="38"/>
        <v>2</v>
      </c>
      <c r="T140" s="136">
        <f t="shared" ref="T140:AF146" si="39">S140</f>
        <v>2</v>
      </c>
      <c r="U140" s="136">
        <f t="shared" si="39"/>
        <v>2</v>
      </c>
      <c r="V140" s="136">
        <f t="shared" si="39"/>
        <v>2</v>
      </c>
      <c r="W140" s="136">
        <f t="shared" si="39"/>
        <v>2</v>
      </c>
      <c r="X140" s="136">
        <f t="shared" si="39"/>
        <v>2</v>
      </c>
      <c r="Y140" s="136">
        <f t="shared" si="39"/>
        <v>2</v>
      </c>
      <c r="Z140" s="136">
        <f t="shared" si="39"/>
        <v>2</v>
      </c>
      <c r="AA140" s="136">
        <f t="shared" si="39"/>
        <v>2</v>
      </c>
      <c r="AB140" s="136">
        <f t="shared" si="39"/>
        <v>2</v>
      </c>
      <c r="AC140" s="136">
        <f t="shared" si="39"/>
        <v>2</v>
      </c>
      <c r="AD140" s="136">
        <f t="shared" si="39"/>
        <v>2</v>
      </c>
      <c r="AE140" s="136">
        <f t="shared" si="39"/>
        <v>2</v>
      </c>
      <c r="AF140" s="136">
        <f t="shared" si="39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37"/>
        <v>5.61</v>
      </c>
      <c r="C141" s="137">
        <v>5.61</v>
      </c>
      <c r="D141" s="136">
        <f t="shared" si="38"/>
        <v>5.61</v>
      </c>
      <c r="E141" s="136">
        <f t="shared" si="38"/>
        <v>5.61</v>
      </c>
      <c r="F141" s="136">
        <f t="shared" si="38"/>
        <v>5.61</v>
      </c>
      <c r="G141" s="136">
        <f t="shared" si="38"/>
        <v>5.61</v>
      </c>
      <c r="H141" s="136">
        <f t="shared" si="38"/>
        <v>5.61</v>
      </c>
      <c r="I141" s="136">
        <f t="shared" si="38"/>
        <v>5.61</v>
      </c>
      <c r="J141" s="136">
        <f t="shared" si="38"/>
        <v>5.61</v>
      </c>
      <c r="K141" s="136">
        <f t="shared" si="38"/>
        <v>5.61</v>
      </c>
      <c r="L141" s="136">
        <f t="shared" si="38"/>
        <v>5.61</v>
      </c>
      <c r="M141" s="136">
        <f t="shared" si="38"/>
        <v>5.61</v>
      </c>
      <c r="N141" s="136">
        <f t="shared" si="38"/>
        <v>5.61</v>
      </c>
      <c r="O141" s="136">
        <f t="shared" si="38"/>
        <v>5.61</v>
      </c>
      <c r="P141" s="136">
        <f t="shared" si="38"/>
        <v>5.61</v>
      </c>
      <c r="Q141" s="136">
        <f t="shared" si="38"/>
        <v>5.61</v>
      </c>
      <c r="R141" s="136">
        <f t="shared" si="38"/>
        <v>5.61</v>
      </c>
      <c r="S141" s="136">
        <f t="shared" si="38"/>
        <v>5.61</v>
      </c>
      <c r="T141" s="136">
        <f t="shared" si="39"/>
        <v>5.61</v>
      </c>
      <c r="U141" s="136">
        <f t="shared" si="39"/>
        <v>5.61</v>
      </c>
      <c r="V141" s="136">
        <f t="shared" si="39"/>
        <v>5.61</v>
      </c>
      <c r="W141" s="136">
        <f t="shared" si="39"/>
        <v>5.61</v>
      </c>
      <c r="X141" s="136">
        <f t="shared" si="39"/>
        <v>5.61</v>
      </c>
      <c r="Y141" s="136">
        <f t="shared" si="39"/>
        <v>5.61</v>
      </c>
      <c r="Z141" s="136">
        <f t="shared" si="39"/>
        <v>5.61</v>
      </c>
      <c r="AA141" s="136">
        <f t="shared" si="39"/>
        <v>5.61</v>
      </c>
      <c r="AB141" s="136">
        <f t="shared" si="39"/>
        <v>5.61</v>
      </c>
      <c r="AC141" s="136">
        <f t="shared" si="39"/>
        <v>5.61</v>
      </c>
      <c r="AD141" s="136">
        <f t="shared" si="39"/>
        <v>5.61</v>
      </c>
      <c r="AE141" s="136">
        <f t="shared" si="39"/>
        <v>5.61</v>
      </c>
      <c r="AF141" s="136">
        <f t="shared" si="39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37"/>
        <v>1.25</v>
      </c>
      <c r="C143" s="137">
        <v>1.25</v>
      </c>
      <c r="D143" s="136">
        <f t="shared" si="38"/>
        <v>1.25</v>
      </c>
      <c r="E143" s="136">
        <f t="shared" si="38"/>
        <v>1.25</v>
      </c>
      <c r="F143" s="136">
        <f t="shared" si="38"/>
        <v>1.25</v>
      </c>
      <c r="G143" s="136">
        <f t="shared" si="38"/>
        <v>1.25</v>
      </c>
      <c r="H143" s="136">
        <f t="shared" si="38"/>
        <v>1.25</v>
      </c>
      <c r="I143" s="136">
        <f t="shared" si="38"/>
        <v>1.25</v>
      </c>
      <c r="J143" s="136">
        <f t="shared" si="38"/>
        <v>1.25</v>
      </c>
      <c r="K143" s="136">
        <f t="shared" si="38"/>
        <v>1.25</v>
      </c>
      <c r="L143" s="136">
        <f t="shared" si="38"/>
        <v>1.25</v>
      </c>
      <c r="M143" s="136">
        <f t="shared" si="38"/>
        <v>1.25</v>
      </c>
      <c r="N143" s="136">
        <f t="shared" si="38"/>
        <v>1.25</v>
      </c>
      <c r="O143" s="136">
        <f t="shared" si="38"/>
        <v>1.25</v>
      </c>
      <c r="P143" s="136">
        <f t="shared" si="38"/>
        <v>1.25</v>
      </c>
      <c r="Q143" s="136">
        <f t="shared" si="38"/>
        <v>1.25</v>
      </c>
      <c r="R143" s="136">
        <f t="shared" si="38"/>
        <v>1.25</v>
      </c>
      <c r="S143" s="136">
        <f t="shared" si="38"/>
        <v>1.25</v>
      </c>
      <c r="T143" s="136">
        <f t="shared" si="39"/>
        <v>1.25</v>
      </c>
      <c r="U143" s="136">
        <f t="shared" si="39"/>
        <v>1.25</v>
      </c>
      <c r="V143" s="136">
        <f t="shared" si="39"/>
        <v>1.25</v>
      </c>
      <c r="W143" s="136">
        <f t="shared" si="39"/>
        <v>1.25</v>
      </c>
      <c r="X143" s="136">
        <f t="shared" si="39"/>
        <v>1.25</v>
      </c>
      <c r="Y143" s="136">
        <f t="shared" si="39"/>
        <v>1.25</v>
      </c>
      <c r="Z143" s="136">
        <f t="shared" si="39"/>
        <v>1.25</v>
      </c>
      <c r="AA143" s="136">
        <f t="shared" si="39"/>
        <v>1.25</v>
      </c>
      <c r="AB143" s="136">
        <f t="shared" si="39"/>
        <v>1.25</v>
      </c>
      <c r="AC143" s="136">
        <f t="shared" si="39"/>
        <v>1.25</v>
      </c>
      <c r="AD143" s="136">
        <f t="shared" si="39"/>
        <v>1.25</v>
      </c>
      <c r="AE143" s="136">
        <f t="shared" si="39"/>
        <v>1.25</v>
      </c>
      <c r="AF143" s="136">
        <f t="shared" si="39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37"/>
        <v>1.46</v>
      </c>
      <c r="C144" s="137">
        <v>1.46</v>
      </c>
      <c r="D144" s="136">
        <f t="shared" si="38"/>
        <v>1.46</v>
      </c>
      <c r="E144" s="136">
        <f t="shared" si="38"/>
        <v>1.46</v>
      </c>
      <c r="F144" s="136">
        <f t="shared" si="38"/>
        <v>1.46</v>
      </c>
      <c r="G144" s="136">
        <f t="shared" si="38"/>
        <v>1.46</v>
      </c>
      <c r="H144" s="136">
        <f t="shared" si="38"/>
        <v>1.46</v>
      </c>
      <c r="I144" s="136">
        <f t="shared" si="38"/>
        <v>1.46</v>
      </c>
      <c r="J144" s="136">
        <f t="shared" si="38"/>
        <v>1.46</v>
      </c>
      <c r="K144" s="136">
        <f t="shared" si="38"/>
        <v>1.46</v>
      </c>
      <c r="L144" s="136">
        <f t="shared" si="38"/>
        <v>1.46</v>
      </c>
      <c r="M144" s="136">
        <f t="shared" si="38"/>
        <v>1.46</v>
      </c>
      <c r="N144" s="136">
        <f t="shared" si="38"/>
        <v>1.46</v>
      </c>
      <c r="O144" s="136">
        <f t="shared" si="38"/>
        <v>1.46</v>
      </c>
      <c r="P144" s="136">
        <f t="shared" si="38"/>
        <v>1.46</v>
      </c>
      <c r="Q144" s="136">
        <f t="shared" si="38"/>
        <v>1.46</v>
      </c>
      <c r="R144" s="136">
        <f t="shared" si="38"/>
        <v>1.46</v>
      </c>
      <c r="S144" s="136">
        <f t="shared" si="38"/>
        <v>1.46</v>
      </c>
      <c r="T144" s="136">
        <f t="shared" si="39"/>
        <v>1.46</v>
      </c>
      <c r="U144" s="136">
        <f t="shared" si="39"/>
        <v>1.46</v>
      </c>
      <c r="V144" s="136">
        <f t="shared" si="39"/>
        <v>1.46</v>
      </c>
      <c r="W144" s="136">
        <f t="shared" si="39"/>
        <v>1.46</v>
      </c>
      <c r="X144" s="136">
        <f t="shared" si="39"/>
        <v>1.46</v>
      </c>
      <c r="Y144" s="136">
        <f t="shared" si="39"/>
        <v>1.46</v>
      </c>
      <c r="Z144" s="136">
        <f t="shared" si="39"/>
        <v>1.46</v>
      </c>
      <c r="AA144" s="136">
        <f t="shared" si="39"/>
        <v>1.46</v>
      </c>
      <c r="AB144" s="136">
        <f t="shared" si="39"/>
        <v>1.46</v>
      </c>
      <c r="AC144" s="136">
        <f t="shared" si="39"/>
        <v>1.46</v>
      </c>
      <c r="AD144" s="136">
        <f t="shared" si="39"/>
        <v>1.46</v>
      </c>
      <c r="AE144" s="136">
        <f t="shared" si="39"/>
        <v>1.46</v>
      </c>
      <c r="AF144" s="136">
        <f t="shared" si="39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37"/>
        <v>3</v>
      </c>
      <c r="C145" s="137">
        <v>3</v>
      </c>
      <c r="D145" s="136">
        <f t="shared" si="38"/>
        <v>3</v>
      </c>
      <c r="E145" s="136">
        <f t="shared" si="38"/>
        <v>3</v>
      </c>
      <c r="F145" s="136">
        <f t="shared" si="38"/>
        <v>3</v>
      </c>
      <c r="G145" s="136">
        <f t="shared" si="38"/>
        <v>3</v>
      </c>
      <c r="H145" s="136">
        <f t="shared" si="38"/>
        <v>3</v>
      </c>
      <c r="I145" s="136">
        <f t="shared" si="38"/>
        <v>3</v>
      </c>
      <c r="J145" s="136">
        <f t="shared" si="38"/>
        <v>3</v>
      </c>
      <c r="K145" s="136">
        <f t="shared" si="38"/>
        <v>3</v>
      </c>
      <c r="L145" s="136">
        <f t="shared" si="38"/>
        <v>3</v>
      </c>
      <c r="M145" s="136">
        <f t="shared" si="38"/>
        <v>3</v>
      </c>
      <c r="N145" s="136">
        <f t="shared" si="38"/>
        <v>3</v>
      </c>
      <c r="O145" s="136">
        <f t="shared" si="38"/>
        <v>3</v>
      </c>
      <c r="P145" s="136">
        <f t="shared" si="38"/>
        <v>3</v>
      </c>
      <c r="Q145" s="136">
        <f t="shared" si="38"/>
        <v>3</v>
      </c>
      <c r="R145" s="136">
        <f t="shared" si="38"/>
        <v>3</v>
      </c>
      <c r="S145" s="136">
        <f t="shared" si="38"/>
        <v>3</v>
      </c>
      <c r="T145" s="136">
        <f t="shared" si="39"/>
        <v>3</v>
      </c>
      <c r="U145" s="136">
        <f t="shared" si="39"/>
        <v>3</v>
      </c>
      <c r="V145" s="136">
        <f t="shared" si="39"/>
        <v>3</v>
      </c>
      <c r="W145" s="136">
        <f t="shared" si="39"/>
        <v>3</v>
      </c>
      <c r="X145" s="136">
        <f t="shared" si="39"/>
        <v>3</v>
      </c>
      <c r="Y145" s="136">
        <f t="shared" si="39"/>
        <v>3</v>
      </c>
      <c r="Z145" s="136">
        <f t="shared" si="39"/>
        <v>3</v>
      </c>
      <c r="AA145" s="136">
        <f t="shared" si="39"/>
        <v>3</v>
      </c>
      <c r="AB145" s="136">
        <f t="shared" si="39"/>
        <v>3</v>
      </c>
      <c r="AC145" s="136">
        <f t="shared" si="39"/>
        <v>3</v>
      </c>
      <c r="AD145" s="136">
        <f t="shared" si="39"/>
        <v>3</v>
      </c>
      <c r="AE145" s="136">
        <f t="shared" si="39"/>
        <v>3</v>
      </c>
      <c r="AF145" s="136">
        <f t="shared" si="39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37"/>
        <v>3.3</v>
      </c>
      <c r="C146" s="137">
        <v>3.3</v>
      </c>
      <c r="D146" s="136">
        <f t="shared" si="38"/>
        <v>3.3</v>
      </c>
      <c r="E146" s="136">
        <f t="shared" si="38"/>
        <v>3.3</v>
      </c>
      <c r="F146" s="136">
        <f t="shared" si="38"/>
        <v>3.3</v>
      </c>
      <c r="G146" s="136">
        <f t="shared" si="38"/>
        <v>3.3</v>
      </c>
      <c r="H146" s="136">
        <f t="shared" si="38"/>
        <v>3.3</v>
      </c>
      <c r="I146" s="136">
        <f t="shared" si="38"/>
        <v>3.3</v>
      </c>
      <c r="J146" s="136">
        <f t="shared" si="38"/>
        <v>3.3</v>
      </c>
      <c r="K146" s="136">
        <f t="shared" si="38"/>
        <v>3.3</v>
      </c>
      <c r="L146" s="136">
        <f t="shared" si="38"/>
        <v>3.3</v>
      </c>
      <c r="M146" s="136">
        <f t="shared" si="38"/>
        <v>3.3</v>
      </c>
      <c r="N146" s="136">
        <f t="shared" si="38"/>
        <v>3.3</v>
      </c>
      <c r="O146" s="136">
        <f t="shared" si="38"/>
        <v>3.3</v>
      </c>
      <c r="P146" s="136">
        <f t="shared" si="38"/>
        <v>3.3</v>
      </c>
      <c r="Q146" s="136">
        <f t="shared" si="38"/>
        <v>3.3</v>
      </c>
      <c r="R146" s="136">
        <f t="shared" si="38"/>
        <v>3.3</v>
      </c>
      <c r="S146" s="136">
        <f t="shared" si="38"/>
        <v>3.3</v>
      </c>
      <c r="T146" s="136">
        <f t="shared" si="39"/>
        <v>3.3</v>
      </c>
      <c r="U146" s="136">
        <f t="shared" si="39"/>
        <v>3.3</v>
      </c>
      <c r="V146" s="136">
        <f t="shared" si="39"/>
        <v>3.3</v>
      </c>
      <c r="W146" s="136">
        <f t="shared" si="39"/>
        <v>3.3</v>
      </c>
      <c r="X146" s="136">
        <f t="shared" si="39"/>
        <v>3.3</v>
      </c>
      <c r="Y146" s="136">
        <f t="shared" si="39"/>
        <v>3.3</v>
      </c>
      <c r="Z146" s="136">
        <f t="shared" si="39"/>
        <v>3.3</v>
      </c>
      <c r="AA146" s="136">
        <f t="shared" si="39"/>
        <v>3.3</v>
      </c>
      <c r="AB146" s="136">
        <f t="shared" si="39"/>
        <v>3.3</v>
      </c>
      <c r="AC146" s="136">
        <f t="shared" si="39"/>
        <v>3.3</v>
      </c>
      <c r="AD146" s="136">
        <f t="shared" si="39"/>
        <v>3.3</v>
      </c>
      <c r="AE146" s="136">
        <f t="shared" si="39"/>
        <v>3.3</v>
      </c>
      <c r="AF146" s="136">
        <f t="shared" si="39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40">C148</f>
        <v>1.76</v>
      </c>
      <c r="E148" s="136">
        <f t="shared" si="40"/>
        <v>1.76</v>
      </c>
      <c r="F148" s="136">
        <f t="shared" si="40"/>
        <v>1.76</v>
      </c>
      <c r="G148" s="136">
        <f t="shared" si="40"/>
        <v>1.76</v>
      </c>
      <c r="H148" s="136">
        <f t="shared" si="40"/>
        <v>1.76</v>
      </c>
      <c r="I148" s="136">
        <f t="shared" si="40"/>
        <v>1.76</v>
      </c>
      <c r="J148" s="136">
        <f t="shared" si="40"/>
        <v>1.76</v>
      </c>
      <c r="K148" s="136">
        <f t="shared" si="40"/>
        <v>1.76</v>
      </c>
      <c r="L148" s="136">
        <f t="shared" si="40"/>
        <v>1.76</v>
      </c>
      <c r="M148" s="136">
        <f t="shared" si="40"/>
        <v>1.76</v>
      </c>
      <c r="N148" s="136">
        <f t="shared" si="40"/>
        <v>1.76</v>
      </c>
      <c r="O148" s="136">
        <f t="shared" si="40"/>
        <v>1.76</v>
      </c>
      <c r="P148" s="136">
        <f t="shared" si="40"/>
        <v>1.76</v>
      </c>
      <c r="Q148" s="136">
        <f t="shared" si="40"/>
        <v>1.76</v>
      </c>
      <c r="R148" s="136">
        <f t="shared" si="40"/>
        <v>1.76</v>
      </c>
      <c r="S148" s="136">
        <f t="shared" si="40"/>
        <v>1.76</v>
      </c>
      <c r="T148" s="136">
        <f t="shared" ref="T148:AF149" si="41">S148</f>
        <v>1.76</v>
      </c>
      <c r="U148" s="136">
        <f t="shared" si="41"/>
        <v>1.76</v>
      </c>
      <c r="V148" s="136">
        <f t="shared" si="41"/>
        <v>1.76</v>
      </c>
      <c r="W148" s="136">
        <f t="shared" si="41"/>
        <v>1.76</v>
      </c>
      <c r="X148" s="136">
        <f t="shared" si="41"/>
        <v>1.76</v>
      </c>
      <c r="Y148" s="136">
        <f t="shared" si="41"/>
        <v>1.76</v>
      </c>
      <c r="Z148" s="136">
        <f t="shared" si="41"/>
        <v>1.76</v>
      </c>
      <c r="AA148" s="136">
        <f t="shared" si="41"/>
        <v>1.76</v>
      </c>
      <c r="AB148" s="136">
        <f t="shared" si="41"/>
        <v>1.76</v>
      </c>
      <c r="AC148" s="136">
        <f t="shared" si="41"/>
        <v>1.76</v>
      </c>
      <c r="AD148" s="136">
        <f t="shared" si="41"/>
        <v>1.76</v>
      </c>
      <c r="AE148" s="136">
        <f t="shared" si="41"/>
        <v>1.76</v>
      </c>
      <c r="AF148" s="136">
        <f t="shared" si="41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40"/>
        <v>0</v>
      </c>
      <c r="E149" s="136">
        <f t="shared" si="40"/>
        <v>0</v>
      </c>
      <c r="F149" s="136">
        <f t="shared" si="40"/>
        <v>0</v>
      </c>
      <c r="G149" s="136">
        <f t="shared" si="40"/>
        <v>0</v>
      </c>
      <c r="H149" s="136">
        <f t="shared" si="40"/>
        <v>0</v>
      </c>
      <c r="I149" s="136">
        <f t="shared" si="40"/>
        <v>0</v>
      </c>
      <c r="J149" s="136">
        <f t="shared" si="40"/>
        <v>0</v>
      </c>
      <c r="K149" s="136">
        <f t="shared" si="40"/>
        <v>0</v>
      </c>
      <c r="L149" s="136">
        <f t="shared" si="40"/>
        <v>0</v>
      </c>
      <c r="M149" s="136">
        <f t="shared" si="40"/>
        <v>0</v>
      </c>
      <c r="N149" s="136">
        <f t="shared" si="40"/>
        <v>0</v>
      </c>
      <c r="O149" s="136">
        <f t="shared" si="40"/>
        <v>0</v>
      </c>
      <c r="P149" s="136">
        <f t="shared" si="40"/>
        <v>0</v>
      </c>
      <c r="Q149" s="136">
        <f t="shared" si="40"/>
        <v>0</v>
      </c>
      <c r="R149" s="136">
        <f t="shared" si="40"/>
        <v>0</v>
      </c>
      <c r="S149" s="136">
        <f t="shared" si="40"/>
        <v>0</v>
      </c>
      <c r="T149" s="136">
        <f t="shared" si="41"/>
        <v>0</v>
      </c>
      <c r="U149" s="136">
        <f t="shared" si="41"/>
        <v>0</v>
      </c>
      <c r="V149" s="136">
        <f t="shared" si="41"/>
        <v>0</v>
      </c>
      <c r="W149" s="136">
        <f t="shared" si="41"/>
        <v>0</v>
      </c>
      <c r="X149" s="136">
        <f t="shared" si="41"/>
        <v>0</v>
      </c>
      <c r="Y149" s="136">
        <f t="shared" si="41"/>
        <v>0</v>
      </c>
      <c r="Z149" s="136">
        <f t="shared" si="41"/>
        <v>0</v>
      </c>
      <c r="AA149" s="136">
        <f t="shared" si="41"/>
        <v>0</v>
      </c>
      <c r="AB149" s="136">
        <f t="shared" si="41"/>
        <v>0</v>
      </c>
      <c r="AC149" s="136">
        <f t="shared" si="41"/>
        <v>0</v>
      </c>
      <c r="AD149" s="136">
        <f t="shared" si="41"/>
        <v>0</v>
      </c>
      <c r="AE149" s="136">
        <f t="shared" si="41"/>
        <v>0</v>
      </c>
      <c r="AF149" s="136">
        <f t="shared" si="41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42">C151</f>
        <v>0.1</v>
      </c>
      <c r="E151" s="136">
        <f t="shared" si="42"/>
        <v>0.1</v>
      </c>
      <c r="F151" s="136">
        <f t="shared" si="42"/>
        <v>0.1</v>
      </c>
      <c r="G151" s="136">
        <f t="shared" si="42"/>
        <v>0.1</v>
      </c>
      <c r="H151" s="136">
        <f t="shared" si="42"/>
        <v>0.1</v>
      </c>
      <c r="I151" s="136">
        <f t="shared" si="42"/>
        <v>0.1</v>
      </c>
      <c r="J151" s="136">
        <f t="shared" si="42"/>
        <v>0.1</v>
      </c>
      <c r="K151" s="136">
        <f t="shared" si="42"/>
        <v>0.1</v>
      </c>
      <c r="L151" s="136">
        <f t="shared" si="42"/>
        <v>0.1</v>
      </c>
      <c r="M151" s="136">
        <f t="shared" si="42"/>
        <v>0.1</v>
      </c>
      <c r="N151" s="136">
        <f t="shared" si="42"/>
        <v>0.1</v>
      </c>
      <c r="O151" s="136">
        <f t="shared" si="42"/>
        <v>0.1</v>
      </c>
      <c r="P151" s="136">
        <f t="shared" si="42"/>
        <v>0.1</v>
      </c>
      <c r="Q151" s="136">
        <f t="shared" si="42"/>
        <v>0.1</v>
      </c>
      <c r="R151" s="136">
        <f t="shared" si="42"/>
        <v>0.1</v>
      </c>
      <c r="S151" s="136">
        <f t="shared" si="42"/>
        <v>0.1</v>
      </c>
      <c r="T151" s="136">
        <f t="shared" ref="T151:AF154" si="43">S151</f>
        <v>0.1</v>
      </c>
      <c r="U151" s="136">
        <f t="shared" si="43"/>
        <v>0.1</v>
      </c>
      <c r="V151" s="136">
        <f t="shared" si="43"/>
        <v>0.1</v>
      </c>
      <c r="W151" s="136">
        <f t="shared" si="43"/>
        <v>0.1</v>
      </c>
      <c r="X151" s="136">
        <f t="shared" si="43"/>
        <v>0.1</v>
      </c>
      <c r="Y151" s="136">
        <f t="shared" si="43"/>
        <v>0.1</v>
      </c>
      <c r="Z151" s="136">
        <f t="shared" si="43"/>
        <v>0.1</v>
      </c>
      <c r="AA151" s="136">
        <f t="shared" si="43"/>
        <v>0.1</v>
      </c>
      <c r="AB151" s="136">
        <f t="shared" si="43"/>
        <v>0.1</v>
      </c>
      <c r="AC151" s="136">
        <f t="shared" si="43"/>
        <v>0.1</v>
      </c>
      <c r="AD151" s="136">
        <f t="shared" si="43"/>
        <v>0.1</v>
      </c>
      <c r="AE151" s="136">
        <f t="shared" si="43"/>
        <v>0.1</v>
      </c>
      <c r="AF151" s="136">
        <f t="shared" si="43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42"/>
        <v>2.0499999999999998</v>
      </c>
      <c r="E152" s="136">
        <f t="shared" si="42"/>
        <v>2.0499999999999998</v>
      </c>
      <c r="F152" s="136">
        <f t="shared" si="42"/>
        <v>2.0499999999999998</v>
      </c>
      <c r="G152" s="136">
        <f t="shared" si="42"/>
        <v>2.0499999999999998</v>
      </c>
      <c r="H152" s="136">
        <f t="shared" si="42"/>
        <v>2.0499999999999998</v>
      </c>
      <c r="I152" s="136">
        <f t="shared" si="42"/>
        <v>2.0499999999999998</v>
      </c>
      <c r="J152" s="136">
        <f t="shared" si="42"/>
        <v>2.0499999999999998</v>
      </c>
      <c r="K152" s="136">
        <f t="shared" si="42"/>
        <v>2.0499999999999998</v>
      </c>
      <c r="L152" s="136">
        <f t="shared" si="42"/>
        <v>2.0499999999999998</v>
      </c>
      <c r="M152" s="136">
        <f t="shared" si="42"/>
        <v>2.0499999999999998</v>
      </c>
      <c r="N152" s="136">
        <f t="shared" si="42"/>
        <v>2.0499999999999998</v>
      </c>
      <c r="O152" s="136">
        <f t="shared" si="42"/>
        <v>2.0499999999999998</v>
      </c>
      <c r="P152" s="136">
        <f t="shared" si="42"/>
        <v>2.0499999999999998</v>
      </c>
      <c r="Q152" s="136">
        <f t="shared" si="42"/>
        <v>2.0499999999999998</v>
      </c>
      <c r="R152" s="136">
        <f t="shared" si="42"/>
        <v>2.0499999999999998</v>
      </c>
      <c r="S152" s="136">
        <f t="shared" si="42"/>
        <v>2.0499999999999998</v>
      </c>
      <c r="T152" s="136">
        <f t="shared" si="43"/>
        <v>2.0499999999999998</v>
      </c>
      <c r="U152" s="136">
        <f t="shared" si="43"/>
        <v>2.0499999999999998</v>
      </c>
      <c r="V152" s="136">
        <f t="shared" si="43"/>
        <v>2.0499999999999998</v>
      </c>
      <c r="W152" s="136">
        <f t="shared" si="43"/>
        <v>2.0499999999999998</v>
      </c>
      <c r="X152" s="136">
        <f t="shared" si="43"/>
        <v>2.0499999999999998</v>
      </c>
      <c r="Y152" s="136">
        <f t="shared" si="43"/>
        <v>2.0499999999999998</v>
      </c>
      <c r="Z152" s="136">
        <f t="shared" si="43"/>
        <v>2.0499999999999998</v>
      </c>
      <c r="AA152" s="136">
        <f t="shared" si="43"/>
        <v>2.0499999999999998</v>
      </c>
      <c r="AB152" s="136">
        <f t="shared" si="43"/>
        <v>2.0499999999999998</v>
      </c>
      <c r="AC152" s="136">
        <f t="shared" si="43"/>
        <v>2.0499999999999998</v>
      </c>
      <c r="AD152" s="136">
        <f t="shared" si="43"/>
        <v>2.0499999999999998</v>
      </c>
      <c r="AE152" s="136">
        <f t="shared" si="43"/>
        <v>2.0499999999999998</v>
      </c>
      <c r="AF152" s="136">
        <f t="shared" si="43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42"/>
        <v>2.7</v>
      </c>
      <c r="E153" s="136">
        <f t="shared" si="42"/>
        <v>2.7</v>
      </c>
      <c r="F153" s="136">
        <f t="shared" si="42"/>
        <v>2.7</v>
      </c>
      <c r="G153" s="136">
        <f t="shared" si="42"/>
        <v>2.7</v>
      </c>
      <c r="H153" s="136">
        <f t="shared" si="42"/>
        <v>2.7</v>
      </c>
      <c r="I153" s="136">
        <f t="shared" si="42"/>
        <v>2.7</v>
      </c>
      <c r="J153" s="136">
        <f t="shared" si="42"/>
        <v>2.7</v>
      </c>
      <c r="K153" s="136">
        <f t="shared" si="42"/>
        <v>2.7</v>
      </c>
      <c r="L153" s="136">
        <f t="shared" si="42"/>
        <v>2.7</v>
      </c>
      <c r="M153" s="136">
        <f t="shared" si="42"/>
        <v>2.7</v>
      </c>
      <c r="N153" s="136">
        <f t="shared" si="42"/>
        <v>2.7</v>
      </c>
      <c r="O153" s="136">
        <f t="shared" si="42"/>
        <v>2.7</v>
      </c>
      <c r="P153" s="136">
        <f t="shared" si="42"/>
        <v>2.7</v>
      </c>
      <c r="Q153" s="136">
        <f t="shared" si="42"/>
        <v>2.7</v>
      </c>
      <c r="R153" s="136">
        <f t="shared" si="42"/>
        <v>2.7</v>
      </c>
      <c r="S153" s="136">
        <f t="shared" si="42"/>
        <v>2.7</v>
      </c>
      <c r="T153" s="136">
        <f t="shared" si="43"/>
        <v>2.7</v>
      </c>
      <c r="U153" s="136">
        <f t="shared" si="43"/>
        <v>2.7</v>
      </c>
      <c r="V153" s="136">
        <f t="shared" si="43"/>
        <v>2.7</v>
      </c>
      <c r="W153" s="136">
        <f t="shared" si="43"/>
        <v>2.7</v>
      </c>
      <c r="X153" s="136">
        <f t="shared" si="43"/>
        <v>2.7</v>
      </c>
      <c r="Y153" s="136">
        <f t="shared" si="43"/>
        <v>2.7</v>
      </c>
      <c r="Z153" s="136">
        <f t="shared" si="43"/>
        <v>2.7</v>
      </c>
      <c r="AA153" s="136">
        <f t="shared" si="43"/>
        <v>2.7</v>
      </c>
      <c r="AB153" s="136">
        <f t="shared" si="43"/>
        <v>2.7</v>
      </c>
      <c r="AC153" s="136">
        <f t="shared" si="43"/>
        <v>2.7</v>
      </c>
      <c r="AD153" s="136">
        <f t="shared" si="43"/>
        <v>2.7</v>
      </c>
      <c r="AE153" s="136">
        <f t="shared" si="43"/>
        <v>2.7</v>
      </c>
      <c r="AF153" s="136">
        <f t="shared" si="43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42"/>
        <v>2.15</v>
      </c>
      <c r="E154" s="136">
        <f t="shared" si="42"/>
        <v>2.15</v>
      </c>
      <c r="F154" s="136">
        <f t="shared" si="42"/>
        <v>2.15</v>
      </c>
      <c r="G154" s="136">
        <f t="shared" si="42"/>
        <v>2.15</v>
      </c>
      <c r="H154" s="136">
        <f t="shared" si="42"/>
        <v>2.15</v>
      </c>
      <c r="I154" s="136">
        <f t="shared" si="42"/>
        <v>2.15</v>
      </c>
      <c r="J154" s="136">
        <f t="shared" si="42"/>
        <v>2.15</v>
      </c>
      <c r="K154" s="136">
        <f t="shared" si="42"/>
        <v>2.15</v>
      </c>
      <c r="L154" s="136">
        <f t="shared" si="42"/>
        <v>2.15</v>
      </c>
      <c r="M154" s="136">
        <f t="shared" si="42"/>
        <v>2.15</v>
      </c>
      <c r="N154" s="136">
        <f t="shared" si="42"/>
        <v>2.15</v>
      </c>
      <c r="O154" s="136">
        <f t="shared" si="42"/>
        <v>2.15</v>
      </c>
      <c r="P154" s="136">
        <f t="shared" si="42"/>
        <v>2.15</v>
      </c>
      <c r="Q154" s="136">
        <f t="shared" si="42"/>
        <v>2.15</v>
      </c>
      <c r="R154" s="136">
        <f t="shared" si="42"/>
        <v>2.15</v>
      </c>
      <c r="S154" s="136">
        <f t="shared" si="42"/>
        <v>2.15</v>
      </c>
      <c r="T154" s="136">
        <f t="shared" si="43"/>
        <v>2.15</v>
      </c>
      <c r="U154" s="136">
        <f t="shared" si="43"/>
        <v>2.15</v>
      </c>
      <c r="V154" s="136">
        <f t="shared" si="43"/>
        <v>2.15</v>
      </c>
      <c r="W154" s="136">
        <f t="shared" si="43"/>
        <v>2.15</v>
      </c>
      <c r="X154" s="136">
        <f t="shared" si="43"/>
        <v>2.15</v>
      </c>
      <c r="Y154" s="136">
        <f t="shared" si="43"/>
        <v>2.15</v>
      </c>
      <c r="Z154" s="136">
        <f t="shared" si="43"/>
        <v>2.15</v>
      </c>
      <c r="AA154" s="136">
        <f t="shared" si="43"/>
        <v>2.15</v>
      </c>
      <c r="AB154" s="136">
        <f t="shared" si="43"/>
        <v>2.15</v>
      </c>
      <c r="AC154" s="136">
        <f t="shared" si="43"/>
        <v>2.15</v>
      </c>
      <c r="AD154" s="136">
        <f t="shared" si="43"/>
        <v>2.15</v>
      </c>
      <c r="AE154" s="136">
        <f t="shared" si="43"/>
        <v>2.15</v>
      </c>
      <c r="AF154" s="136">
        <f t="shared" si="43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44">AF156</f>
        <v>0.9</v>
      </c>
      <c r="C156" s="137">
        <v>0.9</v>
      </c>
      <c r="D156" s="136">
        <f t="shared" ref="D156:S168" si="45">C156</f>
        <v>0.9</v>
      </c>
      <c r="E156" s="136">
        <f t="shared" si="45"/>
        <v>0.9</v>
      </c>
      <c r="F156" s="136">
        <f t="shared" si="45"/>
        <v>0.9</v>
      </c>
      <c r="G156" s="136">
        <f t="shared" si="45"/>
        <v>0.9</v>
      </c>
      <c r="H156" s="136">
        <f t="shared" si="45"/>
        <v>0.9</v>
      </c>
      <c r="I156" s="136">
        <f t="shared" si="45"/>
        <v>0.9</v>
      </c>
      <c r="J156" s="136">
        <f t="shared" si="45"/>
        <v>0.9</v>
      </c>
      <c r="K156" s="136">
        <f t="shared" si="45"/>
        <v>0.9</v>
      </c>
      <c r="L156" s="136">
        <f t="shared" si="45"/>
        <v>0.9</v>
      </c>
      <c r="M156" s="136">
        <f t="shared" si="45"/>
        <v>0.9</v>
      </c>
      <c r="N156" s="136">
        <f t="shared" si="45"/>
        <v>0.9</v>
      </c>
      <c r="O156" s="136">
        <f t="shared" si="45"/>
        <v>0.9</v>
      </c>
      <c r="P156" s="136">
        <f t="shared" si="45"/>
        <v>0.9</v>
      </c>
      <c r="Q156" s="136">
        <f t="shared" si="45"/>
        <v>0.9</v>
      </c>
      <c r="R156" s="136">
        <f t="shared" si="45"/>
        <v>0.9</v>
      </c>
      <c r="S156" s="136">
        <f t="shared" si="45"/>
        <v>0.9</v>
      </c>
      <c r="T156" s="136">
        <f t="shared" ref="S156:AF168" si="46">S156</f>
        <v>0.9</v>
      </c>
      <c r="U156" s="136">
        <f t="shared" si="46"/>
        <v>0.9</v>
      </c>
      <c r="V156" s="136">
        <f t="shared" si="46"/>
        <v>0.9</v>
      </c>
      <c r="W156" s="136">
        <f t="shared" si="46"/>
        <v>0.9</v>
      </c>
      <c r="X156" s="136">
        <f t="shared" si="46"/>
        <v>0.9</v>
      </c>
      <c r="Y156" s="136">
        <f t="shared" si="46"/>
        <v>0.9</v>
      </c>
      <c r="Z156" s="136">
        <f t="shared" si="46"/>
        <v>0.9</v>
      </c>
      <c r="AA156" s="136">
        <f t="shared" si="46"/>
        <v>0.9</v>
      </c>
      <c r="AB156" s="136">
        <f t="shared" si="46"/>
        <v>0.9</v>
      </c>
      <c r="AC156" s="136">
        <f t="shared" si="46"/>
        <v>0.9</v>
      </c>
      <c r="AD156" s="136">
        <f t="shared" si="46"/>
        <v>0.9</v>
      </c>
      <c r="AE156" s="136">
        <f t="shared" si="46"/>
        <v>0.9</v>
      </c>
      <c r="AF156" s="136">
        <f t="shared" si="46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44"/>
        <v>1.08</v>
      </c>
      <c r="C157" s="137">
        <v>1.08</v>
      </c>
      <c r="D157" s="136">
        <f t="shared" si="45"/>
        <v>1.08</v>
      </c>
      <c r="E157" s="136">
        <f t="shared" si="45"/>
        <v>1.08</v>
      </c>
      <c r="F157" s="136">
        <f t="shared" si="45"/>
        <v>1.08</v>
      </c>
      <c r="G157" s="136">
        <f t="shared" si="45"/>
        <v>1.08</v>
      </c>
      <c r="H157" s="136">
        <f t="shared" si="45"/>
        <v>1.08</v>
      </c>
      <c r="I157" s="136">
        <f t="shared" si="45"/>
        <v>1.08</v>
      </c>
      <c r="J157" s="136">
        <f t="shared" si="45"/>
        <v>1.08</v>
      </c>
      <c r="K157" s="136">
        <f t="shared" si="45"/>
        <v>1.08</v>
      </c>
      <c r="L157" s="136">
        <f t="shared" si="45"/>
        <v>1.08</v>
      </c>
      <c r="M157" s="136">
        <f t="shared" si="45"/>
        <v>1.08</v>
      </c>
      <c r="N157" s="136">
        <f t="shared" si="45"/>
        <v>1.08</v>
      </c>
      <c r="O157" s="136">
        <f t="shared" si="45"/>
        <v>1.08</v>
      </c>
      <c r="P157" s="136">
        <f t="shared" si="45"/>
        <v>1.08</v>
      </c>
      <c r="Q157" s="136">
        <f t="shared" si="45"/>
        <v>1.08</v>
      </c>
      <c r="R157" s="136">
        <f t="shared" si="45"/>
        <v>1.08</v>
      </c>
      <c r="S157" s="136">
        <f t="shared" si="45"/>
        <v>1.08</v>
      </c>
      <c r="T157" s="136">
        <f t="shared" si="46"/>
        <v>1.08</v>
      </c>
      <c r="U157" s="136">
        <f t="shared" si="46"/>
        <v>1.08</v>
      </c>
      <c r="V157" s="136">
        <f t="shared" si="46"/>
        <v>1.08</v>
      </c>
      <c r="W157" s="136">
        <f t="shared" si="46"/>
        <v>1.08</v>
      </c>
      <c r="X157" s="136">
        <f t="shared" si="46"/>
        <v>1.08</v>
      </c>
      <c r="Y157" s="136">
        <f t="shared" si="46"/>
        <v>1.08</v>
      </c>
      <c r="Z157" s="136">
        <f t="shared" si="46"/>
        <v>1.08</v>
      </c>
      <c r="AA157" s="136">
        <f t="shared" si="46"/>
        <v>1.08</v>
      </c>
      <c r="AB157" s="136">
        <f t="shared" si="46"/>
        <v>1.08</v>
      </c>
      <c r="AC157" s="136">
        <f t="shared" si="46"/>
        <v>1.08</v>
      </c>
      <c r="AD157" s="136">
        <f t="shared" si="46"/>
        <v>1.08</v>
      </c>
      <c r="AE157" s="136">
        <f t="shared" si="46"/>
        <v>1.08</v>
      </c>
      <c r="AF157" s="136">
        <f t="shared" si="46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44"/>
        <v>2.37</v>
      </c>
      <c r="C158" s="137">
        <v>2.37</v>
      </c>
      <c r="D158" s="136">
        <f t="shared" si="45"/>
        <v>2.37</v>
      </c>
      <c r="E158" s="136">
        <f t="shared" si="45"/>
        <v>2.37</v>
      </c>
      <c r="F158" s="136">
        <f t="shared" si="45"/>
        <v>2.37</v>
      </c>
      <c r="G158" s="136">
        <f t="shared" si="45"/>
        <v>2.37</v>
      </c>
      <c r="H158" s="136">
        <f t="shared" si="45"/>
        <v>2.37</v>
      </c>
      <c r="I158" s="136">
        <f t="shared" si="45"/>
        <v>2.37</v>
      </c>
      <c r="J158" s="136">
        <f t="shared" si="45"/>
        <v>2.37</v>
      </c>
      <c r="K158" s="136">
        <f t="shared" si="45"/>
        <v>2.37</v>
      </c>
      <c r="L158" s="136">
        <f t="shared" si="45"/>
        <v>2.37</v>
      </c>
      <c r="M158" s="136">
        <f t="shared" si="45"/>
        <v>2.37</v>
      </c>
      <c r="N158" s="136">
        <f t="shared" si="45"/>
        <v>2.37</v>
      </c>
      <c r="O158" s="136">
        <f t="shared" si="45"/>
        <v>2.37</v>
      </c>
      <c r="P158" s="136">
        <f t="shared" si="45"/>
        <v>2.37</v>
      </c>
      <c r="Q158" s="136">
        <f t="shared" si="45"/>
        <v>2.37</v>
      </c>
      <c r="R158" s="136">
        <f t="shared" si="45"/>
        <v>2.37</v>
      </c>
      <c r="S158" s="136">
        <f t="shared" si="45"/>
        <v>2.37</v>
      </c>
      <c r="T158" s="136">
        <f t="shared" si="46"/>
        <v>2.37</v>
      </c>
      <c r="U158" s="136">
        <f t="shared" si="46"/>
        <v>2.37</v>
      </c>
      <c r="V158" s="136">
        <f t="shared" si="46"/>
        <v>2.37</v>
      </c>
      <c r="W158" s="136">
        <f t="shared" si="46"/>
        <v>2.37</v>
      </c>
      <c r="X158" s="136">
        <f t="shared" si="46"/>
        <v>2.37</v>
      </c>
      <c r="Y158" s="136">
        <f t="shared" si="46"/>
        <v>2.37</v>
      </c>
      <c r="Z158" s="136">
        <f t="shared" si="46"/>
        <v>2.37</v>
      </c>
      <c r="AA158" s="136">
        <f t="shared" si="46"/>
        <v>2.37</v>
      </c>
      <c r="AB158" s="136">
        <f t="shared" si="46"/>
        <v>2.37</v>
      </c>
      <c r="AC158" s="136">
        <f t="shared" si="46"/>
        <v>2.37</v>
      </c>
      <c r="AD158" s="136">
        <f t="shared" si="46"/>
        <v>2.37</v>
      </c>
      <c r="AE158" s="136">
        <f t="shared" si="46"/>
        <v>2.37</v>
      </c>
      <c r="AF158" s="136">
        <f t="shared" si="46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44"/>
        <v>1.81</v>
      </c>
      <c r="C159" s="137">
        <v>1.81</v>
      </c>
      <c r="D159" s="136">
        <f t="shared" si="45"/>
        <v>1.81</v>
      </c>
      <c r="E159" s="136">
        <f t="shared" si="45"/>
        <v>1.81</v>
      </c>
      <c r="F159" s="136">
        <f t="shared" si="45"/>
        <v>1.81</v>
      </c>
      <c r="G159" s="136">
        <f t="shared" si="45"/>
        <v>1.81</v>
      </c>
      <c r="H159" s="136">
        <f t="shared" si="45"/>
        <v>1.81</v>
      </c>
      <c r="I159" s="136">
        <f t="shared" si="45"/>
        <v>1.81</v>
      </c>
      <c r="J159" s="136">
        <f t="shared" si="45"/>
        <v>1.81</v>
      </c>
      <c r="K159" s="136">
        <f t="shared" si="45"/>
        <v>1.81</v>
      </c>
      <c r="L159" s="136">
        <f t="shared" si="45"/>
        <v>1.81</v>
      </c>
      <c r="M159" s="136">
        <f t="shared" si="45"/>
        <v>1.81</v>
      </c>
      <c r="N159" s="136">
        <f t="shared" si="45"/>
        <v>1.81</v>
      </c>
      <c r="O159" s="136">
        <f t="shared" si="45"/>
        <v>1.81</v>
      </c>
      <c r="P159" s="136">
        <f t="shared" si="45"/>
        <v>1.81</v>
      </c>
      <c r="Q159" s="136">
        <f t="shared" si="45"/>
        <v>1.81</v>
      </c>
      <c r="R159" s="136">
        <f t="shared" si="45"/>
        <v>1.81</v>
      </c>
      <c r="S159" s="136">
        <f t="shared" si="45"/>
        <v>1.81</v>
      </c>
      <c r="T159" s="136">
        <f t="shared" si="46"/>
        <v>1.81</v>
      </c>
      <c r="U159" s="136">
        <f t="shared" si="46"/>
        <v>1.81</v>
      </c>
      <c r="V159" s="136">
        <f t="shared" si="46"/>
        <v>1.81</v>
      </c>
      <c r="W159" s="136">
        <f t="shared" si="46"/>
        <v>1.81</v>
      </c>
      <c r="X159" s="136">
        <f t="shared" si="46"/>
        <v>1.81</v>
      </c>
      <c r="Y159" s="136">
        <f t="shared" si="46"/>
        <v>1.81</v>
      </c>
      <c r="Z159" s="136">
        <f t="shared" si="46"/>
        <v>1.81</v>
      </c>
      <c r="AA159" s="136">
        <f t="shared" si="46"/>
        <v>1.81</v>
      </c>
      <c r="AB159" s="136">
        <f t="shared" si="46"/>
        <v>1.81</v>
      </c>
      <c r="AC159" s="136">
        <f t="shared" si="46"/>
        <v>1.81</v>
      </c>
      <c r="AD159" s="136">
        <f t="shared" si="46"/>
        <v>1.81</v>
      </c>
      <c r="AE159" s="136">
        <f t="shared" si="46"/>
        <v>1.81</v>
      </c>
      <c r="AF159" s="136">
        <f t="shared" si="46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44"/>
        <v>1.0900000000000001</v>
      </c>
      <c r="C160" s="137">
        <v>1.0900000000000001</v>
      </c>
      <c r="D160" s="136">
        <f t="shared" si="45"/>
        <v>1.0900000000000001</v>
      </c>
      <c r="E160" s="136">
        <f t="shared" si="45"/>
        <v>1.0900000000000001</v>
      </c>
      <c r="F160" s="136">
        <f t="shared" si="45"/>
        <v>1.0900000000000001</v>
      </c>
      <c r="G160" s="136">
        <f t="shared" si="45"/>
        <v>1.0900000000000001</v>
      </c>
      <c r="H160" s="136">
        <f t="shared" si="45"/>
        <v>1.0900000000000001</v>
      </c>
      <c r="I160" s="136">
        <f t="shared" si="45"/>
        <v>1.0900000000000001</v>
      </c>
      <c r="J160" s="136">
        <f t="shared" si="45"/>
        <v>1.0900000000000001</v>
      </c>
      <c r="K160" s="136">
        <f t="shared" si="45"/>
        <v>1.0900000000000001</v>
      </c>
      <c r="L160" s="136">
        <f t="shared" si="45"/>
        <v>1.0900000000000001</v>
      </c>
      <c r="M160" s="136">
        <f t="shared" si="45"/>
        <v>1.0900000000000001</v>
      </c>
      <c r="N160" s="136">
        <f t="shared" si="45"/>
        <v>1.0900000000000001</v>
      </c>
      <c r="O160" s="136">
        <f t="shared" si="45"/>
        <v>1.0900000000000001</v>
      </c>
      <c r="P160" s="136">
        <f t="shared" si="45"/>
        <v>1.0900000000000001</v>
      </c>
      <c r="Q160" s="136">
        <f t="shared" si="45"/>
        <v>1.0900000000000001</v>
      </c>
      <c r="R160" s="136">
        <f t="shared" si="45"/>
        <v>1.0900000000000001</v>
      </c>
      <c r="S160" s="136">
        <f t="shared" si="45"/>
        <v>1.0900000000000001</v>
      </c>
      <c r="T160" s="136">
        <f t="shared" si="46"/>
        <v>1.0900000000000001</v>
      </c>
      <c r="U160" s="136">
        <f t="shared" si="46"/>
        <v>1.0900000000000001</v>
      </c>
      <c r="V160" s="136">
        <f t="shared" si="46"/>
        <v>1.0900000000000001</v>
      </c>
      <c r="W160" s="136">
        <f t="shared" si="46"/>
        <v>1.0900000000000001</v>
      </c>
      <c r="X160" s="136">
        <f t="shared" si="46"/>
        <v>1.0900000000000001</v>
      </c>
      <c r="Y160" s="136">
        <f t="shared" si="46"/>
        <v>1.0900000000000001</v>
      </c>
      <c r="Z160" s="136">
        <f t="shared" si="46"/>
        <v>1.0900000000000001</v>
      </c>
      <c r="AA160" s="136">
        <f t="shared" si="46"/>
        <v>1.0900000000000001</v>
      </c>
      <c r="AB160" s="136">
        <f t="shared" si="46"/>
        <v>1.0900000000000001</v>
      </c>
      <c r="AC160" s="136">
        <f t="shared" si="46"/>
        <v>1.0900000000000001</v>
      </c>
      <c r="AD160" s="136">
        <f t="shared" si="46"/>
        <v>1.0900000000000001</v>
      </c>
      <c r="AE160" s="136">
        <f t="shared" si="46"/>
        <v>1.0900000000000001</v>
      </c>
      <c r="AF160" s="136">
        <f t="shared" si="46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44"/>
        <v>1.58</v>
      </c>
      <c r="C161" s="137">
        <v>1.58</v>
      </c>
      <c r="D161" s="136">
        <f t="shared" si="45"/>
        <v>1.58</v>
      </c>
      <c r="E161" s="136">
        <f t="shared" si="45"/>
        <v>1.58</v>
      </c>
      <c r="F161" s="136">
        <f t="shared" si="45"/>
        <v>1.58</v>
      </c>
      <c r="G161" s="136">
        <f t="shared" si="45"/>
        <v>1.58</v>
      </c>
      <c r="H161" s="136">
        <f t="shared" si="45"/>
        <v>1.58</v>
      </c>
      <c r="I161" s="136">
        <f t="shared" si="45"/>
        <v>1.58</v>
      </c>
      <c r="J161" s="136">
        <f t="shared" si="45"/>
        <v>1.58</v>
      </c>
      <c r="K161" s="136">
        <f t="shared" si="45"/>
        <v>1.58</v>
      </c>
      <c r="L161" s="136">
        <f t="shared" si="45"/>
        <v>1.58</v>
      </c>
      <c r="M161" s="136">
        <f t="shared" si="45"/>
        <v>1.58</v>
      </c>
      <c r="N161" s="136">
        <f t="shared" si="45"/>
        <v>1.58</v>
      </c>
      <c r="O161" s="136">
        <f t="shared" si="45"/>
        <v>1.58</v>
      </c>
      <c r="P161" s="136">
        <f t="shared" si="45"/>
        <v>1.58</v>
      </c>
      <c r="Q161" s="136">
        <f t="shared" si="45"/>
        <v>1.58</v>
      </c>
      <c r="R161" s="136">
        <f t="shared" si="45"/>
        <v>1.58</v>
      </c>
      <c r="S161" s="136">
        <f t="shared" si="45"/>
        <v>1.58</v>
      </c>
      <c r="T161" s="136">
        <f t="shared" si="46"/>
        <v>1.58</v>
      </c>
      <c r="U161" s="136">
        <f t="shared" si="46"/>
        <v>1.58</v>
      </c>
      <c r="V161" s="136">
        <f t="shared" si="46"/>
        <v>1.58</v>
      </c>
      <c r="W161" s="136">
        <f t="shared" si="46"/>
        <v>1.58</v>
      </c>
      <c r="X161" s="136">
        <f t="shared" si="46"/>
        <v>1.58</v>
      </c>
      <c r="Y161" s="136">
        <f t="shared" si="46"/>
        <v>1.58</v>
      </c>
      <c r="Z161" s="136">
        <f t="shared" si="46"/>
        <v>1.58</v>
      </c>
      <c r="AA161" s="136">
        <f t="shared" si="46"/>
        <v>1.58</v>
      </c>
      <c r="AB161" s="136">
        <f t="shared" si="46"/>
        <v>1.58</v>
      </c>
      <c r="AC161" s="136">
        <f t="shared" si="46"/>
        <v>1.58</v>
      </c>
      <c r="AD161" s="136">
        <f t="shared" si="46"/>
        <v>1.58</v>
      </c>
      <c r="AE161" s="136">
        <f t="shared" si="46"/>
        <v>1.58</v>
      </c>
      <c r="AF161" s="136">
        <f t="shared" si="46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44"/>
        <v>2</v>
      </c>
      <c r="C162" s="137">
        <v>2</v>
      </c>
      <c r="D162" s="136">
        <f t="shared" si="45"/>
        <v>2</v>
      </c>
      <c r="E162" s="136">
        <f t="shared" si="45"/>
        <v>2</v>
      </c>
      <c r="F162" s="136">
        <f t="shared" si="45"/>
        <v>2</v>
      </c>
      <c r="G162" s="136">
        <f t="shared" si="45"/>
        <v>2</v>
      </c>
      <c r="H162" s="136">
        <f t="shared" si="45"/>
        <v>2</v>
      </c>
      <c r="I162" s="136">
        <f t="shared" si="45"/>
        <v>2</v>
      </c>
      <c r="J162" s="136">
        <f t="shared" si="45"/>
        <v>2</v>
      </c>
      <c r="K162" s="136">
        <f t="shared" si="45"/>
        <v>2</v>
      </c>
      <c r="L162" s="136">
        <f t="shared" si="45"/>
        <v>2</v>
      </c>
      <c r="M162" s="136">
        <f t="shared" si="45"/>
        <v>2</v>
      </c>
      <c r="N162" s="136">
        <f t="shared" si="45"/>
        <v>2</v>
      </c>
      <c r="O162" s="136">
        <f t="shared" si="45"/>
        <v>2</v>
      </c>
      <c r="P162" s="136">
        <f t="shared" si="45"/>
        <v>2</v>
      </c>
      <c r="Q162" s="136">
        <f t="shared" si="45"/>
        <v>2</v>
      </c>
      <c r="R162" s="136">
        <f t="shared" si="45"/>
        <v>2</v>
      </c>
      <c r="S162" s="136">
        <f t="shared" si="45"/>
        <v>2</v>
      </c>
      <c r="T162" s="136">
        <f t="shared" si="46"/>
        <v>2</v>
      </c>
      <c r="U162" s="136">
        <f t="shared" si="46"/>
        <v>2</v>
      </c>
      <c r="V162" s="136">
        <f t="shared" si="46"/>
        <v>2</v>
      </c>
      <c r="W162" s="136">
        <f t="shared" si="46"/>
        <v>2</v>
      </c>
      <c r="X162" s="136">
        <f t="shared" si="46"/>
        <v>2</v>
      </c>
      <c r="Y162" s="136">
        <f t="shared" si="46"/>
        <v>2</v>
      </c>
      <c r="Z162" s="136">
        <f t="shared" si="46"/>
        <v>2</v>
      </c>
      <c r="AA162" s="136">
        <f t="shared" si="46"/>
        <v>2</v>
      </c>
      <c r="AB162" s="136">
        <f t="shared" si="46"/>
        <v>2</v>
      </c>
      <c r="AC162" s="136">
        <f t="shared" si="46"/>
        <v>2</v>
      </c>
      <c r="AD162" s="136">
        <f t="shared" si="46"/>
        <v>2</v>
      </c>
      <c r="AE162" s="136">
        <f t="shared" si="46"/>
        <v>2</v>
      </c>
      <c r="AF162" s="136">
        <f t="shared" si="46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44"/>
        <v>0.47</v>
      </c>
      <c r="C163" s="137">
        <v>0.47</v>
      </c>
      <c r="D163" s="136">
        <f t="shared" si="45"/>
        <v>0.47</v>
      </c>
      <c r="E163" s="136">
        <f t="shared" si="45"/>
        <v>0.47</v>
      </c>
      <c r="F163" s="136">
        <f t="shared" si="45"/>
        <v>0.47</v>
      </c>
      <c r="G163" s="136">
        <f t="shared" si="45"/>
        <v>0.47</v>
      </c>
      <c r="H163" s="136">
        <f t="shared" si="45"/>
        <v>0.47</v>
      </c>
      <c r="I163" s="136">
        <f t="shared" si="45"/>
        <v>0.47</v>
      </c>
      <c r="J163" s="136">
        <f t="shared" si="45"/>
        <v>0.47</v>
      </c>
      <c r="K163" s="136">
        <f t="shared" si="45"/>
        <v>0.47</v>
      </c>
      <c r="L163" s="136">
        <f t="shared" si="45"/>
        <v>0.47</v>
      </c>
      <c r="M163" s="136">
        <f t="shared" si="45"/>
        <v>0.47</v>
      </c>
      <c r="N163" s="136">
        <f t="shared" si="45"/>
        <v>0.47</v>
      </c>
      <c r="O163" s="136">
        <f t="shared" si="45"/>
        <v>0.47</v>
      </c>
      <c r="P163" s="136">
        <f t="shared" si="45"/>
        <v>0.47</v>
      </c>
      <c r="Q163" s="136">
        <f t="shared" si="45"/>
        <v>0.47</v>
      </c>
      <c r="R163" s="136">
        <f t="shared" si="45"/>
        <v>0.47</v>
      </c>
      <c r="S163" s="136">
        <f t="shared" si="45"/>
        <v>0.47</v>
      </c>
      <c r="T163" s="136">
        <f t="shared" si="46"/>
        <v>0.47</v>
      </c>
      <c r="U163" s="136">
        <f t="shared" si="46"/>
        <v>0.47</v>
      </c>
      <c r="V163" s="136">
        <f t="shared" si="46"/>
        <v>0.47</v>
      </c>
      <c r="W163" s="136">
        <f t="shared" si="46"/>
        <v>0.47</v>
      </c>
      <c r="X163" s="136">
        <f t="shared" si="46"/>
        <v>0.47</v>
      </c>
      <c r="Y163" s="136">
        <f t="shared" si="46"/>
        <v>0.47</v>
      </c>
      <c r="Z163" s="136">
        <f t="shared" si="46"/>
        <v>0.47</v>
      </c>
      <c r="AA163" s="136">
        <f t="shared" si="46"/>
        <v>0.47</v>
      </c>
      <c r="AB163" s="136">
        <f t="shared" si="46"/>
        <v>0.47</v>
      </c>
      <c r="AC163" s="136">
        <f t="shared" si="46"/>
        <v>0.47</v>
      </c>
      <c r="AD163" s="136">
        <f t="shared" si="46"/>
        <v>0.47</v>
      </c>
      <c r="AE163" s="136">
        <f t="shared" si="46"/>
        <v>0.47</v>
      </c>
      <c r="AF163" s="136">
        <f t="shared" si="46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5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44"/>
        <v>0</v>
      </c>
      <c r="C165" s="137">
        <v>0</v>
      </c>
      <c r="D165" s="136">
        <f t="shared" si="45"/>
        <v>0</v>
      </c>
      <c r="E165" s="136">
        <f t="shared" si="45"/>
        <v>0</v>
      </c>
      <c r="F165" s="136">
        <f t="shared" si="45"/>
        <v>0</v>
      </c>
      <c r="G165" s="136">
        <f t="shared" si="45"/>
        <v>0</v>
      </c>
      <c r="H165" s="136">
        <f t="shared" si="45"/>
        <v>0</v>
      </c>
      <c r="I165" s="136">
        <f t="shared" si="45"/>
        <v>0</v>
      </c>
      <c r="J165" s="136">
        <f t="shared" si="45"/>
        <v>0</v>
      </c>
      <c r="K165" s="136">
        <f t="shared" si="45"/>
        <v>0</v>
      </c>
      <c r="L165" s="136">
        <f t="shared" si="45"/>
        <v>0</v>
      </c>
      <c r="M165" s="136">
        <f t="shared" si="45"/>
        <v>0</v>
      </c>
      <c r="N165" s="136">
        <f t="shared" si="45"/>
        <v>0</v>
      </c>
      <c r="O165" s="136">
        <f t="shared" si="45"/>
        <v>0</v>
      </c>
      <c r="P165" s="136">
        <f t="shared" si="45"/>
        <v>0</v>
      </c>
      <c r="Q165" s="136">
        <f t="shared" si="45"/>
        <v>0</v>
      </c>
      <c r="R165" s="136">
        <f t="shared" si="45"/>
        <v>0</v>
      </c>
      <c r="S165" s="136">
        <f t="shared" si="46"/>
        <v>0</v>
      </c>
      <c r="T165" s="136">
        <f t="shared" si="46"/>
        <v>0</v>
      </c>
      <c r="U165" s="136">
        <f t="shared" si="46"/>
        <v>0</v>
      </c>
      <c r="V165" s="136">
        <f t="shared" si="46"/>
        <v>0</v>
      </c>
      <c r="W165" s="136">
        <f t="shared" si="46"/>
        <v>0</v>
      </c>
      <c r="X165" s="136">
        <f t="shared" si="46"/>
        <v>0</v>
      </c>
      <c r="Y165" s="136">
        <f t="shared" si="46"/>
        <v>0</v>
      </c>
      <c r="Z165" s="136">
        <f t="shared" si="46"/>
        <v>0</v>
      </c>
      <c r="AA165" s="136">
        <f t="shared" si="46"/>
        <v>0</v>
      </c>
      <c r="AB165" s="136">
        <f t="shared" si="46"/>
        <v>0</v>
      </c>
      <c r="AC165" s="136">
        <f t="shared" si="46"/>
        <v>0</v>
      </c>
      <c r="AD165" s="136">
        <f t="shared" si="46"/>
        <v>0</v>
      </c>
      <c r="AE165" s="136">
        <f t="shared" si="46"/>
        <v>0</v>
      </c>
      <c r="AF165" s="136">
        <f t="shared" si="46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44"/>
        <v>0.8</v>
      </c>
      <c r="C166" s="137">
        <v>0.8</v>
      </c>
      <c r="D166" s="136">
        <f t="shared" si="45"/>
        <v>0.8</v>
      </c>
      <c r="E166" s="136">
        <f t="shared" si="45"/>
        <v>0.8</v>
      </c>
      <c r="F166" s="136">
        <f t="shared" si="45"/>
        <v>0.8</v>
      </c>
      <c r="G166" s="136">
        <f t="shared" si="45"/>
        <v>0.8</v>
      </c>
      <c r="H166" s="136">
        <f t="shared" si="45"/>
        <v>0.8</v>
      </c>
      <c r="I166" s="136">
        <f t="shared" si="45"/>
        <v>0.8</v>
      </c>
      <c r="J166" s="136">
        <f t="shared" si="45"/>
        <v>0.8</v>
      </c>
      <c r="K166" s="136">
        <f t="shared" si="45"/>
        <v>0.8</v>
      </c>
      <c r="L166" s="136">
        <f t="shared" si="45"/>
        <v>0.8</v>
      </c>
      <c r="M166" s="136">
        <f t="shared" si="45"/>
        <v>0.8</v>
      </c>
      <c r="N166" s="136">
        <f t="shared" si="45"/>
        <v>0.8</v>
      </c>
      <c r="O166" s="136">
        <f t="shared" si="45"/>
        <v>0.8</v>
      </c>
      <c r="P166" s="136">
        <f t="shared" si="45"/>
        <v>0.8</v>
      </c>
      <c r="Q166" s="136">
        <f t="shared" si="45"/>
        <v>0.8</v>
      </c>
      <c r="R166" s="136">
        <f t="shared" si="45"/>
        <v>0.8</v>
      </c>
      <c r="S166" s="136">
        <f t="shared" si="46"/>
        <v>0.8</v>
      </c>
      <c r="T166" s="136">
        <f t="shared" si="46"/>
        <v>0.8</v>
      </c>
      <c r="U166" s="136">
        <f t="shared" si="46"/>
        <v>0.8</v>
      </c>
      <c r="V166" s="136">
        <f t="shared" si="46"/>
        <v>0.8</v>
      </c>
      <c r="W166" s="136">
        <f t="shared" si="46"/>
        <v>0.8</v>
      </c>
      <c r="X166" s="136">
        <f t="shared" si="46"/>
        <v>0.8</v>
      </c>
      <c r="Y166" s="136">
        <f t="shared" si="46"/>
        <v>0.8</v>
      </c>
      <c r="Z166" s="136">
        <f t="shared" si="46"/>
        <v>0.8</v>
      </c>
      <c r="AA166" s="136">
        <f t="shared" si="46"/>
        <v>0.8</v>
      </c>
      <c r="AB166" s="136">
        <f t="shared" si="46"/>
        <v>0.8</v>
      </c>
      <c r="AC166" s="136">
        <f t="shared" si="46"/>
        <v>0.8</v>
      </c>
      <c r="AD166" s="136">
        <f t="shared" si="46"/>
        <v>0.8</v>
      </c>
      <c r="AE166" s="136">
        <f t="shared" si="46"/>
        <v>0.8</v>
      </c>
      <c r="AF166" s="136">
        <f t="shared" si="46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44"/>
        <v>1.5</v>
      </c>
      <c r="C167" s="137">
        <v>1.5</v>
      </c>
      <c r="D167" s="136">
        <f t="shared" si="45"/>
        <v>1.5</v>
      </c>
      <c r="E167" s="136">
        <f t="shared" si="45"/>
        <v>1.5</v>
      </c>
      <c r="F167" s="136">
        <f t="shared" si="45"/>
        <v>1.5</v>
      </c>
      <c r="G167" s="136">
        <f t="shared" si="45"/>
        <v>1.5</v>
      </c>
      <c r="H167" s="136">
        <f t="shared" si="45"/>
        <v>1.5</v>
      </c>
      <c r="I167" s="136">
        <f t="shared" si="45"/>
        <v>1.5</v>
      </c>
      <c r="J167" s="136">
        <f t="shared" si="45"/>
        <v>1.5</v>
      </c>
      <c r="K167" s="136">
        <f t="shared" si="45"/>
        <v>1.5</v>
      </c>
      <c r="L167" s="136">
        <f t="shared" si="45"/>
        <v>1.5</v>
      </c>
      <c r="M167" s="136">
        <f t="shared" si="45"/>
        <v>1.5</v>
      </c>
      <c r="N167" s="136">
        <f t="shared" si="45"/>
        <v>1.5</v>
      </c>
      <c r="O167" s="136">
        <f t="shared" si="45"/>
        <v>1.5</v>
      </c>
      <c r="P167" s="136">
        <f t="shared" si="45"/>
        <v>1.5</v>
      </c>
      <c r="Q167" s="136">
        <f t="shared" si="45"/>
        <v>1.5</v>
      </c>
      <c r="R167" s="136">
        <f t="shared" si="45"/>
        <v>1.5</v>
      </c>
      <c r="S167" s="136">
        <f t="shared" si="46"/>
        <v>1.5</v>
      </c>
      <c r="T167" s="136">
        <f t="shared" si="46"/>
        <v>1.5</v>
      </c>
      <c r="U167" s="136">
        <f t="shared" si="46"/>
        <v>1.5</v>
      </c>
      <c r="V167" s="136">
        <f t="shared" si="46"/>
        <v>1.5</v>
      </c>
      <c r="W167" s="136">
        <f t="shared" si="46"/>
        <v>1.5</v>
      </c>
      <c r="X167" s="136">
        <f t="shared" si="46"/>
        <v>1.5</v>
      </c>
      <c r="Y167" s="136">
        <f t="shared" si="46"/>
        <v>1.5</v>
      </c>
      <c r="Z167" s="136">
        <f t="shared" si="46"/>
        <v>1.5</v>
      </c>
      <c r="AA167" s="136">
        <f t="shared" si="46"/>
        <v>1.5</v>
      </c>
      <c r="AB167" s="136">
        <f t="shared" si="46"/>
        <v>1.5</v>
      </c>
      <c r="AC167" s="136">
        <f t="shared" si="46"/>
        <v>1.5</v>
      </c>
      <c r="AD167" s="136">
        <f t="shared" si="46"/>
        <v>1.5</v>
      </c>
      <c r="AE167" s="136">
        <f t="shared" si="46"/>
        <v>1.5</v>
      </c>
      <c r="AF167" s="136">
        <f t="shared" si="46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44"/>
        <v>1</v>
      </c>
      <c r="C168" s="137">
        <v>1</v>
      </c>
      <c r="D168" s="136">
        <f t="shared" si="45"/>
        <v>1</v>
      </c>
      <c r="E168" s="136">
        <f t="shared" si="45"/>
        <v>1</v>
      </c>
      <c r="F168" s="136">
        <f t="shared" si="45"/>
        <v>1</v>
      </c>
      <c r="G168" s="136">
        <f t="shared" si="45"/>
        <v>1</v>
      </c>
      <c r="H168" s="136">
        <f t="shared" si="45"/>
        <v>1</v>
      </c>
      <c r="I168" s="136">
        <f t="shared" si="45"/>
        <v>1</v>
      </c>
      <c r="J168" s="136">
        <f t="shared" si="45"/>
        <v>1</v>
      </c>
      <c r="K168" s="136">
        <f t="shared" si="45"/>
        <v>1</v>
      </c>
      <c r="L168" s="136">
        <f t="shared" si="45"/>
        <v>1</v>
      </c>
      <c r="M168" s="136">
        <f t="shared" si="45"/>
        <v>1</v>
      </c>
      <c r="N168" s="136">
        <f t="shared" si="45"/>
        <v>1</v>
      </c>
      <c r="O168" s="136">
        <f t="shared" si="45"/>
        <v>1</v>
      </c>
      <c r="P168" s="136">
        <f t="shared" si="45"/>
        <v>1</v>
      </c>
      <c r="Q168" s="136">
        <f t="shared" si="45"/>
        <v>1</v>
      </c>
      <c r="R168" s="136">
        <f t="shared" si="45"/>
        <v>1</v>
      </c>
      <c r="S168" s="136">
        <f t="shared" si="46"/>
        <v>1</v>
      </c>
      <c r="T168" s="136">
        <f t="shared" si="46"/>
        <v>1</v>
      </c>
      <c r="U168" s="136">
        <f t="shared" si="46"/>
        <v>1</v>
      </c>
      <c r="V168" s="136">
        <f t="shared" si="46"/>
        <v>1</v>
      </c>
      <c r="W168" s="136">
        <f t="shared" si="46"/>
        <v>1</v>
      </c>
      <c r="X168" s="136">
        <f t="shared" si="46"/>
        <v>1</v>
      </c>
      <c r="Y168" s="136">
        <f t="shared" si="46"/>
        <v>1</v>
      </c>
      <c r="Z168" s="136">
        <f t="shared" si="46"/>
        <v>1</v>
      </c>
      <c r="AA168" s="136">
        <f t="shared" si="46"/>
        <v>1</v>
      </c>
      <c r="AB168" s="136">
        <f t="shared" si="46"/>
        <v>1</v>
      </c>
      <c r="AC168" s="136">
        <f t="shared" si="46"/>
        <v>1</v>
      </c>
      <c r="AD168" s="136">
        <f t="shared" si="46"/>
        <v>1</v>
      </c>
      <c r="AE168" s="136">
        <f t="shared" si="46"/>
        <v>1</v>
      </c>
      <c r="AF168" s="136">
        <f t="shared" si="46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47">AF170</f>
        <v>1</v>
      </c>
      <c r="C170" s="137">
        <v>1</v>
      </c>
      <c r="D170" s="136">
        <f t="shared" ref="D170:S177" si="48">C170</f>
        <v>1</v>
      </c>
      <c r="E170" s="136">
        <f t="shared" si="48"/>
        <v>1</v>
      </c>
      <c r="F170" s="136">
        <f t="shared" si="48"/>
        <v>1</v>
      </c>
      <c r="G170" s="136">
        <f t="shared" si="48"/>
        <v>1</v>
      </c>
      <c r="H170" s="136">
        <f t="shared" si="48"/>
        <v>1</v>
      </c>
      <c r="I170" s="136">
        <f t="shared" si="48"/>
        <v>1</v>
      </c>
      <c r="J170" s="136">
        <f t="shared" si="48"/>
        <v>1</v>
      </c>
      <c r="K170" s="136">
        <f t="shared" si="48"/>
        <v>1</v>
      </c>
      <c r="L170" s="136">
        <f t="shared" si="48"/>
        <v>1</v>
      </c>
      <c r="M170" s="136">
        <f t="shared" si="48"/>
        <v>1</v>
      </c>
      <c r="N170" s="136">
        <f t="shared" si="48"/>
        <v>1</v>
      </c>
      <c r="O170" s="136">
        <f t="shared" si="48"/>
        <v>1</v>
      </c>
      <c r="P170" s="136">
        <f t="shared" si="48"/>
        <v>1</v>
      </c>
      <c r="Q170" s="136">
        <f t="shared" si="48"/>
        <v>1</v>
      </c>
      <c r="R170" s="136">
        <f t="shared" si="48"/>
        <v>1</v>
      </c>
      <c r="S170" s="136">
        <f t="shared" si="48"/>
        <v>1</v>
      </c>
      <c r="T170" s="136">
        <f t="shared" ref="S170:AF177" si="49">S170</f>
        <v>1</v>
      </c>
      <c r="U170" s="136">
        <f t="shared" si="49"/>
        <v>1</v>
      </c>
      <c r="V170" s="136">
        <f t="shared" si="49"/>
        <v>1</v>
      </c>
      <c r="W170" s="136">
        <f t="shared" si="49"/>
        <v>1</v>
      </c>
      <c r="X170" s="136">
        <f t="shared" si="49"/>
        <v>1</v>
      </c>
      <c r="Y170" s="136">
        <f t="shared" si="49"/>
        <v>1</v>
      </c>
      <c r="Z170" s="136">
        <f t="shared" si="49"/>
        <v>1</v>
      </c>
      <c r="AA170" s="136">
        <f t="shared" si="49"/>
        <v>1</v>
      </c>
      <c r="AB170" s="136">
        <f t="shared" si="49"/>
        <v>1</v>
      </c>
      <c r="AC170" s="136">
        <f t="shared" si="49"/>
        <v>1</v>
      </c>
      <c r="AD170" s="136">
        <f t="shared" si="49"/>
        <v>1</v>
      </c>
      <c r="AE170" s="136">
        <f t="shared" si="49"/>
        <v>1</v>
      </c>
      <c r="AF170" s="136">
        <f t="shared" si="49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47"/>
        <v>0.42</v>
      </c>
      <c r="C171" s="137">
        <v>0.42</v>
      </c>
      <c r="D171" s="136">
        <f t="shared" si="48"/>
        <v>0.42</v>
      </c>
      <c r="E171" s="136">
        <f t="shared" si="48"/>
        <v>0.42</v>
      </c>
      <c r="F171" s="136">
        <f t="shared" si="48"/>
        <v>0.42</v>
      </c>
      <c r="G171" s="136">
        <f t="shared" si="48"/>
        <v>0.42</v>
      </c>
      <c r="H171" s="136">
        <f t="shared" si="48"/>
        <v>0.42</v>
      </c>
      <c r="I171" s="136">
        <f t="shared" si="48"/>
        <v>0.42</v>
      </c>
      <c r="J171" s="136">
        <f t="shared" si="48"/>
        <v>0.42</v>
      </c>
      <c r="K171" s="136">
        <f t="shared" si="48"/>
        <v>0.42</v>
      </c>
      <c r="L171" s="136">
        <f t="shared" si="48"/>
        <v>0.42</v>
      </c>
      <c r="M171" s="136">
        <f t="shared" si="48"/>
        <v>0.42</v>
      </c>
      <c r="N171" s="136">
        <f t="shared" si="48"/>
        <v>0.42</v>
      </c>
      <c r="O171" s="136">
        <f t="shared" si="48"/>
        <v>0.42</v>
      </c>
      <c r="P171" s="136">
        <f t="shared" si="48"/>
        <v>0.42</v>
      </c>
      <c r="Q171" s="136">
        <f t="shared" si="48"/>
        <v>0.42</v>
      </c>
      <c r="R171" s="136">
        <f t="shared" si="48"/>
        <v>0.42</v>
      </c>
      <c r="S171" s="136">
        <f t="shared" si="49"/>
        <v>0.42</v>
      </c>
      <c r="T171" s="136">
        <f t="shared" si="49"/>
        <v>0.42</v>
      </c>
      <c r="U171" s="136">
        <f t="shared" si="49"/>
        <v>0.42</v>
      </c>
      <c r="V171" s="136">
        <f t="shared" si="49"/>
        <v>0.42</v>
      </c>
      <c r="W171" s="136">
        <f t="shared" si="49"/>
        <v>0.42</v>
      </c>
      <c r="X171" s="136">
        <f t="shared" si="49"/>
        <v>0.42</v>
      </c>
      <c r="Y171" s="136">
        <f t="shared" si="49"/>
        <v>0.42</v>
      </c>
      <c r="Z171" s="136">
        <f t="shared" si="49"/>
        <v>0.42</v>
      </c>
      <c r="AA171" s="136">
        <f t="shared" si="49"/>
        <v>0.42</v>
      </c>
      <c r="AB171" s="136">
        <f t="shared" si="49"/>
        <v>0.42</v>
      </c>
      <c r="AC171" s="136">
        <f t="shared" si="49"/>
        <v>0.42</v>
      </c>
      <c r="AD171" s="136">
        <f t="shared" si="49"/>
        <v>0.42</v>
      </c>
      <c r="AE171" s="136">
        <f t="shared" si="49"/>
        <v>0.42</v>
      </c>
      <c r="AF171" s="136">
        <f t="shared" si="49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47"/>
        <v>0.46</v>
      </c>
      <c r="C172" s="137">
        <v>0.46</v>
      </c>
      <c r="D172" s="136">
        <f t="shared" si="48"/>
        <v>0.46</v>
      </c>
      <c r="E172" s="136">
        <f t="shared" si="48"/>
        <v>0.46</v>
      </c>
      <c r="F172" s="136">
        <f t="shared" si="48"/>
        <v>0.46</v>
      </c>
      <c r="G172" s="136">
        <f t="shared" si="48"/>
        <v>0.46</v>
      </c>
      <c r="H172" s="136">
        <f t="shared" si="48"/>
        <v>0.46</v>
      </c>
      <c r="I172" s="136">
        <f t="shared" si="48"/>
        <v>0.46</v>
      </c>
      <c r="J172" s="136">
        <f t="shared" si="48"/>
        <v>0.46</v>
      </c>
      <c r="K172" s="136">
        <f t="shared" si="48"/>
        <v>0.46</v>
      </c>
      <c r="L172" s="136">
        <f t="shared" si="48"/>
        <v>0.46</v>
      </c>
      <c r="M172" s="136">
        <f t="shared" si="48"/>
        <v>0.46</v>
      </c>
      <c r="N172" s="136">
        <f t="shared" si="48"/>
        <v>0.46</v>
      </c>
      <c r="O172" s="136">
        <f t="shared" si="48"/>
        <v>0.46</v>
      </c>
      <c r="P172" s="136">
        <f t="shared" si="48"/>
        <v>0.46</v>
      </c>
      <c r="Q172" s="136">
        <f t="shared" si="48"/>
        <v>0.46</v>
      </c>
      <c r="R172" s="136">
        <f t="shared" si="48"/>
        <v>0.46</v>
      </c>
      <c r="S172" s="136">
        <f t="shared" si="49"/>
        <v>0.46</v>
      </c>
      <c r="T172" s="136">
        <f t="shared" si="49"/>
        <v>0.46</v>
      </c>
      <c r="U172" s="136">
        <f t="shared" si="49"/>
        <v>0.46</v>
      </c>
      <c r="V172" s="136">
        <f t="shared" si="49"/>
        <v>0.46</v>
      </c>
      <c r="W172" s="136">
        <f t="shared" si="49"/>
        <v>0.46</v>
      </c>
      <c r="X172" s="136">
        <f t="shared" si="49"/>
        <v>0.46</v>
      </c>
      <c r="Y172" s="136">
        <f t="shared" si="49"/>
        <v>0.46</v>
      </c>
      <c r="Z172" s="136">
        <f t="shared" si="49"/>
        <v>0.46</v>
      </c>
      <c r="AA172" s="136">
        <f t="shared" si="49"/>
        <v>0.46</v>
      </c>
      <c r="AB172" s="136">
        <f t="shared" si="49"/>
        <v>0.46</v>
      </c>
      <c r="AC172" s="136">
        <f t="shared" si="49"/>
        <v>0.46</v>
      </c>
      <c r="AD172" s="136">
        <f t="shared" si="49"/>
        <v>0.46</v>
      </c>
      <c r="AE172" s="136">
        <f t="shared" si="49"/>
        <v>0.46</v>
      </c>
      <c r="AF172" s="136">
        <f t="shared" si="49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47"/>
        <v>0.85</v>
      </c>
      <c r="C173" s="137">
        <v>0.85</v>
      </c>
      <c r="D173" s="136">
        <f t="shared" si="48"/>
        <v>0.85</v>
      </c>
      <c r="E173" s="136">
        <f t="shared" si="48"/>
        <v>0.85</v>
      </c>
      <c r="F173" s="136">
        <f t="shared" si="48"/>
        <v>0.85</v>
      </c>
      <c r="G173" s="136">
        <f t="shared" si="48"/>
        <v>0.85</v>
      </c>
      <c r="H173" s="136">
        <f t="shared" si="48"/>
        <v>0.85</v>
      </c>
      <c r="I173" s="136">
        <f t="shared" si="48"/>
        <v>0.85</v>
      </c>
      <c r="J173" s="136">
        <f t="shared" si="48"/>
        <v>0.85</v>
      </c>
      <c r="K173" s="136">
        <f t="shared" si="48"/>
        <v>0.85</v>
      </c>
      <c r="L173" s="136">
        <f t="shared" si="48"/>
        <v>0.85</v>
      </c>
      <c r="M173" s="136">
        <f t="shared" si="48"/>
        <v>0.85</v>
      </c>
      <c r="N173" s="136">
        <f t="shared" si="48"/>
        <v>0.85</v>
      </c>
      <c r="O173" s="136">
        <f t="shared" si="48"/>
        <v>0.85</v>
      </c>
      <c r="P173" s="136">
        <f t="shared" si="48"/>
        <v>0.85</v>
      </c>
      <c r="Q173" s="136">
        <f t="shared" si="48"/>
        <v>0.85</v>
      </c>
      <c r="R173" s="136">
        <f t="shared" si="48"/>
        <v>0.85</v>
      </c>
      <c r="S173" s="136">
        <f t="shared" si="49"/>
        <v>0.85</v>
      </c>
      <c r="T173" s="136">
        <f t="shared" si="49"/>
        <v>0.85</v>
      </c>
      <c r="U173" s="136">
        <f t="shared" si="49"/>
        <v>0.85</v>
      </c>
      <c r="V173" s="136">
        <f t="shared" si="49"/>
        <v>0.85</v>
      </c>
      <c r="W173" s="136">
        <f t="shared" si="49"/>
        <v>0.85</v>
      </c>
      <c r="X173" s="136">
        <f t="shared" si="49"/>
        <v>0.85</v>
      </c>
      <c r="Y173" s="136">
        <f t="shared" si="49"/>
        <v>0.85</v>
      </c>
      <c r="Z173" s="136">
        <f t="shared" si="49"/>
        <v>0.85</v>
      </c>
      <c r="AA173" s="136">
        <f t="shared" si="49"/>
        <v>0.85</v>
      </c>
      <c r="AB173" s="136">
        <f t="shared" si="49"/>
        <v>0.85</v>
      </c>
      <c r="AC173" s="136">
        <f t="shared" si="49"/>
        <v>0.85</v>
      </c>
      <c r="AD173" s="136">
        <f t="shared" si="49"/>
        <v>0.85</v>
      </c>
      <c r="AE173" s="136">
        <f t="shared" si="49"/>
        <v>0.85</v>
      </c>
      <c r="AF173" s="136">
        <f t="shared" si="49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47"/>
        <v>0.9</v>
      </c>
      <c r="C174" s="137">
        <v>0.9</v>
      </c>
      <c r="D174" s="136">
        <f t="shared" si="48"/>
        <v>0.9</v>
      </c>
      <c r="E174" s="136">
        <f t="shared" si="48"/>
        <v>0.9</v>
      </c>
      <c r="F174" s="136">
        <f t="shared" si="48"/>
        <v>0.9</v>
      </c>
      <c r="G174" s="136">
        <f t="shared" si="48"/>
        <v>0.9</v>
      </c>
      <c r="H174" s="136">
        <f t="shared" si="48"/>
        <v>0.9</v>
      </c>
      <c r="I174" s="136">
        <f t="shared" si="48"/>
        <v>0.9</v>
      </c>
      <c r="J174" s="136">
        <f t="shared" si="48"/>
        <v>0.9</v>
      </c>
      <c r="K174" s="136">
        <f t="shared" si="48"/>
        <v>0.9</v>
      </c>
      <c r="L174" s="136">
        <f t="shared" si="48"/>
        <v>0.9</v>
      </c>
      <c r="M174" s="136">
        <f t="shared" si="48"/>
        <v>0.9</v>
      </c>
      <c r="N174" s="136">
        <f t="shared" si="48"/>
        <v>0.9</v>
      </c>
      <c r="O174" s="136">
        <f t="shared" si="48"/>
        <v>0.9</v>
      </c>
      <c r="P174" s="136">
        <f t="shared" si="48"/>
        <v>0.9</v>
      </c>
      <c r="Q174" s="136">
        <f t="shared" si="48"/>
        <v>0.9</v>
      </c>
      <c r="R174" s="136">
        <f t="shared" si="48"/>
        <v>0.9</v>
      </c>
      <c r="S174" s="136">
        <f t="shared" si="49"/>
        <v>0.9</v>
      </c>
      <c r="T174" s="136">
        <f t="shared" si="49"/>
        <v>0.9</v>
      </c>
      <c r="U174" s="136">
        <f t="shared" si="49"/>
        <v>0.9</v>
      </c>
      <c r="V174" s="136">
        <f t="shared" si="49"/>
        <v>0.9</v>
      </c>
      <c r="W174" s="136">
        <f t="shared" si="49"/>
        <v>0.9</v>
      </c>
      <c r="X174" s="136">
        <f t="shared" si="49"/>
        <v>0.9</v>
      </c>
      <c r="Y174" s="136">
        <f t="shared" si="49"/>
        <v>0.9</v>
      </c>
      <c r="Z174" s="136">
        <f t="shared" si="49"/>
        <v>0.9</v>
      </c>
      <c r="AA174" s="136">
        <f t="shared" si="49"/>
        <v>0.9</v>
      </c>
      <c r="AB174" s="136">
        <f t="shared" si="49"/>
        <v>0.9</v>
      </c>
      <c r="AC174" s="136">
        <f t="shared" si="49"/>
        <v>0.9</v>
      </c>
      <c r="AD174" s="136">
        <f t="shared" si="49"/>
        <v>0.9</v>
      </c>
      <c r="AE174" s="136">
        <f t="shared" si="49"/>
        <v>0.9</v>
      </c>
      <c r="AF174" s="136">
        <f t="shared" si="49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47"/>
        <v>0.44</v>
      </c>
      <c r="C175" s="137">
        <v>0.44</v>
      </c>
      <c r="D175" s="136">
        <f t="shared" si="48"/>
        <v>0.44</v>
      </c>
      <c r="E175" s="136">
        <f t="shared" si="48"/>
        <v>0.44</v>
      </c>
      <c r="F175" s="136">
        <f t="shared" si="48"/>
        <v>0.44</v>
      </c>
      <c r="G175" s="136">
        <f t="shared" si="48"/>
        <v>0.44</v>
      </c>
      <c r="H175" s="136">
        <f t="shared" si="48"/>
        <v>0.44</v>
      </c>
      <c r="I175" s="136">
        <f t="shared" si="48"/>
        <v>0.44</v>
      </c>
      <c r="J175" s="136">
        <f t="shared" si="48"/>
        <v>0.44</v>
      </c>
      <c r="K175" s="136">
        <f t="shared" si="48"/>
        <v>0.44</v>
      </c>
      <c r="L175" s="136">
        <f t="shared" si="48"/>
        <v>0.44</v>
      </c>
      <c r="M175" s="136">
        <f t="shared" si="48"/>
        <v>0.44</v>
      </c>
      <c r="N175" s="136">
        <f t="shared" si="48"/>
        <v>0.44</v>
      </c>
      <c r="O175" s="136">
        <f t="shared" si="48"/>
        <v>0.44</v>
      </c>
      <c r="P175" s="136">
        <f t="shared" si="48"/>
        <v>0.44</v>
      </c>
      <c r="Q175" s="136">
        <f t="shared" si="48"/>
        <v>0.44</v>
      </c>
      <c r="R175" s="136">
        <f t="shared" si="48"/>
        <v>0.44</v>
      </c>
      <c r="S175" s="136">
        <f t="shared" si="49"/>
        <v>0.44</v>
      </c>
      <c r="T175" s="136">
        <f t="shared" si="49"/>
        <v>0.44</v>
      </c>
      <c r="U175" s="136">
        <f t="shared" si="49"/>
        <v>0.44</v>
      </c>
      <c r="V175" s="136">
        <f t="shared" si="49"/>
        <v>0.44</v>
      </c>
      <c r="W175" s="136">
        <f t="shared" si="49"/>
        <v>0.44</v>
      </c>
      <c r="X175" s="136">
        <f t="shared" si="49"/>
        <v>0.44</v>
      </c>
      <c r="Y175" s="136">
        <f t="shared" si="49"/>
        <v>0.44</v>
      </c>
      <c r="Z175" s="136">
        <f t="shared" si="49"/>
        <v>0.44</v>
      </c>
      <c r="AA175" s="136">
        <f t="shared" si="49"/>
        <v>0.44</v>
      </c>
      <c r="AB175" s="136">
        <f t="shared" si="49"/>
        <v>0.44</v>
      </c>
      <c r="AC175" s="136">
        <f t="shared" si="49"/>
        <v>0.44</v>
      </c>
      <c r="AD175" s="136">
        <f t="shared" si="49"/>
        <v>0.44</v>
      </c>
      <c r="AE175" s="136">
        <f t="shared" si="49"/>
        <v>0.44</v>
      </c>
      <c r="AF175" s="136">
        <f t="shared" si="49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47"/>
        <v>2.1</v>
      </c>
      <c r="C176" s="137">
        <v>2.1</v>
      </c>
      <c r="D176" s="136">
        <f t="shared" si="48"/>
        <v>2.1</v>
      </c>
      <c r="E176" s="136">
        <f t="shared" si="48"/>
        <v>2.1</v>
      </c>
      <c r="F176" s="136">
        <f t="shared" si="48"/>
        <v>2.1</v>
      </c>
      <c r="G176" s="136">
        <f t="shared" si="48"/>
        <v>2.1</v>
      </c>
      <c r="H176" s="136">
        <f t="shared" si="48"/>
        <v>2.1</v>
      </c>
      <c r="I176" s="136">
        <f t="shared" si="48"/>
        <v>2.1</v>
      </c>
      <c r="J176" s="136">
        <f t="shared" si="48"/>
        <v>2.1</v>
      </c>
      <c r="K176" s="136">
        <f t="shared" si="48"/>
        <v>2.1</v>
      </c>
      <c r="L176" s="136">
        <f t="shared" si="48"/>
        <v>2.1</v>
      </c>
      <c r="M176" s="136">
        <f t="shared" si="48"/>
        <v>2.1</v>
      </c>
      <c r="N176" s="136">
        <f t="shared" si="48"/>
        <v>2.1</v>
      </c>
      <c r="O176" s="136">
        <f t="shared" si="48"/>
        <v>2.1</v>
      </c>
      <c r="P176" s="136">
        <f t="shared" si="48"/>
        <v>2.1</v>
      </c>
      <c r="Q176" s="136">
        <f t="shared" si="48"/>
        <v>2.1</v>
      </c>
      <c r="R176" s="136">
        <f t="shared" si="48"/>
        <v>2.1</v>
      </c>
      <c r="S176" s="136">
        <f t="shared" si="49"/>
        <v>2.1</v>
      </c>
      <c r="T176" s="136">
        <f t="shared" si="49"/>
        <v>2.1</v>
      </c>
      <c r="U176" s="136">
        <f t="shared" si="49"/>
        <v>2.1</v>
      </c>
      <c r="V176" s="136">
        <f t="shared" si="49"/>
        <v>2.1</v>
      </c>
      <c r="W176" s="136">
        <f t="shared" si="49"/>
        <v>2.1</v>
      </c>
      <c r="X176" s="136">
        <f t="shared" si="49"/>
        <v>2.1</v>
      </c>
      <c r="Y176" s="136">
        <f t="shared" si="49"/>
        <v>2.1</v>
      </c>
      <c r="Z176" s="136">
        <f t="shared" si="49"/>
        <v>2.1</v>
      </c>
      <c r="AA176" s="136">
        <f t="shared" si="49"/>
        <v>2.1</v>
      </c>
      <c r="AB176" s="136">
        <f t="shared" si="49"/>
        <v>2.1</v>
      </c>
      <c r="AC176" s="136">
        <f t="shared" si="49"/>
        <v>2.1</v>
      </c>
      <c r="AD176" s="136">
        <f t="shared" si="49"/>
        <v>2.1</v>
      </c>
      <c r="AE176" s="136">
        <f t="shared" si="49"/>
        <v>2.1</v>
      </c>
      <c r="AF176" s="136">
        <f t="shared" si="49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47"/>
        <v>0.9</v>
      </c>
      <c r="C177" s="137">
        <v>0.9</v>
      </c>
      <c r="D177" s="136">
        <f t="shared" si="48"/>
        <v>0.9</v>
      </c>
      <c r="E177" s="136">
        <f t="shared" si="48"/>
        <v>0.9</v>
      </c>
      <c r="F177" s="136">
        <f t="shared" si="48"/>
        <v>0.9</v>
      </c>
      <c r="G177" s="136">
        <f t="shared" si="48"/>
        <v>0.9</v>
      </c>
      <c r="H177" s="136">
        <f t="shared" si="48"/>
        <v>0.9</v>
      </c>
      <c r="I177" s="136">
        <f t="shared" si="48"/>
        <v>0.9</v>
      </c>
      <c r="J177" s="136">
        <f t="shared" si="48"/>
        <v>0.9</v>
      </c>
      <c r="K177" s="136">
        <f t="shared" si="48"/>
        <v>0.9</v>
      </c>
      <c r="L177" s="136">
        <f t="shared" si="48"/>
        <v>0.9</v>
      </c>
      <c r="M177" s="136">
        <f t="shared" si="48"/>
        <v>0.9</v>
      </c>
      <c r="N177" s="136">
        <f t="shared" si="48"/>
        <v>0.9</v>
      </c>
      <c r="O177" s="136">
        <f t="shared" si="48"/>
        <v>0.9</v>
      </c>
      <c r="P177" s="136">
        <f t="shared" si="48"/>
        <v>0.9</v>
      </c>
      <c r="Q177" s="136">
        <f t="shared" si="48"/>
        <v>0.9</v>
      </c>
      <c r="R177" s="136">
        <f t="shared" si="48"/>
        <v>0.9</v>
      </c>
      <c r="S177" s="136">
        <f t="shared" si="49"/>
        <v>0.9</v>
      </c>
      <c r="T177" s="136">
        <f t="shared" si="49"/>
        <v>0.9</v>
      </c>
      <c r="U177" s="136">
        <f t="shared" si="49"/>
        <v>0.9</v>
      </c>
      <c r="V177" s="136">
        <f t="shared" si="49"/>
        <v>0.9</v>
      </c>
      <c r="W177" s="136">
        <f t="shared" si="49"/>
        <v>0.9</v>
      </c>
      <c r="X177" s="136">
        <f t="shared" si="49"/>
        <v>0.9</v>
      </c>
      <c r="Y177" s="136">
        <f t="shared" si="49"/>
        <v>0.9</v>
      </c>
      <c r="Z177" s="136">
        <f t="shared" si="49"/>
        <v>0.9</v>
      </c>
      <c r="AA177" s="136">
        <f t="shared" si="49"/>
        <v>0.9</v>
      </c>
      <c r="AB177" s="136">
        <f t="shared" si="49"/>
        <v>0.9</v>
      </c>
      <c r="AC177" s="136">
        <f t="shared" si="49"/>
        <v>0.9</v>
      </c>
      <c r="AD177" s="136">
        <f t="shared" si="49"/>
        <v>0.9</v>
      </c>
      <c r="AE177" s="136">
        <f t="shared" si="49"/>
        <v>0.9</v>
      </c>
      <c r="AF177" s="136">
        <f t="shared" si="49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50">AF179</f>
        <v>0.57999999999999996</v>
      </c>
      <c r="C179" s="137">
        <v>0.57999999999999996</v>
      </c>
      <c r="D179" s="136">
        <f t="shared" ref="D179:S191" si="51">C179</f>
        <v>0.57999999999999996</v>
      </c>
      <c r="E179" s="136">
        <f t="shared" si="51"/>
        <v>0.57999999999999996</v>
      </c>
      <c r="F179" s="136">
        <f t="shared" si="51"/>
        <v>0.57999999999999996</v>
      </c>
      <c r="G179" s="136">
        <f t="shared" si="51"/>
        <v>0.57999999999999996</v>
      </c>
      <c r="H179" s="136">
        <f t="shared" si="51"/>
        <v>0.57999999999999996</v>
      </c>
      <c r="I179" s="136">
        <f t="shared" si="51"/>
        <v>0.57999999999999996</v>
      </c>
      <c r="J179" s="136">
        <f t="shared" si="51"/>
        <v>0.57999999999999996</v>
      </c>
      <c r="K179" s="136">
        <f t="shared" si="51"/>
        <v>0.57999999999999996</v>
      </c>
      <c r="L179" s="136">
        <f t="shared" si="51"/>
        <v>0.57999999999999996</v>
      </c>
      <c r="M179" s="136">
        <f t="shared" si="51"/>
        <v>0.57999999999999996</v>
      </c>
      <c r="N179" s="136">
        <f t="shared" si="51"/>
        <v>0.57999999999999996</v>
      </c>
      <c r="O179" s="136">
        <f t="shared" si="51"/>
        <v>0.57999999999999996</v>
      </c>
      <c r="P179" s="136">
        <f t="shared" si="51"/>
        <v>0.57999999999999996</v>
      </c>
      <c r="Q179" s="136">
        <f t="shared" si="51"/>
        <v>0.57999999999999996</v>
      </c>
      <c r="R179" s="136">
        <f t="shared" si="51"/>
        <v>0.57999999999999996</v>
      </c>
      <c r="S179" s="136">
        <f t="shared" si="51"/>
        <v>0.57999999999999996</v>
      </c>
      <c r="T179" s="136">
        <f t="shared" ref="S179:AF191" si="52">S179</f>
        <v>0.57999999999999996</v>
      </c>
      <c r="U179" s="136">
        <f t="shared" si="52"/>
        <v>0.57999999999999996</v>
      </c>
      <c r="V179" s="136">
        <f t="shared" si="52"/>
        <v>0.57999999999999996</v>
      </c>
      <c r="W179" s="136">
        <f t="shared" si="52"/>
        <v>0.57999999999999996</v>
      </c>
      <c r="X179" s="136">
        <f t="shared" si="52"/>
        <v>0.57999999999999996</v>
      </c>
      <c r="Y179" s="136">
        <f t="shared" si="52"/>
        <v>0.57999999999999996</v>
      </c>
      <c r="Z179" s="136">
        <f t="shared" si="52"/>
        <v>0.57999999999999996</v>
      </c>
      <c r="AA179" s="136">
        <f t="shared" si="52"/>
        <v>0.57999999999999996</v>
      </c>
      <c r="AB179" s="136">
        <f t="shared" si="52"/>
        <v>0.57999999999999996</v>
      </c>
      <c r="AC179" s="136">
        <f t="shared" si="52"/>
        <v>0.57999999999999996</v>
      </c>
      <c r="AD179" s="136">
        <f t="shared" si="52"/>
        <v>0.57999999999999996</v>
      </c>
      <c r="AE179" s="136">
        <f t="shared" si="52"/>
        <v>0.57999999999999996</v>
      </c>
      <c r="AF179" s="136">
        <f t="shared" si="52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50"/>
        <v>0.8</v>
      </c>
      <c r="C180" s="137">
        <v>0.8</v>
      </c>
      <c r="D180" s="136">
        <f t="shared" si="51"/>
        <v>0.8</v>
      </c>
      <c r="E180" s="136">
        <f t="shared" si="51"/>
        <v>0.8</v>
      </c>
      <c r="F180" s="136">
        <f t="shared" si="51"/>
        <v>0.8</v>
      </c>
      <c r="G180" s="136">
        <f t="shared" si="51"/>
        <v>0.8</v>
      </c>
      <c r="H180" s="136">
        <f t="shared" si="51"/>
        <v>0.8</v>
      </c>
      <c r="I180" s="136">
        <f t="shared" si="51"/>
        <v>0.8</v>
      </c>
      <c r="J180" s="136">
        <f t="shared" si="51"/>
        <v>0.8</v>
      </c>
      <c r="K180" s="136">
        <f t="shared" si="51"/>
        <v>0.8</v>
      </c>
      <c r="L180" s="136">
        <f t="shared" si="51"/>
        <v>0.8</v>
      </c>
      <c r="M180" s="136">
        <f t="shared" si="51"/>
        <v>0.8</v>
      </c>
      <c r="N180" s="136">
        <f t="shared" si="51"/>
        <v>0.8</v>
      </c>
      <c r="O180" s="136">
        <f t="shared" si="51"/>
        <v>0.8</v>
      </c>
      <c r="P180" s="136">
        <f t="shared" si="51"/>
        <v>0.8</v>
      </c>
      <c r="Q180" s="136">
        <f t="shared" si="51"/>
        <v>0.8</v>
      </c>
      <c r="R180" s="136">
        <f t="shared" si="51"/>
        <v>0.8</v>
      </c>
      <c r="S180" s="136">
        <f t="shared" si="51"/>
        <v>0.8</v>
      </c>
      <c r="T180" s="136">
        <f t="shared" si="52"/>
        <v>0.8</v>
      </c>
      <c r="U180" s="136">
        <f t="shared" si="52"/>
        <v>0.8</v>
      </c>
      <c r="V180" s="136">
        <f t="shared" si="52"/>
        <v>0.8</v>
      </c>
      <c r="W180" s="136">
        <f t="shared" si="52"/>
        <v>0.8</v>
      </c>
      <c r="X180" s="136">
        <f t="shared" si="52"/>
        <v>0.8</v>
      </c>
      <c r="Y180" s="136">
        <f t="shared" si="52"/>
        <v>0.8</v>
      </c>
      <c r="Z180" s="136">
        <f t="shared" si="52"/>
        <v>0.8</v>
      </c>
      <c r="AA180" s="136">
        <f t="shared" si="52"/>
        <v>0.8</v>
      </c>
      <c r="AB180" s="136">
        <f t="shared" si="52"/>
        <v>0.8</v>
      </c>
      <c r="AC180" s="136">
        <f t="shared" si="52"/>
        <v>0.8</v>
      </c>
      <c r="AD180" s="136">
        <f t="shared" si="52"/>
        <v>0.8</v>
      </c>
      <c r="AE180" s="136">
        <f t="shared" si="52"/>
        <v>0.8</v>
      </c>
      <c r="AF180" s="136">
        <f t="shared" si="52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50"/>
        <v>0</v>
      </c>
      <c r="C181" s="137">
        <v>0</v>
      </c>
      <c r="D181" s="136">
        <f t="shared" si="51"/>
        <v>0</v>
      </c>
      <c r="E181" s="136">
        <f t="shared" si="51"/>
        <v>0</v>
      </c>
      <c r="F181" s="136">
        <f t="shared" si="51"/>
        <v>0</v>
      </c>
      <c r="G181" s="136">
        <f t="shared" si="51"/>
        <v>0</v>
      </c>
      <c r="H181" s="136">
        <f t="shared" si="51"/>
        <v>0</v>
      </c>
      <c r="I181" s="136">
        <f t="shared" si="51"/>
        <v>0</v>
      </c>
      <c r="J181" s="136">
        <f t="shared" si="51"/>
        <v>0</v>
      </c>
      <c r="K181" s="136">
        <f t="shared" si="51"/>
        <v>0</v>
      </c>
      <c r="L181" s="136">
        <f t="shared" si="51"/>
        <v>0</v>
      </c>
      <c r="M181" s="136">
        <f t="shared" si="51"/>
        <v>0</v>
      </c>
      <c r="N181" s="136">
        <f t="shared" si="51"/>
        <v>0</v>
      </c>
      <c r="O181" s="136">
        <f t="shared" si="51"/>
        <v>0</v>
      </c>
      <c r="P181" s="136">
        <f t="shared" si="51"/>
        <v>0</v>
      </c>
      <c r="Q181" s="136">
        <f t="shared" si="51"/>
        <v>0</v>
      </c>
      <c r="R181" s="136">
        <f t="shared" si="51"/>
        <v>0</v>
      </c>
      <c r="S181" s="136">
        <f t="shared" si="51"/>
        <v>0</v>
      </c>
      <c r="T181" s="136">
        <f t="shared" si="52"/>
        <v>0</v>
      </c>
      <c r="U181" s="136">
        <f t="shared" si="52"/>
        <v>0</v>
      </c>
      <c r="V181" s="136">
        <f t="shared" si="52"/>
        <v>0</v>
      </c>
      <c r="W181" s="136">
        <f t="shared" si="52"/>
        <v>0</v>
      </c>
      <c r="X181" s="136">
        <f t="shared" si="52"/>
        <v>0</v>
      </c>
      <c r="Y181" s="136">
        <f t="shared" si="52"/>
        <v>0</v>
      </c>
      <c r="Z181" s="136">
        <f t="shared" si="52"/>
        <v>0</v>
      </c>
      <c r="AA181" s="136">
        <f t="shared" si="52"/>
        <v>0</v>
      </c>
      <c r="AB181" s="136">
        <f t="shared" si="52"/>
        <v>0</v>
      </c>
      <c r="AC181" s="136">
        <f t="shared" si="52"/>
        <v>0</v>
      </c>
      <c r="AD181" s="136">
        <f t="shared" si="52"/>
        <v>0</v>
      </c>
      <c r="AE181" s="136">
        <f t="shared" si="52"/>
        <v>0</v>
      </c>
      <c r="AF181" s="136">
        <f t="shared" si="52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50"/>
        <v>0.6</v>
      </c>
      <c r="C183" s="137">
        <v>0.6</v>
      </c>
      <c r="D183" s="136">
        <f t="shared" si="51"/>
        <v>0.6</v>
      </c>
      <c r="E183" s="136">
        <f t="shared" si="51"/>
        <v>0.6</v>
      </c>
      <c r="F183" s="136">
        <f t="shared" si="51"/>
        <v>0.6</v>
      </c>
      <c r="G183" s="136">
        <f t="shared" si="51"/>
        <v>0.6</v>
      </c>
      <c r="H183" s="136">
        <f t="shared" si="51"/>
        <v>0.6</v>
      </c>
      <c r="I183" s="136">
        <f t="shared" si="51"/>
        <v>0.6</v>
      </c>
      <c r="J183" s="136">
        <f t="shared" si="51"/>
        <v>0.6</v>
      </c>
      <c r="K183" s="136">
        <f t="shared" si="51"/>
        <v>0.6</v>
      </c>
      <c r="L183" s="136">
        <f t="shared" si="51"/>
        <v>0.6</v>
      </c>
      <c r="M183" s="136">
        <f t="shared" si="51"/>
        <v>0.6</v>
      </c>
      <c r="N183" s="136">
        <f t="shared" si="51"/>
        <v>0.6</v>
      </c>
      <c r="O183" s="136">
        <f t="shared" si="51"/>
        <v>0.6</v>
      </c>
      <c r="P183" s="136">
        <f t="shared" si="51"/>
        <v>0.6</v>
      </c>
      <c r="Q183" s="136">
        <f t="shared" si="51"/>
        <v>0.6</v>
      </c>
      <c r="R183" s="136">
        <f t="shared" si="51"/>
        <v>0.6</v>
      </c>
      <c r="S183" s="136">
        <f t="shared" si="51"/>
        <v>0.6</v>
      </c>
      <c r="T183" s="136">
        <f t="shared" si="52"/>
        <v>0.6</v>
      </c>
      <c r="U183" s="136">
        <f t="shared" si="52"/>
        <v>0.6</v>
      </c>
      <c r="V183" s="136">
        <f t="shared" si="52"/>
        <v>0.6</v>
      </c>
      <c r="W183" s="136">
        <f t="shared" si="52"/>
        <v>0.6</v>
      </c>
      <c r="X183" s="136">
        <f t="shared" si="52"/>
        <v>0.6</v>
      </c>
      <c r="Y183" s="136">
        <f t="shared" si="52"/>
        <v>0.6</v>
      </c>
      <c r="Z183" s="136">
        <f t="shared" si="52"/>
        <v>0.6</v>
      </c>
      <c r="AA183" s="136">
        <f t="shared" si="52"/>
        <v>0.6</v>
      </c>
      <c r="AB183" s="136">
        <f t="shared" si="52"/>
        <v>0.6</v>
      </c>
      <c r="AC183" s="136">
        <f t="shared" si="52"/>
        <v>0.6</v>
      </c>
      <c r="AD183" s="136">
        <f t="shared" si="52"/>
        <v>0.6</v>
      </c>
      <c r="AE183" s="136">
        <f t="shared" si="52"/>
        <v>0.6</v>
      </c>
      <c r="AF183" s="136">
        <f t="shared" si="52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50"/>
        <v>0.35</v>
      </c>
      <c r="C184" s="137">
        <v>0.35</v>
      </c>
      <c r="D184" s="136">
        <f t="shared" si="51"/>
        <v>0.35</v>
      </c>
      <c r="E184" s="136">
        <f t="shared" si="51"/>
        <v>0.35</v>
      </c>
      <c r="F184" s="136">
        <f t="shared" si="51"/>
        <v>0.35</v>
      </c>
      <c r="G184" s="136">
        <f t="shared" si="51"/>
        <v>0.35</v>
      </c>
      <c r="H184" s="136">
        <f t="shared" si="51"/>
        <v>0.35</v>
      </c>
      <c r="I184" s="136">
        <f t="shared" si="51"/>
        <v>0.35</v>
      </c>
      <c r="J184" s="136">
        <f t="shared" si="51"/>
        <v>0.35</v>
      </c>
      <c r="K184" s="136">
        <f t="shared" si="51"/>
        <v>0.35</v>
      </c>
      <c r="L184" s="136">
        <f t="shared" si="51"/>
        <v>0.35</v>
      </c>
      <c r="M184" s="136">
        <f t="shared" si="51"/>
        <v>0.35</v>
      </c>
      <c r="N184" s="136">
        <f t="shared" si="51"/>
        <v>0.35</v>
      </c>
      <c r="O184" s="136">
        <f t="shared" si="51"/>
        <v>0.35</v>
      </c>
      <c r="P184" s="136">
        <f t="shared" si="51"/>
        <v>0.35</v>
      </c>
      <c r="Q184" s="136">
        <f t="shared" si="51"/>
        <v>0.35</v>
      </c>
      <c r="R184" s="136">
        <f t="shared" si="51"/>
        <v>0.35</v>
      </c>
      <c r="S184" s="136">
        <f t="shared" si="51"/>
        <v>0.35</v>
      </c>
      <c r="T184" s="136">
        <f t="shared" si="52"/>
        <v>0.35</v>
      </c>
      <c r="U184" s="136">
        <f t="shared" si="52"/>
        <v>0.35</v>
      </c>
      <c r="V184" s="136">
        <f t="shared" si="52"/>
        <v>0.35</v>
      </c>
      <c r="W184" s="136">
        <f t="shared" si="52"/>
        <v>0.35</v>
      </c>
      <c r="X184" s="136">
        <f t="shared" si="52"/>
        <v>0.35</v>
      </c>
      <c r="Y184" s="136">
        <f t="shared" si="52"/>
        <v>0.35</v>
      </c>
      <c r="Z184" s="136">
        <f t="shared" si="52"/>
        <v>0.35</v>
      </c>
      <c r="AA184" s="136">
        <f t="shared" si="52"/>
        <v>0.35</v>
      </c>
      <c r="AB184" s="136">
        <f t="shared" si="52"/>
        <v>0.35</v>
      </c>
      <c r="AC184" s="136">
        <f t="shared" si="52"/>
        <v>0.35</v>
      </c>
      <c r="AD184" s="136">
        <f t="shared" si="52"/>
        <v>0.35</v>
      </c>
      <c r="AE184" s="136">
        <f t="shared" si="52"/>
        <v>0.35</v>
      </c>
      <c r="AF184" s="136">
        <f t="shared" si="52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50"/>
        <v>0.28999999999999998</v>
      </c>
      <c r="C185" s="137">
        <v>0.28999999999999998</v>
      </c>
      <c r="D185" s="136">
        <f t="shared" si="51"/>
        <v>0.28999999999999998</v>
      </c>
      <c r="E185" s="136">
        <f t="shared" si="51"/>
        <v>0.28999999999999998</v>
      </c>
      <c r="F185" s="136">
        <f t="shared" si="51"/>
        <v>0.28999999999999998</v>
      </c>
      <c r="G185" s="136">
        <f t="shared" si="51"/>
        <v>0.28999999999999998</v>
      </c>
      <c r="H185" s="136">
        <f t="shared" si="51"/>
        <v>0.28999999999999998</v>
      </c>
      <c r="I185" s="136">
        <f t="shared" si="51"/>
        <v>0.28999999999999998</v>
      </c>
      <c r="J185" s="136">
        <f t="shared" si="51"/>
        <v>0.28999999999999998</v>
      </c>
      <c r="K185" s="136">
        <f t="shared" si="51"/>
        <v>0.28999999999999998</v>
      </c>
      <c r="L185" s="136">
        <f t="shared" si="51"/>
        <v>0.28999999999999998</v>
      </c>
      <c r="M185" s="136">
        <f t="shared" si="51"/>
        <v>0.28999999999999998</v>
      </c>
      <c r="N185" s="136">
        <f t="shared" si="51"/>
        <v>0.28999999999999998</v>
      </c>
      <c r="O185" s="136">
        <f t="shared" si="51"/>
        <v>0.28999999999999998</v>
      </c>
      <c r="P185" s="136">
        <f t="shared" si="51"/>
        <v>0.28999999999999998</v>
      </c>
      <c r="Q185" s="136">
        <f t="shared" si="51"/>
        <v>0.28999999999999998</v>
      </c>
      <c r="R185" s="136">
        <f t="shared" si="51"/>
        <v>0.28999999999999998</v>
      </c>
      <c r="S185" s="136">
        <f t="shared" si="51"/>
        <v>0.28999999999999998</v>
      </c>
      <c r="T185" s="136">
        <f t="shared" si="52"/>
        <v>0.28999999999999998</v>
      </c>
      <c r="U185" s="136">
        <f t="shared" si="52"/>
        <v>0.28999999999999998</v>
      </c>
      <c r="V185" s="136">
        <f t="shared" si="52"/>
        <v>0.28999999999999998</v>
      </c>
      <c r="W185" s="136">
        <f t="shared" si="52"/>
        <v>0.28999999999999998</v>
      </c>
      <c r="X185" s="136">
        <f t="shared" si="52"/>
        <v>0.28999999999999998</v>
      </c>
      <c r="Y185" s="136">
        <f t="shared" si="52"/>
        <v>0.28999999999999998</v>
      </c>
      <c r="Z185" s="136">
        <f t="shared" si="52"/>
        <v>0.28999999999999998</v>
      </c>
      <c r="AA185" s="136">
        <f t="shared" si="52"/>
        <v>0.28999999999999998</v>
      </c>
      <c r="AB185" s="136">
        <f t="shared" si="52"/>
        <v>0.28999999999999998</v>
      </c>
      <c r="AC185" s="136">
        <f t="shared" si="52"/>
        <v>0.28999999999999998</v>
      </c>
      <c r="AD185" s="136">
        <f t="shared" si="52"/>
        <v>0.28999999999999998</v>
      </c>
      <c r="AE185" s="136">
        <f t="shared" si="52"/>
        <v>0.28999999999999998</v>
      </c>
      <c r="AF185" s="136">
        <f t="shared" si="52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50"/>
        <v>0.06</v>
      </c>
      <c r="C186" s="137">
        <v>0.06</v>
      </c>
      <c r="D186" s="136">
        <f t="shared" si="51"/>
        <v>0.06</v>
      </c>
      <c r="E186" s="136">
        <f t="shared" si="51"/>
        <v>0.06</v>
      </c>
      <c r="F186" s="136">
        <f t="shared" si="51"/>
        <v>0.06</v>
      </c>
      <c r="G186" s="136">
        <f t="shared" si="51"/>
        <v>0.06</v>
      </c>
      <c r="H186" s="136">
        <f t="shared" si="51"/>
        <v>0.06</v>
      </c>
      <c r="I186" s="136">
        <f t="shared" si="51"/>
        <v>0.06</v>
      </c>
      <c r="J186" s="136">
        <f t="shared" si="51"/>
        <v>0.06</v>
      </c>
      <c r="K186" s="136">
        <f t="shared" si="51"/>
        <v>0.06</v>
      </c>
      <c r="L186" s="136">
        <f t="shared" si="51"/>
        <v>0.06</v>
      </c>
      <c r="M186" s="136">
        <f t="shared" si="51"/>
        <v>0.06</v>
      </c>
      <c r="N186" s="136">
        <f t="shared" si="51"/>
        <v>0.06</v>
      </c>
      <c r="O186" s="136">
        <f t="shared" si="51"/>
        <v>0.06</v>
      </c>
      <c r="P186" s="136">
        <f t="shared" si="51"/>
        <v>0.06</v>
      </c>
      <c r="Q186" s="136">
        <f t="shared" si="51"/>
        <v>0.06</v>
      </c>
      <c r="R186" s="136">
        <f t="shared" si="51"/>
        <v>0.06</v>
      </c>
      <c r="S186" s="136">
        <f t="shared" si="51"/>
        <v>0.06</v>
      </c>
      <c r="T186" s="136">
        <f t="shared" si="52"/>
        <v>0.06</v>
      </c>
      <c r="U186" s="136">
        <f t="shared" si="52"/>
        <v>0.06</v>
      </c>
      <c r="V186" s="136">
        <f t="shared" si="52"/>
        <v>0.06</v>
      </c>
      <c r="W186" s="136">
        <f t="shared" si="52"/>
        <v>0.06</v>
      </c>
      <c r="X186" s="136">
        <f t="shared" si="52"/>
        <v>0.06</v>
      </c>
      <c r="Y186" s="136">
        <f t="shared" si="52"/>
        <v>0.06</v>
      </c>
      <c r="Z186" s="136">
        <f t="shared" si="52"/>
        <v>0.06</v>
      </c>
      <c r="AA186" s="136">
        <f t="shared" si="52"/>
        <v>0.06</v>
      </c>
      <c r="AB186" s="136">
        <f t="shared" si="52"/>
        <v>0.06</v>
      </c>
      <c r="AC186" s="136">
        <f t="shared" si="52"/>
        <v>0.06</v>
      </c>
      <c r="AD186" s="136">
        <f t="shared" si="52"/>
        <v>0.06</v>
      </c>
      <c r="AE186" s="136">
        <f t="shared" si="52"/>
        <v>0.06</v>
      </c>
      <c r="AF186" s="136">
        <f t="shared" si="52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50"/>
        <v>0.11</v>
      </c>
      <c r="C187" s="137">
        <v>0.11</v>
      </c>
      <c r="D187" s="136">
        <f t="shared" si="51"/>
        <v>0.11</v>
      </c>
      <c r="E187" s="136">
        <f t="shared" si="51"/>
        <v>0.11</v>
      </c>
      <c r="F187" s="136">
        <f t="shared" si="51"/>
        <v>0.11</v>
      </c>
      <c r="G187" s="136">
        <f t="shared" si="51"/>
        <v>0.11</v>
      </c>
      <c r="H187" s="136">
        <f t="shared" si="51"/>
        <v>0.11</v>
      </c>
      <c r="I187" s="136">
        <f t="shared" si="51"/>
        <v>0.11</v>
      </c>
      <c r="J187" s="136">
        <f t="shared" si="51"/>
        <v>0.11</v>
      </c>
      <c r="K187" s="136">
        <f t="shared" si="51"/>
        <v>0.11</v>
      </c>
      <c r="L187" s="136">
        <f t="shared" si="51"/>
        <v>0.11</v>
      </c>
      <c r="M187" s="136">
        <f t="shared" si="51"/>
        <v>0.11</v>
      </c>
      <c r="N187" s="136">
        <f t="shared" si="51"/>
        <v>0.11</v>
      </c>
      <c r="O187" s="136">
        <f t="shared" si="51"/>
        <v>0.11</v>
      </c>
      <c r="P187" s="136">
        <f t="shared" si="51"/>
        <v>0.11</v>
      </c>
      <c r="Q187" s="136">
        <f t="shared" si="51"/>
        <v>0.11</v>
      </c>
      <c r="R187" s="136">
        <f t="shared" si="51"/>
        <v>0.11</v>
      </c>
      <c r="S187" s="136">
        <f t="shared" si="51"/>
        <v>0.11</v>
      </c>
      <c r="T187" s="136">
        <f t="shared" si="52"/>
        <v>0.11</v>
      </c>
      <c r="U187" s="136">
        <f t="shared" si="52"/>
        <v>0.11</v>
      </c>
      <c r="V187" s="136">
        <f t="shared" si="52"/>
        <v>0.11</v>
      </c>
      <c r="W187" s="136">
        <f t="shared" si="52"/>
        <v>0.11</v>
      </c>
      <c r="X187" s="136">
        <f t="shared" si="52"/>
        <v>0.11</v>
      </c>
      <c r="Y187" s="136">
        <f t="shared" si="52"/>
        <v>0.11</v>
      </c>
      <c r="Z187" s="136">
        <f t="shared" si="52"/>
        <v>0.11</v>
      </c>
      <c r="AA187" s="136">
        <f t="shared" si="52"/>
        <v>0.11</v>
      </c>
      <c r="AB187" s="136">
        <f t="shared" si="52"/>
        <v>0.11</v>
      </c>
      <c r="AC187" s="136">
        <f t="shared" si="52"/>
        <v>0.11</v>
      </c>
      <c r="AD187" s="136">
        <f t="shared" si="52"/>
        <v>0.11</v>
      </c>
      <c r="AE187" s="136">
        <f t="shared" si="52"/>
        <v>0.11</v>
      </c>
      <c r="AF187" s="136">
        <f t="shared" si="52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50"/>
        <v>0.1</v>
      </c>
      <c r="C188" s="137">
        <v>0.1</v>
      </c>
      <c r="D188" s="136">
        <f t="shared" si="51"/>
        <v>0.1</v>
      </c>
      <c r="E188" s="136">
        <f t="shared" si="51"/>
        <v>0.1</v>
      </c>
      <c r="F188" s="136">
        <f t="shared" si="51"/>
        <v>0.1</v>
      </c>
      <c r="G188" s="136">
        <f t="shared" si="51"/>
        <v>0.1</v>
      </c>
      <c r="H188" s="136">
        <f t="shared" si="51"/>
        <v>0.1</v>
      </c>
      <c r="I188" s="136">
        <f t="shared" si="51"/>
        <v>0.1</v>
      </c>
      <c r="J188" s="136">
        <f t="shared" si="51"/>
        <v>0.1</v>
      </c>
      <c r="K188" s="136">
        <f t="shared" si="51"/>
        <v>0.1</v>
      </c>
      <c r="L188" s="136">
        <f t="shared" si="51"/>
        <v>0.1</v>
      </c>
      <c r="M188" s="136">
        <f t="shared" si="51"/>
        <v>0.1</v>
      </c>
      <c r="N188" s="136">
        <f t="shared" si="51"/>
        <v>0.1</v>
      </c>
      <c r="O188" s="136">
        <f t="shared" si="51"/>
        <v>0.1</v>
      </c>
      <c r="P188" s="136">
        <f t="shared" si="51"/>
        <v>0.1</v>
      </c>
      <c r="Q188" s="136">
        <f t="shared" si="51"/>
        <v>0.1</v>
      </c>
      <c r="R188" s="136">
        <f t="shared" si="51"/>
        <v>0.1</v>
      </c>
      <c r="S188" s="136">
        <f t="shared" si="52"/>
        <v>0.1</v>
      </c>
      <c r="T188" s="136">
        <f t="shared" si="52"/>
        <v>0.1</v>
      </c>
      <c r="U188" s="136">
        <f t="shared" si="52"/>
        <v>0.1</v>
      </c>
      <c r="V188" s="136">
        <f t="shared" si="52"/>
        <v>0.1</v>
      </c>
      <c r="W188" s="136">
        <f t="shared" si="52"/>
        <v>0.1</v>
      </c>
      <c r="X188" s="136">
        <f t="shared" si="52"/>
        <v>0.1</v>
      </c>
      <c r="Y188" s="136">
        <f t="shared" si="52"/>
        <v>0.1</v>
      </c>
      <c r="Z188" s="136">
        <f t="shared" si="52"/>
        <v>0.1</v>
      </c>
      <c r="AA188" s="136">
        <f t="shared" si="52"/>
        <v>0.1</v>
      </c>
      <c r="AB188" s="136">
        <f t="shared" si="52"/>
        <v>0.1</v>
      </c>
      <c r="AC188" s="136">
        <f t="shared" si="52"/>
        <v>0.1</v>
      </c>
      <c r="AD188" s="136">
        <f t="shared" si="52"/>
        <v>0.1</v>
      </c>
      <c r="AE188" s="136">
        <f t="shared" si="52"/>
        <v>0.1</v>
      </c>
      <c r="AF188" s="136">
        <f t="shared" si="52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50"/>
        <v>0.09</v>
      </c>
      <c r="C189" s="137">
        <v>0.09</v>
      </c>
      <c r="D189" s="136">
        <f t="shared" si="51"/>
        <v>0.09</v>
      </c>
      <c r="E189" s="136">
        <f t="shared" si="51"/>
        <v>0.09</v>
      </c>
      <c r="F189" s="136">
        <f t="shared" si="51"/>
        <v>0.09</v>
      </c>
      <c r="G189" s="136">
        <f t="shared" si="51"/>
        <v>0.09</v>
      </c>
      <c r="H189" s="136">
        <f t="shared" si="51"/>
        <v>0.09</v>
      </c>
      <c r="I189" s="136">
        <f t="shared" si="51"/>
        <v>0.09</v>
      </c>
      <c r="J189" s="136">
        <f t="shared" si="51"/>
        <v>0.09</v>
      </c>
      <c r="K189" s="136">
        <f t="shared" si="51"/>
        <v>0.09</v>
      </c>
      <c r="L189" s="136">
        <f t="shared" si="51"/>
        <v>0.09</v>
      </c>
      <c r="M189" s="136">
        <f t="shared" si="51"/>
        <v>0.09</v>
      </c>
      <c r="N189" s="136">
        <f t="shared" si="51"/>
        <v>0.09</v>
      </c>
      <c r="O189" s="136">
        <f t="shared" si="51"/>
        <v>0.09</v>
      </c>
      <c r="P189" s="136">
        <f t="shared" si="51"/>
        <v>0.09</v>
      </c>
      <c r="Q189" s="136">
        <f t="shared" si="51"/>
        <v>0.09</v>
      </c>
      <c r="R189" s="136">
        <f t="shared" si="51"/>
        <v>0.09</v>
      </c>
      <c r="S189" s="136">
        <f t="shared" si="52"/>
        <v>0.09</v>
      </c>
      <c r="T189" s="136">
        <f t="shared" si="52"/>
        <v>0.09</v>
      </c>
      <c r="U189" s="136">
        <f t="shared" si="52"/>
        <v>0.09</v>
      </c>
      <c r="V189" s="136">
        <f t="shared" si="52"/>
        <v>0.09</v>
      </c>
      <c r="W189" s="136">
        <f t="shared" si="52"/>
        <v>0.09</v>
      </c>
      <c r="X189" s="136">
        <f t="shared" si="52"/>
        <v>0.09</v>
      </c>
      <c r="Y189" s="136">
        <f t="shared" si="52"/>
        <v>0.09</v>
      </c>
      <c r="Z189" s="136">
        <f t="shared" si="52"/>
        <v>0.09</v>
      </c>
      <c r="AA189" s="136">
        <f t="shared" si="52"/>
        <v>0.09</v>
      </c>
      <c r="AB189" s="136">
        <f t="shared" si="52"/>
        <v>0.09</v>
      </c>
      <c r="AC189" s="136">
        <f t="shared" si="52"/>
        <v>0.09</v>
      </c>
      <c r="AD189" s="136">
        <f t="shared" si="52"/>
        <v>0.09</v>
      </c>
      <c r="AE189" s="136">
        <f t="shared" si="52"/>
        <v>0.09</v>
      </c>
      <c r="AF189" s="136">
        <f t="shared" si="52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50"/>
        <v>0.04</v>
      </c>
      <c r="C190" s="53">
        <v>0.04</v>
      </c>
      <c r="D190" s="136">
        <f t="shared" si="51"/>
        <v>0.04</v>
      </c>
      <c r="E190" s="136">
        <f t="shared" si="51"/>
        <v>0.04</v>
      </c>
      <c r="F190" s="136">
        <f t="shared" si="51"/>
        <v>0.04</v>
      </c>
      <c r="G190" s="136">
        <f t="shared" si="51"/>
        <v>0.04</v>
      </c>
      <c r="H190" s="136">
        <f t="shared" si="51"/>
        <v>0.04</v>
      </c>
      <c r="I190" s="136">
        <f t="shared" si="51"/>
        <v>0.04</v>
      </c>
      <c r="J190" s="136">
        <f t="shared" si="51"/>
        <v>0.04</v>
      </c>
      <c r="K190" s="136">
        <f t="shared" si="51"/>
        <v>0.04</v>
      </c>
      <c r="L190" s="136">
        <f t="shared" si="51"/>
        <v>0.04</v>
      </c>
      <c r="M190" s="136">
        <f t="shared" si="51"/>
        <v>0.04</v>
      </c>
      <c r="N190" s="136">
        <f t="shared" si="51"/>
        <v>0.04</v>
      </c>
      <c r="O190" s="136">
        <f t="shared" si="51"/>
        <v>0.04</v>
      </c>
      <c r="P190" s="136">
        <f t="shared" si="51"/>
        <v>0.04</v>
      </c>
      <c r="Q190" s="136">
        <f t="shared" si="51"/>
        <v>0.04</v>
      </c>
      <c r="R190" s="136">
        <f t="shared" si="51"/>
        <v>0.04</v>
      </c>
      <c r="S190" s="136">
        <f t="shared" si="52"/>
        <v>0.04</v>
      </c>
      <c r="T190" s="136">
        <f t="shared" si="52"/>
        <v>0.04</v>
      </c>
      <c r="U190" s="136">
        <f t="shared" si="52"/>
        <v>0.04</v>
      </c>
      <c r="V190" s="136">
        <f t="shared" si="52"/>
        <v>0.04</v>
      </c>
      <c r="W190" s="136">
        <f t="shared" si="52"/>
        <v>0.04</v>
      </c>
      <c r="X190" s="136">
        <f t="shared" si="52"/>
        <v>0.04</v>
      </c>
      <c r="Y190" s="136">
        <f t="shared" si="52"/>
        <v>0.04</v>
      </c>
      <c r="Z190" s="136">
        <f t="shared" si="52"/>
        <v>0.04</v>
      </c>
      <c r="AA190" s="136">
        <f t="shared" si="52"/>
        <v>0.04</v>
      </c>
      <c r="AB190" s="136">
        <f t="shared" si="52"/>
        <v>0.04</v>
      </c>
      <c r="AC190" s="136">
        <f t="shared" si="52"/>
        <v>0.04</v>
      </c>
      <c r="AD190" s="136">
        <f t="shared" si="52"/>
        <v>0.04</v>
      </c>
      <c r="AE190" s="136">
        <f t="shared" si="52"/>
        <v>0.04</v>
      </c>
      <c r="AF190" s="136">
        <f t="shared" si="52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50"/>
        <v>2.3E-2</v>
      </c>
      <c r="C191" s="53">
        <v>2.3E-2</v>
      </c>
      <c r="D191" s="136">
        <f>C191</f>
        <v>2.3E-2</v>
      </c>
      <c r="E191" s="136">
        <f t="shared" si="51"/>
        <v>2.3E-2</v>
      </c>
      <c r="F191" s="136">
        <f t="shared" si="51"/>
        <v>2.3E-2</v>
      </c>
      <c r="G191" s="136">
        <f t="shared" si="51"/>
        <v>2.3E-2</v>
      </c>
      <c r="H191" s="136">
        <f t="shared" si="51"/>
        <v>2.3E-2</v>
      </c>
      <c r="I191" s="136">
        <f t="shared" si="51"/>
        <v>2.3E-2</v>
      </c>
      <c r="J191" s="136">
        <f t="shared" si="51"/>
        <v>2.3E-2</v>
      </c>
      <c r="K191" s="136">
        <f t="shared" si="51"/>
        <v>2.3E-2</v>
      </c>
      <c r="L191" s="136">
        <f t="shared" si="51"/>
        <v>2.3E-2</v>
      </c>
      <c r="M191" s="136">
        <f t="shared" si="51"/>
        <v>2.3E-2</v>
      </c>
      <c r="N191" s="136">
        <f t="shared" si="51"/>
        <v>2.3E-2</v>
      </c>
      <c r="O191" s="136">
        <f t="shared" si="51"/>
        <v>2.3E-2</v>
      </c>
      <c r="P191" s="136">
        <f t="shared" si="51"/>
        <v>2.3E-2</v>
      </c>
      <c r="Q191" s="136">
        <f t="shared" si="51"/>
        <v>2.3E-2</v>
      </c>
      <c r="R191" s="136">
        <f t="shared" si="51"/>
        <v>2.3E-2</v>
      </c>
      <c r="S191" s="136">
        <f t="shared" si="52"/>
        <v>2.3E-2</v>
      </c>
      <c r="T191" s="136">
        <f t="shared" si="52"/>
        <v>2.3E-2</v>
      </c>
      <c r="U191" s="136">
        <f t="shared" si="52"/>
        <v>2.3E-2</v>
      </c>
      <c r="V191" s="136">
        <f t="shared" si="52"/>
        <v>2.3E-2</v>
      </c>
      <c r="W191" s="136">
        <f t="shared" si="52"/>
        <v>2.3E-2</v>
      </c>
      <c r="X191" s="136">
        <f t="shared" si="52"/>
        <v>2.3E-2</v>
      </c>
      <c r="Y191" s="136">
        <f t="shared" si="52"/>
        <v>2.3E-2</v>
      </c>
      <c r="Z191" s="136">
        <f t="shared" si="52"/>
        <v>2.3E-2</v>
      </c>
      <c r="AA191" s="136">
        <f t="shared" si="52"/>
        <v>2.3E-2</v>
      </c>
      <c r="AB191" s="136">
        <f t="shared" si="52"/>
        <v>2.3E-2</v>
      </c>
      <c r="AC191" s="136">
        <f t="shared" si="52"/>
        <v>2.3E-2</v>
      </c>
      <c r="AD191" s="136">
        <f t="shared" si="52"/>
        <v>2.3E-2</v>
      </c>
      <c r="AE191" s="136">
        <f t="shared" si="52"/>
        <v>2.3E-2</v>
      </c>
      <c r="AF191" s="136">
        <f t="shared" si="52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53">SUM(C102:C191)</f>
        <v>194.70600000000002</v>
      </c>
      <c r="D192" s="141">
        <f t="shared" si="53"/>
        <v>194.70600000000002</v>
      </c>
      <c r="E192" s="141">
        <f t="shared" si="53"/>
        <v>194.70600000000002</v>
      </c>
      <c r="F192" s="141">
        <f t="shared" si="53"/>
        <v>194.70600000000002</v>
      </c>
      <c r="G192" s="141">
        <f t="shared" si="53"/>
        <v>194.70600000000002</v>
      </c>
      <c r="H192" s="141">
        <f t="shared" si="53"/>
        <v>194.70600000000002</v>
      </c>
      <c r="I192" s="141">
        <f t="shared" si="53"/>
        <v>194.70600000000002</v>
      </c>
      <c r="J192" s="141">
        <f t="shared" si="53"/>
        <v>192.10600000000005</v>
      </c>
      <c r="K192" s="141">
        <f t="shared" si="53"/>
        <v>192.10600000000005</v>
      </c>
      <c r="L192" s="141">
        <f t="shared" si="53"/>
        <v>192.10600000000005</v>
      </c>
      <c r="M192" s="141">
        <f t="shared" si="53"/>
        <v>192.10600000000005</v>
      </c>
      <c r="N192" s="141">
        <f t="shared" si="53"/>
        <v>192.10600000000005</v>
      </c>
      <c r="O192" s="141">
        <f t="shared" si="53"/>
        <v>192.10600000000005</v>
      </c>
      <c r="P192" s="141">
        <f t="shared" si="53"/>
        <v>192.10600000000005</v>
      </c>
      <c r="Q192" s="141">
        <f t="shared" si="53"/>
        <v>192.10600000000005</v>
      </c>
      <c r="R192" s="141">
        <f t="shared" si="53"/>
        <v>192.10600000000005</v>
      </c>
      <c r="S192" s="141">
        <f t="shared" si="53"/>
        <v>192.10600000000005</v>
      </c>
      <c r="T192" s="141">
        <f t="shared" si="53"/>
        <v>192.10600000000005</v>
      </c>
      <c r="U192" s="141">
        <f t="shared" si="53"/>
        <v>192.10600000000005</v>
      </c>
      <c r="V192" s="141">
        <f t="shared" si="53"/>
        <v>192.10600000000005</v>
      </c>
      <c r="W192" s="141">
        <f t="shared" si="53"/>
        <v>192.10600000000005</v>
      </c>
      <c r="X192" s="141">
        <f t="shared" si="53"/>
        <v>192.10600000000005</v>
      </c>
      <c r="Y192" s="141">
        <f t="shared" si="53"/>
        <v>192.10600000000005</v>
      </c>
      <c r="Z192" s="141">
        <f t="shared" si="53"/>
        <v>192.10600000000005</v>
      </c>
      <c r="AA192" s="141">
        <f t="shared" si="53"/>
        <v>192.10600000000005</v>
      </c>
      <c r="AB192" s="141">
        <f t="shared" si="53"/>
        <v>192.10600000000005</v>
      </c>
      <c r="AC192" s="141">
        <f t="shared" si="53"/>
        <v>192.10600000000005</v>
      </c>
      <c r="AD192" s="141">
        <f t="shared" si="53"/>
        <v>192.10600000000005</v>
      </c>
      <c r="AE192" s="141">
        <f t="shared" si="53"/>
        <v>192.10600000000005</v>
      </c>
      <c r="AF192" s="141">
        <f t="shared" si="53"/>
        <v>192.10600000000005</v>
      </c>
      <c r="AG192" s="142">
        <f t="shared" si="53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54">AF194</f>
        <v>0.3</v>
      </c>
      <c r="C194" s="143">
        <v>0.3</v>
      </c>
      <c r="D194" s="143">
        <f t="shared" ref="D194:S199" si="55">C194</f>
        <v>0.3</v>
      </c>
      <c r="E194" s="143">
        <f t="shared" si="55"/>
        <v>0.3</v>
      </c>
      <c r="F194" s="143">
        <f t="shared" si="55"/>
        <v>0.3</v>
      </c>
      <c r="G194" s="143">
        <f t="shared" si="55"/>
        <v>0.3</v>
      </c>
      <c r="H194" s="143">
        <f t="shared" si="55"/>
        <v>0.3</v>
      </c>
      <c r="I194" s="143">
        <f t="shared" si="55"/>
        <v>0.3</v>
      </c>
      <c r="J194" s="143">
        <f t="shared" si="55"/>
        <v>0.3</v>
      </c>
      <c r="K194" s="143">
        <f t="shared" si="55"/>
        <v>0.3</v>
      </c>
      <c r="L194" s="143">
        <f t="shared" si="55"/>
        <v>0.3</v>
      </c>
      <c r="M194" s="143">
        <f t="shared" si="55"/>
        <v>0.3</v>
      </c>
      <c r="N194" s="143">
        <f t="shared" si="55"/>
        <v>0.3</v>
      </c>
      <c r="O194" s="143">
        <f t="shared" si="55"/>
        <v>0.3</v>
      </c>
      <c r="P194" s="143">
        <f t="shared" si="55"/>
        <v>0.3</v>
      </c>
      <c r="Q194" s="143">
        <f t="shared" si="55"/>
        <v>0.3</v>
      </c>
      <c r="R194" s="143">
        <f t="shared" si="55"/>
        <v>0.3</v>
      </c>
      <c r="S194" s="143">
        <f t="shared" si="55"/>
        <v>0.3</v>
      </c>
      <c r="T194" s="143">
        <f t="shared" ref="T194:AF199" si="56">S194</f>
        <v>0.3</v>
      </c>
      <c r="U194" s="143">
        <f t="shared" si="56"/>
        <v>0.3</v>
      </c>
      <c r="V194" s="143">
        <f t="shared" si="56"/>
        <v>0.3</v>
      </c>
      <c r="W194" s="143">
        <f t="shared" si="56"/>
        <v>0.3</v>
      </c>
      <c r="X194" s="143">
        <f t="shared" si="56"/>
        <v>0.3</v>
      </c>
      <c r="Y194" s="143">
        <f t="shared" si="56"/>
        <v>0.3</v>
      </c>
      <c r="Z194" s="143">
        <f t="shared" si="56"/>
        <v>0.3</v>
      </c>
      <c r="AA194" s="143">
        <f t="shared" si="56"/>
        <v>0.3</v>
      </c>
      <c r="AB194" s="143">
        <f t="shared" si="56"/>
        <v>0.3</v>
      </c>
      <c r="AC194" s="143">
        <f t="shared" si="56"/>
        <v>0.3</v>
      </c>
      <c r="AD194" s="143">
        <f t="shared" si="56"/>
        <v>0.3</v>
      </c>
      <c r="AE194" s="143">
        <f t="shared" si="56"/>
        <v>0.3</v>
      </c>
      <c r="AF194" s="143">
        <f t="shared" si="56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54"/>
        <v>0.4</v>
      </c>
      <c r="C195" s="136">
        <v>0.4</v>
      </c>
      <c r="D195" s="136">
        <f t="shared" si="55"/>
        <v>0.4</v>
      </c>
      <c r="E195" s="136">
        <f t="shared" si="55"/>
        <v>0.4</v>
      </c>
      <c r="F195" s="136">
        <f t="shared" si="55"/>
        <v>0.4</v>
      </c>
      <c r="G195" s="136">
        <f t="shared" si="55"/>
        <v>0.4</v>
      </c>
      <c r="H195" s="136">
        <f t="shared" si="55"/>
        <v>0.4</v>
      </c>
      <c r="I195" s="136">
        <f t="shared" si="55"/>
        <v>0.4</v>
      </c>
      <c r="J195" s="136">
        <f t="shared" si="55"/>
        <v>0.4</v>
      </c>
      <c r="K195" s="136">
        <f t="shared" si="55"/>
        <v>0.4</v>
      </c>
      <c r="L195" s="136">
        <f t="shared" si="55"/>
        <v>0.4</v>
      </c>
      <c r="M195" s="136">
        <f t="shared" si="55"/>
        <v>0.4</v>
      </c>
      <c r="N195" s="136">
        <f t="shared" si="55"/>
        <v>0.4</v>
      </c>
      <c r="O195" s="136">
        <f t="shared" si="55"/>
        <v>0.4</v>
      </c>
      <c r="P195" s="136">
        <f t="shared" si="55"/>
        <v>0.4</v>
      </c>
      <c r="Q195" s="136">
        <f t="shared" si="55"/>
        <v>0.4</v>
      </c>
      <c r="R195" s="136">
        <f t="shared" si="55"/>
        <v>0.4</v>
      </c>
      <c r="S195" s="136">
        <f t="shared" si="55"/>
        <v>0.4</v>
      </c>
      <c r="T195" s="136">
        <f t="shared" si="56"/>
        <v>0.4</v>
      </c>
      <c r="U195" s="136">
        <f t="shared" si="56"/>
        <v>0.4</v>
      </c>
      <c r="V195" s="136">
        <f t="shared" si="56"/>
        <v>0.4</v>
      </c>
      <c r="W195" s="136">
        <f>V195</f>
        <v>0.4</v>
      </c>
      <c r="X195" s="136">
        <f>W195</f>
        <v>0.4</v>
      </c>
      <c r="Y195" s="136">
        <f t="shared" si="56"/>
        <v>0.4</v>
      </c>
      <c r="Z195" s="136">
        <f t="shared" si="56"/>
        <v>0.4</v>
      </c>
      <c r="AA195" s="136">
        <f t="shared" si="56"/>
        <v>0.4</v>
      </c>
      <c r="AB195" s="136">
        <f t="shared" si="56"/>
        <v>0.4</v>
      </c>
      <c r="AC195" s="136">
        <f t="shared" si="56"/>
        <v>0.4</v>
      </c>
      <c r="AD195" s="136">
        <f t="shared" si="56"/>
        <v>0.4</v>
      </c>
      <c r="AE195" s="136">
        <f t="shared" si="56"/>
        <v>0.4</v>
      </c>
      <c r="AF195" s="136">
        <f t="shared" si="56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54"/>
        <v>1.5</v>
      </c>
      <c r="C196" s="136">
        <v>1.5</v>
      </c>
      <c r="D196" s="136">
        <f t="shared" si="55"/>
        <v>1.5</v>
      </c>
      <c r="E196" s="136">
        <f t="shared" si="55"/>
        <v>1.5</v>
      </c>
      <c r="F196" s="136">
        <f t="shared" si="55"/>
        <v>1.5</v>
      </c>
      <c r="G196" s="136">
        <f t="shared" si="55"/>
        <v>1.5</v>
      </c>
      <c r="H196" s="136">
        <f t="shared" si="55"/>
        <v>1.5</v>
      </c>
      <c r="I196" s="136">
        <f t="shared" si="55"/>
        <v>1.5</v>
      </c>
      <c r="J196" s="136">
        <f t="shared" si="55"/>
        <v>1.5</v>
      </c>
      <c r="K196" s="136">
        <f t="shared" si="55"/>
        <v>1.5</v>
      </c>
      <c r="L196" s="136">
        <f t="shared" si="55"/>
        <v>1.5</v>
      </c>
      <c r="M196" s="136">
        <f t="shared" si="55"/>
        <v>1.5</v>
      </c>
      <c r="N196" s="136">
        <f t="shared" si="55"/>
        <v>1.5</v>
      </c>
      <c r="O196" s="136">
        <f t="shared" si="55"/>
        <v>1.5</v>
      </c>
      <c r="P196" s="136">
        <f t="shared" si="55"/>
        <v>1.5</v>
      </c>
      <c r="Q196" s="136">
        <f t="shared" si="55"/>
        <v>1.5</v>
      </c>
      <c r="R196" s="136">
        <f t="shared" si="55"/>
        <v>1.5</v>
      </c>
      <c r="S196" s="136">
        <f t="shared" si="55"/>
        <v>1.5</v>
      </c>
      <c r="T196" s="136">
        <f t="shared" si="56"/>
        <v>1.5</v>
      </c>
      <c r="U196" s="136">
        <f t="shared" si="56"/>
        <v>1.5</v>
      </c>
      <c r="V196" s="136">
        <f t="shared" si="56"/>
        <v>1.5</v>
      </c>
      <c r="W196" s="136">
        <f t="shared" si="56"/>
        <v>1.5</v>
      </c>
      <c r="X196" s="136">
        <f t="shared" si="56"/>
        <v>1.5</v>
      </c>
      <c r="Y196" s="136">
        <f t="shared" si="56"/>
        <v>1.5</v>
      </c>
      <c r="Z196" s="136">
        <f t="shared" si="56"/>
        <v>1.5</v>
      </c>
      <c r="AA196" s="136">
        <f t="shared" si="56"/>
        <v>1.5</v>
      </c>
      <c r="AB196" s="136">
        <f t="shared" si="56"/>
        <v>1.5</v>
      </c>
      <c r="AC196" s="136">
        <f t="shared" si="56"/>
        <v>1.5</v>
      </c>
      <c r="AD196" s="136">
        <f t="shared" si="56"/>
        <v>1.5</v>
      </c>
      <c r="AE196" s="136">
        <f t="shared" si="56"/>
        <v>1.5</v>
      </c>
      <c r="AF196" s="136">
        <f t="shared" si="56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54"/>
        <v>0.3</v>
      </c>
      <c r="C197" s="136">
        <v>0.3</v>
      </c>
      <c r="D197" s="136">
        <f t="shared" si="55"/>
        <v>0.3</v>
      </c>
      <c r="E197" s="136">
        <f t="shared" si="55"/>
        <v>0.3</v>
      </c>
      <c r="F197" s="136">
        <f t="shared" si="55"/>
        <v>0.3</v>
      </c>
      <c r="G197" s="136">
        <f t="shared" si="55"/>
        <v>0.3</v>
      </c>
      <c r="H197" s="136">
        <f t="shared" si="55"/>
        <v>0.3</v>
      </c>
      <c r="I197" s="136">
        <f t="shared" si="55"/>
        <v>0.3</v>
      </c>
      <c r="J197" s="136">
        <f t="shared" si="55"/>
        <v>0.3</v>
      </c>
      <c r="K197" s="136">
        <f t="shared" si="55"/>
        <v>0.3</v>
      </c>
      <c r="L197" s="136">
        <f t="shared" si="55"/>
        <v>0.3</v>
      </c>
      <c r="M197" s="136">
        <f t="shared" si="55"/>
        <v>0.3</v>
      </c>
      <c r="N197" s="136">
        <f t="shared" si="55"/>
        <v>0.3</v>
      </c>
      <c r="O197" s="136">
        <f t="shared" si="55"/>
        <v>0.3</v>
      </c>
      <c r="P197" s="136">
        <f t="shared" si="55"/>
        <v>0.3</v>
      </c>
      <c r="Q197" s="136">
        <f t="shared" si="55"/>
        <v>0.3</v>
      </c>
      <c r="R197" s="136">
        <f t="shared" si="55"/>
        <v>0.3</v>
      </c>
      <c r="S197" s="136">
        <f t="shared" si="55"/>
        <v>0.3</v>
      </c>
      <c r="T197" s="136">
        <f t="shared" si="56"/>
        <v>0.3</v>
      </c>
      <c r="U197" s="136">
        <f t="shared" si="56"/>
        <v>0.3</v>
      </c>
      <c r="V197" s="136">
        <f t="shared" si="56"/>
        <v>0.3</v>
      </c>
      <c r="W197" s="136">
        <f t="shared" si="56"/>
        <v>0.3</v>
      </c>
      <c r="X197" s="136">
        <f t="shared" si="56"/>
        <v>0.3</v>
      </c>
      <c r="Y197" s="136">
        <f t="shared" si="56"/>
        <v>0.3</v>
      </c>
      <c r="Z197" s="136">
        <f t="shared" si="56"/>
        <v>0.3</v>
      </c>
      <c r="AA197" s="136">
        <f t="shared" si="56"/>
        <v>0.3</v>
      </c>
      <c r="AB197" s="136">
        <f t="shared" si="56"/>
        <v>0.3</v>
      </c>
      <c r="AC197" s="136">
        <f t="shared" si="56"/>
        <v>0.3</v>
      </c>
      <c r="AD197" s="136">
        <f t="shared" si="56"/>
        <v>0.3</v>
      </c>
      <c r="AE197" s="136">
        <f t="shared" si="56"/>
        <v>0.3</v>
      </c>
      <c r="AF197" s="136">
        <f t="shared" si="56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54"/>
        <v>0.4</v>
      </c>
      <c r="C198" s="136">
        <v>0.4</v>
      </c>
      <c r="D198" s="136">
        <f t="shared" si="55"/>
        <v>0.4</v>
      </c>
      <c r="E198" s="136">
        <f t="shared" si="55"/>
        <v>0.4</v>
      </c>
      <c r="F198" s="136">
        <f t="shared" si="55"/>
        <v>0.4</v>
      </c>
      <c r="G198" s="136">
        <f t="shared" si="55"/>
        <v>0.4</v>
      </c>
      <c r="H198" s="136">
        <f t="shared" si="55"/>
        <v>0.4</v>
      </c>
      <c r="I198" s="136">
        <f t="shared" si="55"/>
        <v>0.4</v>
      </c>
      <c r="J198" s="136">
        <f t="shared" si="55"/>
        <v>0.4</v>
      </c>
      <c r="K198" s="136">
        <f t="shared" si="55"/>
        <v>0.4</v>
      </c>
      <c r="L198" s="136">
        <f t="shared" si="55"/>
        <v>0.4</v>
      </c>
      <c r="M198" s="136">
        <f t="shared" si="55"/>
        <v>0.4</v>
      </c>
      <c r="N198" s="136">
        <f t="shared" si="55"/>
        <v>0.4</v>
      </c>
      <c r="O198" s="136">
        <f t="shared" si="55"/>
        <v>0.4</v>
      </c>
      <c r="P198" s="136">
        <f t="shared" si="55"/>
        <v>0.4</v>
      </c>
      <c r="Q198" s="136">
        <f t="shared" si="55"/>
        <v>0.4</v>
      </c>
      <c r="R198" s="136">
        <f t="shared" si="55"/>
        <v>0.4</v>
      </c>
      <c r="S198" s="136">
        <f t="shared" si="55"/>
        <v>0.4</v>
      </c>
      <c r="T198" s="136">
        <f t="shared" si="56"/>
        <v>0.4</v>
      </c>
      <c r="U198" s="136">
        <f t="shared" si="56"/>
        <v>0.4</v>
      </c>
      <c r="V198" s="136">
        <f t="shared" si="56"/>
        <v>0.4</v>
      </c>
      <c r="W198" s="136">
        <f t="shared" si="56"/>
        <v>0.4</v>
      </c>
      <c r="X198" s="136">
        <f t="shared" si="56"/>
        <v>0.4</v>
      </c>
      <c r="Y198" s="136">
        <f t="shared" si="56"/>
        <v>0.4</v>
      </c>
      <c r="Z198" s="136">
        <f t="shared" si="56"/>
        <v>0.4</v>
      </c>
      <c r="AA198" s="136">
        <f t="shared" si="56"/>
        <v>0.4</v>
      </c>
      <c r="AB198" s="136">
        <f t="shared" si="56"/>
        <v>0.4</v>
      </c>
      <c r="AC198" s="136">
        <f t="shared" si="56"/>
        <v>0.4</v>
      </c>
      <c r="AD198" s="136">
        <f t="shared" si="56"/>
        <v>0.4</v>
      </c>
      <c r="AE198" s="136">
        <f t="shared" si="56"/>
        <v>0.4</v>
      </c>
      <c r="AF198" s="136">
        <f t="shared" si="56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54"/>
        <v>0.64</v>
      </c>
      <c r="C199" s="146">
        <v>0.64</v>
      </c>
      <c r="D199" s="146">
        <f t="shared" si="55"/>
        <v>0.64</v>
      </c>
      <c r="E199" s="146">
        <f t="shared" si="55"/>
        <v>0.64</v>
      </c>
      <c r="F199" s="146">
        <f t="shared" si="55"/>
        <v>0.64</v>
      </c>
      <c r="G199" s="146">
        <f t="shared" si="55"/>
        <v>0.64</v>
      </c>
      <c r="H199" s="146">
        <f t="shared" si="55"/>
        <v>0.64</v>
      </c>
      <c r="I199" s="146">
        <f t="shared" si="55"/>
        <v>0.64</v>
      </c>
      <c r="J199" s="146">
        <f t="shared" si="55"/>
        <v>0.64</v>
      </c>
      <c r="K199" s="146">
        <f t="shared" si="55"/>
        <v>0.64</v>
      </c>
      <c r="L199" s="146">
        <f t="shared" si="55"/>
        <v>0.64</v>
      </c>
      <c r="M199" s="146">
        <f t="shared" si="55"/>
        <v>0.64</v>
      </c>
      <c r="N199" s="146">
        <f t="shared" si="55"/>
        <v>0.64</v>
      </c>
      <c r="O199" s="146">
        <f t="shared" si="55"/>
        <v>0.64</v>
      </c>
      <c r="P199" s="146">
        <f t="shared" si="55"/>
        <v>0.64</v>
      </c>
      <c r="Q199" s="146">
        <f t="shared" si="55"/>
        <v>0.64</v>
      </c>
      <c r="R199" s="146">
        <f t="shared" si="55"/>
        <v>0.64</v>
      </c>
      <c r="S199" s="146">
        <f t="shared" si="55"/>
        <v>0.64</v>
      </c>
      <c r="T199" s="146">
        <f t="shared" si="56"/>
        <v>0.64</v>
      </c>
      <c r="U199" s="146">
        <f t="shared" si="56"/>
        <v>0.64</v>
      </c>
      <c r="V199" s="146">
        <f t="shared" si="56"/>
        <v>0.64</v>
      </c>
      <c r="W199" s="146">
        <f t="shared" si="56"/>
        <v>0.64</v>
      </c>
      <c r="X199" s="146">
        <f t="shared" si="56"/>
        <v>0.64</v>
      </c>
      <c r="Y199" s="146">
        <f t="shared" si="56"/>
        <v>0.64</v>
      </c>
      <c r="Z199" s="146">
        <f t="shared" si="56"/>
        <v>0.64</v>
      </c>
      <c r="AA199" s="146">
        <f t="shared" si="56"/>
        <v>0.64</v>
      </c>
      <c r="AB199" s="146">
        <f t="shared" si="56"/>
        <v>0.64</v>
      </c>
      <c r="AC199" s="146">
        <f t="shared" si="56"/>
        <v>0.64</v>
      </c>
      <c r="AD199" s="146">
        <f t="shared" si="56"/>
        <v>0.64</v>
      </c>
      <c r="AE199" s="146">
        <f t="shared" si="56"/>
        <v>0.64</v>
      </c>
      <c r="AF199" s="146">
        <f t="shared" si="56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57">SUM(D194:D199)</f>
        <v>3.54</v>
      </c>
      <c r="E200" s="149">
        <f t="shared" si="57"/>
        <v>3.54</v>
      </c>
      <c r="F200" s="149">
        <f t="shared" si="57"/>
        <v>3.54</v>
      </c>
      <c r="G200" s="149">
        <f t="shared" si="57"/>
        <v>3.54</v>
      </c>
      <c r="H200" s="149">
        <f t="shared" si="57"/>
        <v>3.54</v>
      </c>
      <c r="I200" s="149">
        <f t="shared" si="57"/>
        <v>3.54</v>
      </c>
      <c r="J200" s="149">
        <f t="shared" si="57"/>
        <v>3.54</v>
      </c>
      <c r="K200" s="149">
        <f t="shared" si="57"/>
        <v>3.54</v>
      </c>
      <c r="L200" s="149">
        <f t="shared" si="57"/>
        <v>3.54</v>
      </c>
      <c r="M200" s="149">
        <f>SUM(M194:M199)</f>
        <v>3.54</v>
      </c>
      <c r="N200" s="149">
        <f t="shared" ref="N200:S200" si="58">SUM(N194:N199)</f>
        <v>3.54</v>
      </c>
      <c r="O200" s="149">
        <f t="shared" si="58"/>
        <v>3.54</v>
      </c>
      <c r="P200" s="149">
        <f t="shared" si="58"/>
        <v>3.54</v>
      </c>
      <c r="Q200" s="149">
        <f t="shared" si="58"/>
        <v>3.54</v>
      </c>
      <c r="R200" s="149">
        <f t="shared" si="58"/>
        <v>3.54</v>
      </c>
      <c r="S200" s="149">
        <f t="shared" si="58"/>
        <v>3.54</v>
      </c>
      <c r="T200" s="149">
        <f>SUM(T194:T199)</f>
        <v>3.54</v>
      </c>
      <c r="U200" s="149">
        <f t="shared" ref="U200:AG200" si="59">SUM(U194:U199)</f>
        <v>3.54</v>
      </c>
      <c r="V200" s="149">
        <f t="shared" si="59"/>
        <v>3.54</v>
      </c>
      <c r="W200" s="149">
        <f t="shared" si="59"/>
        <v>3.54</v>
      </c>
      <c r="X200" s="149">
        <f t="shared" si="59"/>
        <v>3.54</v>
      </c>
      <c r="Y200" s="149">
        <f t="shared" si="59"/>
        <v>3.54</v>
      </c>
      <c r="Z200" s="149">
        <f t="shared" si="59"/>
        <v>3.54</v>
      </c>
      <c r="AA200" s="149">
        <f t="shared" si="59"/>
        <v>3.54</v>
      </c>
      <c r="AB200" s="149">
        <f t="shared" si="59"/>
        <v>3.54</v>
      </c>
      <c r="AC200" s="149">
        <f t="shared" si="59"/>
        <v>3.54</v>
      </c>
      <c r="AD200" s="149">
        <f t="shared" si="59"/>
        <v>3.54</v>
      </c>
      <c r="AE200" s="149">
        <f t="shared" si="59"/>
        <v>3.54</v>
      </c>
      <c r="AF200" s="149">
        <f t="shared" si="59"/>
        <v>3.54</v>
      </c>
      <c r="AG200" s="150">
        <f t="shared" si="59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1436.5400000000002</v>
      </c>
      <c r="C209" s="164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2078/11/24)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60">B75</f>
        <v>996.44</v>
      </c>
      <c r="U214" s="174">
        <f t="shared" si="60"/>
        <v>985.24</v>
      </c>
      <c r="V214" s="174">
        <f t="shared" si="60"/>
        <v>983.04000000000008</v>
      </c>
      <c r="W214" s="174">
        <f t="shared" si="60"/>
        <v>951.24</v>
      </c>
      <c r="X214" s="174">
        <f t="shared" si="60"/>
        <v>950.24</v>
      </c>
      <c r="Y214" s="174">
        <f t="shared" si="60"/>
        <v>982.04000000000008</v>
      </c>
      <c r="Z214" s="174">
        <f t="shared" si="60"/>
        <v>1069.74</v>
      </c>
      <c r="AA214" s="174">
        <f t="shared" si="60"/>
        <v>1133.3400000000001</v>
      </c>
      <c r="AB214" s="174">
        <f t="shared" si="60"/>
        <v>1219.54</v>
      </c>
      <c r="AC214" s="174">
        <f t="shared" si="60"/>
        <v>1309.1399999999999</v>
      </c>
      <c r="AD214" s="174">
        <f t="shared" si="60"/>
        <v>1400.2400000000002</v>
      </c>
      <c r="AE214" s="174">
        <f t="shared" si="60"/>
        <v>1436.5400000000002</v>
      </c>
      <c r="AF214" s="174">
        <f t="shared" si="60"/>
        <v>1409.3400000000001</v>
      </c>
      <c r="AG214" s="174">
        <f t="shared" si="60"/>
        <v>1221.1399999999999</v>
      </c>
      <c r="AH214" s="174">
        <f t="shared" si="60"/>
        <v>1267.6200000000001</v>
      </c>
      <c r="AI214" s="174">
        <f t="shared" si="60"/>
        <v>1272.6399999999999</v>
      </c>
      <c r="AJ214" s="174">
        <f t="shared" si="60"/>
        <v>1223.7400000000002</v>
      </c>
      <c r="AK214" s="174">
        <f t="shared" si="60"/>
        <v>1267.2399999999998</v>
      </c>
      <c r="AL214" s="174">
        <f t="shared" si="60"/>
        <v>1250.6399999999999</v>
      </c>
      <c r="AM214" s="174">
        <f t="shared" si="60"/>
        <v>1261.3399999999999</v>
      </c>
      <c r="AN214" s="174">
        <f t="shared" si="60"/>
        <v>1254.44</v>
      </c>
      <c r="AO214" s="174">
        <f t="shared" si="60"/>
        <v>1272.8400000000001</v>
      </c>
      <c r="AP214" s="174">
        <f t="shared" si="60"/>
        <v>1369.5400000000002</v>
      </c>
      <c r="AQ214" s="174">
        <f t="shared" si="60"/>
        <v>1500.8400000000001</v>
      </c>
      <c r="AR214" s="174">
        <f t="shared" si="60"/>
        <v>1533.14</v>
      </c>
      <c r="AS214" s="174">
        <f t="shared" si="60"/>
        <v>1495.3400000000001</v>
      </c>
      <c r="AT214" s="174">
        <f t="shared" si="60"/>
        <v>1364.0400000000002</v>
      </c>
      <c r="AU214" s="174">
        <f t="shared" si="60"/>
        <v>1359.3400000000001</v>
      </c>
      <c r="AV214" s="174">
        <f t="shared" si="60"/>
        <v>1257.1400000000001</v>
      </c>
      <c r="AW214" s="174">
        <f t="shared" si="60"/>
        <v>1194.8400000000001</v>
      </c>
      <c r="AX214" s="174">
        <f t="shared" si="60"/>
        <v>1006.74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61">C199</f>
        <v>0.64</v>
      </c>
      <c r="C235" s="177">
        <f t="shared" si="61"/>
        <v>0.64</v>
      </c>
      <c r="D235" s="177">
        <f t="shared" si="61"/>
        <v>0.64</v>
      </c>
      <c r="E235" s="177">
        <f t="shared" si="61"/>
        <v>0.64</v>
      </c>
      <c r="F235" s="177">
        <f t="shared" si="61"/>
        <v>0.64</v>
      </c>
      <c r="G235" s="177">
        <f t="shared" si="61"/>
        <v>0.64</v>
      </c>
      <c r="H235" s="177">
        <f t="shared" si="61"/>
        <v>0.64</v>
      </c>
      <c r="I235" s="177">
        <f t="shared" si="61"/>
        <v>0.64</v>
      </c>
      <c r="J235" s="177">
        <f t="shared" si="61"/>
        <v>0.64</v>
      </c>
      <c r="K235" s="177">
        <f t="shared" si="61"/>
        <v>0.64</v>
      </c>
      <c r="L235" s="177">
        <f t="shared" si="61"/>
        <v>0.64</v>
      </c>
      <c r="M235" s="177">
        <f t="shared" si="61"/>
        <v>0.64</v>
      </c>
      <c r="N235" s="177">
        <f t="shared" si="61"/>
        <v>0.64</v>
      </c>
      <c r="O235" s="177">
        <f t="shared" si="61"/>
        <v>0.64</v>
      </c>
      <c r="P235" s="177">
        <f t="shared" si="61"/>
        <v>0.64</v>
      </c>
      <c r="Q235" s="177">
        <f t="shared" si="61"/>
        <v>0.64</v>
      </c>
      <c r="R235" s="177">
        <f t="shared" si="61"/>
        <v>0.64</v>
      </c>
      <c r="S235" s="177">
        <f t="shared" si="61"/>
        <v>0.64</v>
      </c>
      <c r="T235" s="177">
        <f t="shared" si="61"/>
        <v>0.64</v>
      </c>
      <c r="U235" s="177">
        <f t="shared" si="61"/>
        <v>0.64</v>
      </c>
      <c r="V235" s="177">
        <f t="shared" si="61"/>
        <v>0.64</v>
      </c>
      <c r="W235" s="177">
        <f t="shared" si="61"/>
        <v>0.64</v>
      </c>
      <c r="X235" s="177">
        <f t="shared" si="61"/>
        <v>0.64</v>
      </c>
      <c r="Y235" s="177">
        <f t="shared" si="61"/>
        <v>0.64</v>
      </c>
      <c r="Z235" s="177">
        <f t="shared" si="61"/>
        <v>0.64</v>
      </c>
      <c r="AA235" s="177">
        <f t="shared" si="61"/>
        <v>0.64</v>
      </c>
      <c r="AB235" s="177">
        <f t="shared" si="61"/>
        <v>0.64</v>
      </c>
      <c r="AC235" s="177">
        <f t="shared" si="61"/>
        <v>0.64</v>
      </c>
      <c r="AD235" s="177">
        <f t="shared" si="61"/>
        <v>0.64</v>
      </c>
      <c r="AE235" s="177">
        <f t="shared" si="61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62">IF(C203&lt;100,"",C203-520)</f>
        <v/>
      </c>
      <c r="D236" s="120" t="str">
        <f t="shared" si="62"/>
        <v/>
      </c>
      <c r="E236" s="120" t="str">
        <f t="shared" si="62"/>
        <v/>
      </c>
      <c r="F236" s="120" t="str">
        <f t="shared" si="62"/>
        <v/>
      </c>
      <c r="G236" s="120" t="str">
        <f t="shared" si="62"/>
        <v/>
      </c>
      <c r="H236" s="120" t="str">
        <f t="shared" si="62"/>
        <v/>
      </c>
      <c r="I236" s="120" t="str">
        <f t="shared" si="62"/>
        <v/>
      </c>
      <c r="J236" s="120" t="str">
        <f t="shared" si="62"/>
        <v/>
      </c>
      <c r="K236" s="120" t="str">
        <f t="shared" si="62"/>
        <v/>
      </c>
      <c r="L236" s="120" t="str">
        <f t="shared" si="62"/>
        <v/>
      </c>
      <c r="M236" s="120" t="str">
        <f t="shared" si="62"/>
        <v/>
      </c>
      <c r="N236" s="120" t="str">
        <f t="shared" si="62"/>
        <v/>
      </c>
      <c r="O236" s="120" t="str">
        <f t="shared" si="62"/>
        <v/>
      </c>
      <c r="P236" s="120" t="str">
        <f t="shared" si="62"/>
        <v/>
      </c>
      <c r="Q236" s="120" t="str">
        <f t="shared" si="62"/>
        <v/>
      </c>
      <c r="R236" s="120" t="str">
        <f t="shared" si="62"/>
        <v/>
      </c>
      <c r="S236" s="120" t="str">
        <f t="shared" si="62"/>
        <v/>
      </c>
      <c r="T236" s="120" t="str">
        <f t="shared" si="62"/>
        <v/>
      </c>
      <c r="U236" s="120" t="str">
        <f t="shared" si="62"/>
        <v/>
      </c>
      <c r="V236" s="120" t="str">
        <f t="shared" si="62"/>
        <v/>
      </c>
      <c r="W236" s="120" t="str">
        <f t="shared" si="62"/>
        <v/>
      </c>
      <c r="X236" s="120" t="str">
        <f t="shared" si="62"/>
        <v/>
      </c>
      <c r="Y236" s="120" t="str">
        <f t="shared" si="62"/>
        <v/>
      </c>
      <c r="Z236" s="120" t="str">
        <f t="shared" si="62"/>
        <v/>
      </c>
      <c r="AA236" s="120" t="str">
        <f t="shared" si="62"/>
        <v/>
      </c>
      <c r="AB236" s="120" t="str">
        <f t="shared" si="62"/>
        <v/>
      </c>
      <c r="AC236" s="120" t="str">
        <f t="shared" si="62"/>
        <v/>
      </c>
      <c r="AD236" s="120" t="str">
        <f t="shared" si="62"/>
        <v/>
      </c>
      <c r="AE236" s="120" t="str">
        <f t="shared" si="62"/>
        <v/>
      </c>
      <c r="AF236" s="120" t="str">
        <f t="shared" si="62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63">IF(B204&lt;100,"",B204-620)</f>
        <v/>
      </c>
      <c r="C237" s="120" t="str">
        <f t="shared" si="63"/>
        <v/>
      </c>
      <c r="D237" s="120" t="str">
        <f t="shared" si="63"/>
        <v/>
      </c>
      <c r="E237" s="120" t="str">
        <f t="shared" si="63"/>
        <v/>
      </c>
      <c r="F237" s="120" t="str">
        <f t="shared" si="63"/>
        <v/>
      </c>
      <c r="G237" s="120" t="str">
        <f t="shared" si="63"/>
        <v/>
      </c>
      <c r="H237" s="120" t="str">
        <f t="shared" si="63"/>
        <v/>
      </c>
      <c r="I237" s="120" t="str">
        <f t="shared" si="63"/>
        <v/>
      </c>
      <c r="J237" s="120" t="str">
        <f t="shared" si="63"/>
        <v/>
      </c>
      <c r="K237" s="120" t="str">
        <f t="shared" si="63"/>
        <v/>
      </c>
      <c r="L237" s="120" t="str">
        <f t="shared" si="63"/>
        <v/>
      </c>
      <c r="M237" s="120" t="str">
        <f t="shared" si="63"/>
        <v/>
      </c>
      <c r="N237" s="120" t="str">
        <f t="shared" si="63"/>
        <v/>
      </c>
      <c r="O237" s="120" t="str">
        <f t="shared" si="63"/>
        <v/>
      </c>
      <c r="P237" s="120" t="str">
        <f t="shared" si="63"/>
        <v/>
      </c>
      <c r="Q237" s="120" t="str">
        <f t="shared" si="63"/>
        <v/>
      </c>
      <c r="R237" s="120" t="str">
        <f t="shared" si="63"/>
        <v/>
      </c>
      <c r="S237" s="120" t="str">
        <f t="shared" si="63"/>
        <v/>
      </c>
      <c r="T237" s="120" t="str">
        <f t="shared" si="63"/>
        <v/>
      </c>
      <c r="U237" s="120" t="str">
        <f t="shared" si="63"/>
        <v/>
      </c>
      <c r="V237" s="120" t="str">
        <f t="shared" si="63"/>
        <v/>
      </c>
      <c r="W237" s="120" t="str">
        <f t="shared" si="63"/>
        <v/>
      </c>
      <c r="X237" s="120" t="str">
        <f t="shared" si="63"/>
        <v/>
      </c>
      <c r="Y237" s="120" t="str">
        <f t="shared" si="63"/>
        <v/>
      </c>
      <c r="Z237" s="120" t="str">
        <f t="shared" si="63"/>
        <v/>
      </c>
      <c r="AA237" s="120" t="str">
        <f t="shared" si="63"/>
        <v/>
      </c>
      <c r="AB237" s="120" t="str">
        <f t="shared" si="63"/>
        <v/>
      </c>
      <c r="AC237" s="120" t="str">
        <f t="shared" si="63"/>
        <v/>
      </c>
      <c r="AD237" s="120" t="str">
        <f t="shared" si="63"/>
        <v/>
      </c>
      <c r="AE237" s="120" t="str">
        <f t="shared" si="63"/>
        <v/>
      </c>
      <c r="AF237" s="120" t="str">
        <f t="shared" si="63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64">IF(B205&lt;100,"",B205-330)</f>
        <v/>
      </c>
      <c r="C238" s="120" t="str">
        <f t="shared" si="64"/>
        <v/>
      </c>
      <c r="D238" s="120" t="str">
        <f t="shared" si="64"/>
        <v/>
      </c>
      <c r="E238" s="120" t="str">
        <f t="shared" si="64"/>
        <v/>
      </c>
      <c r="F238" s="120" t="str">
        <f t="shared" si="64"/>
        <v/>
      </c>
      <c r="G238" s="120" t="str">
        <f t="shared" si="64"/>
        <v/>
      </c>
      <c r="H238" s="120" t="str">
        <f t="shared" si="64"/>
        <v/>
      </c>
      <c r="I238" s="120" t="str">
        <f t="shared" si="64"/>
        <v/>
      </c>
      <c r="J238" s="120" t="str">
        <f t="shared" si="64"/>
        <v/>
      </c>
      <c r="K238" s="120" t="str">
        <f t="shared" si="64"/>
        <v/>
      </c>
      <c r="L238" s="120" t="str">
        <f t="shared" si="64"/>
        <v/>
      </c>
      <c r="M238" s="120" t="str">
        <f t="shared" si="64"/>
        <v/>
      </c>
      <c r="N238" s="120" t="str">
        <f t="shared" si="64"/>
        <v/>
      </c>
      <c r="O238" s="120" t="str">
        <f t="shared" si="64"/>
        <v/>
      </c>
      <c r="P238" s="120" t="str">
        <f t="shared" si="64"/>
        <v/>
      </c>
      <c r="Q238" s="120" t="str">
        <f t="shared" si="64"/>
        <v/>
      </c>
      <c r="R238" s="120" t="str">
        <f t="shared" si="64"/>
        <v/>
      </c>
      <c r="S238" s="120" t="str">
        <f t="shared" si="64"/>
        <v/>
      </c>
      <c r="T238" s="120" t="str">
        <f t="shared" si="64"/>
        <v/>
      </c>
      <c r="U238" s="120" t="str">
        <f t="shared" si="64"/>
        <v/>
      </c>
      <c r="V238" s="120" t="str">
        <f t="shared" si="64"/>
        <v/>
      </c>
      <c r="W238" s="120" t="str">
        <f t="shared" si="64"/>
        <v/>
      </c>
      <c r="X238" s="120" t="str">
        <f t="shared" si="64"/>
        <v/>
      </c>
      <c r="Y238" s="120" t="str">
        <f t="shared" si="64"/>
        <v/>
      </c>
      <c r="Z238" s="120" t="str">
        <f t="shared" si="64"/>
        <v/>
      </c>
      <c r="AA238" s="120" t="str">
        <f t="shared" si="64"/>
        <v/>
      </c>
      <c r="AB238" s="120" t="str">
        <f t="shared" si="64"/>
        <v/>
      </c>
      <c r="AC238" s="120" t="str">
        <f t="shared" si="64"/>
        <v/>
      </c>
      <c r="AD238" s="120" t="str">
        <f t="shared" si="64"/>
        <v/>
      </c>
      <c r="AE238" s="120" t="str">
        <f t="shared" si="64"/>
        <v/>
      </c>
      <c r="AF238" s="120" t="str">
        <f t="shared" si="64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65">IF(C206&lt;100,"",C206-1500)</f>
        <v/>
      </c>
      <c r="D239" s="120" t="str">
        <f t="shared" si="65"/>
        <v/>
      </c>
      <c r="E239" s="120" t="str">
        <f t="shared" si="65"/>
        <v/>
      </c>
      <c r="F239" s="120" t="str">
        <f t="shared" si="65"/>
        <v/>
      </c>
      <c r="G239" s="120" t="str">
        <f t="shared" si="65"/>
        <v/>
      </c>
      <c r="H239" s="120" t="str">
        <f t="shared" si="65"/>
        <v/>
      </c>
      <c r="I239" s="120" t="str">
        <f t="shared" si="65"/>
        <v/>
      </c>
      <c r="J239" s="120" t="str">
        <f t="shared" si="65"/>
        <v/>
      </c>
      <c r="K239" s="120" t="str">
        <f t="shared" si="65"/>
        <v/>
      </c>
      <c r="L239" s="120" t="str">
        <f t="shared" si="65"/>
        <v/>
      </c>
      <c r="M239" s="120" t="str">
        <f t="shared" si="65"/>
        <v/>
      </c>
      <c r="N239" s="120" t="str">
        <f t="shared" si="65"/>
        <v/>
      </c>
      <c r="O239" s="120" t="str">
        <f t="shared" si="65"/>
        <v/>
      </c>
      <c r="P239" s="120" t="str">
        <f t="shared" si="65"/>
        <v/>
      </c>
      <c r="Q239" s="120" t="str">
        <f t="shared" si="65"/>
        <v/>
      </c>
      <c r="R239" s="120" t="str">
        <f t="shared" si="65"/>
        <v/>
      </c>
      <c r="S239" s="120" t="str">
        <f t="shared" si="65"/>
        <v/>
      </c>
      <c r="T239" s="120" t="str">
        <f t="shared" si="65"/>
        <v/>
      </c>
      <c r="U239" s="120" t="str">
        <f t="shared" si="65"/>
        <v/>
      </c>
      <c r="V239" s="120" t="str">
        <f t="shared" si="65"/>
        <v/>
      </c>
      <c r="W239" s="120" t="str">
        <f t="shared" si="65"/>
        <v/>
      </c>
      <c r="X239" s="120" t="str">
        <f t="shared" si="65"/>
        <v/>
      </c>
      <c r="Y239" s="120" t="str">
        <f t="shared" si="65"/>
        <v/>
      </c>
      <c r="Z239" s="120" t="str">
        <f t="shared" si="65"/>
        <v/>
      </c>
      <c r="AA239" s="120" t="str">
        <f t="shared" si="65"/>
        <v/>
      </c>
      <c r="AB239" s="120" t="str">
        <f t="shared" si="65"/>
        <v/>
      </c>
      <c r="AC239" s="120" t="str">
        <f t="shared" si="65"/>
        <v/>
      </c>
      <c r="AD239" s="120" t="str">
        <f t="shared" si="65"/>
        <v/>
      </c>
      <c r="AE239" s="120" t="str">
        <f t="shared" si="65"/>
        <v/>
      </c>
      <c r="AF239" s="120" t="str">
        <f t="shared" si="65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0">
      <iconSet iconSet="3TrafficLights2" reverse="1">
        <cfvo type="percent" val="0"/>
        <cfvo type="num" val="1"/>
        <cfvo type="num" val="1"/>
      </iconSet>
    </cfRule>
  </conditionalFormatting>
  <conditionalFormatting sqref="P39:R39 P40:Q42 R42 R40:Y41 Y85:AA91 AB81:AF81 D194:AF200 B194:B200 C68:L72 B84:B91 B73:L83 B9:L10 B192:AF192 B53:B72 AG73 B94:B100 U213:AF213 C63:I67 C56:L61 B36:L36 J65:L67 N9:AF10 N68:AF80 N82:AF83 N81:R81 N37:R37 N11:O13 P58:W59 N58:O61 N39:O42 P11:R14 P60:R67 S18:Y30 U42:Y42 S11:AB11 Z12:AB14 Z16:AF31 S36:AF36 AC11:AF14 Z40:AF43 N53:AF56 AB84:AF91 AB94:AF100">
    <cfRule type="expression" dxfId="2373" priority="306">
      <formula>B$9&gt;=20/24</formula>
    </cfRule>
    <cfRule type="expression" dxfId="2372" priority="307">
      <formula>AND(B$9&gt;=14/24,B$9&lt;20/24)</formula>
    </cfRule>
    <cfRule type="expression" dxfId="2371" priority="308">
      <formula>AND(B$9&gt;=8/24,B$9&lt;14/24)</formula>
    </cfRule>
    <cfRule type="expression" dxfId="2370" priority="309">
      <formula>B$9&lt;8/24</formula>
    </cfRule>
  </conditionalFormatting>
  <conditionalFormatting sqref="AL4:AL6">
    <cfRule type="iconSet" priority="305">
      <iconSet iconSet="3TrafficLights2" reverse="1">
        <cfvo type="percent" val="0"/>
        <cfvo type="num" val="1"/>
        <cfvo type="num" val="1"/>
      </iconSet>
    </cfRule>
  </conditionalFormatting>
  <conditionalFormatting sqref="N57:R57">
    <cfRule type="expression" dxfId="2369" priority="301">
      <formula>N$9&gt;=20/24</formula>
    </cfRule>
    <cfRule type="expression" dxfId="2368" priority="302">
      <formula>AND(N$9&gt;=14/24,N$9&lt;20/24)</formula>
    </cfRule>
    <cfRule type="expression" dxfId="2367" priority="303">
      <formula>AND(N$9&gt;=8/24,N$9&lt;14/24)</formula>
    </cfRule>
    <cfRule type="expression" dxfId="2366" priority="304">
      <formula>N$9&lt;8/24</formula>
    </cfRule>
  </conditionalFormatting>
  <conditionalFormatting sqref="O43:R43">
    <cfRule type="expression" dxfId="2365" priority="297">
      <formula>O$9&gt;=20/24</formula>
    </cfRule>
    <cfRule type="expression" dxfId="2364" priority="298">
      <formula>AND(O$9&gt;=14/24,O$9&lt;20/24)</formula>
    </cfRule>
    <cfRule type="expression" dxfId="2363" priority="299">
      <formula>AND(O$9&gt;=8/24,O$9&lt;14/24)</formula>
    </cfRule>
    <cfRule type="expression" dxfId="2362" priority="300">
      <formula>O$9&lt;8/24</formula>
    </cfRule>
  </conditionalFormatting>
  <conditionalFormatting sqref="Z32:AF32">
    <cfRule type="expression" dxfId="2361" priority="293">
      <formula>Z$9&gt;=20/24</formula>
    </cfRule>
    <cfRule type="expression" dxfId="2360" priority="294">
      <formula>AND(Z$9&gt;=14/24,Z$9&lt;20/24)</formula>
    </cfRule>
    <cfRule type="expression" dxfId="2359" priority="295">
      <formula>AND(Z$9&gt;=8/24,Z$9&lt;14/24)</formula>
    </cfRule>
    <cfRule type="expression" dxfId="2358" priority="296">
      <formula>Z$9&lt;8/24</formula>
    </cfRule>
  </conditionalFormatting>
  <conditionalFormatting sqref="S39:AF39">
    <cfRule type="expression" dxfId="2357" priority="289">
      <formula>S$9&gt;=20/24</formula>
    </cfRule>
    <cfRule type="expression" dxfId="2356" priority="290">
      <formula>AND(S$9&gt;=14/24,S$9&lt;20/24)</formula>
    </cfRule>
    <cfRule type="expression" dxfId="2355" priority="291">
      <formula>AND(S$9&gt;=8/24,S$9&lt;14/24)</formula>
    </cfRule>
    <cfRule type="expression" dxfId="2354" priority="292">
      <formula>S$9&lt;8/24</formula>
    </cfRule>
  </conditionalFormatting>
  <conditionalFormatting sqref="S57:AF57">
    <cfRule type="expression" dxfId="2353" priority="285">
      <formula>S$9&gt;=20/24</formula>
    </cfRule>
    <cfRule type="expression" dxfId="2352" priority="286">
      <formula>AND(S$9&gt;=14/24,S$9&lt;20/24)</formula>
    </cfRule>
    <cfRule type="expression" dxfId="2351" priority="287">
      <formula>AND(S$9&gt;=8/24,S$9&lt;14/24)</formula>
    </cfRule>
    <cfRule type="expression" dxfId="2350" priority="288">
      <formula>S$9&lt;8/24</formula>
    </cfRule>
  </conditionalFormatting>
  <conditionalFormatting sqref="S81:AA81">
    <cfRule type="expression" dxfId="2349" priority="281">
      <formula>S$9&gt;=20/24</formula>
    </cfRule>
    <cfRule type="expression" dxfId="2348" priority="282">
      <formula>AND(S$9&gt;=14/24,S$9&lt;20/24)</formula>
    </cfRule>
    <cfRule type="expression" dxfId="2347" priority="283">
      <formula>AND(S$9&gt;=8/24,S$9&lt;14/24)</formula>
    </cfRule>
    <cfRule type="expression" dxfId="2346" priority="284">
      <formula>S$9&lt;8/24</formula>
    </cfRule>
  </conditionalFormatting>
  <conditionalFormatting sqref="U84:AA84">
    <cfRule type="expression" dxfId="2345" priority="277">
      <formula>U$9&gt;=20/24</formula>
    </cfRule>
    <cfRule type="expression" dxfId="2344" priority="278">
      <formula>AND(U$9&gt;=14/24,U$9&lt;20/24)</formula>
    </cfRule>
    <cfRule type="expression" dxfId="2343" priority="279">
      <formula>AND(U$9&gt;=8/24,U$9&lt;14/24)</formula>
    </cfRule>
    <cfRule type="expression" dxfId="2342" priority="280">
      <formula>U$9&lt;8/24</formula>
    </cfRule>
  </conditionalFormatting>
  <conditionalFormatting sqref="S49:Y49">
    <cfRule type="expression" dxfId="2341" priority="269">
      <formula>S$9&gt;=20/24</formula>
    </cfRule>
    <cfRule type="expression" dxfId="2340" priority="270">
      <formula>AND(S$9&gt;=14/24,S$9&lt;20/24)</formula>
    </cfRule>
    <cfRule type="expression" dxfId="2339" priority="271">
      <formula>AND(S$9&gt;=8/24,S$9&lt;14/24)</formula>
    </cfRule>
    <cfRule type="expression" dxfId="2338" priority="272">
      <formula>S$9&lt;8/24</formula>
    </cfRule>
  </conditionalFormatting>
  <conditionalFormatting sqref="S37:AF37">
    <cfRule type="expression" dxfId="2337" priority="257">
      <formula>S$9&gt;=20/24</formula>
    </cfRule>
    <cfRule type="expression" dxfId="2336" priority="258">
      <formula>AND(S$9&gt;=14/24,S$9&lt;20/24)</formula>
    </cfRule>
    <cfRule type="expression" dxfId="2335" priority="259">
      <formula>AND(S$9&gt;=8/24,S$9&lt;14/24)</formula>
    </cfRule>
    <cfRule type="expression" dxfId="2334" priority="260">
      <formula>S$9&lt;8/24</formula>
    </cfRule>
  </conditionalFormatting>
  <conditionalFormatting sqref="S31:Y32 S35:AF35">
    <cfRule type="expression" dxfId="2333" priority="253">
      <formula>S$9&gt;=20/24</formula>
    </cfRule>
    <cfRule type="expression" dxfId="2332" priority="254">
      <formula>AND(S$9&gt;=14/24,S$9&lt;20/24)</formula>
    </cfRule>
    <cfRule type="expression" dxfId="2331" priority="255">
      <formula>AND(S$9&gt;=8/24,S$9&lt;14/24)</formula>
    </cfRule>
    <cfRule type="expression" dxfId="2330" priority="256">
      <formula>S$9&lt;8/24</formula>
    </cfRule>
  </conditionalFormatting>
  <conditionalFormatting sqref="S42:T43 U43:Y43 S45:AF48">
    <cfRule type="expression" dxfId="2329" priority="249">
      <formula>S$9&gt;=20/24</formula>
    </cfRule>
    <cfRule type="expression" dxfId="2328" priority="250">
      <formula>AND(S$9&gt;=14/24,S$9&lt;20/24)</formula>
    </cfRule>
    <cfRule type="expression" dxfId="2327" priority="251">
      <formula>AND(S$9&gt;=8/24,S$9&lt;14/24)</formula>
    </cfRule>
    <cfRule type="expression" dxfId="2326" priority="252">
      <formula>S$9&lt;8/24</formula>
    </cfRule>
  </conditionalFormatting>
  <conditionalFormatting sqref="S49:AF49">
    <cfRule type="expression" dxfId="2325" priority="245">
      <formula>S$9&gt;=20/24</formula>
    </cfRule>
    <cfRule type="expression" dxfId="2324" priority="246">
      <formula>AND(S$9&gt;=14/24,S$9&lt;20/24)</formula>
    </cfRule>
    <cfRule type="expression" dxfId="2323" priority="247">
      <formula>AND(S$9&gt;=8/24,S$9&lt;14/24)</formula>
    </cfRule>
    <cfRule type="expression" dxfId="2322" priority="248">
      <formula>S$9&lt;8/24</formula>
    </cfRule>
  </conditionalFormatting>
  <conditionalFormatting sqref="S50:AF50">
    <cfRule type="expression" dxfId="2321" priority="241">
      <formula>S$9&gt;=20/24</formula>
    </cfRule>
    <cfRule type="expression" dxfId="2320" priority="242">
      <formula>AND(S$9&gt;=14/24,S$9&lt;20/24)</formula>
    </cfRule>
    <cfRule type="expression" dxfId="2319" priority="243">
      <formula>AND(S$9&gt;=8/24,S$9&lt;14/24)</formula>
    </cfRule>
    <cfRule type="expression" dxfId="2318" priority="244">
      <formula>S$9&lt;8/24</formula>
    </cfRule>
  </conditionalFormatting>
  <conditionalFormatting sqref="S60:T67 U63:X67 X60:AF67">
    <cfRule type="expression" dxfId="2317" priority="237">
      <formula>S$9&gt;=20/24</formula>
    </cfRule>
    <cfRule type="expression" dxfId="2316" priority="238">
      <formula>AND(S$9&gt;=14/24,S$9&lt;20/24)</formula>
    </cfRule>
    <cfRule type="expression" dxfId="2315" priority="239">
      <formula>AND(S$9&gt;=8/24,S$9&lt;14/24)</formula>
    </cfRule>
    <cfRule type="expression" dxfId="2314" priority="240">
      <formula>S$9&lt;8/24</formula>
    </cfRule>
  </conditionalFormatting>
  <conditionalFormatting sqref="C62:I62 J62:L64">
    <cfRule type="expression" dxfId="2313" priority="233">
      <formula>C$9&gt;=20/24</formula>
    </cfRule>
    <cfRule type="expression" dxfId="2312" priority="234">
      <formula>AND(C$9&gt;=14/24,C$9&lt;20/24)</formula>
    </cfRule>
    <cfRule type="expression" dxfId="2311" priority="235">
      <formula>AND(C$9&gt;=8/24,C$9&lt;14/24)</formula>
    </cfRule>
    <cfRule type="expression" dxfId="2310" priority="236">
      <formula>C$9&lt;8/24</formula>
    </cfRule>
  </conditionalFormatting>
  <conditionalFormatting sqref="U94:AA97">
    <cfRule type="expression" dxfId="2309" priority="229">
      <formula>U$9&gt;=20/24</formula>
    </cfRule>
    <cfRule type="expression" dxfId="2308" priority="230">
      <formula>AND(U$9&gt;=14/24,U$9&lt;20/24)</formula>
    </cfRule>
    <cfRule type="expression" dxfId="2307" priority="231">
      <formula>AND(U$9&gt;=8/24,U$9&lt;14/24)</formula>
    </cfRule>
    <cfRule type="expression" dxfId="2306" priority="232">
      <formula>U$9&lt;8/24</formula>
    </cfRule>
  </conditionalFormatting>
  <conditionalFormatting sqref="AG51 B11:L32 B34:L56 O43:T43 N11:O13 S34:S36 N38:AF38 P11:R14 N37:S37 S44:T50 U43:V50 N42:V42 S18:Y32 W42:Z50 S11:AB11 N39:Z41 Z12:AB32 T34:AF37 AC11:AF32 AA39:AF50 N51:AF56">
    <cfRule type="expression" dxfId="2305" priority="228">
      <formula>B11&gt;$AG11</formula>
    </cfRule>
  </conditionalFormatting>
  <conditionalFormatting sqref="A101:A157 A84:A97 A11:A14 A16:A32 A45:A72 A80:A82 A74:A78 A35:A43 A170:A200">
    <cfRule type="expression" dxfId="2304" priority="227">
      <formula>$AH11=0</formula>
    </cfRule>
  </conditionalFormatting>
  <conditionalFormatting sqref="U98:AA98">
    <cfRule type="expression" dxfId="2303" priority="223">
      <formula>U$9&gt;=20/24</formula>
    </cfRule>
    <cfRule type="expression" dxfId="2302" priority="224">
      <formula>AND(U$9&gt;=14/24,U$9&lt;20/24)</formula>
    </cfRule>
    <cfRule type="expression" dxfId="2301" priority="225">
      <formula>AND(U$9&gt;=8/24,U$9&lt;14/24)</formula>
    </cfRule>
    <cfRule type="expression" dxfId="2300" priority="226">
      <formula>U$9&lt;8/24</formula>
    </cfRule>
  </conditionalFormatting>
  <conditionalFormatting sqref="A98">
    <cfRule type="expression" dxfId="2299" priority="222">
      <formula>$AH98=0</formula>
    </cfRule>
  </conditionalFormatting>
  <conditionalFormatting sqref="AL32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2298" priority="205">
      <formula>Z$9&gt;=20/24</formula>
    </cfRule>
    <cfRule type="expression" dxfId="2297" priority="206">
      <formula>AND(Z$9&gt;=14/24,Z$9&lt;20/24)</formula>
    </cfRule>
    <cfRule type="expression" dxfId="2296" priority="207">
      <formula>AND(Z$9&gt;=8/24,Z$9&lt;14/24)</formula>
    </cfRule>
    <cfRule type="expression" dxfId="2295" priority="208">
      <formula>Z$9&lt;8/24</formula>
    </cfRule>
  </conditionalFormatting>
  <conditionalFormatting sqref="S34:Y34">
    <cfRule type="expression" dxfId="2294" priority="197">
      <formula>S$9&gt;=20/24</formula>
    </cfRule>
    <cfRule type="expression" dxfId="2293" priority="198">
      <formula>AND(S$9&gt;=14/24,S$9&lt;20/24)</formula>
    </cfRule>
    <cfRule type="expression" dxfId="2292" priority="199">
      <formula>AND(S$9&gt;=8/24,S$9&lt;14/24)</formula>
    </cfRule>
    <cfRule type="expression" dxfId="2291" priority="200">
      <formula>S$9&lt;8/24</formula>
    </cfRule>
  </conditionalFormatting>
  <conditionalFormatting sqref="A34">
    <cfRule type="expression" dxfId="2290" priority="196">
      <formula>$AH34=0</formula>
    </cfRule>
  </conditionalFormatting>
  <conditionalFormatting sqref="A83">
    <cfRule type="expression" dxfId="2289" priority="195">
      <formula>$AH83=0</formula>
    </cfRule>
  </conditionalFormatting>
  <conditionalFormatting sqref="Z15:AF15">
    <cfRule type="expression" dxfId="2288" priority="191">
      <formula>Z$9&gt;=20/24</formula>
    </cfRule>
    <cfRule type="expression" dxfId="2287" priority="192">
      <formula>AND(Z$9&gt;=14/24,Z$9&lt;20/24)</formula>
    </cfRule>
    <cfRule type="expression" dxfId="2286" priority="193">
      <formula>AND(Z$9&gt;=8/24,Z$9&lt;14/24)</formula>
    </cfRule>
    <cfRule type="expression" dxfId="2285" priority="194">
      <formula>Z$9&lt;8/24</formula>
    </cfRule>
  </conditionalFormatting>
  <conditionalFormatting sqref="P15:R15">
    <cfRule type="expression" dxfId="2284" priority="187">
      <formula>P$9&gt;=20/24</formula>
    </cfRule>
    <cfRule type="expression" dxfId="2283" priority="188">
      <formula>AND(P$9&gt;=14/24,P$9&lt;20/24)</formula>
    </cfRule>
    <cfRule type="expression" dxfId="2282" priority="189">
      <formula>AND(P$9&gt;=8/24,P$9&lt;14/24)</formula>
    </cfRule>
    <cfRule type="expression" dxfId="2281" priority="190">
      <formula>P$9&lt;8/24</formula>
    </cfRule>
  </conditionalFormatting>
  <conditionalFormatting sqref="P15:R15">
    <cfRule type="expression" dxfId="2280" priority="186">
      <formula>P15&gt;$AG15</formula>
    </cfRule>
  </conditionalFormatting>
  <conditionalFormatting sqref="A15">
    <cfRule type="expression" dxfId="2279" priority="185">
      <formula>$AH15=0</formula>
    </cfRule>
  </conditionalFormatting>
  <conditionalFormatting sqref="A164:A169">
    <cfRule type="expression" dxfId="2278" priority="184">
      <formula>$AH164=0</formula>
    </cfRule>
  </conditionalFormatting>
  <conditionalFormatting sqref="A158:A163">
    <cfRule type="expression" dxfId="2277" priority="183">
      <formula>$AH158=0</formula>
    </cfRule>
  </conditionalFormatting>
  <conditionalFormatting sqref="Z44:AF44">
    <cfRule type="expression" dxfId="2276" priority="179">
      <formula>Z$9&gt;=20/24</formula>
    </cfRule>
    <cfRule type="expression" dxfId="2275" priority="180">
      <formula>AND(Z$9&gt;=14/24,Z$9&lt;20/24)</formula>
    </cfRule>
    <cfRule type="expression" dxfId="2274" priority="181">
      <formula>AND(Z$9&gt;=8/24,Z$9&lt;14/24)</formula>
    </cfRule>
    <cfRule type="expression" dxfId="2273" priority="182">
      <formula>Z$9&lt;8/24</formula>
    </cfRule>
  </conditionalFormatting>
  <conditionalFormatting sqref="S44:Y44">
    <cfRule type="expression" dxfId="2272" priority="171">
      <formula>S$9&gt;=20/24</formula>
    </cfRule>
    <cfRule type="expression" dxfId="2271" priority="172">
      <formula>AND(S$9&gt;=14/24,S$9&lt;20/24)</formula>
    </cfRule>
    <cfRule type="expression" dxfId="2270" priority="173">
      <formula>AND(S$9&gt;=8/24,S$9&lt;14/24)</formula>
    </cfRule>
    <cfRule type="expression" dxfId="2269" priority="174">
      <formula>S$9&lt;8/24</formula>
    </cfRule>
  </conditionalFormatting>
  <conditionalFormatting sqref="A44">
    <cfRule type="expression" dxfId="2268" priority="170">
      <formula>$AH44=0</formula>
    </cfRule>
  </conditionalFormatting>
  <conditionalFormatting sqref="A79">
    <cfRule type="expression" dxfId="2267" priority="169">
      <formula>$AH79=0</formula>
    </cfRule>
  </conditionalFormatting>
  <conditionalFormatting sqref="A73">
    <cfRule type="expression" dxfId="2266" priority="168">
      <formula>$AH73=0</formula>
    </cfRule>
  </conditionalFormatting>
  <conditionalFormatting sqref="AL34:AL35 AL7:AL31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U60:W62">
    <cfRule type="expression" dxfId="2265" priority="164">
      <formula>U$9&gt;=20/24</formula>
    </cfRule>
    <cfRule type="expression" dxfId="2264" priority="165">
      <formula>AND(U$9&gt;=14/24,U$9&lt;20/24)</formula>
    </cfRule>
    <cfRule type="expression" dxfId="2263" priority="166">
      <formula>AND(U$9&gt;=8/24,U$9&lt;14/24)</formula>
    </cfRule>
    <cfRule type="expression" dxfId="2262" priority="167">
      <formula>U$9&lt;8/24</formula>
    </cfRule>
  </conditionalFormatting>
  <conditionalFormatting sqref="U85:X91">
    <cfRule type="expression" dxfId="2261" priority="160">
      <formula>U$9&gt;=20/24</formula>
    </cfRule>
    <cfRule type="expression" dxfId="2260" priority="161">
      <formula>AND(U$9&gt;=14/24,U$9&lt;20/24)</formula>
    </cfRule>
    <cfRule type="expression" dxfId="2259" priority="162">
      <formula>AND(U$9&gt;=8/24,U$9&lt;14/24)</formula>
    </cfRule>
    <cfRule type="expression" dxfId="2258" priority="163">
      <formula>U$9&lt;8/24</formula>
    </cfRule>
  </conditionalFormatting>
  <conditionalFormatting sqref="C84:L91 S85:T91 N84:R91">
    <cfRule type="expression" dxfId="2257" priority="156">
      <formula>C$9&gt;=20/24</formula>
    </cfRule>
    <cfRule type="expression" dxfId="2256" priority="157">
      <formula>AND(C$9&gt;=14/24,C$9&lt;20/24)</formula>
    </cfRule>
    <cfRule type="expression" dxfId="2255" priority="158">
      <formula>AND(C$9&gt;=8/24,C$9&lt;14/24)</formula>
    </cfRule>
    <cfRule type="expression" dxfId="2254" priority="159">
      <formula>C$9&lt;8/24</formula>
    </cfRule>
  </conditionalFormatting>
  <conditionalFormatting sqref="S84:T84">
    <cfRule type="expression" dxfId="2253" priority="152">
      <formula>S$9&gt;=20/24</formula>
    </cfRule>
    <cfRule type="expression" dxfId="2252" priority="153">
      <formula>AND(S$9&gt;=14/24,S$9&lt;20/24)</formula>
    </cfRule>
    <cfRule type="expression" dxfId="2251" priority="154">
      <formula>AND(S$9&gt;=8/24,S$9&lt;14/24)</formula>
    </cfRule>
    <cfRule type="expression" dxfId="2250" priority="155">
      <formula>S$9&lt;8/24</formula>
    </cfRule>
  </conditionalFormatting>
  <conditionalFormatting sqref="C95:M97 C94:F94">
    <cfRule type="expression" dxfId="2249" priority="148">
      <formula>C$9&gt;=20/24</formula>
    </cfRule>
    <cfRule type="expression" dxfId="2248" priority="149">
      <formula>AND(C$9&gt;=14/24,C$9&lt;20/24)</formula>
    </cfRule>
    <cfRule type="expression" dxfId="2247" priority="150">
      <formula>AND(C$9&gt;=8/24,C$9&lt;14/24)</formula>
    </cfRule>
    <cfRule type="expression" dxfId="2246" priority="151">
      <formula>C$9&lt;8/24</formula>
    </cfRule>
  </conditionalFormatting>
  <conditionalFormatting sqref="P94:R97 N95:O97">
    <cfRule type="expression" dxfId="2245" priority="144">
      <formula>N$9&gt;=20/24</formula>
    </cfRule>
    <cfRule type="expression" dxfId="2244" priority="145">
      <formula>AND(N$9&gt;=14/24,N$9&lt;20/24)</formula>
    </cfRule>
    <cfRule type="expression" dxfId="2243" priority="146">
      <formula>AND(N$9&gt;=8/24,N$9&lt;14/24)</formula>
    </cfRule>
    <cfRule type="expression" dxfId="2242" priority="147">
      <formula>N$9&lt;8/24</formula>
    </cfRule>
  </conditionalFormatting>
  <conditionalFormatting sqref="S94:T97">
    <cfRule type="expression" dxfId="2241" priority="140">
      <formula>S$9&gt;=20/24</formula>
    </cfRule>
    <cfRule type="expression" dxfId="2240" priority="141">
      <formula>AND(S$9&gt;=14/24,S$9&lt;20/24)</formula>
    </cfRule>
    <cfRule type="expression" dxfId="2239" priority="142">
      <formula>AND(S$9&gt;=8/24,S$9&lt;14/24)</formula>
    </cfRule>
    <cfRule type="expression" dxfId="2238" priority="143">
      <formula>S$9&lt;8/24</formula>
    </cfRule>
  </conditionalFormatting>
  <conditionalFormatting sqref="C98:M98">
    <cfRule type="expression" dxfId="2237" priority="136">
      <formula>C$9&gt;=20/24</formula>
    </cfRule>
    <cfRule type="expression" dxfId="2236" priority="137">
      <formula>AND(C$9&gt;=14/24,C$9&lt;20/24)</formula>
    </cfRule>
    <cfRule type="expression" dxfId="2235" priority="138">
      <formula>AND(C$9&gt;=8/24,C$9&lt;14/24)</formula>
    </cfRule>
    <cfRule type="expression" dxfId="2234" priority="139">
      <formula>C$9&lt;8/24</formula>
    </cfRule>
  </conditionalFormatting>
  <conditionalFormatting sqref="N98:R98">
    <cfRule type="expression" dxfId="2233" priority="132">
      <formula>N$9&gt;=20/24</formula>
    </cfRule>
    <cfRule type="expression" dxfId="2232" priority="133">
      <formula>AND(N$9&gt;=14/24,N$9&lt;20/24)</formula>
    </cfRule>
    <cfRule type="expression" dxfId="2231" priority="134">
      <formula>AND(N$9&gt;=8/24,N$9&lt;14/24)</formula>
    </cfRule>
    <cfRule type="expression" dxfId="2230" priority="135">
      <formula>N$9&lt;8/24</formula>
    </cfRule>
  </conditionalFormatting>
  <conditionalFormatting sqref="S98:T98">
    <cfRule type="expression" dxfId="2229" priority="128">
      <formula>S$9&gt;=20/24</formula>
    </cfRule>
    <cfRule type="expression" dxfId="2228" priority="129">
      <formula>AND(S$9&gt;=14/24,S$9&lt;20/24)</formula>
    </cfRule>
    <cfRule type="expression" dxfId="2227" priority="130">
      <formula>AND(S$9&gt;=8/24,S$9&lt;14/24)</formula>
    </cfRule>
    <cfRule type="expression" dxfId="2226" priority="131">
      <formula>S$9&lt;8/24</formula>
    </cfRule>
  </conditionalFormatting>
  <conditionalFormatting sqref="M94:O94">
    <cfRule type="expression" dxfId="2225" priority="124">
      <formula>M$9&gt;=20/24</formula>
    </cfRule>
    <cfRule type="expression" dxfId="2224" priority="125">
      <formula>AND(M$9&gt;=14/24,M$9&lt;20/24)</formula>
    </cfRule>
    <cfRule type="expression" dxfId="2223" priority="126">
      <formula>AND(M$9&gt;=8/24,M$9&lt;14/24)</formula>
    </cfRule>
    <cfRule type="expression" dxfId="2222" priority="127">
      <formula>M$9&lt;8/24</formula>
    </cfRule>
  </conditionalFormatting>
  <conditionalFormatting sqref="G94:L94">
    <cfRule type="expression" dxfId="2221" priority="120">
      <formula>G$9&gt;=20/24</formula>
    </cfRule>
    <cfRule type="expression" dxfId="2220" priority="121">
      <formula>AND(G$9&gt;=14/24,G$9&lt;20/24)</formula>
    </cfRule>
    <cfRule type="expression" dxfId="2219" priority="122">
      <formula>AND(G$9&gt;=8/24,G$9&lt;14/24)</formula>
    </cfRule>
    <cfRule type="expression" dxfId="2218" priority="123">
      <formula>G$9&lt;8/24</formula>
    </cfRule>
  </conditionalFormatting>
  <conditionalFormatting sqref="U94:W94">
    <cfRule type="expression" dxfId="2217" priority="116">
      <formula>U$9&gt;=20/24</formula>
    </cfRule>
    <cfRule type="expression" dxfId="2216" priority="117">
      <formula>AND(U$9&gt;=14/24,U$9&lt;20/24)</formula>
    </cfRule>
    <cfRule type="expression" dxfId="2215" priority="118">
      <formula>AND(U$9&gt;=8/24,U$9&lt;14/24)</formula>
    </cfRule>
    <cfRule type="expression" dxfId="2214" priority="119">
      <formula>U$9&lt;8/24</formula>
    </cfRule>
  </conditionalFormatting>
  <conditionalFormatting sqref="N94:T94">
    <cfRule type="expression" dxfId="2213" priority="112">
      <formula>N$9&gt;=20/24</formula>
    </cfRule>
    <cfRule type="expression" dxfId="2212" priority="113">
      <formula>AND(N$9&gt;=14/24,N$9&lt;20/24)</formula>
    </cfRule>
    <cfRule type="expression" dxfId="2211" priority="114">
      <formula>AND(N$9&gt;=8/24,N$9&lt;14/24)</formula>
    </cfRule>
    <cfRule type="expression" dxfId="2210" priority="115">
      <formula>N$9&lt;8/24</formula>
    </cfRule>
  </conditionalFormatting>
  <conditionalFormatting sqref="U99:AA100">
    <cfRule type="expression" dxfId="2209" priority="108">
      <formula>U$9&gt;=20/24</formula>
    </cfRule>
    <cfRule type="expression" dxfId="2208" priority="109">
      <formula>AND(U$9&gt;=14/24,U$9&lt;20/24)</formula>
    </cfRule>
    <cfRule type="expression" dxfId="2207" priority="110">
      <formula>AND(U$9&gt;=8/24,U$9&lt;14/24)</formula>
    </cfRule>
    <cfRule type="expression" dxfId="2206" priority="111">
      <formula>U$9&lt;8/24</formula>
    </cfRule>
  </conditionalFormatting>
  <conditionalFormatting sqref="C99:M100">
    <cfRule type="expression" dxfId="2205" priority="104">
      <formula>C$9&gt;=20/24</formula>
    </cfRule>
    <cfRule type="expression" dxfId="2204" priority="105">
      <formula>AND(C$9&gt;=14/24,C$9&lt;20/24)</formula>
    </cfRule>
    <cfRule type="expression" dxfId="2203" priority="106">
      <formula>AND(C$9&gt;=8/24,C$9&lt;14/24)</formula>
    </cfRule>
    <cfRule type="expression" dxfId="2202" priority="107">
      <formula>C$9&lt;8/24</formula>
    </cfRule>
  </conditionalFormatting>
  <conditionalFormatting sqref="N99:R100">
    <cfRule type="expression" dxfId="2201" priority="100">
      <formula>N$9&gt;=20/24</formula>
    </cfRule>
    <cfRule type="expression" dxfId="2200" priority="101">
      <formula>AND(N$9&gt;=14/24,N$9&lt;20/24)</formula>
    </cfRule>
    <cfRule type="expression" dxfId="2199" priority="102">
      <formula>AND(N$9&gt;=8/24,N$9&lt;14/24)</formula>
    </cfRule>
    <cfRule type="expression" dxfId="2198" priority="103">
      <formula>N$9&lt;8/24</formula>
    </cfRule>
  </conditionalFormatting>
  <conditionalFormatting sqref="S99:T100">
    <cfRule type="expression" dxfId="2197" priority="96">
      <formula>S$9&gt;=20/24</formula>
    </cfRule>
    <cfRule type="expression" dxfId="2196" priority="97">
      <formula>AND(S$9&gt;=14/24,S$9&lt;20/24)</formula>
    </cfRule>
    <cfRule type="expression" dxfId="2195" priority="98">
      <formula>AND(S$9&gt;=8/24,S$9&lt;14/24)</formula>
    </cfRule>
    <cfRule type="expression" dxfId="2194" priority="99">
      <formula>S$9&lt;8/24</formula>
    </cfRule>
  </conditionalFormatting>
  <conditionalFormatting sqref="S12:Y16">
    <cfRule type="expression" dxfId="2193" priority="92">
      <formula>S$9&gt;=20/24</formula>
    </cfRule>
    <cfRule type="expression" dxfId="2192" priority="93">
      <formula>AND(S$9&gt;=14/24,S$9&lt;20/24)</formula>
    </cfRule>
    <cfRule type="expression" dxfId="2191" priority="94">
      <formula>AND(S$9&gt;=8/24,S$9&lt;14/24)</formula>
    </cfRule>
    <cfRule type="expression" dxfId="2190" priority="95">
      <formula>S$9&lt;8/24</formula>
    </cfRule>
  </conditionalFormatting>
  <conditionalFormatting sqref="S17:Y17">
    <cfRule type="expression" dxfId="2189" priority="88">
      <formula>S$9&gt;=20/24</formula>
    </cfRule>
    <cfRule type="expression" dxfId="2188" priority="89">
      <formula>AND(S$9&gt;=14/24,S$9&lt;20/24)</formula>
    </cfRule>
    <cfRule type="expression" dxfId="2187" priority="90">
      <formula>AND(S$9&gt;=8/24,S$9&lt;14/24)</formula>
    </cfRule>
    <cfRule type="expression" dxfId="2186" priority="91">
      <formula>S$9&lt;8/24</formula>
    </cfRule>
  </conditionalFormatting>
  <conditionalFormatting sqref="S12:Y13">
    <cfRule type="expression" dxfId="2185" priority="84">
      <formula>S$9&gt;=20/24</formula>
    </cfRule>
    <cfRule type="expression" dxfId="2184" priority="85">
      <formula>AND(S$9&gt;=14/24,S$9&lt;20/24)</formula>
    </cfRule>
    <cfRule type="expression" dxfId="2183" priority="86">
      <formula>AND(S$9&gt;=8/24,S$9&lt;14/24)</formula>
    </cfRule>
    <cfRule type="expression" dxfId="2182" priority="87">
      <formula>S$9&lt;8/24</formula>
    </cfRule>
  </conditionalFormatting>
  <conditionalFormatting sqref="AB58:AF59">
    <cfRule type="expression" dxfId="2181" priority="80">
      <formula>AB$9&gt;=20/24</formula>
    </cfRule>
    <cfRule type="expression" dxfId="2180" priority="81">
      <formula>AND(AB$9&gt;=14/24,AB$9&lt;20/24)</formula>
    </cfRule>
    <cfRule type="expression" dxfId="2179" priority="82">
      <formula>AND(AB$9&gt;=8/24,AB$9&lt;14/24)</formula>
    </cfRule>
    <cfRule type="expression" dxfId="2178" priority="83">
      <formula>AB$9&lt;8/24</formula>
    </cfRule>
  </conditionalFormatting>
  <conditionalFormatting sqref="AL3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77" priority="313">
      <formula>C$9&gt;=20/24</formula>
    </cfRule>
    <cfRule type="expression" dxfId="2176" priority="314">
      <formula>AND(C$9&gt;=14/24,C$9&lt;20/24)</formula>
    </cfRule>
    <cfRule type="expression" dxfId="2175" priority="315">
      <formula>AND(C$9&gt;=8/24,C$9&lt;14/24)</formula>
    </cfRule>
    <cfRule type="expression" dxfId="2174" priority="316">
      <formula>C$9&lt;8/24</formula>
    </cfRule>
  </conditionalFormatting>
  <conditionalFormatting sqref="A201">
    <cfRule type="expression" dxfId="2173" priority="317">
      <formula>$AH201=0</formula>
    </cfRule>
  </conditionalFormatting>
  <conditionalFormatting sqref="AG213">
    <cfRule type="expression" dxfId="2172" priority="318">
      <formula>B$9&gt;=20/24</formula>
    </cfRule>
    <cfRule type="expression" dxfId="2171" priority="319">
      <formula>AND(B$9&gt;=14/24,B$9&lt;20/24)</formula>
    </cfRule>
    <cfRule type="expression" dxfId="2170" priority="320">
      <formula>AND(B$9&gt;=8/24,B$9&lt;14/24)</formula>
    </cfRule>
    <cfRule type="expression" dxfId="2169" priority="321">
      <formula>B$9&lt;8/24</formula>
    </cfRule>
  </conditionalFormatting>
  <conditionalFormatting sqref="S8">
    <cfRule type="expression" dxfId="2168" priority="74">
      <formula>U$9&gt;=20/24</formula>
    </cfRule>
    <cfRule type="expression" dxfId="2167" priority="75">
      <formula>AND(U$9&gt;=14/24,U$9&lt;20/24)</formula>
    </cfRule>
    <cfRule type="expression" dxfId="2166" priority="76">
      <formula>AND(U$9&gt;=8/24,U$9&lt;14/24)</formula>
    </cfRule>
    <cfRule type="expression" dxfId="2165" priority="77">
      <formula>U$9&lt;8/24</formula>
    </cfRule>
  </conditionalFormatting>
  <conditionalFormatting sqref="AB8">
    <cfRule type="expression" dxfId="2164" priority="70">
      <formula>AD$9&gt;=20/24</formula>
    </cfRule>
    <cfRule type="expression" dxfId="2163" priority="71">
      <formula>AND(AD$9&gt;=14/24,AD$9&lt;20/24)</formula>
    </cfRule>
    <cfRule type="expression" dxfId="2162" priority="72">
      <formula>AND(AD$9&gt;=8/24,AD$9&lt;14/24)</formula>
    </cfRule>
    <cfRule type="expression" dxfId="2161" priority="73">
      <formula>AD$9&lt;8/24</formula>
    </cfRule>
  </conditionalFormatting>
  <conditionalFormatting sqref="AH213:AX213">
    <cfRule type="expression" dxfId="2160" priority="322">
      <formula>AG$9&gt;=20/24</formula>
    </cfRule>
    <cfRule type="expression" dxfId="2159" priority="323">
      <formula>AND(AG$9&gt;=14/24,AG$9&lt;20/24)</formula>
    </cfRule>
    <cfRule type="expression" dxfId="2158" priority="324">
      <formula>AND(AG$9&gt;=8/24,AG$9&lt;14/24)</formula>
    </cfRule>
    <cfRule type="expression" dxfId="2157" priority="325">
      <formula>AG$9&lt;8/24</formula>
    </cfRule>
  </conditionalFormatting>
  <conditionalFormatting sqref="T213">
    <cfRule type="expression" dxfId="2156" priority="326">
      <formula>AX$9&gt;=20/24</formula>
    </cfRule>
    <cfRule type="expression" dxfId="2155" priority="327">
      <formula>AND(AX$9&gt;=14/24,AX$9&lt;20/24)</formula>
    </cfRule>
    <cfRule type="expression" dxfId="2154" priority="328">
      <formula>AND(AX$9&gt;=8/24,AX$9&lt;14/24)</formula>
    </cfRule>
    <cfRule type="expression" dxfId="2153" priority="329">
      <formula>AX$9&lt;8/24</formula>
    </cfRule>
  </conditionalFormatting>
  <conditionalFormatting sqref="A99:A100">
    <cfRule type="expression" dxfId="2152" priority="69">
      <formula>$AH99=0</formula>
    </cfRule>
  </conditionalFormatting>
  <conditionalFormatting sqref="Z33:AF33">
    <cfRule type="expression" dxfId="2151" priority="61">
      <formula>Z$9&gt;=20/24</formula>
    </cfRule>
    <cfRule type="expression" dxfId="2150" priority="62">
      <formula>AND(Z$9&gt;=14/24,Z$9&lt;20/24)</formula>
    </cfRule>
    <cfRule type="expression" dxfId="2149" priority="63">
      <formula>AND(Z$9&gt;=8/24,Z$9&lt;14/24)</formula>
    </cfRule>
    <cfRule type="expression" dxfId="2148" priority="64">
      <formula>Z$9&lt;8/24</formula>
    </cfRule>
  </conditionalFormatting>
  <conditionalFormatting sqref="S33:Y33">
    <cfRule type="expression" dxfId="2147" priority="57">
      <formula>S$9&gt;=20/24</formula>
    </cfRule>
    <cfRule type="expression" dxfId="2146" priority="58">
      <formula>AND(S$9&gt;=14/24,S$9&lt;20/24)</formula>
    </cfRule>
    <cfRule type="expression" dxfId="2145" priority="59">
      <formula>AND(S$9&gt;=8/24,S$9&lt;14/24)</formula>
    </cfRule>
    <cfRule type="expression" dxfId="2144" priority="60">
      <formula>S$9&lt;8/24</formula>
    </cfRule>
  </conditionalFormatting>
  <conditionalFormatting sqref="B33:L33 S33:AF33">
    <cfRule type="expression" dxfId="2143" priority="56">
      <formula>B33&gt;$AG33</formula>
    </cfRule>
  </conditionalFormatting>
  <conditionalFormatting sqref="M9:M10">
    <cfRule type="expression" dxfId="2142" priority="52">
      <formula>M$9&gt;=20/24</formula>
    </cfRule>
    <cfRule type="expression" dxfId="2141" priority="53">
      <formula>AND(M$9&gt;=14/24,M$9&lt;20/24)</formula>
    </cfRule>
    <cfRule type="expression" dxfId="2140" priority="54">
      <formula>AND(M$9&gt;=8/24,M$9&lt;14/24)</formula>
    </cfRule>
    <cfRule type="expression" dxfId="2139" priority="55">
      <formula>M$9&lt;8/24</formula>
    </cfRule>
  </conditionalFormatting>
  <conditionalFormatting sqref="M39:M42 M11:M14 M36:M37 M53:M56 M58:M83 N14:O14 N62:O67 M16:R32 N36:R36 M45:R48">
    <cfRule type="expression" dxfId="2138" priority="48">
      <formula>M$9&gt;=20/24</formula>
    </cfRule>
    <cfRule type="expression" dxfId="2137" priority="49">
      <formula>AND(M$9&gt;=14/24,M$9&lt;20/24)</formula>
    </cfRule>
    <cfRule type="expression" dxfId="2136" priority="50">
      <formula>AND(M$9&gt;=8/24,M$9&lt;14/24)</formula>
    </cfRule>
    <cfRule type="expression" dxfId="2135" priority="51">
      <formula>M$9&lt;8/24</formula>
    </cfRule>
  </conditionalFormatting>
  <conditionalFormatting sqref="M57">
    <cfRule type="expression" dxfId="2134" priority="44">
      <formula>M$9&gt;=20/24</formula>
    </cfRule>
    <cfRule type="expression" dxfId="2133" priority="45">
      <formula>AND(M$9&gt;=14/24,M$9&lt;20/24)</formula>
    </cfRule>
    <cfRule type="expression" dxfId="2132" priority="46">
      <formula>AND(M$9&gt;=8/24,M$9&lt;14/24)</formula>
    </cfRule>
    <cfRule type="expression" dxfId="2131" priority="47">
      <formula>M$9&lt;8/24</formula>
    </cfRule>
  </conditionalFormatting>
  <conditionalFormatting sqref="M43:N43">
    <cfRule type="expression" dxfId="2130" priority="40">
      <formula>M$9&gt;=20/24</formula>
    </cfRule>
    <cfRule type="expression" dxfId="2129" priority="41">
      <formula>AND(M$9&gt;=14/24,M$9&lt;20/24)</formula>
    </cfRule>
    <cfRule type="expression" dxfId="2128" priority="42">
      <formula>AND(M$9&gt;=8/24,M$9&lt;14/24)</formula>
    </cfRule>
    <cfRule type="expression" dxfId="2127" priority="43">
      <formula>M$9&lt;8/24</formula>
    </cfRule>
  </conditionalFormatting>
  <conditionalFormatting sqref="M35:R35">
    <cfRule type="expression" dxfId="2126" priority="36">
      <formula>M$9&gt;=20/24</formula>
    </cfRule>
    <cfRule type="expression" dxfId="2125" priority="37">
      <formula>AND(M$9&gt;=14/24,M$9&lt;20/24)</formula>
    </cfRule>
    <cfRule type="expression" dxfId="2124" priority="38">
      <formula>AND(M$9&gt;=8/24,M$9&lt;14/24)</formula>
    </cfRule>
    <cfRule type="expression" dxfId="2123" priority="39">
      <formula>M$9&lt;8/24</formula>
    </cfRule>
  </conditionalFormatting>
  <conditionalFormatting sqref="M49:R49">
    <cfRule type="expression" dxfId="2122" priority="32">
      <formula>M$9&gt;=20/24</formula>
    </cfRule>
    <cfRule type="expression" dxfId="2121" priority="33">
      <formula>AND(M$9&gt;=14/24,M$9&lt;20/24)</formula>
    </cfRule>
    <cfRule type="expression" dxfId="2120" priority="34">
      <formula>AND(M$9&gt;=8/24,M$9&lt;14/24)</formula>
    </cfRule>
    <cfRule type="expression" dxfId="2119" priority="35">
      <formula>M$9&lt;8/24</formula>
    </cfRule>
  </conditionalFormatting>
  <conditionalFormatting sqref="M50:R50">
    <cfRule type="expression" dxfId="2118" priority="28">
      <formula>M$9&gt;=20/24</formula>
    </cfRule>
    <cfRule type="expression" dxfId="2117" priority="29">
      <formula>AND(M$9&gt;=14/24,M$9&lt;20/24)</formula>
    </cfRule>
    <cfRule type="expression" dxfId="2116" priority="30">
      <formula>AND(M$9&gt;=8/24,M$9&lt;14/24)</formula>
    </cfRule>
    <cfRule type="expression" dxfId="2115" priority="31">
      <formula>M$9&lt;8/24</formula>
    </cfRule>
  </conditionalFormatting>
  <conditionalFormatting sqref="M45:R48">
    <cfRule type="expression" dxfId="2114" priority="24">
      <formula>M$9&gt;=20/24</formula>
    </cfRule>
    <cfRule type="expression" dxfId="2113" priority="25">
      <formula>AND(M$9&gt;=14/24,M$9&lt;20/24)</formula>
    </cfRule>
    <cfRule type="expression" dxfId="2112" priority="26">
      <formula>AND(M$9&gt;=8/24,M$9&lt;14/24)</formula>
    </cfRule>
    <cfRule type="expression" dxfId="2111" priority="27">
      <formula>M$9&lt;8/24</formula>
    </cfRule>
  </conditionalFormatting>
  <conditionalFormatting sqref="M34:M56 M11:M14 N43:N50 N14:O14 M16:R32 N34:R36 O44:R50">
    <cfRule type="expression" dxfId="2110" priority="23">
      <formula>M11&gt;$AG11</formula>
    </cfRule>
  </conditionalFormatting>
  <conditionalFormatting sqref="M34:R34">
    <cfRule type="expression" dxfId="2109" priority="19">
      <formula>M$9&gt;=20/24</formula>
    </cfRule>
    <cfRule type="expression" dxfId="2108" priority="20">
      <formula>AND(M$9&gt;=14/24,M$9&lt;20/24)</formula>
    </cfRule>
    <cfRule type="expression" dxfId="2107" priority="21">
      <formula>AND(M$9&gt;=8/24,M$9&lt;14/24)</formula>
    </cfRule>
    <cfRule type="expression" dxfId="2106" priority="22">
      <formula>M$9&lt;8/24</formula>
    </cfRule>
  </conditionalFormatting>
  <conditionalFormatting sqref="M15:O15">
    <cfRule type="expression" dxfId="2105" priority="15">
      <formula>M$9&gt;=20/24</formula>
    </cfRule>
    <cfRule type="expression" dxfId="2104" priority="16">
      <formula>AND(M$9&gt;=14/24,M$9&lt;20/24)</formula>
    </cfRule>
    <cfRule type="expression" dxfId="2103" priority="17">
      <formula>AND(M$9&gt;=8/24,M$9&lt;14/24)</formula>
    </cfRule>
    <cfRule type="expression" dxfId="2102" priority="18">
      <formula>M$9&lt;8/24</formula>
    </cfRule>
  </conditionalFormatting>
  <conditionalFormatting sqref="M15:O15">
    <cfRule type="expression" dxfId="2101" priority="14">
      <formula>M15&gt;$AG15</formula>
    </cfRule>
  </conditionalFormatting>
  <conditionalFormatting sqref="M44:R44">
    <cfRule type="expression" dxfId="2100" priority="10">
      <formula>M$9&gt;=20/24</formula>
    </cfRule>
    <cfRule type="expression" dxfId="2099" priority="11">
      <formula>AND(M$9&gt;=14/24,M$9&lt;20/24)</formula>
    </cfRule>
    <cfRule type="expression" dxfId="2098" priority="12">
      <formula>AND(M$9&gt;=8/24,M$9&lt;14/24)</formula>
    </cfRule>
    <cfRule type="expression" dxfId="2097" priority="13">
      <formula>M$9&lt;8/24</formula>
    </cfRule>
  </conditionalFormatting>
  <conditionalFormatting sqref="M84:M91">
    <cfRule type="expression" dxfId="2096" priority="6">
      <formula>M$9&gt;=20/24</formula>
    </cfRule>
    <cfRule type="expression" dxfId="2095" priority="7">
      <formula>AND(M$9&gt;=14/24,M$9&lt;20/24)</formula>
    </cfRule>
    <cfRule type="expression" dxfId="2094" priority="8">
      <formula>AND(M$9&gt;=8/24,M$9&lt;14/24)</formula>
    </cfRule>
    <cfRule type="expression" dxfId="2093" priority="9">
      <formula>M$9&lt;8/24</formula>
    </cfRule>
  </conditionalFormatting>
  <conditionalFormatting sqref="M33:R33">
    <cfRule type="expression" dxfId="2092" priority="2">
      <formula>M$9&gt;=20/24</formula>
    </cfRule>
    <cfRule type="expression" dxfId="2091" priority="3">
      <formula>AND(M$9&gt;=14/24,M$9&lt;20/24)</formula>
    </cfRule>
    <cfRule type="expression" dxfId="2090" priority="4">
      <formula>AND(M$9&gt;=8/24,M$9&lt;14/24)</formula>
    </cfRule>
    <cfRule type="expression" dxfId="2089" priority="5">
      <formula>M$9&lt;8/24</formula>
    </cfRule>
  </conditionalFormatting>
  <conditionalFormatting sqref="M33:R33">
    <cfRule type="expression" dxfId="2088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id="{D22A4B6A-6B36-40F5-89D1-760D5D9AAD8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45" sqref="Q45"/>
    </sheetView>
  </sheetViews>
  <sheetFormatPr defaultRowHeight="15" x14ac:dyDescent="0.25"/>
  <cols>
    <col min="1" max="1" width="32.85546875" bestFit="1" customWidth="1"/>
    <col min="2" max="2" width="8.2851562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2078/11/25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450</v>
      </c>
      <c r="C5" s="32">
        <f t="shared" si="0"/>
        <v>404</v>
      </c>
      <c r="D5" s="32">
        <f t="shared" si="0"/>
        <v>435.7</v>
      </c>
      <c r="E5" s="32">
        <f t="shared" si="0"/>
        <v>451.7</v>
      </c>
      <c r="F5" s="32">
        <f t="shared" si="0"/>
        <v>474</v>
      </c>
      <c r="G5" s="32">
        <f t="shared" si="0"/>
        <v>497</v>
      </c>
      <c r="H5" s="32">
        <f t="shared" si="0"/>
        <v>351.51</v>
      </c>
      <c r="I5" s="32">
        <f t="shared" si="0"/>
        <v>289.3</v>
      </c>
      <c r="J5" s="32">
        <f t="shared" si="0"/>
        <v>321.29999999999995</v>
      </c>
      <c r="K5" s="32">
        <f t="shared" si="0"/>
        <v>312.7</v>
      </c>
      <c r="L5" s="32">
        <f t="shared" si="0"/>
        <v>337.7</v>
      </c>
      <c r="M5" s="32">
        <f t="shared" si="0"/>
        <v>655.4</v>
      </c>
      <c r="N5" s="32">
        <f t="shared" si="0"/>
        <v>0</v>
      </c>
      <c r="O5" s="32">
        <f t="shared" si="0"/>
        <v>621</v>
      </c>
      <c r="P5" s="32">
        <f t="shared" si="0"/>
        <v>519.19999999999993</v>
      </c>
      <c r="Q5" s="32">
        <f t="shared" si="0"/>
        <v>610</v>
      </c>
      <c r="R5" s="32">
        <f t="shared" si="0"/>
        <v>627.5</v>
      </c>
      <c r="S5" s="32">
        <f t="shared" si="0"/>
        <v>630</v>
      </c>
      <c r="T5" s="32">
        <f t="shared" si="0"/>
        <v>620.5</v>
      </c>
      <c r="U5" s="32">
        <f t="shared" si="0"/>
        <v>489</v>
      </c>
      <c r="V5" s="32">
        <f t="shared" si="0"/>
        <v>475</v>
      </c>
      <c r="W5" s="32">
        <f t="shared" si="0"/>
        <v>348</v>
      </c>
      <c r="X5" s="32">
        <f t="shared" si="0"/>
        <v>337.6</v>
      </c>
      <c r="Y5" s="32">
        <f t="shared" si="0"/>
        <v>339</v>
      </c>
      <c r="Z5" s="32">
        <f t="shared" si="0"/>
        <v>320</v>
      </c>
      <c r="AA5" s="32">
        <f t="shared" si="0"/>
        <v>308.90000000000003</v>
      </c>
      <c r="AB5" s="32">
        <f t="shared" si="0"/>
        <v>289.5</v>
      </c>
      <c r="AC5" s="32">
        <f t="shared" si="0"/>
        <v>413.50000000000006</v>
      </c>
      <c r="AD5" s="32">
        <f t="shared" si="0"/>
        <v>551.14</v>
      </c>
      <c r="AE5" s="32">
        <f t="shared" si="0"/>
        <v>524.6</v>
      </c>
      <c r="AF5" s="32">
        <f>B68</f>
        <v>445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1435MW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 t="shared" ref="B7:AF7" si="1">B75</f>
        <v>970.64</v>
      </c>
      <c r="C7" s="37">
        <f t="shared" si="1"/>
        <v>977.34</v>
      </c>
      <c r="D7" s="37">
        <f t="shared" si="1"/>
        <v>923.64</v>
      </c>
      <c r="E7" s="37">
        <f t="shared" si="1"/>
        <v>957.04000000000008</v>
      </c>
      <c r="F7" s="37">
        <f t="shared" si="1"/>
        <v>969.04000000000008</v>
      </c>
      <c r="G7" s="37">
        <f t="shared" si="1"/>
        <v>1006.14</v>
      </c>
      <c r="H7" s="37">
        <f t="shared" si="1"/>
        <v>1096.74</v>
      </c>
      <c r="I7" s="37">
        <f t="shared" si="1"/>
        <v>1171.6499999999999</v>
      </c>
      <c r="J7" s="37">
        <f t="shared" si="1"/>
        <v>1250.6399999999999</v>
      </c>
      <c r="K7" s="37">
        <f t="shared" si="1"/>
        <v>1366.1399999999999</v>
      </c>
      <c r="L7" s="37">
        <f t="shared" si="1"/>
        <v>1434.5400000000002</v>
      </c>
      <c r="M7" s="37">
        <f t="shared" si="1"/>
        <v>1404.44</v>
      </c>
      <c r="N7" s="37">
        <f t="shared" si="1"/>
        <v>1343.24</v>
      </c>
      <c r="O7" s="37">
        <f t="shared" si="1"/>
        <v>3.54</v>
      </c>
      <c r="P7" s="37">
        <f t="shared" si="1"/>
        <v>1322.24</v>
      </c>
      <c r="Q7" s="37">
        <f t="shared" si="1"/>
        <v>1213.6399999999999</v>
      </c>
      <c r="R7" s="37">
        <f t="shared" si="1"/>
        <v>1218.1400000000001</v>
      </c>
      <c r="S7" s="37">
        <f t="shared" si="1"/>
        <v>1264.54</v>
      </c>
      <c r="T7" s="37">
        <f t="shared" si="1"/>
        <v>1265.24</v>
      </c>
      <c r="U7" s="37">
        <f t="shared" si="1"/>
        <v>1291.04</v>
      </c>
      <c r="V7" s="37">
        <f t="shared" si="1"/>
        <v>1266.6399999999999</v>
      </c>
      <c r="W7" s="37">
        <f t="shared" si="1"/>
        <v>1289.94</v>
      </c>
      <c r="X7" s="37">
        <f t="shared" si="1"/>
        <v>1342.14</v>
      </c>
      <c r="Y7" s="37">
        <f t="shared" si="1"/>
        <v>1500.24</v>
      </c>
      <c r="Z7" s="37">
        <f t="shared" si="1"/>
        <v>1535.94</v>
      </c>
      <c r="AA7" s="37">
        <f t="shared" si="1"/>
        <v>1465.94</v>
      </c>
      <c r="AB7" s="37">
        <f t="shared" si="1"/>
        <v>1385.3400000000001</v>
      </c>
      <c r="AC7" s="37">
        <f t="shared" si="1"/>
        <v>1325.3400000000001</v>
      </c>
      <c r="AD7" s="37">
        <f t="shared" si="1"/>
        <v>1222.1400000000001</v>
      </c>
      <c r="AE7" s="37">
        <f t="shared" si="1"/>
        <v>1081.98</v>
      </c>
      <c r="AF7" s="37">
        <f t="shared" si="1"/>
        <v>1044.04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12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150</v>
      </c>
      <c r="J11" s="49">
        <v>150</v>
      </c>
      <c r="K11" s="49">
        <v>190</v>
      </c>
      <c r="L11" s="49">
        <v>240</v>
      </c>
      <c r="M11" s="49">
        <v>230</v>
      </c>
      <c r="N11" s="50">
        <v>12</v>
      </c>
      <c r="O11" s="50" t="s">
        <v>223</v>
      </c>
      <c r="P11" s="50">
        <v>30</v>
      </c>
      <c r="Q11" s="50">
        <v>12</v>
      </c>
      <c r="R11" s="51">
        <v>12</v>
      </c>
      <c r="S11" s="50">
        <v>12</v>
      </c>
      <c r="T11" s="50">
        <v>12</v>
      </c>
      <c r="U11" s="50">
        <v>12</v>
      </c>
      <c r="V11" s="50">
        <v>120</v>
      </c>
      <c r="W11" s="50">
        <v>100</v>
      </c>
      <c r="X11" s="50">
        <v>130</v>
      </c>
      <c r="Y11" s="50">
        <v>300</v>
      </c>
      <c r="Z11" s="52">
        <v>320</v>
      </c>
      <c r="AA11" s="50">
        <v>270</v>
      </c>
      <c r="AB11" s="50">
        <v>210</v>
      </c>
      <c r="AC11" s="50">
        <v>170</v>
      </c>
      <c r="AD11" s="50">
        <v>60</v>
      </c>
      <c r="AE11" s="50">
        <v>12</v>
      </c>
      <c r="AF11" s="50">
        <v>12</v>
      </c>
      <c r="AG11" s="53">
        <v>456</v>
      </c>
      <c r="AH11" s="54">
        <f>MAX(B11:AF11)</f>
        <v>320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 t="s">
        <v>224</v>
      </c>
      <c r="P12" s="49">
        <v>31</v>
      </c>
      <c r="Q12" s="49">
        <v>31</v>
      </c>
      <c r="R12" s="49">
        <v>31</v>
      </c>
      <c r="S12" s="49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16.100000000000001</v>
      </c>
      <c r="C13" s="49">
        <v>16.100000000000001</v>
      </c>
      <c r="D13" s="49">
        <v>16.100000000000001</v>
      </c>
      <c r="E13" s="49">
        <v>16.100000000000001</v>
      </c>
      <c r="F13" s="49">
        <v>16.100000000000001</v>
      </c>
      <c r="G13" s="49">
        <v>16.100000000000001</v>
      </c>
      <c r="H13" s="49">
        <v>16.100000000000001</v>
      </c>
      <c r="I13" s="49">
        <v>16.100000000000001</v>
      </c>
      <c r="J13" s="49">
        <v>16.100000000000001</v>
      </c>
      <c r="K13" s="49">
        <v>16.100000000000001</v>
      </c>
      <c r="L13" s="49">
        <v>16.100000000000001</v>
      </c>
      <c r="M13" s="49">
        <v>20</v>
      </c>
      <c r="N13" s="49">
        <v>21.5</v>
      </c>
      <c r="O13" s="49" t="s">
        <v>223</v>
      </c>
      <c r="P13" s="49">
        <v>22.4</v>
      </c>
      <c r="Q13" s="49">
        <v>17.2</v>
      </c>
      <c r="R13" s="49">
        <v>17.2</v>
      </c>
      <c r="S13" s="49">
        <v>17.2</v>
      </c>
      <c r="T13" s="49">
        <v>17.2</v>
      </c>
      <c r="U13" s="49">
        <v>10</v>
      </c>
      <c r="V13" s="49">
        <v>10</v>
      </c>
      <c r="W13" s="49">
        <v>10</v>
      </c>
      <c r="X13" s="49">
        <v>10</v>
      </c>
      <c r="Y13" s="49">
        <v>10</v>
      </c>
      <c r="Z13" s="50">
        <v>16.5</v>
      </c>
      <c r="AA13" s="50">
        <v>16.5</v>
      </c>
      <c r="AB13" s="50">
        <v>16.5</v>
      </c>
      <c r="AC13" s="50">
        <v>16.5</v>
      </c>
      <c r="AD13" s="50">
        <v>16.3</v>
      </c>
      <c r="AE13" s="50">
        <v>16.3</v>
      </c>
      <c r="AF13" s="49">
        <v>16.8</v>
      </c>
      <c r="AG13" s="59">
        <v>52.4</v>
      </c>
      <c r="AH13" s="54">
        <f t="shared" si="2"/>
        <v>22.4</v>
      </c>
      <c r="AI13" s="55">
        <f t="shared" si="3"/>
        <v>10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35.200000000000003</v>
      </c>
      <c r="C14" s="49">
        <v>35.200000000000003</v>
      </c>
      <c r="D14" s="49">
        <v>35.200000000000003</v>
      </c>
      <c r="E14" s="49">
        <v>34.6</v>
      </c>
      <c r="F14" s="49">
        <v>34.6</v>
      </c>
      <c r="G14" s="49">
        <v>34.6</v>
      </c>
      <c r="H14" s="49">
        <v>34.6</v>
      </c>
      <c r="I14" s="49">
        <v>34.6</v>
      </c>
      <c r="J14" s="49">
        <v>34.6</v>
      </c>
      <c r="K14" s="49">
        <v>34.6</v>
      </c>
      <c r="L14" s="49">
        <v>34.6</v>
      </c>
      <c r="M14" s="49">
        <v>34.6</v>
      </c>
      <c r="N14" s="50">
        <v>33.700000000000003</v>
      </c>
      <c r="O14" s="50" t="s">
        <v>225</v>
      </c>
      <c r="P14" s="50">
        <v>35.299999999999997</v>
      </c>
      <c r="Q14" s="50">
        <v>34.5</v>
      </c>
      <c r="R14" s="50">
        <v>34.5</v>
      </c>
      <c r="S14" s="50">
        <v>34.5</v>
      </c>
      <c r="T14" s="50">
        <v>34.5</v>
      </c>
      <c r="U14" s="50">
        <v>34.9</v>
      </c>
      <c r="V14" s="50">
        <v>34.9</v>
      </c>
      <c r="W14" s="50">
        <v>34.9</v>
      </c>
      <c r="X14" s="50">
        <v>34.9</v>
      </c>
      <c r="Y14" s="50">
        <v>34.9</v>
      </c>
      <c r="Z14" s="50">
        <v>37.5</v>
      </c>
      <c r="AA14" s="50">
        <v>37.5</v>
      </c>
      <c r="AB14" s="50">
        <v>36.299999999999997</v>
      </c>
      <c r="AC14" s="50">
        <v>36.200000000000003</v>
      </c>
      <c r="AD14" s="50">
        <v>36.200000000000003</v>
      </c>
      <c r="AE14" s="50">
        <v>36.6</v>
      </c>
      <c r="AF14" s="49">
        <v>36.4</v>
      </c>
      <c r="AG14" s="59">
        <v>50</v>
      </c>
      <c r="AH14" s="54">
        <f t="shared" si="2"/>
        <v>37.5</v>
      </c>
      <c r="AI14" s="55">
        <f t="shared" si="3"/>
        <v>33.700000000000003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22.8</v>
      </c>
      <c r="C15" s="61">
        <v>22.8</v>
      </c>
      <c r="D15" s="61">
        <v>22.8</v>
      </c>
      <c r="E15" s="61">
        <v>22.1</v>
      </c>
      <c r="F15" s="61">
        <v>22.1</v>
      </c>
      <c r="G15" s="61">
        <v>22.1</v>
      </c>
      <c r="H15" s="61">
        <v>22.1</v>
      </c>
      <c r="I15" s="61">
        <v>22.1</v>
      </c>
      <c r="J15" s="61">
        <v>22.1</v>
      </c>
      <c r="K15" s="61">
        <v>22.1</v>
      </c>
      <c r="L15" s="61">
        <v>22.1</v>
      </c>
      <c r="M15" s="61">
        <v>22.1</v>
      </c>
      <c r="N15" s="50">
        <v>20.399999999999999</v>
      </c>
      <c r="O15" s="50" t="s">
        <v>226</v>
      </c>
      <c r="P15" s="50">
        <v>20.8</v>
      </c>
      <c r="Q15" s="50">
        <v>19.8</v>
      </c>
      <c r="R15" s="50">
        <v>19.8</v>
      </c>
      <c r="S15" s="50">
        <v>19.8</v>
      </c>
      <c r="T15" s="50">
        <v>19.8</v>
      </c>
      <c r="U15" s="50">
        <v>19.8</v>
      </c>
      <c r="V15" s="50">
        <v>19.8</v>
      </c>
      <c r="W15" s="50">
        <v>19.8</v>
      </c>
      <c r="X15" s="50">
        <v>19.8</v>
      </c>
      <c r="Y15" s="50">
        <v>19.8</v>
      </c>
      <c r="Z15" s="50">
        <v>21.6</v>
      </c>
      <c r="AA15" s="50">
        <v>21.6</v>
      </c>
      <c r="AB15" s="50">
        <v>23.1</v>
      </c>
      <c r="AC15" s="50">
        <v>23</v>
      </c>
      <c r="AD15" s="50">
        <v>23.5</v>
      </c>
      <c r="AE15" s="50">
        <v>23.5</v>
      </c>
      <c r="AF15" s="61">
        <v>23.3</v>
      </c>
      <c r="AG15" s="62">
        <v>45</v>
      </c>
      <c r="AH15" s="54">
        <f t="shared" si="2"/>
        <v>23.5</v>
      </c>
      <c r="AI15" s="55">
        <f t="shared" si="3"/>
        <v>19.8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49">
        <v>8.5</v>
      </c>
      <c r="N16" s="50">
        <v>8.5</v>
      </c>
      <c r="O16" s="50" t="s">
        <v>227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49">
        <v>6.5</v>
      </c>
      <c r="N17" s="50">
        <v>6.5</v>
      </c>
      <c r="O17" s="50"/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49">
        <v>8</v>
      </c>
      <c r="N18" s="50">
        <v>8</v>
      </c>
      <c r="O18" s="50" t="s">
        <v>228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10.3</v>
      </c>
      <c r="C19" s="49">
        <v>10.3</v>
      </c>
      <c r="D19" s="49">
        <v>10.3</v>
      </c>
      <c r="E19" s="49">
        <v>10.8</v>
      </c>
      <c r="F19" s="49">
        <v>10.8</v>
      </c>
      <c r="G19" s="49">
        <v>10.8</v>
      </c>
      <c r="H19" s="49">
        <v>10.8</v>
      </c>
      <c r="I19" s="49">
        <v>10.8</v>
      </c>
      <c r="J19" s="49">
        <v>10.8</v>
      </c>
      <c r="K19" s="49">
        <v>10.8</v>
      </c>
      <c r="L19" s="49">
        <v>10.8</v>
      </c>
      <c r="M19" s="49">
        <v>10.8</v>
      </c>
      <c r="N19" s="50">
        <v>10.8</v>
      </c>
      <c r="O19" s="50" t="s">
        <v>229</v>
      </c>
      <c r="P19" s="50">
        <v>10.8</v>
      </c>
      <c r="Q19" s="50">
        <v>10.8</v>
      </c>
      <c r="R19" s="50">
        <v>10.8</v>
      </c>
      <c r="S19" s="50">
        <v>10.8</v>
      </c>
      <c r="T19" s="50">
        <v>10.8</v>
      </c>
      <c r="U19" s="50">
        <v>10.8</v>
      </c>
      <c r="V19" s="50">
        <v>10.8</v>
      </c>
      <c r="W19" s="50">
        <v>10.8</v>
      </c>
      <c r="X19" s="50">
        <v>10.8</v>
      </c>
      <c r="Y19" s="50">
        <v>10.8</v>
      </c>
      <c r="Z19" s="50">
        <v>9.6999999999999993</v>
      </c>
      <c r="AA19" s="50">
        <v>9.6999999999999993</v>
      </c>
      <c r="AB19" s="50">
        <v>10.3</v>
      </c>
      <c r="AC19" s="50">
        <v>11.8</v>
      </c>
      <c r="AD19" s="50">
        <v>11.7</v>
      </c>
      <c r="AE19" s="50">
        <v>11.5</v>
      </c>
      <c r="AF19" s="49">
        <v>10.9</v>
      </c>
      <c r="AG19" s="59">
        <v>30</v>
      </c>
      <c r="AH19" s="54">
        <f t="shared" si="2"/>
        <v>11.8</v>
      </c>
      <c r="AI19" s="55">
        <f t="shared" si="3"/>
        <v>9.6999999999999993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49">
        <v>10</v>
      </c>
      <c r="N20" s="50">
        <v>10</v>
      </c>
      <c r="O20" s="50" t="s">
        <v>223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49">
        <v>4</v>
      </c>
      <c r="N21" s="50">
        <v>4</v>
      </c>
      <c r="O21" s="50" t="s">
        <v>225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11.1</v>
      </c>
      <c r="C22" s="49">
        <v>11.1</v>
      </c>
      <c r="D22" s="49">
        <v>11.1</v>
      </c>
      <c r="E22" s="49">
        <v>11.1</v>
      </c>
      <c r="F22" s="49">
        <v>11.1</v>
      </c>
      <c r="G22" s="49">
        <v>11.1</v>
      </c>
      <c r="H22" s="49">
        <v>11.1</v>
      </c>
      <c r="I22" s="49">
        <v>11.1</v>
      </c>
      <c r="J22" s="49">
        <v>11.1</v>
      </c>
      <c r="K22" s="49">
        <v>11.1</v>
      </c>
      <c r="L22" s="49">
        <v>11.1</v>
      </c>
      <c r="M22" s="49">
        <v>11.1</v>
      </c>
      <c r="N22" s="50">
        <v>10.8</v>
      </c>
      <c r="O22" s="50" t="s">
        <v>230</v>
      </c>
      <c r="P22" s="50">
        <v>10.8</v>
      </c>
      <c r="Q22" s="50">
        <v>10.8</v>
      </c>
      <c r="R22" s="50">
        <v>10.8</v>
      </c>
      <c r="S22" s="50">
        <v>10.8</v>
      </c>
      <c r="T22" s="50">
        <v>10.8</v>
      </c>
      <c r="U22" s="50">
        <v>10.8</v>
      </c>
      <c r="V22" s="50">
        <v>10.8</v>
      </c>
      <c r="W22" s="50">
        <v>10.8</v>
      </c>
      <c r="X22" s="50">
        <v>10.8</v>
      </c>
      <c r="Y22" s="50">
        <v>11.2</v>
      </c>
      <c r="Z22" s="50">
        <v>11.2</v>
      </c>
      <c r="AA22" s="50">
        <v>11.2</v>
      </c>
      <c r="AB22" s="50">
        <v>10.8</v>
      </c>
      <c r="AC22" s="50">
        <v>10.8</v>
      </c>
      <c r="AD22" s="50">
        <v>11.1</v>
      </c>
      <c r="AE22" s="50">
        <v>11.7</v>
      </c>
      <c r="AF22" s="49">
        <v>11.9</v>
      </c>
      <c r="AG22" s="59">
        <v>25</v>
      </c>
      <c r="AH22" s="54">
        <f t="shared" si="2"/>
        <v>11.9</v>
      </c>
      <c r="AI22" s="55">
        <f t="shared" si="3"/>
        <v>10.8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49">
        <v>4.8</v>
      </c>
      <c r="N23" s="50">
        <v>4.8</v>
      </c>
      <c r="O23" s="50" t="s">
        <v>231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6.3</v>
      </c>
      <c r="C24" s="49">
        <v>6.3</v>
      </c>
      <c r="D24" s="49">
        <v>6.3</v>
      </c>
      <c r="E24" s="49">
        <v>9.1999999999999993</v>
      </c>
      <c r="F24" s="49">
        <v>9.1999999999999993</v>
      </c>
      <c r="G24" s="49">
        <v>9.1999999999999993</v>
      </c>
      <c r="H24" s="49">
        <v>9.1999999999999993</v>
      </c>
      <c r="I24" s="49">
        <v>9.1999999999999993</v>
      </c>
      <c r="J24" s="49">
        <v>9.1999999999999993</v>
      </c>
      <c r="K24" s="49">
        <v>9.1999999999999993</v>
      </c>
      <c r="L24" s="49">
        <v>9.1999999999999993</v>
      </c>
      <c r="M24" s="49">
        <v>9.1999999999999993</v>
      </c>
      <c r="N24" s="50">
        <v>7.5</v>
      </c>
      <c r="O24" s="50" t="s">
        <v>232</v>
      </c>
      <c r="P24" s="50">
        <v>7.5</v>
      </c>
      <c r="Q24" s="50">
        <v>7.5</v>
      </c>
      <c r="R24" s="50">
        <v>7.5</v>
      </c>
      <c r="S24" s="50">
        <v>7.5</v>
      </c>
      <c r="T24" s="50">
        <v>7.5</v>
      </c>
      <c r="U24" s="50">
        <v>4.5</v>
      </c>
      <c r="V24" s="50">
        <v>4.5</v>
      </c>
      <c r="W24" s="50">
        <v>4.5</v>
      </c>
      <c r="X24" s="50">
        <v>4.5</v>
      </c>
      <c r="Y24" s="50">
        <v>4.5</v>
      </c>
      <c r="Z24" s="50">
        <v>5.0999999999999996</v>
      </c>
      <c r="AA24" s="50">
        <v>5.0999999999999996</v>
      </c>
      <c r="AB24" s="50">
        <v>9</v>
      </c>
      <c r="AC24" s="50">
        <v>9</v>
      </c>
      <c r="AD24" s="50">
        <v>9</v>
      </c>
      <c r="AE24" s="50">
        <v>9</v>
      </c>
      <c r="AF24" s="50">
        <v>9</v>
      </c>
      <c r="AG24" s="59">
        <v>25</v>
      </c>
      <c r="AH24" s="54">
        <f t="shared" si="2"/>
        <v>9.1999999999999993</v>
      </c>
      <c r="AI24" s="55">
        <f t="shared" si="3"/>
        <v>4.5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49">
        <v>5.5</v>
      </c>
      <c r="N25" s="50">
        <v>5.5</v>
      </c>
      <c r="O25" s="50"/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49">
        <v>6.2</v>
      </c>
      <c r="N26" s="50">
        <v>6.2</v>
      </c>
      <c r="O26" s="50"/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49">
        <v>2.5</v>
      </c>
      <c r="N27" s="50">
        <v>2.5</v>
      </c>
      <c r="O27" s="50"/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50">
        <v>0</v>
      </c>
      <c r="O28" s="50"/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49">
        <v>3</v>
      </c>
      <c r="N29" s="50">
        <v>3</v>
      </c>
      <c r="O29" s="50"/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49">
        <v>10</v>
      </c>
      <c r="N30" s="50">
        <v>10</v>
      </c>
      <c r="O30" s="50"/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61">
        <v>6</v>
      </c>
      <c r="N31" s="50">
        <v>6</v>
      </c>
      <c r="O31" s="50"/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61">
        <v>5</v>
      </c>
      <c r="N32" s="50">
        <v>5</v>
      </c>
      <c r="O32" s="50"/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50">
        <v>0</v>
      </c>
      <c r="O33" s="50"/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61">
        <v>4.2</v>
      </c>
      <c r="N34" s="50">
        <v>4.2</v>
      </c>
      <c r="O34" s="50"/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61">
        <v>0</v>
      </c>
      <c r="N35" s="50">
        <v>0</v>
      </c>
      <c r="O35" s="50"/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160</v>
      </c>
      <c r="C36" s="61">
        <v>160</v>
      </c>
      <c r="D36" s="61">
        <v>160</v>
      </c>
      <c r="E36" s="61">
        <v>160</v>
      </c>
      <c r="F36" s="61">
        <v>160</v>
      </c>
      <c r="G36" s="61">
        <v>160</v>
      </c>
      <c r="H36" s="61">
        <v>160</v>
      </c>
      <c r="I36" s="61">
        <v>160</v>
      </c>
      <c r="J36" s="61">
        <v>160</v>
      </c>
      <c r="K36" s="61">
        <v>160</v>
      </c>
      <c r="L36" s="61">
        <v>160</v>
      </c>
      <c r="M36" s="61">
        <v>130</v>
      </c>
      <c r="N36" s="61">
        <v>130</v>
      </c>
      <c r="O36" s="61"/>
      <c r="P36" s="61">
        <v>130</v>
      </c>
      <c r="Q36" s="61">
        <v>130</v>
      </c>
      <c r="R36" s="61">
        <v>130</v>
      </c>
      <c r="S36" s="61">
        <v>160</v>
      </c>
      <c r="T36" s="61">
        <v>160</v>
      </c>
      <c r="U36" s="61">
        <v>160</v>
      </c>
      <c r="V36" s="61">
        <v>160</v>
      </c>
      <c r="W36" s="61">
        <v>160</v>
      </c>
      <c r="X36" s="61">
        <v>160</v>
      </c>
      <c r="Y36" s="61">
        <v>160</v>
      </c>
      <c r="Z36" s="61">
        <v>160</v>
      </c>
      <c r="AA36" s="61">
        <v>160</v>
      </c>
      <c r="AB36" s="61">
        <v>160</v>
      </c>
      <c r="AC36" s="61">
        <v>160</v>
      </c>
      <c r="AD36" s="61">
        <v>160</v>
      </c>
      <c r="AE36" s="61">
        <v>160</v>
      </c>
      <c r="AF36" s="61">
        <v>160</v>
      </c>
      <c r="AG36" s="67">
        <v>85</v>
      </c>
      <c r="AH36" s="54">
        <f t="shared" si="2"/>
        <v>160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61">
        <v>31.9</v>
      </c>
      <c r="C37" s="61">
        <v>31.9</v>
      </c>
      <c r="D37" s="61">
        <v>31.9</v>
      </c>
      <c r="E37" s="61">
        <f>12.7+22.5</f>
        <v>35.200000000000003</v>
      </c>
      <c r="F37" s="61">
        <f>15.1+25</f>
        <v>40.1</v>
      </c>
      <c r="G37" s="61">
        <f>13.2+23.3</f>
        <v>36.5</v>
      </c>
      <c r="H37" s="61">
        <f>13.3+22.8</f>
        <v>36.1</v>
      </c>
      <c r="I37" s="61">
        <f>11.8+21.2</f>
        <v>33</v>
      </c>
      <c r="J37" s="61">
        <f>10.2+19.6</f>
        <v>29.8</v>
      </c>
      <c r="K37" s="61">
        <f>9.9+19</f>
        <v>28.9</v>
      </c>
      <c r="L37" s="61">
        <f>9.9+18.9</f>
        <v>28.799999999999997</v>
      </c>
      <c r="M37" s="61">
        <f>9.9+18.9</f>
        <v>28.799999999999997</v>
      </c>
      <c r="N37" s="70">
        <f>10.2+19.4</f>
        <v>29.599999999999998</v>
      </c>
      <c r="O37" s="70"/>
      <c r="P37" s="70">
        <f>11.3+20.6</f>
        <v>31.900000000000002</v>
      </c>
      <c r="Q37" s="70">
        <f>10.6+19.9</f>
        <v>30.5</v>
      </c>
      <c r="R37" s="70">
        <f>10.5+19.7</f>
        <v>30.2</v>
      </c>
      <c r="S37" s="70">
        <f>10.5+19.7</f>
        <v>30.2</v>
      </c>
      <c r="T37" s="70">
        <f>10.5+19.7</f>
        <v>30.2</v>
      </c>
      <c r="U37" s="70">
        <v>30.8</v>
      </c>
      <c r="V37" s="70">
        <v>30.8</v>
      </c>
      <c r="W37" s="70">
        <v>30.8</v>
      </c>
      <c r="X37" s="70">
        <v>30.8</v>
      </c>
      <c r="Y37" s="70">
        <v>30.8</v>
      </c>
      <c r="Z37" s="70">
        <v>24</v>
      </c>
      <c r="AA37" s="70">
        <v>24</v>
      </c>
      <c r="AB37" s="70">
        <v>27.2</v>
      </c>
      <c r="AC37" s="70">
        <v>27.9</v>
      </c>
      <c r="AD37" s="70">
        <v>28</v>
      </c>
      <c r="AE37" s="70">
        <v>32.200000000000003</v>
      </c>
      <c r="AF37" s="61">
        <v>31.6</v>
      </c>
      <c r="AG37" s="67">
        <v>240</v>
      </c>
      <c r="AH37" s="54">
        <f t="shared" si="2"/>
        <v>40.1</v>
      </c>
      <c r="AI37" s="55">
        <f t="shared" si="3"/>
        <v>24</v>
      </c>
      <c r="AK37" s="56"/>
    </row>
    <row r="38" spans="1:88" ht="15.75" thickBot="1" x14ac:dyDescent="0.3">
      <c r="A38" s="71" t="s">
        <v>46</v>
      </c>
      <c r="B38" s="72">
        <f t="shared" ref="B38:AF38" si="4">SUM(B11:B36)</f>
        <v>389</v>
      </c>
      <c r="C38" s="72">
        <f t="shared" si="4"/>
        <v>389</v>
      </c>
      <c r="D38" s="72">
        <f t="shared" si="4"/>
        <v>389</v>
      </c>
      <c r="E38" s="72">
        <f t="shared" si="4"/>
        <v>391.1</v>
      </c>
      <c r="F38" s="72">
        <f t="shared" si="4"/>
        <v>391.1</v>
      </c>
      <c r="G38" s="72">
        <f t="shared" si="4"/>
        <v>391.1</v>
      </c>
      <c r="H38" s="72">
        <f t="shared" si="4"/>
        <v>391.1</v>
      </c>
      <c r="I38" s="72">
        <f t="shared" si="4"/>
        <v>529.09999999999991</v>
      </c>
      <c r="J38" s="72">
        <f t="shared" si="4"/>
        <v>529.09999999999991</v>
      </c>
      <c r="K38" s="72">
        <f t="shared" si="4"/>
        <v>569.1</v>
      </c>
      <c r="L38" s="72">
        <f t="shared" si="4"/>
        <v>619.10000000000014</v>
      </c>
      <c r="M38" s="72">
        <f t="shared" si="4"/>
        <v>583</v>
      </c>
      <c r="N38" s="72">
        <f t="shared" si="4"/>
        <v>361.9</v>
      </c>
      <c r="O38" s="72">
        <f t="shared" si="4"/>
        <v>0</v>
      </c>
      <c r="P38" s="72">
        <f t="shared" si="4"/>
        <v>382.8</v>
      </c>
      <c r="Q38" s="72">
        <f t="shared" si="4"/>
        <v>357.8</v>
      </c>
      <c r="R38" s="72">
        <f t="shared" si="4"/>
        <v>357.8</v>
      </c>
      <c r="S38" s="72">
        <f t="shared" si="4"/>
        <v>387.8</v>
      </c>
      <c r="T38" s="72">
        <f t="shared" si="4"/>
        <v>387.8</v>
      </c>
      <c r="U38" s="72">
        <f t="shared" si="4"/>
        <v>378</v>
      </c>
      <c r="V38" s="72">
        <f t="shared" si="4"/>
        <v>486</v>
      </c>
      <c r="W38" s="72">
        <f t="shared" si="4"/>
        <v>466</v>
      </c>
      <c r="X38" s="72">
        <f t="shared" si="4"/>
        <v>496</v>
      </c>
      <c r="Y38" s="72">
        <f t="shared" si="4"/>
        <v>666.4</v>
      </c>
      <c r="Z38" s="72">
        <f t="shared" si="4"/>
        <v>696.80000000000007</v>
      </c>
      <c r="AA38" s="72">
        <f t="shared" si="4"/>
        <v>646.79999999999995</v>
      </c>
      <c r="AB38" s="72">
        <f t="shared" si="4"/>
        <v>591.20000000000005</v>
      </c>
      <c r="AC38" s="72">
        <f t="shared" si="4"/>
        <v>552.5</v>
      </c>
      <c r="AD38" s="72">
        <f t="shared" si="4"/>
        <v>442.99999999999994</v>
      </c>
      <c r="AE38" s="72">
        <f t="shared" si="4"/>
        <v>395.79999999999995</v>
      </c>
      <c r="AF38" s="72">
        <f t="shared" si="4"/>
        <v>395.5</v>
      </c>
      <c r="AG38" s="67">
        <f>SUM(AG11:AG37)</f>
        <v>1492.8299999999997</v>
      </c>
      <c r="AH38" s="54">
        <f t="shared" si="2"/>
        <v>696.80000000000007</v>
      </c>
      <c r="AI38" s="55">
        <f t="shared" si="3"/>
        <v>0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0</v>
      </c>
      <c r="G39" s="61">
        <v>0</v>
      </c>
      <c r="H39" s="61">
        <v>45.7</v>
      </c>
      <c r="I39" s="61">
        <v>90</v>
      </c>
      <c r="J39" s="61">
        <v>147</v>
      </c>
      <c r="K39" s="61">
        <v>145.69999999999999</v>
      </c>
      <c r="L39" s="61">
        <v>145.80000000000001</v>
      </c>
      <c r="M39" s="61">
        <v>145.80000000000001</v>
      </c>
      <c r="N39" s="50">
        <v>103</v>
      </c>
      <c r="O39" s="50"/>
      <c r="P39" s="50">
        <v>113.8</v>
      </c>
      <c r="Q39" s="50">
        <v>61</v>
      </c>
      <c r="R39" s="50">
        <v>75.099999999999994</v>
      </c>
      <c r="S39" s="50">
        <v>76</v>
      </c>
      <c r="T39" s="50">
        <v>88</v>
      </c>
      <c r="U39" s="50">
        <v>97.8</v>
      </c>
      <c r="V39" s="50">
        <v>91</v>
      </c>
      <c r="W39" s="50">
        <v>145</v>
      </c>
      <c r="X39" s="50">
        <v>145.5</v>
      </c>
      <c r="Y39" s="50">
        <v>145</v>
      </c>
      <c r="Z39" s="50">
        <v>145</v>
      </c>
      <c r="AA39" s="50">
        <v>145</v>
      </c>
      <c r="AB39" s="50">
        <v>144.5</v>
      </c>
      <c r="AC39" s="50">
        <v>144.19999999999999</v>
      </c>
      <c r="AD39" s="50">
        <v>108</v>
      </c>
      <c r="AE39" s="50">
        <v>0</v>
      </c>
      <c r="AF39" s="49">
        <v>0</v>
      </c>
      <c r="AG39" s="62">
        <v>144</v>
      </c>
      <c r="AH39" s="54">
        <f t="shared" si="2"/>
        <v>147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30.8</v>
      </c>
      <c r="H40" s="61">
        <v>35.299999999999997</v>
      </c>
      <c r="I40" s="61">
        <v>34.200000000000003</v>
      </c>
      <c r="J40" s="61">
        <v>62.8</v>
      </c>
      <c r="K40" s="61">
        <v>72.400000000000006</v>
      </c>
      <c r="L40" s="61">
        <v>72.8</v>
      </c>
      <c r="M40" s="61">
        <v>72.8</v>
      </c>
      <c r="N40" s="73">
        <v>49.3</v>
      </c>
      <c r="O40" s="73"/>
      <c r="P40" s="73">
        <v>44.7</v>
      </c>
      <c r="Q40" s="73">
        <v>45.7</v>
      </c>
      <c r="R40" s="73">
        <v>44.3</v>
      </c>
      <c r="S40" s="73">
        <v>44.5</v>
      </c>
      <c r="T40" s="73">
        <v>30</v>
      </c>
      <c r="U40" s="73">
        <v>35</v>
      </c>
      <c r="V40" s="73">
        <v>35</v>
      </c>
      <c r="W40" s="73">
        <v>35</v>
      </c>
      <c r="X40" s="73">
        <v>69.3</v>
      </c>
      <c r="Y40" s="73">
        <v>71.099999999999994</v>
      </c>
      <c r="Z40" s="73">
        <v>70</v>
      </c>
      <c r="AA40" s="73">
        <v>70</v>
      </c>
      <c r="AB40" s="73">
        <v>70.3</v>
      </c>
      <c r="AC40" s="73">
        <v>70.2</v>
      </c>
      <c r="AD40" s="73">
        <v>21.6</v>
      </c>
      <c r="AE40" s="73">
        <v>0</v>
      </c>
      <c r="AF40" s="61">
        <v>0</v>
      </c>
      <c r="AG40" s="67">
        <v>70</v>
      </c>
      <c r="AH40" s="54">
        <f t="shared" si="2"/>
        <v>72.8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36.9</v>
      </c>
      <c r="C41" s="61">
        <v>46.6</v>
      </c>
      <c r="D41" s="61">
        <v>38</v>
      </c>
      <c r="E41" s="61">
        <v>37.6</v>
      </c>
      <c r="F41" s="61">
        <v>33.6</v>
      </c>
      <c r="G41" s="61">
        <v>17.600000000000001</v>
      </c>
      <c r="H41" s="61">
        <v>35</v>
      </c>
      <c r="I41" s="61">
        <v>34.200000000000003</v>
      </c>
      <c r="J41" s="61">
        <v>33.700000000000003</v>
      </c>
      <c r="K41" s="61">
        <v>58.2</v>
      </c>
      <c r="L41" s="61">
        <v>67.3</v>
      </c>
      <c r="M41" s="61">
        <v>67.3</v>
      </c>
      <c r="N41" s="73">
        <v>20.8</v>
      </c>
      <c r="O41" s="73"/>
      <c r="P41" s="73">
        <v>18.899999999999999</v>
      </c>
      <c r="Q41" s="73">
        <v>49.1</v>
      </c>
      <c r="R41" s="73">
        <v>17.7</v>
      </c>
      <c r="S41" s="73">
        <v>18</v>
      </c>
      <c r="T41" s="73">
        <v>18</v>
      </c>
      <c r="U41" s="73">
        <v>23.9</v>
      </c>
      <c r="V41" s="73">
        <v>32.700000000000003</v>
      </c>
      <c r="W41" s="73">
        <v>34</v>
      </c>
      <c r="X41" s="73">
        <v>64.900000000000006</v>
      </c>
      <c r="Y41" s="73">
        <v>65.3</v>
      </c>
      <c r="Z41" s="73">
        <v>68</v>
      </c>
      <c r="AA41" s="73">
        <v>68</v>
      </c>
      <c r="AB41" s="73">
        <v>68.5</v>
      </c>
      <c r="AC41" s="73">
        <v>67.599999999999994</v>
      </c>
      <c r="AD41" s="73">
        <v>37.4</v>
      </c>
      <c r="AE41" s="73">
        <v>32.299999999999997</v>
      </c>
      <c r="AF41" s="61">
        <v>32.200000000000003</v>
      </c>
      <c r="AG41" s="67">
        <v>69</v>
      </c>
      <c r="AH41" s="54">
        <f t="shared" si="2"/>
        <v>68.5</v>
      </c>
      <c r="AI41" s="55">
        <f t="shared" si="3"/>
        <v>17.600000000000001</v>
      </c>
      <c r="AK41" s="56"/>
    </row>
    <row r="42" spans="1:88" x14ac:dyDescent="0.25">
      <c r="A42" s="66" t="s">
        <v>50</v>
      </c>
      <c r="B42" s="61">
        <v>47.4</v>
      </c>
      <c r="C42" s="61">
        <v>47.4</v>
      </c>
      <c r="D42" s="61">
        <v>48.3</v>
      </c>
      <c r="E42" s="61">
        <v>48.3</v>
      </c>
      <c r="F42" s="61">
        <v>48.3</v>
      </c>
      <c r="G42" s="61">
        <v>48.3</v>
      </c>
      <c r="H42" s="61">
        <v>48.3</v>
      </c>
      <c r="I42" s="61">
        <v>48.3</v>
      </c>
      <c r="J42" s="61">
        <v>48.3</v>
      </c>
      <c r="K42" s="61">
        <v>48.3</v>
      </c>
      <c r="L42" s="61">
        <v>48.3</v>
      </c>
      <c r="M42" s="61">
        <v>48.3</v>
      </c>
      <c r="N42" s="73">
        <v>48.1</v>
      </c>
      <c r="O42" s="73"/>
      <c r="P42" s="73">
        <v>47.1</v>
      </c>
      <c r="Q42" s="73">
        <v>49.1</v>
      </c>
      <c r="R42" s="73">
        <v>46.9</v>
      </c>
      <c r="S42" s="73">
        <v>45</v>
      </c>
      <c r="T42" s="73">
        <v>45</v>
      </c>
      <c r="U42" s="73">
        <v>45.9</v>
      </c>
      <c r="V42" s="73">
        <v>45.6</v>
      </c>
      <c r="W42" s="73">
        <v>47.6</v>
      </c>
      <c r="X42" s="73">
        <v>46.9</v>
      </c>
      <c r="Y42" s="73">
        <v>44.3</v>
      </c>
      <c r="Z42" s="73">
        <v>44.3</v>
      </c>
      <c r="AA42" s="73">
        <v>44.3</v>
      </c>
      <c r="AB42" s="73">
        <v>43.3</v>
      </c>
      <c r="AC42" s="73">
        <v>45.3</v>
      </c>
      <c r="AD42" s="73">
        <v>45.3</v>
      </c>
      <c r="AE42" s="73">
        <v>45.3</v>
      </c>
      <c r="AF42" s="61">
        <v>47.4</v>
      </c>
      <c r="AG42" s="67">
        <v>60</v>
      </c>
      <c r="AH42" s="54">
        <f t="shared" si="2"/>
        <v>49.1</v>
      </c>
      <c r="AI42" s="55">
        <f t="shared" si="3"/>
        <v>43.3</v>
      </c>
      <c r="AK42" s="56"/>
    </row>
    <row r="43" spans="1:88" x14ac:dyDescent="0.25">
      <c r="A43" s="66" t="s">
        <v>51</v>
      </c>
      <c r="B43" s="61">
        <v>8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10</v>
      </c>
      <c r="J43" s="61">
        <v>25</v>
      </c>
      <c r="K43" s="61">
        <v>25</v>
      </c>
      <c r="L43" s="61">
        <v>25</v>
      </c>
      <c r="M43" s="61">
        <v>25</v>
      </c>
      <c r="N43" s="50">
        <v>10</v>
      </c>
      <c r="O43" s="50"/>
      <c r="P43" s="50">
        <v>10.6</v>
      </c>
      <c r="Q43" s="50">
        <v>10.4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28</v>
      </c>
      <c r="Y43" s="50">
        <v>29</v>
      </c>
      <c r="Z43" s="73">
        <v>29</v>
      </c>
      <c r="AA43" s="73">
        <v>29</v>
      </c>
      <c r="AB43" s="73">
        <v>13.6</v>
      </c>
      <c r="AC43" s="73">
        <v>13.5</v>
      </c>
      <c r="AD43" s="73">
        <v>9.5</v>
      </c>
      <c r="AE43" s="73">
        <v>0</v>
      </c>
      <c r="AF43" s="61">
        <v>0</v>
      </c>
      <c r="AG43" s="67">
        <v>30</v>
      </c>
      <c r="AH43" s="54">
        <f t="shared" si="2"/>
        <v>29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50">
        <v>0</v>
      </c>
      <c r="O44" s="50"/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61">
        <v>13</v>
      </c>
      <c r="D45" s="61">
        <v>13</v>
      </c>
      <c r="E45" s="61">
        <v>13</v>
      </c>
      <c r="F45" s="61">
        <v>13</v>
      </c>
      <c r="G45" s="61">
        <v>13</v>
      </c>
      <c r="H45" s="61">
        <v>13</v>
      </c>
      <c r="I45" s="61">
        <v>13</v>
      </c>
      <c r="J45" s="61">
        <v>13</v>
      </c>
      <c r="K45" s="61">
        <v>13</v>
      </c>
      <c r="L45" s="61">
        <v>13</v>
      </c>
      <c r="M45" s="61">
        <v>13</v>
      </c>
      <c r="N45" s="61">
        <v>13</v>
      </c>
      <c r="O45" s="50"/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50"/>
      <c r="P46" s="50">
        <v>5.5</v>
      </c>
      <c r="Q46" s="50">
        <v>5.5</v>
      </c>
      <c r="R46" s="50">
        <v>5.5</v>
      </c>
      <c r="S46" s="50">
        <v>5.5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50"/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50"/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50"/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50"/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U200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:AF52" si="6">SUM(B39:B51)</f>
        <v>136.63999999999999</v>
      </c>
      <c r="C52" s="72">
        <f t="shared" si="6"/>
        <v>138.34</v>
      </c>
      <c r="D52" s="72">
        <f t="shared" si="6"/>
        <v>130.63999999999999</v>
      </c>
      <c r="E52" s="72">
        <f t="shared" si="6"/>
        <v>130.24</v>
      </c>
      <c r="F52" s="72">
        <f t="shared" si="6"/>
        <v>126.24000000000001</v>
      </c>
      <c r="G52" s="72">
        <f t="shared" si="6"/>
        <v>141.04</v>
      </c>
      <c r="H52" s="72">
        <f t="shared" si="6"/>
        <v>208.64000000000001</v>
      </c>
      <c r="I52" s="72">
        <f t="shared" si="6"/>
        <v>261.04000000000002</v>
      </c>
      <c r="J52" s="72">
        <f t="shared" si="6"/>
        <v>361.14000000000004</v>
      </c>
      <c r="K52" s="72">
        <f t="shared" si="6"/>
        <v>393.94000000000005</v>
      </c>
      <c r="L52" s="72">
        <f t="shared" si="6"/>
        <v>403.54000000000008</v>
      </c>
      <c r="M52" s="72">
        <f t="shared" si="6"/>
        <v>403.54000000000008</v>
      </c>
      <c r="N52" s="72">
        <f t="shared" si="6"/>
        <v>275.54000000000008</v>
      </c>
      <c r="O52" s="72">
        <f t="shared" si="6"/>
        <v>3.54</v>
      </c>
      <c r="P52" s="72">
        <f t="shared" si="6"/>
        <v>279.44000000000005</v>
      </c>
      <c r="Q52" s="72">
        <f t="shared" si="6"/>
        <v>259.64000000000004</v>
      </c>
      <c r="R52" s="72">
        <f t="shared" si="6"/>
        <v>228.34</v>
      </c>
      <c r="S52" s="72">
        <f t="shared" si="6"/>
        <v>227.84</v>
      </c>
      <c r="T52" s="72">
        <f t="shared" si="6"/>
        <v>225.34</v>
      </c>
      <c r="U52" s="72">
        <f t="shared" si="6"/>
        <v>246.94000000000003</v>
      </c>
      <c r="V52" s="72">
        <f t="shared" si="6"/>
        <v>248.64</v>
      </c>
      <c r="W52" s="72">
        <f t="shared" si="6"/>
        <v>305.94000000000005</v>
      </c>
      <c r="X52" s="72">
        <f t="shared" si="6"/>
        <v>398.94000000000005</v>
      </c>
      <c r="Y52" s="72">
        <f t="shared" si="6"/>
        <v>399.04</v>
      </c>
      <c r="Z52" s="72">
        <f t="shared" si="6"/>
        <v>400.64000000000004</v>
      </c>
      <c r="AA52" s="72">
        <f t="shared" si="6"/>
        <v>400.64000000000004</v>
      </c>
      <c r="AB52" s="72">
        <f t="shared" si="6"/>
        <v>384.54000000000008</v>
      </c>
      <c r="AC52" s="72">
        <f t="shared" si="6"/>
        <v>385.14000000000004</v>
      </c>
      <c r="AD52" s="72">
        <f t="shared" si="6"/>
        <v>266.14000000000004</v>
      </c>
      <c r="AE52" s="72">
        <f t="shared" si="6"/>
        <v>121.94</v>
      </c>
      <c r="AF52" s="72">
        <f t="shared" si="6"/>
        <v>123.94</v>
      </c>
      <c r="AG52" s="78">
        <f>SUM(AG39:AG51)</f>
        <v>489.91</v>
      </c>
      <c r="AH52" s="54">
        <f t="shared" si="2"/>
        <v>403.54000000000008</v>
      </c>
      <c r="AI52" s="55">
        <f t="shared" si="3"/>
        <v>3.54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30</v>
      </c>
      <c r="J53" s="61">
        <v>40</v>
      </c>
      <c r="K53" s="61">
        <v>50</v>
      </c>
      <c r="L53" s="61">
        <v>60</v>
      </c>
      <c r="M53" s="79">
        <v>49.2</v>
      </c>
      <c r="N53" s="79">
        <v>29.9</v>
      </c>
      <c r="O53" s="79"/>
      <c r="P53" s="79">
        <v>20</v>
      </c>
      <c r="Q53" s="50">
        <v>11.8</v>
      </c>
      <c r="R53" s="50">
        <v>14.1</v>
      </c>
      <c r="S53" s="50">
        <v>14</v>
      </c>
      <c r="T53" s="50">
        <v>14</v>
      </c>
      <c r="U53" s="50">
        <v>30.6</v>
      </c>
      <c r="V53" s="50">
        <v>25</v>
      </c>
      <c r="W53" s="50">
        <v>25</v>
      </c>
      <c r="X53" s="50">
        <v>60</v>
      </c>
      <c r="Y53" s="50">
        <v>59.4</v>
      </c>
      <c r="Z53" s="50">
        <v>60</v>
      </c>
      <c r="AA53" s="50">
        <v>59.7</v>
      </c>
      <c r="AB53" s="50">
        <v>59.7</v>
      </c>
      <c r="AC53" s="50">
        <v>59.7</v>
      </c>
      <c r="AD53" s="50">
        <v>59.8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22.8</v>
      </c>
      <c r="K54" s="61">
        <v>23.2</v>
      </c>
      <c r="L54" s="61">
        <v>28.7</v>
      </c>
      <c r="M54" s="79">
        <v>22.7</v>
      </c>
      <c r="N54" s="79">
        <v>15</v>
      </c>
      <c r="O54" s="79"/>
      <c r="P54" s="79">
        <v>14</v>
      </c>
      <c r="Q54" s="73">
        <v>3.8</v>
      </c>
      <c r="R54" s="73">
        <v>5.8</v>
      </c>
      <c r="S54" s="50">
        <v>5.4</v>
      </c>
      <c r="T54" s="50">
        <v>6</v>
      </c>
      <c r="U54" s="50">
        <v>11</v>
      </c>
      <c r="V54" s="73">
        <v>13</v>
      </c>
      <c r="W54" s="73">
        <v>13</v>
      </c>
      <c r="X54" s="73">
        <v>28.7</v>
      </c>
      <c r="Y54" s="73">
        <v>27.7</v>
      </c>
      <c r="Z54" s="73">
        <v>29</v>
      </c>
      <c r="AA54" s="73">
        <v>28.6</v>
      </c>
      <c r="AB54" s="73">
        <v>30</v>
      </c>
      <c r="AC54" s="73">
        <v>28.2</v>
      </c>
      <c r="AD54" s="73">
        <v>29.1</v>
      </c>
      <c r="AE54" s="73">
        <v>9.6</v>
      </c>
      <c r="AF54" s="73">
        <v>0</v>
      </c>
      <c r="AG54" s="67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8.3000000000000007</v>
      </c>
      <c r="K55" s="74">
        <v>8.6</v>
      </c>
      <c r="L55" s="74">
        <v>10.5</v>
      </c>
      <c r="M55" s="81">
        <v>8.3000000000000007</v>
      </c>
      <c r="N55" s="81">
        <v>5.5</v>
      </c>
      <c r="O55" s="81"/>
      <c r="P55" s="81">
        <v>5</v>
      </c>
      <c r="Q55" s="80">
        <v>1.4</v>
      </c>
      <c r="R55" s="80">
        <v>2.1</v>
      </c>
      <c r="S55" s="50">
        <v>2</v>
      </c>
      <c r="T55" s="50">
        <v>2.1</v>
      </c>
      <c r="U55" s="50">
        <v>4</v>
      </c>
      <c r="V55" s="80">
        <v>5</v>
      </c>
      <c r="W55" s="80">
        <v>5</v>
      </c>
      <c r="X55" s="80">
        <v>10.5</v>
      </c>
      <c r="Y55" s="80">
        <v>10.1</v>
      </c>
      <c r="Z55" s="80">
        <v>10.5</v>
      </c>
      <c r="AA55" s="80">
        <v>10.199999999999999</v>
      </c>
      <c r="AB55" s="80">
        <v>11</v>
      </c>
      <c r="AC55" s="80">
        <v>10.3</v>
      </c>
      <c r="AD55" s="80">
        <v>10.6</v>
      </c>
      <c r="AE55" s="80">
        <v>3.5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30</v>
      </c>
      <c r="J56" s="72">
        <f t="shared" si="7"/>
        <v>71.099999999999994</v>
      </c>
      <c r="K56" s="72">
        <f t="shared" si="7"/>
        <v>81.8</v>
      </c>
      <c r="L56" s="72">
        <f t="shared" si="7"/>
        <v>99.2</v>
      </c>
      <c r="M56" s="72">
        <f t="shared" si="7"/>
        <v>80.2</v>
      </c>
      <c r="N56" s="72">
        <f t="shared" si="7"/>
        <v>50.4</v>
      </c>
      <c r="O56" s="72">
        <f t="shared" si="7"/>
        <v>0</v>
      </c>
      <c r="P56" s="72">
        <f t="shared" si="7"/>
        <v>39</v>
      </c>
      <c r="Q56" s="72">
        <f t="shared" si="7"/>
        <v>17</v>
      </c>
      <c r="R56" s="72">
        <f t="shared" si="7"/>
        <v>22</v>
      </c>
      <c r="S56" s="72">
        <f t="shared" si="7"/>
        <v>21.4</v>
      </c>
      <c r="T56" s="72">
        <f t="shared" si="7"/>
        <v>22.1</v>
      </c>
      <c r="U56" s="72">
        <f t="shared" si="7"/>
        <v>45.6</v>
      </c>
      <c r="V56" s="72">
        <f t="shared" si="7"/>
        <v>43</v>
      </c>
      <c r="W56" s="72">
        <f t="shared" si="7"/>
        <v>43</v>
      </c>
      <c r="X56" s="72">
        <f t="shared" si="7"/>
        <v>99.2</v>
      </c>
      <c r="Y56" s="72">
        <f t="shared" si="7"/>
        <v>97.199999999999989</v>
      </c>
      <c r="Z56" s="72">
        <f t="shared" si="7"/>
        <v>99.5</v>
      </c>
      <c r="AA56" s="72">
        <f t="shared" si="7"/>
        <v>98.500000000000014</v>
      </c>
      <c r="AB56" s="72">
        <f t="shared" si="7"/>
        <v>100.7</v>
      </c>
      <c r="AC56" s="72">
        <f t="shared" si="7"/>
        <v>98.2</v>
      </c>
      <c r="AD56" s="72">
        <f t="shared" si="7"/>
        <v>99.5</v>
      </c>
      <c r="AE56" s="72">
        <f t="shared" si="7"/>
        <v>13.1</v>
      </c>
      <c r="AF56" s="72">
        <f t="shared" si="7"/>
        <v>0</v>
      </c>
      <c r="AG56" s="78">
        <f>SUM(AG53:AG55)</f>
        <v>106</v>
      </c>
      <c r="AH56" s="54">
        <f t="shared" si="2"/>
        <v>100.7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65</v>
      </c>
      <c r="C57" s="50">
        <v>75</v>
      </c>
      <c r="D57" s="50">
        <v>69</v>
      </c>
      <c r="E57" s="50">
        <v>70.7</v>
      </c>
      <c r="F57" s="50">
        <v>70.8</v>
      </c>
      <c r="G57" s="50">
        <v>71.7</v>
      </c>
      <c r="H57" s="50">
        <v>68.900000000000006</v>
      </c>
      <c r="I57" s="50">
        <v>69.11</v>
      </c>
      <c r="J57" s="50">
        <v>26.3</v>
      </c>
      <c r="K57" s="50">
        <v>18.600000000000001</v>
      </c>
      <c r="L57" s="50">
        <v>21.1</v>
      </c>
      <c r="M57" s="50">
        <v>22.7</v>
      </c>
      <c r="N57" s="50">
        <v>65</v>
      </c>
      <c r="O57" s="50"/>
      <c r="P57" s="50">
        <v>67.900000000000006</v>
      </c>
      <c r="Q57" s="50">
        <v>70.2</v>
      </c>
      <c r="R57" s="50">
        <v>74.5</v>
      </c>
      <c r="S57" s="50">
        <v>76</v>
      </c>
      <c r="T57" s="50">
        <v>67</v>
      </c>
      <c r="U57" s="50">
        <v>72</v>
      </c>
      <c r="V57" s="50">
        <v>70</v>
      </c>
      <c r="W57" s="50">
        <v>70</v>
      </c>
      <c r="X57" s="50">
        <v>38</v>
      </c>
      <c r="Y57" s="50">
        <v>24.6</v>
      </c>
      <c r="Z57" s="50">
        <v>17</v>
      </c>
      <c r="AA57" s="50">
        <v>24</v>
      </c>
      <c r="AB57" s="50">
        <v>22.2</v>
      </c>
      <c r="AC57" s="50">
        <v>19.100000000000001</v>
      </c>
      <c r="AD57" s="50">
        <v>64.2</v>
      </c>
      <c r="AE57" s="50">
        <v>70.44</v>
      </c>
      <c r="AF57" s="50">
        <v>68.7</v>
      </c>
      <c r="AG57" s="62"/>
      <c r="AH57" s="54">
        <f t="shared" si="2"/>
        <v>76</v>
      </c>
      <c r="AI57" s="55">
        <f t="shared" si="3"/>
        <v>17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101</v>
      </c>
      <c r="J58" s="73">
        <f>98.7+9</f>
        <v>107.7</v>
      </c>
      <c r="K58" s="73">
        <f>113.5+11</f>
        <v>124.5</v>
      </c>
      <c r="L58" s="73">
        <f>120+10</f>
        <v>130</v>
      </c>
      <c r="M58" s="50">
        <f>123.5+9</f>
        <v>132.5</v>
      </c>
      <c r="N58" s="50">
        <v>111</v>
      </c>
      <c r="O58" s="50"/>
      <c r="P58" s="50">
        <v>70.2</v>
      </c>
      <c r="Q58" s="50">
        <v>59.7</v>
      </c>
      <c r="R58" s="50">
        <v>60.3</v>
      </c>
      <c r="S58" s="50">
        <v>60</v>
      </c>
      <c r="T58" s="50">
        <v>62</v>
      </c>
      <c r="U58" s="50">
        <v>63.5</v>
      </c>
      <c r="V58" s="50">
        <v>108</v>
      </c>
      <c r="W58" s="50">
        <v>111</v>
      </c>
      <c r="X58" s="83">
        <v>111</v>
      </c>
      <c r="Y58" s="83">
        <v>125</v>
      </c>
      <c r="Z58" s="83">
        <v>118</v>
      </c>
      <c r="AA58" s="83">
        <v>117</v>
      </c>
      <c r="AB58" s="73">
        <v>106.7</v>
      </c>
      <c r="AC58" s="73">
        <v>95.8</v>
      </c>
      <c r="AD58" s="73">
        <v>93.1</v>
      </c>
      <c r="AE58" s="73">
        <v>0</v>
      </c>
      <c r="AF58" s="73">
        <v>0</v>
      </c>
      <c r="AG58" s="67"/>
      <c r="AH58" s="54">
        <f t="shared" si="2"/>
        <v>132.5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380</v>
      </c>
      <c r="C59" s="73">
        <v>375</v>
      </c>
      <c r="D59" s="73">
        <v>335</v>
      </c>
      <c r="E59" s="73">
        <v>365</v>
      </c>
      <c r="F59" s="73">
        <v>335</v>
      </c>
      <c r="G59" s="73">
        <v>358.1</v>
      </c>
      <c r="H59" s="50">
        <v>377</v>
      </c>
      <c r="I59" s="50">
        <v>57.4</v>
      </c>
      <c r="J59" s="50">
        <v>23</v>
      </c>
      <c r="K59" s="50">
        <v>53</v>
      </c>
      <c r="L59" s="50">
        <v>31.2</v>
      </c>
      <c r="M59" s="73">
        <v>48.5</v>
      </c>
      <c r="N59" s="73">
        <v>345</v>
      </c>
      <c r="O59" s="73"/>
      <c r="P59" s="73">
        <v>347</v>
      </c>
      <c r="Q59" s="73">
        <v>354</v>
      </c>
      <c r="R59" s="73">
        <v>353.7</v>
      </c>
      <c r="S59" s="73">
        <v>355</v>
      </c>
      <c r="T59" s="73">
        <v>355</v>
      </c>
      <c r="U59" s="73">
        <v>344</v>
      </c>
      <c r="V59" s="73">
        <v>174</v>
      </c>
      <c r="W59" s="73">
        <v>165</v>
      </c>
      <c r="X59" s="84">
        <v>66</v>
      </c>
      <c r="Y59" s="84">
        <v>48</v>
      </c>
      <c r="Z59" s="84">
        <v>80</v>
      </c>
      <c r="AA59" s="84">
        <v>60</v>
      </c>
      <c r="AB59" s="73">
        <v>49.5</v>
      </c>
      <c r="AC59" s="73">
        <v>37.6</v>
      </c>
      <c r="AD59" s="73">
        <v>125.9</v>
      </c>
      <c r="AE59" s="73">
        <v>356.7</v>
      </c>
      <c r="AF59" s="73">
        <v>326</v>
      </c>
      <c r="AG59" s="85"/>
      <c r="AH59" s="54">
        <f t="shared" si="2"/>
        <v>380</v>
      </c>
      <c r="AI59" s="55">
        <f t="shared" si="3"/>
        <v>23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0</v>
      </c>
      <c r="E60" s="58">
        <v>0</v>
      </c>
      <c r="F60" s="58">
        <v>45.9</v>
      </c>
      <c r="G60" s="58">
        <v>44.2</v>
      </c>
      <c r="H60" s="58">
        <v>51.1</v>
      </c>
      <c r="I60" s="58">
        <v>51</v>
      </c>
      <c r="J60" s="58">
        <v>50.1</v>
      </c>
      <c r="K60" s="58">
        <v>50.6</v>
      </c>
      <c r="L60" s="58">
        <v>48.7</v>
      </c>
      <c r="M60" s="73">
        <v>57.3</v>
      </c>
      <c r="N60" s="73">
        <v>50</v>
      </c>
      <c r="O60" s="73"/>
      <c r="P60" s="73">
        <v>51</v>
      </c>
      <c r="Q60" s="73">
        <v>35.299999999999997</v>
      </c>
      <c r="R60" s="73">
        <v>36</v>
      </c>
      <c r="S60" s="73">
        <v>48</v>
      </c>
      <c r="T60" s="73">
        <v>58</v>
      </c>
      <c r="U60" s="73">
        <v>59</v>
      </c>
      <c r="V60" s="73">
        <v>53</v>
      </c>
      <c r="W60" s="73">
        <v>53</v>
      </c>
      <c r="X60" s="73">
        <v>50</v>
      </c>
      <c r="Y60" s="73">
        <v>53</v>
      </c>
      <c r="Z60" s="73">
        <v>45</v>
      </c>
      <c r="AA60" s="73">
        <v>55</v>
      </c>
      <c r="AB60" s="73">
        <v>52.2</v>
      </c>
      <c r="AC60" s="73">
        <v>54.6</v>
      </c>
      <c r="AD60" s="73">
        <v>47.6</v>
      </c>
      <c r="AE60" s="73">
        <v>49.4</v>
      </c>
      <c r="AF60" s="58">
        <v>49.6</v>
      </c>
      <c r="AG60" s="85"/>
      <c r="AH60" s="54">
        <f t="shared" si="2"/>
        <v>59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8">
        <v>0</v>
      </c>
      <c r="G61" s="58">
        <v>0</v>
      </c>
      <c r="H61" s="58">
        <v>0</v>
      </c>
      <c r="I61" s="58">
        <v>73</v>
      </c>
      <c r="J61" s="58">
        <v>82.2</v>
      </c>
      <c r="K61" s="58">
        <v>74.599999999999994</v>
      </c>
      <c r="L61" s="58">
        <v>81.7</v>
      </c>
      <c r="M61" s="50">
        <v>76.7</v>
      </c>
      <c r="N61" s="50">
        <v>84.4</v>
      </c>
      <c r="O61" s="50"/>
      <c r="P61" s="50">
        <v>84.9</v>
      </c>
      <c r="Q61" s="50">
        <v>0</v>
      </c>
      <c r="R61" s="50">
        <v>85.5</v>
      </c>
      <c r="S61" s="50">
        <v>88.5</v>
      </c>
      <c r="T61" s="50">
        <v>88</v>
      </c>
      <c r="U61" s="50">
        <v>82</v>
      </c>
      <c r="V61" s="50">
        <v>84</v>
      </c>
      <c r="W61" s="50">
        <v>76</v>
      </c>
      <c r="X61" s="50">
        <v>83</v>
      </c>
      <c r="Y61" s="50">
        <v>87</v>
      </c>
      <c r="Z61" s="50">
        <v>79</v>
      </c>
      <c r="AA61" s="50">
        <v>64</v>
      </c>
      <c r="AB61" s="50">
        <v>78.3</v>
      </c>
      <c r="AC61" s="50">
        <v>82.4</v>
      </c>
      <c r="AD61" s="50">
        <v>82.7</v>
      </c>
      <c r="AE61" s="50">
        <v>74.599999999999994</v>
      </c>
      <c r="AF61" s="50">
        <v>80.3</v>
      </c>
      <c r="AG61" s="85"/>
      <c r="AH61" s="54">
        <f t="shared" si="2"/>
        <v>88.5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60">
        <v>0</v>
      </c>
      <c r="O62" s="60"/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</v>
      </c>
      <c r="O63" s="60"/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/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/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/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/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445</v>
      </c>
      <c r="C68" s="72">
        <f>SUM(C57:C67)</f>
        <v>450</v>
      </c>
      <c r="D68" s="72">
        <f t="shared" ref="D68:AF68" si="8">SUM(D57:D67)</f>
        <v>404</v>
      </c>
      <c r="E68" s="72">
        <f t="shared" si="8"/>
        <v>435.7</v>
      </c>
      <c r="F68" s="72">
        <f t="shared" si="8"/>
        <v>451.7</v>
      </c>
      <c r="G68" s="72">
        <f t="shared" si="8"/>
        <v>474</v>
      </c>
      <c r="H68" s="72">
        <f t="shared" si="8"/>
        <v>497</v>
      </c>
      <c r="I68" s="72">
        <f t="shared" si="8"/>
        <v>351.51</v>
      </c>
      <c r="J68" s="72">
        <f t="shared" si="8"/>
        <v>289.3</v>
      </c>
      <c r="K68" s="72">
        <f t="shared" si="8"/>
        <v>321.29999999999995</v>
      </c>
      <c r="L68" s="72">
        <f t="shared" si="8"/>
        <v>312.7</v>
      </c>
      <c r="M68" s="72">
        <f t="shared" si="8"/>
        <v>337.7</v>
      </c>
      <c r="N68" s="72">
        <f t="shared" si="8"/>
        <v>655.4</v>
      </c>
      <c r="O68" s="72">
        <f t="shared" si="8"/>
        <v>0</v>
      </c>
      <c r="P68" s="72">
        <f t="shared" si="8"/>
        <v>621</v>
      </c>
      <c r="Q68" s="72">
        <f t="shared" si="8"/>
        <v>519.19999999999993</v>
      </c>
      <c r="R68" s="72">
        <f t="shared" si="8"/>
        <v>610</v>
      </c>
      <c r="S68" s="72">
        <f t="shared" si="8"/>
        <v>627.5</v>
      </c>
      <c r="T68" s="72">
        <f t="shared" si="8"/>
        <v>630</v>
      </c>
      <c r="U68" s="72">
        <f t="shared" si="8"/>
        <v>620.5</v>
      </c>
      <c r="V68" s="72">
        <f t="shared" si="8"/>
        <v>489</v>
      </c>
      <c r="W68" s="72">
        <f t="shared" si="8"/>
        <v>475</v>
      </c>
      <c r="X68" s="72">
        <f t="shared" si="8"/>
        <v>348</v>
      </c>
      <c r="Y68" s="72">
        <f t="shared" si="8"/>
        <v>337.6</v>
      </c>
      <c r="Z68" s="72">
        <f t="shared" si="8"/>
        <v>339</v>
      </c>
      <c r="AA68" s="72">
        <f t="shared" si="8"/>
        <v>320</v>
      </c>
      <c r="AB68" s="72">
        <f t="shared" si="8"/>
        <v>308.90000000000003</v>
      </c>
      <c r="AC68" s="72">
        <f t="shared" si="8"/>
        <v>289.5</v>
      </c>
      <c r="AD68" s="72">
        <f t="shared" si="8"/>
        <v>413.50000000000006</v>
      </c>
      <c r="AE68" s="72">
        <f t="shared" si="8"/>
        <v>551.14</v>
      </c>
      <c r="AF68" s="72">
        <f t="shared" si="8"/>
        <v>524.6</v>
      </c>
      <c r="AG68" s="78">
        <f>SUM(AG57:AG67)</f>
        <v>0</v>
      </c>
      <c r="AH68" s="54">
        <f t="shared" si="2"/>
        <v>655.4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970.64</v>
      </c>
      <c r="C73" s="89">
        <f>C68+C56+C52+C38+C72</f>
        <v>977.34</v>
      </c>
      <c r="D73" s="89">
        <f t="shared" ref="D73:AG73" si="10">D68+D56+D52+D38+D72</f>
        <v>923.64</v>
      </c>
      <c r="E73" s="89">
        <f t="shared" si="10"/>
        <v>957.04000000000008</v>
      </c>
      <c r="F73" s="89">
        <f t="shared" si="10"/>
        <v>969.04000000000008</v>
      </c>
      <c r="G73" s="89">
        <f t="shared" si="10"/>
        <v>1006.14</v>
      </c>
      <c r="H73" s="89">
        <f t="shared" si="10"/>
        <v>1096.74</v>
      </c>
      <c r="I73" s="89">
        <f t="shared" si="10"/>
        <v>1171.6499999999999</v>
      </c>
      <c r="J73" s="89">
        <f t="shared" si="10"/>
        <v>1250.6399999999999</v>
      </c>
      <c r="K73" s="89">
        <f t="shared" si="10"/>
        <v>1366.1399999999999</v>
      </c>
      <c r="L73" s="89">
        <f t="shared" si="10"/>
        <v>1434.5400000000002</v>
      </c>
      <c r="M73" s="89">
        <f t="shared" si="10"/>
        <v>1404.44</v>
      </c>
      <c r="N73" s="89">
        <f t="shared" si="10"/>
        <v>1343.24</v>
      </c>
      <c r="O73" s="89">
        <f t="shared" si="10"/>
        <v>3.54</v>
      </c>
      <c r="P73" s="89">
        <f t="shared" si="10"/>
        <v>1322.24</v>
      </c>
      <c r="Q73" s="89">
        <f t="shared" si="10"/>
        <v>1153.6399999999999</v>
      </c>
      <c r="R73" s="89">
        <f t="shared" si="10"/>
        <v>1218.1400000000001</v>
      </c>
      <c r="S73" s="89">
        <f t="shared" si="10"/>
        <v>1264.54</v>
      </c>
      <c r="T73" s="89">
        <f t="shared" si="10"/>
        <v>1265.24</v>
      </c>
      <c r="U73" s="89">
        <f t="shared" si="10"/>
        <v>1291.04</v>
      </c>
      <c r="V73" s="89">
        <f t="shared" si="10"/>
        <v>1266.6399999999999</v>
      </c>
      <c r="W73" s="89">
        <f t="shared" si="10"/>
        <v>1289.94</v>
      </c>
      <c r="X73" s="89">
        <f t="shared" si="10"/>
        <v>1342.14</v>
      </c>
      <c r="Y73" s="89">
        <f t="shared" si="10"/>
        <v>1500.24</v>
      </c>
      <c r="Z73" s="89">
        <f t="shared" si="10"/>
        <v>1535.94</v>
      </c>
      <c r="AA73" s="89">
        <f t="shared" si="10"/>
        <v>1465.94</v>
      </c>
      <c r="AB73" s="89">
        <f t="shared" si="10"/>
        <v>1385.3400000000001</v>
      </c>
      <c r="AC73" s="89">
        <f t="shared" si="10"/>
        <v>1325.3400000000001</v>
      </c>
      <c r="AD73" s="89">
        <f t="shared" si="10"/>
        <v>1222.1400000000001</v>
      </c>
      <c r="AE73" s="89">
        <f t="shared" si="10"/>
        <v>1081.98</v>
      </c>
      <c r="AF73" s="89">
        <f t="shared" si="10"/>
        <v>1044.04</v>
      </c>
      <c r="AG73" s="89">
        <f t="shared" si="10"/>
        <v>2144.14</v>
      </c>
      <c r="AH73" s="54">
        <f t="shared" si="2"/>
        <v>1535.94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60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60</v>
      </c>
      <c r="AI74" s="55">
        <f t="shared" si="3"/>
        <v>60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B73+B74</f>
        <v>970.64</v>
      </c>
      <c r="C75" s="89">
        <f>C73+C74</f>
        <v>977.34</v>
      </c>
      <c r="D75" s="89">
        <f t="shared" ref="D75:AF75" si="11">D72+D68+D56+D52+D38+D74</f>
        <v>923.64</v>
      </c>
      <c r="E75" s="89">
        <f t="shared" si="11"/>
        <v>957.04000000000008</v>
      </c>
      <c r="F75" s="89">
        <f t="shared" si="11"/>
        <v>969.04000000000008</v>
      </c>
      <c r="G75" s="89">
        <f t="shared" si="11"/>
        <v>1006.14</v>
      </c>
      <c r="H75" s="89">
        <f t="shared" si="11"/>
        <v>1096.74</v>
      </c>
      <c r="I75" s="89">
        <f t="shared" si="11"/>
        <v>1171.6499999999999</v>
      </c>
      <c r="J75" s="89">
        <f t="shared" si="11"/>
        <v>1250.6399999999999</v>
      </c>
      <c r="K75" s="89">
        <f t="shared" si="11"/>
        <v>1366.1399999999999</v>
      </c>
      <c r="L75" s="89">
        <f t="shared" si="11"/>
        <v>1434.5400000000002</v>
      </c>
      <c r="M75" s="89">
        <f t="shared" si="11"/>
        <v>1404.44</v>
      </c>
      <c r="N75" s="89">
        <f t="shared" si="11"/>
        <v>1343.24</v>
      </c>
      <c r="O75" s="89">
        <f t="shared" si="11"/>
        <v>3.54</v>
      </c>
      <c r="P75" s="89">
        <f t="shared" si="11"/>
        <v>1322.24</v>
      </c>
      <c r="Q75" s="89">
        <f t="shared" si="11"/>
        <v>1213.6399999999999</v>
      </c>
      <c r="R75" s="89">
        <f t="shared" si="11"/>
        <v>1218.1400000000001</v>
      </c>
      <c r="S75" s="89">
        <f t="shared" si="11"/>
        <v>1264.54</v>
      </c>
      <c r="T75" s="89">
        <f t="shared" si="11"/>
        <v>1265.24</v>
      </c>
      <c r="U75" s="89">
        <f t="shared" si="11"/>
        <v>1291.04</v>
      </c>
      <c r="V75" s="89">
        <f t="shared" si="11"/>
        <v>1266.6399999999999</v>
      </c>
      <c r="W75" s="89">
        <f t="shared" si="11"/>
        <v>1289.94</v>
      </c>
      <c r="X75" s="89">
        <f t="shared" si="11"/>
        <v>1342.14</v>
      </c>
      <c r="Y75" s="89">
        <f t="shared" si="11"/>
        <v>1500.24</v>
      </c>
      <c r="Z75" s="89">
        <f t="shared" si="11"/>
        <v>1535.94</v>
      </c>
      <c r="AA75" s="89">
        <f t="shared" si="11"/>
        <v>1465.94</v>
      </c>
      <c r="AB75" s="89">
        <f t="shared" si="11"/>
        <v>1385.3400000000001</v>
      </c>
      <c r="AC75" s="89">
        <f t="shared" si="11"/>
        <v>1325.3400000000001</v>
      </c>
      <c r="AD75" s="89">
        <f t="shared" si="11"/>
        <v>1222.1400000000001</v>
      </c>
      <c r="AE75" s="89">
        <f t="shared" si="11"/>
        <v>1081.98</v>
      </c>
      <c r="AF75" s="89">
        <f t="shared" si="11"/>
        <v>1044.04</v>
      </c>
      <c r="AG75" s="78">
        <f>AG72+AG68+AG56+AG52+AG38+AG74</f>
        <v>2144.14</v>
      </c>
      <c r="AH75" s="54">
        <f t="shared" si="2"/>
        <v>1535.94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:AG83" si="20">SUM(B70:B82)</f>
        <v>1941.28</v>
      </c>
      <c r="C83" s="72">
        <f t="shared" si="20"/>
        <v>1954.68</v>
      </c>
      <c r="D83" s="72">
        <f t="shared" si="20"/>
        <v>1847.28</v>
      </c>
      <c r="E83" s="72">
        <f t="shared" si="20"/>
        <v>1914.0800000000002</v>
      </c>
      <c r="F83" s="72">
        <f t="shared" si="20"/>
        <v>1938.0800000000002</v>
      </c>
      <c r="G83" s="72">
        <f t="shared" si="20"/>
        <v>2012.28</v>
      </c>
      <c r="H83" s="72">
        <f t="shared" si="20"/>
        <v>2193.48</v>
      </c>
      <c r="I83" s="72">
        <f t="shared" si="20"/>
        <v>2343.2999999999997</v>
      </c>
      <c r="J83" s="72">
        <f t="shared" si="20"/>
        <v>2501.2799999999997</v>
      </c>
      <c r="K83" s="72">
        <f t="shared" si="20"/>
        <v>2732.2799999999997</v>
      </c>
      <c r="L83" s="72">
        <f t="shared" si="20"/>
        <v>2869.0800000000004</v>
      </c>
      <c r="M83" s="72">
        <f t="shared" si="20"/>
        <v>2808.88</v>
      </c>
      <c r="N83" s="72">
        <f t="shared" si="20"/>
        <v>2686.48</v>
      </c>
      <c r="O83" s="72">
        <f t="shared" si="20"/>
        <v>7.08</v>
      </c>
      <c r="P83" s="72">
        <f t="shared" si="20"/>
        <v>2644.48</v>
      </c>
      <c r="Q83" s="72">
        <f t="shared" si="20"/>
        <v>2427.2799999999997</v>
      </c>
      <c r="R83" s="72">
        <f t="shared" si="20"/>
        <v>2436.2800000000002</v>
      </c>
      <c r="S83" s="72">
        <f t="shared" si="20"/>
        <v>2529.08</v>
      </c>
      <c r="T83" s="72">
        <f t="shared" si="20"/>
        <v>2530.48</v>
      </c>
      <c r="U83" s="72">
        <f t="shared" si="20"/>
        <v>2582.08</v>
      </c>
      <c r="V83" s="72">
        <f t="shared" si="20"/>
        <v>2533.2799999999997</v>
      </c>
      <c r="W83" s="72">
        <f t="shared" si="20"/>
        <v>2579.88</v>
      </c>
      <c r="X83" s="72">
        <f t="shared" si="20"/>
        <v>2684.28</v>
      </c>
      <c r="Y83" s="72">
        <f t="shared" si="20"/>
        <v>3000.48</v>
      </c>
      <c r="Z83" s="72">
        <f t="shared" si="20"/>
        <v>3071.88</v>
      </c>
      <c r="AA83" s="72">
        <f t="shared" si="20"/>
        <v>2931.88</v>
      </c>
      <c r="AB83" s="72">
        <f t="shared" si="20"/>
        <v>2770.6800000000003</v>
      </c>
      <c r="AC83" s="72">
        <f t="shared" si="20"/>
        <v>2650.6800000000003</v>
      </c>
      <c r="AD83" s="72">
        <f t="shared" si="20"/>
        <v>2444.2800000000002</v>
      </c>
      <c r="AE83" s="72">
        <f t="shared" si="20"/>
        <v>2163.96</v>
      </c>
      <c r="AF83" s="72">
        <f t="shared" si="20"/>
        <v>2088.08</v>
      </c>
      <c r="AG83" s="78">
        <f t="shared" si="20"/>
        <v>4360.08</v>
      </c>
      <c r="AH83" s="54">
        <f t="shared" si="13"/>
        <v>3071.88</v>
      </c>
      <c r="AI83" s="55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49.96</v>
      </c>
      <c r="C84" s="95">
        <v>50.02</v>
      </c>
      <c r="D84" s="95">
        <v>50.05</v>
      </c>
      <c r="E84" s="96">
        <v>50.018000000000001</v>
      </c>
      <c r="F84" s="96">
        <v>50.000999999999998</v>
      </c>
      <c r="G84" s="96">
        <v>50.009</v>
      </c>
      <c r="H84" s="96">
        <v>49.997999999999998</v>
      </c>
      <c r="I84" s="96">
        <v>49.963000000000001</v>
      </c>
      <c r="J84" s="96">
        <v>50.02</v>
      </c>
      <c r="K84" s="96">
        <v>49.819000000000003</v>
      </c>
      <c r="L84" s="96">
        <v>49.819000000000003</v>
      </c>
      <c r="M84" s="96">
        <v>50.067</v>
      </c>
      <c r="N84" s="96">
        <v>49.889000000000003</v>
      </c>
      <c r="O84" s="96"/>
      <c r="P84" s="96">
        <v>50.082000000000001</v>
      </c>
      <c r="Q84" s="96">
        <v>49.972999999999999</v>
      </c>
      <c r="R84" s="96">
        <v>50.048000000000002</v>
      </c>
      <c r="S84" s="96">
        <v>50.01</v>
      </c>
      <c r="T84" s="96">
        <v>49.95</v>
      </c>
      <c r="U84" s="96">
        <v>49.923000000000002</v>
      </c>
      <c r="V84" s="96">
        <v>50.07</v>
      </c>
      <c r="W84" s="96">
        <v>50</v>
      </c>
      <c r="X84" s="96">
        <v>49.98</v>
      </c>
      <c r="Y84" s="96">
        <v>49.96</v>
      </c>
      <c r="Z84" s="96">
        <v>49.8</v>
      </c>
      <c r="AA84" s="96">
        <v>49.98</v>
      </c>
      <c r="AB84" s="96">
        <v>50.024000000000001</v>
      </c>
      <c r="AC84" s="96">
        <v>50.073</v>
      </c>
      <c r="AD84" s="96">
        <v>50.064999999999998</v>
      </c>
      <c r="AE84" s="96">
        <v>50.08</v>
      </c>
      <c r="AF84" s="96">
        <v>49.911999999999999</v>
      </c>
      <c r="AG84" s="97"/>
      <c r="AH84" s="54">
        <f t="shared" si="13"/>
        <v>50.082000000000001</v>
      </c>
      <c r="AI84" s="55">
        <f t="shared" si="14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123.9</v>
      </c>
      <c r="C85" s="99">
        <v>123.3</v>
      </c>
      <c r="D85" s="99">
        <v>126</v>
      </c>
      <c r="E85" s="73">
        <v>124</v>
      </c>
      <c r="F85" s="73">
        <v>125.6</v>
      </c>
      <c r="G85" s="73">
        <v>123.8</v>
      </c>
      <c r="H85" s="73">
        <v>122.5</v>
      </c>
      <c r="I85" s="73">
        <v>126.8</v>
      </c>
      <c r="J85" s="73">
        <v>127.5</v>
      </c>
      <c r="K85" s="73">
        <v>126.3</v>
      </c>
      <c r="L85" s="73">
        <v>126.3</v>
      </c>
      <c r="M85" s="73">
        <v>126.1</v>
      </c>
      <c r="N85" s="73">
        <v>122.2</v>
      </c>
      <c r="O85" s="73"/>
      <c r="P85" s="73">
        <v>123</v>
      </c>
      <c r="Q85" s="73">
        <v>123.8</v>
      </c>
      <c r="R85" s="73">
        <v>124.2</v>
      </c>
      <c r="S85" s="73">
        <v>124</v>
      </c>
      <c r="T85" s="73">
        <v>124</v>
      </c>
      <c r="U85" s="100">
        <v>124</v>
      </c>
      <c r="V85" s="100">
        <v>127</v>
      </c>
      <c r="W85" s="100">
        <v>128</v>
      </c>
      <c r="X85" s="100">
        <v>128</v>
      </c>
      <c r="Y85" s="100">
        <v>126</v>
      </c>
      <c r="Z85" s="100">
        <v>125</v>
      </c>
      <c r="AA85" s="100">
        <v>127</v>
      </c>
      <c r="AB85" s="73">
        <v>128.1</v>
      </c>
      <c r="AC85" s="73">
        <v>129.4</v>
      </c>
      <c r="AD85" s="73">
        <v>129.6</v>
      </c>
      <c r="AE85" s="73">
        <v>128.30000000000001</v>
      </c>
      <c r="AF85" s="73">
        <v>128.1</v>
      </c>
      <c r="AG85" s="101"/>
      <c r="AH85" s="54">
        <f t="shared" si="13"/>
        <v>129.6</v>
      </c>
      <c r="AI85" s="55">
        <f t="shared" si="14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128.69999999999999</v>
      </c>
      <c r="C86" s="99">
        <v>128.5</v>
      </c>
      <c r="D86" s="99">
        <v>130.5</v>
      </c>
      <c r="E86" s="73">
        <v>129.19999999999999</v>
      </c>
      <c r="F86" s="73">
        <v>130.5</v>
      </c>
      <c r="G86" s="73">
        <v>129</v>
      </c>
      <c r="H86" s="73">
        <v>127.7</v>
      </c>
      <c r="I86" s="73">
        <v>130</v>
      </c>
      <c r="J86" s="73">
        <v>130.1</v>
      </c>
      <c r="K86" s="73">
        <v>129.19999999999999</v>
      </c>
      <c r="L86" s="73">
        <v>129.19999999999999</v>
      </c>
      <c r="M86" s="73">
        <v>128.80000000000001</v>
      </c>
      <c r="N86" s="73">
        <v>125.7</v>
      </c>
      <c r="O86" s="73"/>
      <c r="P86" s="73">
        <v>127.3</v>
      </c>
      <c r="Q86" s="73">
        <v>127.2</v>
      </c>
      <c r="R86" s="73">
        <v>126.8</v>
      </c>
      <c r="S86" s="73">
        <v>126.5</v>
      </c>
      <c r="T86" s="73">
        <v>126.6</v>
      </c>
      <c r="U86" s="100">
        <v>127</v>
      </c>
      <c r="V86" s="100">
        <v>130</v>
      </c>
      <c r="W86" s="100">
        <v>130</v>
      </c>
      <c r="X86" s="100">
        <v>130</v>
      </c>
      <c r="Y86" s="100">
        <v>129</v>
      </c>
      <c r="Z86" s="100">
        <v>127.8</v>
      </c>
      <c r="AA86" s="100">
        <v>130</v>
      </c>
      <c r="AB86" s="73">
        <v>131.1</v>
      </c>
      <c r="AC86" s="73">
        <v>131.9</v>
      </c>
      <c r="AD86" s="73">
        <v>132.30000000000001</v>
      </c>
      <c r="AE86" s="73">
        <v>131.69999999999999</v>
      </c>
      <c r="AF86" s="73">
        <v>132.1</v>
      </c>
      <c r="AG86" s="101"/>
      <c r="AH86" s="54">
        <f t="shared" si="13"/>
        <v>132.30000000000001</v>
      </c>
      <c r="AI86" s="55">
        <f t="shared" si="14"/>
        <v>125.7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130.30000000000001</v>
      </c>
      <c r="C87" s="99">
        <v>130.4</v>
      </c>
      <c r="D87" s="99">
        <v>133.4</v>
      </c>
      <c r="E87" s="73">
        <v>132.1</v>
      </c>
      <c r="F87" s="73">
        <v>130</v>
      </c>
      <c r="G87" s="73">
        <v>128.5</v>
      </c>
      <c r="H87" s="73">
        <v>128.4</v>
      </c>
      <c r="I87" s="73">
        <v>133.30000000000001</v>
      </c>
      <c r="J87" s="73">
        <v>130.1</v>
      </c>
      <c r="K87" s="73">
        <v>129</v>
      </c>
      <c r="L87" s="73">
        <v>129</v>
      </c>
      <c r="M87" s="73">
        <v>127.7</v>
      </c>
      <c r="N87" s="73">
        <v>129.4</v>
      </c>
      <c r="O87" s="73"/>
      <c r="P87" s="73">
        <v>132.1</v>
      </c>
      <c r="Q87" s="73">
        <v>131.80000000000001</v>
      </c>
      <c r="R87" s="73">
        <v>131.69999999999999</v>
      </c>
      <c r="S87" s="73">
        <v>130</v>
      </c>
      <c r="T87" s="73">
        <v>131</v>
      </c>
      <c r="U87" s="73">
        <v>130.6</v>
      </c>
      <c r="V87" s="73">
        <v>130</v>
      </c>
      <c r="W87" s="73">
        <v>129</v>
      </c>
      <c r="X87" s="73">
        <v>129</v>
      </c>
      <c r="Y87" s="100">
        <v>127</v>
      </c>
      <c r="Z87" s="100">
        <v>129</v>
      </c>
      <c r="AA87" s="100">
        <v>130</v>
      </c>
      <c r="AB87" s="73">
        <v>130.5</v>
      </c>
      <c r="AC87" s="73">
        <v>131.80000000000001</v>
      </c>
      <c r="AD87" s="73">
        <v>132.9</v>
      </c>
      <c r="AE87" s="73">
        <v>129.4</v>
      </c>
      <c r="AF87" s="73">
        <v>129.5</v>
      </c>
      <c r="AG87" s="101"/>
      <c r="AH87" s="54">
        <f t="shared" si="13"/>
        <v>133.4</v>
      </c>
      <c r="AI87" s="55">
        <f t="shared" si="14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132.6</v>
      </c>
      <c r="C88" s="99">
        <v>132.69999999999999</v>
      </c>
      <c r="D88" s="99">
        <v>135.30000000000001</v>
      </c>
      <c r="E88" s="73">
        <v>135</v>
      </c>
      <c r="F88" s="73">
        <v>133.1</v>
      </c>
      <c r="G88" s="73">
        <v>131.69999999999999</v>
      </c>
      <c r="H88" s="73">
        <v>132.80000000000001</v>
      </c>
      <c r="I88" s="73">
        <v>136.19999999999999</v>
      </c>
      <c r="J88" s="73">
        <v>131.6</v>
      </c>
      <c r="K88" s="73">
        <v>131.5</v>
      </c>
      <c r="L88" s="73">
        <v>131.5</v>
      </c>
      <c r="M88" s="73">
        <v>127.6</v>
      </c>
      <c r="N88" s="73">
        <v>127.5</v>
      </c>
      <c r="O88" s="73"/>
      <c r="P88" s="73">
        <v>125.2</v>
      </c>
      <c r="Q88" s="73">
        <v>127.9</v>
      </c>
      <c r="R88" s="73">
        <v>129.4</v>
      </c>
      <c r="S88" s="73">
        <v>129</v>
      </c>
      <c r="T88" s="73">
        <v>128</v>
      </c>
      <c r="U88" s="73">
        <v>127</v>
      </c>
      <c r="V88" s="73">
        <v>132</v>
      </c>
      <c r="W88" s="73">
        <v>131.6</v>
      </c>
      <c r="X88" s="73">
        <v>131.6</v>
      </c>
      <c r="Y88" s="100">
        <v>128</v>
      </c>
      <c r="Z88" s="100">
        <v>130.6</v>
      </c>
      <c r="AA88" s="100">
        <v>133</v>
      </c>
      <c r="AB88" s="73">
        <v>132.4</v>
      </c>
      <c r="AC88" s="73">
        <v>134</v>
      </c>
      <c r="AD88" s="73">
        <v>135.30000000000001</v>
      </c>
      <c r="AE88" s="73">
        <v>133.30000000000001</v>
      </c>
      <c r="AF88" s="73">
        <v>133.30000000000001</v>
      </c>
      <c r="AG88" s="101"/>
      <c r="AH88" s="54">
        <f t="shared" si="13"/>
        <v>136.19999999999999</v>
      </c>
      <c r="AI88" s="55">
        <f t="shared" si="14"/>
        <v>125.2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127.1</v>
      </c>
      <c r="C89" s="103">
        <v>126.3</v>
      </c>
      <c r="D89" s="103">
        <v>131.4</v>
      </c>
      <c r="E89" s="104">
        <v>128</v>
      </c>
      <c r="F89" s="104">
        <v>132.9</v>
      </c>
      <c r="G89" s="104">
        <v>127.8</v>
      </c>
      <c r="H89" s="104">
        <v>131.1</v>
      </c>
      <c r="I89" s="104">
        <v>132.69999999999999</v>
      </c>
      <c r="J89" s="104">
        <v>136</v>
      </c>
      <c r="K89" s="104">
        <v>133.30000000000001</v>
      </c>
      <c r="L89" s="104">
        <v>133.30000000000001</v>
      </c>
      <c r="M89" s="104">
        <v>132.19999999999999</v>
      </c>
      <c r="N89" s="104">
        <v>130.80000000000001</v>
      </c>
      <c r="O89" s="104"/>
      <c r="P89" s="104">
        <v>129.80000000000001</v>
      </c>
      <c r="Q89" s="104">
        <v>132.80000000000001</v>
      </c>
      <c r="R89" s="104">
        <v>133.30000000000001</v>
      </c>
      <c r="S89" s="104">
        <v>132</v>
      </c>
      <c r="T89" s="104">
        <v>133.80000000000001</v>
      </c>
      <c r="U89" s="104">
        <v>132.5</v>
      </c>
      <c r="V89" s="104">
        <v>133.69999999999999</v>
      </c>
      <c r="W89" s="104">
        <v>136</v>
      </c>
      <c r="X89" s="104">
        <v>136</v>
      </c>
      <c r="Y89" s="100">
        <v>133</v>
      </c>
      <c r="Z89" s="100">
        <v>132.6</v>
      </c>
      <c r="AA89" s="100">
        <v>134</v>
      </c>
      <c r="AB89" s="104">
        <v>135.1</v>
      </c>
      <c r="AC89" s="104">
        <v>137.1</v>
      </c>
      <c r="AD89" s="104">
        <v>135</v>
      </c>
      <c r="AE89" s="104">
        <v>132.6</v>
      </c>
      <c r="AF89" s="104">
        <v>130.6</v>
      </c>
      <c r="AG89" s="105"/>
      <c r="AH89" s="54">
        <f t="shared" si="13"/>
        <v>137.1</v>
      </c>
      <c r="AI89" s="55">
        <f t="shared" si="14"/>
        <v>126.3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137.6</v>
      </c>
      <c r="C90" s="99">
        <v>137.30000000000001</v>
      </c>
      <c r="D90" s="99">
        <v>136</v>
      </c>
      <c r="E90" s="73">
        <v>136.80000000000001</v>
      </c>
      <c r="F90" s="73">
        <v>137.6</v>
      </c>
      <c r="G90" s="73">
        <v>137</v>
      </c>
      <c r="H90" s="73">
        <v>136</v>
      </c>
      <c r="I90" s="73">
        <v>132.6</v>
      </c>
      <c r="J90" s="73">
        <v>131.5</v>
      </c>
      <c r="K90" s="73">
        <v>130.6</v>
      </c>
      <c r="L90" s="73">
        <v>130.6</v>
      </c>
      <c r="M90" s="73">
        <v>131</v>
      </c>
      <c r="N90" s="73">
        <v>129.4</v>
      </c>
      <c r="O90" s="73"/>
      <c r="P90" s="73">
        <v>129.1</v>
      </c>
      <c r="Q90" s="73">
        <v>132.19999999999999</v>
      </c>
      <c r="R90" s="73">
        <v>133.30000000000001</v>
      </c>
      <c r="S90" s="73">
        <v>131</v>
      </c>
      <c r="T90" s="73">
        <v>131</v>
      </c>
      <c r="U90" s="73">
        <v>133</v>
      </c>
      <c r="V90" s="73">
        <v>132.69999999999999</v>
      </c>
      <c r="W90" s="73">
        <v>133</v>
      </c>
      <c r="X90" s="73">
        <v>133</v>
      </c>
      <c r="Y90" s="100">
        <v>129.5</v>
      </c>
      <c r="Z90" s="100">
        <v>130.69999999999999</v>
      </c>
      <c r="AA90" s="100">
        <v>131</v>
      </c>
      <c r="AB90" s="73">
        <v>134.6</v>
      </c>
      <c r="AC90" s="73">
        <v>137.4</v>
      </c>
      <c r="AD90" s="73">
        <v>135.1</v>
      </c>
      <c r="AE90" s="73">
        <v>136.80000000000001</v>
      </c>
      <c r="AF90" s="73">
        <v>136.19999999999999</v>
      </c>
      <c r="AG90" s="101"/>
      <c r="AH90" s="54">
        <f t="shared" si="13"/>
        <v>137.6</v>
      </c>
      <c r="AI90" s="55">
        <f t="shared" si="14"/>
        <v>129.1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65.3</v>
      </c>
      <c r="C91" s="106">
        <v>64.900000000000006</v>
      </c>
      <c r="D91" s="106">
        <v>66.5</v>
      </c>
      <c r="E91" s="107">
        <v>65.099999999999994</v>
      </c>
      <c r="F91" s="107">
        <v>66</v>
      </c>
      <c r="G91" s="107">
        <v>65.099999999999994</v>
      </c>
      <c r="H91" s="107">
        <v>64.400000000000006</v>
      </c>
      <c r="I91" s="107">
        <v>65.8</v>
      </c>
      <c r="J91" s="107">
        <v>65.5</v>
      </c>
      <c r="K91" s="107">
        <v>65.400000000000006</v>
      </c>
      <c r="L91" s="107">
        <v>65.400000000000006</v>
      </c>
      <c r="M91" s="107">
        <v>65.5</v>
      </c>
      <c r="N91" s="107">
        <v>63.5</v>
      </c>
      <c r="O91" s="107"/>
      <c r="P91" s="107">
        <v>64.5</v>
      </c>
      <c r="Q91" s="107">
        <v>64.400000000000006</v>
      </c>
      <c r="R91" s="107">
        <v>63.5</v>
      </c>
      <c r="S91" s="107">
        <v>63.4</v>
      </c>
      <c r="T91" s="107">
        <v>63.4</v>
      </c>
      <c r="U91" s="107">
        <v>63.4</v>
      </c>
      <c r="V91" s="107">
        <v>64.900000000000006</v>
      </c>
      <c r="W91" s="107">
        <v>65.3</v>
      </c>
      <c r="X91" s="107">
        <v>65.3</v>
      </c>
      <c r="Y91" s="107">
        <v>65</v>
      </c>
      <c r="Z91" s="107">
        <v>64.5</v>
      </c>
      <c r="AA91" s="107">
        <v>65.5</v>
      </c>
      <c r="AB91" s="107">
        <v>66.099999999999994</v>
      </c>
      <c r="AC91" s="107">
        <v>66.5</v>
      </c>
      <c r="AD91" s="107">
        <v>66.5</v>
      </c>
      <c r="AE91" s="107">
        <v>66.400000000000006</v>
      </c>
      <c r="AF91" s="107">
        <v>66.599999999999994</v>
      </c>
      <c r="AG91" s="108"/>
      <c r="AH91" s="54">
        <f t="shared" si="13"/>
        <v>66.599999999999994</v>
      </c>
      <c r="AI91" s="55">
        <f t="shared" si="14"/>
        <v>63.4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4">
        <f t="shared" ref="B93:AF93" si="21">SUM(B15,B18,B21:B22,B42,B44:B45,B47,B49,B94:B97,B103,B109,B115,B124,B126,B138,B145,B148:B149,B156,B158,B160,B164:B166,B168:B170,B175,B181:B182,B184:B186,B194,B199)</f>
        <v>164.63999999999996</v>
      </c>
      <c r="C93" s="114">
        <f t="shared" si="21"/>
        <v>156.73999999999998</v>
      </c>
      <c r="D93" s="114">
        <f t="shared" si="21"/>
        <v>155.53999999999996</v>
      </c>
      <c r="E93" s="114">
        <f t="shared" si="21"/>
        <v>155.04</v>
      </c>
      <c r="F93" s="114">
        <f t="shared" si="21"/>
        <v>157.93999999999997</v>
      </c>
      <c r="G93" s="113">
        <f t="shared" si="21"/>
        <v>174.04</v>
      </c>
      <c r="H93" s="113">
        <f t="shared" si="21"/>
        <v>208.14</v>
      </c>
      <c r="I93" s="113">
        <f t="shared" si="21"/>
        <v>238.73999999999998</v>
      </c>
      <c r="J93" s="113">
        <f t="shared" si="21"/>
        <v>281.64000000000004</v>
      </c>
      <c r="K93" s="113">
        <f t="shared" si="21"/>
        <v>325.04000000000008</v>
      </c>
      <c r="L93" s="113">
        <f t="shared" si="21"/>
        <v>325.04000000000008</v>
      </c>
      <c r="M93" s="113">
        <f t="shared" si="21"/>
        <v>338.04</v>
      </c>
      <c r="N93" s="113">
        <f t="shared" si="21"/>
        <v>315.14000000000004</v>
      </c>
      <c r="O93" s="113">
        <f t="shared" si="21"/>
        <v>34.840000000000003</v>
      </c>
      <c r="P93" s="113">
        <f t="shared" si="21"/>
        <v>283.04000000000002</v>
      </c>
      <c r="Q93" s="113">
        <f t="shared" si="21"/>
        <v>285.34000000000003</v>
      </c>
      <c r="R93" s="113">
        <f t="shared" si="21"/>
        <v>278.14000000000004</v>
      </c>
      <c r="S93" s="113">
        <f t="shared" si="21"/>
        <v>277.24</v>
      </c>
      <c r="T93" s="113">
        <f t="shared" si="21"/>
        <v>277.74</v>
      </c>
      <c r="U93" s="113">
        <f t="shared" si="21"/>
        <v>286.24</v>
      </c>
      <c r="V93" s="113">
        <f t="shared" si="21"/>
        <v>298.24</v>
      </c>
      <c r="W93" s="113">
        <f t="shared" si="21"/>
        <v>299.84000000000003</v>
      </c>
      <c r="X93" s="113">
        <f t="shared" si="21"/>
        <v>328.14000000000004</v>
      </c>
      <c r="Y93" s="113">
        <f t="shared" si="21"/>
        <v>376.94000000000005</v>
      </c>
      <c r="Z93" s="113">
        <f t="shared" si="21"/>
        <v>388.74</v>
      </c>
      <c r="AA93" s="113">
        <f t="shared" si="21"/>
        <v>366.74</v>
      </c>
      <c r="AB93" s="113">
        <f t="shared" si="21"/>
        <v>336.84000000000003</v>
      </c>
      <c r="AC93" s="113">
        <f t="shared" si="21"/>
        <v>309.34000000000003</v>
      </c>
      <c r="AD93" s="113">
        <f t="shared" si="21"/>
        <v>276.84000000000003</v>
      </c>
      <c r="AE93" s="113">
        <f t="shared" si="21"/>
        <v>219.03999999999996</v>
      </c>
      <c r="AF93" s="113">
        <f t="shared" si="21"/>
        <v>188.93999999999994</v>
      </c>
      <c r="AG93" s="115"/>
      <c r="AH93" s="54">
        <f>MAX(C93:AF93)</f>
        <v>388.74</v>
      </c>
      <c r="AI93" s="55">
        <f>MIN(C93:AF93)</f>
        <v>34.840000000000003</v>
      </c>
    </row>
    <row r="94" spans="1:88" x14ac:dyDescent="0.25">
      <c r="A94" s="116" t="s">
        <v>98</v>
      </c>
      <c r="B94" s="117">
        <v>-23.4</v>
      </c>
      <c r="C94" s="117">
        <v>-24</v>
      </c>
      <c r="D94" s="117">
        <v>-22.6</v>
      </c>
      <c r="E94" s="58">
        <v>-26.4</v>
      </c>
      <c r="F94" s="58">
        <v>-6.8</v>
      </c>
      <c r="G94" s="118">
        <v>-8.1</v>
      </c>
      <c r="H94" s="118">
        <v>13.6</v>
      </c>
      <c r="I94" s="118">
        <v>23.6</v>
      </c>
      <c r="J94" s="118">
        <v>39.5</v>
      </c>
      <c r="K94" s="118">
        <v>39.1</v>
      </c>
      <c r="L94" s="118">
        <v>39.1</v>
      </c>
      <c r="M94" s="119">
        <v>39</v>
      </c>
      <c r="N94" s="118">
        <v>10.6</v>
      </c>
      <c r="O94" s="118"/>
      <c r="P94" s="118">
        <v>12.5</v>
      </c>
      <c r="Q94" s="118">
        <v>11.9</v>
      </c>
      <c r="R94" s="118">
        <v>17.399999999999999</v>
      </c>
      <c r="S94" s="118">
        <v>18</v>
      </c>
      <c r="T94" s="118">
        <v>16.5</v>
      </c>
      <c r="U94" s="119">
        <v>18.5</v>
      </c>
      <c r="V94" s="119">
        <v>20.399999999999999</v>
      </c>
      <c r="W94" s="119">
        <v>37</v>
      </c>
      <c r="X94" s="118">
        <v>63</v>
      </c>
      <c r="Y94" s="118">
        <v>46</v>
      </c>
      <c r="Z94" s="118">
        <v>26</v>
      </c>
      <c r="AA94" s="118">
        <v>37</v>
      </c>
      <c r="AB94" s="119">
        <v>47.1</v>
      </c>
      <c r="AC94" s="119">
        <v>53.8</v>
      </c>
      <c r="AD94" s="119">
        <v>23.8</v>
      </c>
      <c r="AE94" s="119">
        <v>-13.7</v>
      </c>
      <c r="AF94" s="119">
        <v>-13.9</v>
      </c>
      <c r="AG94" s="120">
        <v>75</v>
      </c>
      <c r="AH94" s="54">
        <f t="shared" ref="AH94:AH100" si="22">IF(ABS(MAX(C94:AF94))&gt;ABS(MIN(C94:AF94)),MAX(C94:AF94),MIN(C94:AF94))</f>
        <v>63</v>
      </c>
      <c r="AI94" s="121">
        <f t="shared" ref="AI94:AI100" si="23">INDEX($C$9:$AF$9,1,MATCH(AH94,C94:AF94,0))</f>
        <v>0.75</v>
      </c>
    </row>
    <row r="95" spans="1:88" x14ac:dyDescent="0.25">
      <c r="A95" s="122" t="s">
        <v>99</v>
      </c>
      <c r="B95" s="123">
        <f>-21-23.6</f>
        <v>-44.6</v>
      </c>
      <c r="C95" s="123">
        <f>-21.4-24.4</f>
        <v>-45.8</v>
      </c>
      <c r="D95" s="123">
        <f>-21-23.7</f>
        <v>-44.7</v>
      </c>
      <c r="E95" s="60">
        <v>-44</v>
      </c>
      <c r="F95" s="60">
        <v>-47</v>
      </c>
      <c r="G95" s="60">
        <v>-40</v>
      </c>
      <c r="H95" s="60">
        <v>-33</v>
      </c>
      <c r="I95" s="60">
        <v>-10</v>
      </c>
      <c r="J95" s="60">
        <v>6.2</v>
      </c>
      <c r="K95" s="60">
        <v>21.3</v>
      </c>
      <c r="L95" s="60">
        <v>21.3</v>
      </c>
      <c r="M95" s="60">
        <v>23</v>
      </c>
      <c r="N95" s="60">
        <v>25</v>
      </c>
      <c r="O95" s="60"/>
      <c r="P95" s="60">
        <v>9.8000000000000007</v>
      </c>
      <c r="Q95" s="60">
        <v>9.5</v>
      </c>
      <c r="R95" s="60">
        <v>12.9</v>
      </c>
      <c r="S95" s="60">
        <v>14</v>
      </c>
      <c r="T95" s="60">
        <v>30</v>
      </c>
      <c r="U95" s="60">
        <v>31.6</v>
      </c>
      <c r="V95" s="60">
        <v>37</v>
      </c>
      <c r="W95" s="60">
        <v>18</v>
      </c>
      <c r="X95" s="60">
        <v>-2</v>
      </c>
      <c r="Y95" s="60">
        <v>45</v>
      </c>
      <c r="Z95" s="60">
        <v>68</v>
      </c>
      <c r="AA95" s="60">
        <v>47</v>
      </c>
      <c r="AB95" s="73">
        <v>25</v>
      </c>
      <c r="AC95" s="73">
        <v>6</v>
      </c>
      <c r="AD95" s="73">
        <v>16</v>
      </c>
      <c r="AE95" s="73">
        <v>-6</v>
      </c>
      <c r="AF95" s="73">
        <v>-23</v>
      </c>
      <c r="AG95" s="120">
        <v>240</v>
      </c>
      <c r="AH95" s="54">
        <f t="shared" si="22"/>
        <v>68</v>
      </c>
      <c r="AI95" s="121">
        <f t="shared" si="23"/>
        <v>0.79166666666666663</v>
      </c>
    </row>
    <row r="96" spans="1:88" x14ac:dyDescent="0.25">
      <c r="A96" s="122" t="s">
        <v>100</v>
      </c>
      <c r="B96" s="123">
        <v>-11.5</v>
      </c>
      <c r="C96" s="123">
        <v>-13.4</v>
      </c>
      <c r="D96" s="123">
        <v>-9.1999999999999993</v>
      </c>
      <c r="E96" s="60">
        <v>-14.5</v>
      </c>
      <c r="F96" s="60">
        <v>-12</v>
      </c>
      <c r="G96" s="60">
        <v>-13.9</v>
      </c>
      <c r="H96" s="60">
        <v>-11.7</v>
      </c>
      <c r="I96" s="60">
        <v>2.5</v>
      </c>
      <c r="J96" s="60">
        <v>23</v>
      </c>
      <c r="K96" s="60">
        <v>30</v>
      </c>
      <c r="L96" s="60">
        <v>30</v>
      </c>
      <c r="M96" s="60">
        <v>35.6</v>
      </c>
      <c r="N96" s="60">
        <v>19.3</v>
      </c>
      <c r="O96" s="60"/>
      <c r="P96" s="60">
        <v>13.4</v>
      </c>
      <c r="Q96" s="60">
        <v>12.8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30</v>
      </c>
      <c r="Y96" s="60">
        <v>43</v>
      </c>
      <c r="Z96" s="60">
        <v>46</v>
      </c>
      <c r="AA96" s="60">
        <v>45</v>
      </c>
      <c r="AB96" s="73">
        <v>39.5</v>
      </c>
      <c r="AC96" s="73">
        <v>37.6</v>
      </c>
      <c r="AD96" s="73">
        <v>38.6</v>
      </c>
      <c r="AE96" s="73">
        <v>-0.9</v>
      </c>
      <c r="AF96" s="73">
        <v>-3.7</v>
      </c>
      <c r="AG96" s="120">
        <v>60</v>
      </c>
      <c r="AH96" s="54">
        <f t="shared" si="22"/>
        <v>46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88.2</v>
      </c>
      <c r="C97" s="125">
        <v>84</v>
      </c>
      <c r="D97" s="125">
        <v>75.2</v>
      </c>
      <c r="E97" s="63">
        <v>83.8</v>
      </c>
      <c r="F97" s="63">
        <v>67.599999999999994</v>
      </c>
      <c r="G97" s="63">
        <v>79.900000000000006</v>
      </c>
      <c r="H97" s="63">
        <v>83.1</v>
      </c>
      <c r="I97" s="63">
        <v>66.5</v>
      </c>
      <c r="J97" s="63">
        <v>56.8</v>
      </c>
      <c r="K97" s="63">
        <v>78.5</v>
      </c>
      <c r="L97" s="63">
        <v>78.5</v>
      </c>
      <c r="M97" s="63">
        <v>84.3</v>
      </c>
      <c r="N97" s="63">
        <v>106.3</v>
      </c>
      <c r="O97" s="63"/>
      <c r="P97" s="63">
        <v>94</v>
      </c>
      <c r="Q97" s="63">
        <v>96.8</v>
      </c>
      <c r="R97" s="63">
        <v>95.7</v>
      </c>
      <c r="S97" s="63">
        <v>95</v>
      </c>
      <c r="T97" s="63">
        <v>81</v>
      </c>
      <c r="U97" s="63">
        <v>85</v>
      </c>
      <c r="V97" s="63">
        <v>90</v>
      </c>
      <c r="W97" s="63">
        <v>92</v>
      </c>
      <c r="X97" s="63">
        <v>85</v>
      </c>
      <c r="Y97" s="63">
        <v>93</v>
      </c>
      <c r="Z97" s="63">
        <v>97</v>
      </c>
      <c r="AA97" s="63">
        <v>86</v>
      </c>
      <c r="AB97" s="126">
        <v>73.400000000000006</v>
      </c>
      <c r="AC97" s="126">
        <v>58.2</v>
      </c>
      <c r="AD97" s="126">
        <v>43.9</v>
      </c>
      <c r="AE97" s="126">
        <v>84.5</v>
      </c>
      <c r="AF97" s="126">
        <v>72.3</v>
      </c>
      <c r="AG97" s="127">
        <v>120</v>
      </c>
      <c r="AH97" s="54">
        <f t="shared" si="22"/>
        <v>106.3</v>
      </c>
      <c r="AI97" s="121">
        <f t="shared" si="23"/>
        <v>0.375</v>
      </c>
    </row>
    <row r="98" spans="1:37" x14ac:dyDescent="0.25">
      <c r="A98" s="124" t="s">
        <v>102</v>
      </c>
      <c r="B98" s="125">
        <v>95.4</v>
      </c>
      <c r="C98" s="125">
        <v>96.5</v>
      </c>
      <c r="D98" s="125">
        <v>84.5</v>
      </c>
      <c r="E98" s="63">
        <v>94</v>
      </c>
      <c r="F98" s="63">
        <v>79.400000000000006</v>
      </c>
      <c r="G98" s="63">
        <v>89.1</v>
      </c>
      <c r="H98" s="63">
        <v>90.2</v>
      </c>
      <c r="I98" s="63">
        <v>53.7</v>
      </c>
      <c r="J98" s="63">
        <v>40</v>
      </c>
      <c r="K98" s="63">
        <v>52.7</v>
      </c>
      <c r="L98" s="63">
        <v>52.7</v>
      </c>
      <c r="M98" s="63">
        <v>57.5</v>
      </c>
      <c r="N98" s="63">
        <v>91.3</v>
      </c>
      <c r="O98" s="63"/>
      <c r="P98" s="63">
        <v>80.900000000000006</v>
      </c>
      <c r="Q98" s="63">
        <v>86.2</v>
      </c>
      <c r="R98" s="63">
        <v>84.8</v>
      </c>
      <c r="S98" s="63">
        <v>83</v>
      </c>
      <c r="T98" s="63">
        <v>89</v>
      </c>
      <c r="U98" s="63">
        <v>73.7</v>
      </c>
      <c r="V98" s="63">
        <v>82</v>
      </c>
      <c r="W98" s="63">
        <v>56</v>
      </c>
      <c r="X98" s="63">
        <v>18</v>
      </c>
      <c r="Y98" s="63">
        <v>73</v>
      </c>
      <c r="Z98" s="63">
        <v>103</v>
      </c>
      <c r="AA98" s="63">
        <v>73</v>
      </c>
      <c r="AB98" s="126">
        <v>47.4</v>
      </c>
      <c r="AC98" s="126">
        <v>24.2</v>
      </c>
      <c r="AD98" s="126">
        <v>42.3</v>
      </c>
      <c r="AE98" s="126">
        <v>78.400000000000006</v>
      </c>
      <c r="AF98" s="126">
        <v>69.3</v>
      </c>
      <c r="AG98" s="127"/>
      <c r="AH98" s="54">
        <f t="shared" si="22"/>
        <v>103</v>
      </c>
      <c r="AI98" s="121">
        <f t="shared" si="23"/>
        <v>0.79166666666666663</v>
      </c>
    </row>
    <row r="99" spans="1:37" x14ac:dyDescent="0.25">
      <c r="A99" s="124" t="s">
        <v>103</v>
      </c>
      <c r="B99" s="125">
        <v>80.3</v>
      </c>
      <c r="C99" s="125">
        <v>82.6</v>
      </c>
      <c r="D99" s="125">
        <v>75</v>
      </c>
      <c r="E99" s="63">
        <v>75</v>
      </c>
      <c r="F99" s="63">
        <v>45.3</v>
      </c>
      <c r="G99" s="63">
        <v>54.6</v>
      </c>
      <c r="H99" s="63">
        <v>44</v>
      </c>
      <c r="I99" s="63">
        <v>30.7</v>
      </c>
      <c r="J99" s="63">
        <v>29.4</v>
      </c>
      <c r="K99" s="63">
        <v>42</v>
      </c>
      <c r="L99" s="63">
        <v>42</v>
      </c>
      <c r="M99" s="63">
        <v>41.5</v>
      </c>
      <c r="N99" s="63">
        <v>44.6</v>
      </c>
      <c r="O99" s="63"/>
      <c r="P99" s="63">
        <v>41.1</v>
      </c>
      <c r="Q99" s="63">
        <v>43.2</v>
      </c>
      <c r="R99" s="63">
        <v>31.5</v>
      </c>
      <c r="S99" s="63">
        <v>30.5</v>
      </c>
      <c r="T99" s="63">
        <v>25</v>
      </c>
      <c r="U99" s="63">
        <v>26</v>
      </c>
      <c r="V99" s="63">
        <v>26</v>
      </c>
      <c r="W99" s="63">
        <v>8</v>
      </c>
      <c r="X99" s="63">
        <v>6.4</v>
      </c>
      <c r="Y99" s="63">
        <v>31</v>
      </c>
      <c r="Z99" s="63">
        <v>60</v>
      </c>
      <c r="AA99" s="63">
        <v>50</v>
      </c>
      <c r="AB99" s="126">
        <v>48.3</v>
      </c>
      <c r="AC99" s="126">
        <v>33.700000000000003</v>
      </c>
      <c r="AD99" s="126">
        <v>26.5</v>
      </c>
      <c r="AE99" s="126">
        <v>52.8</v>
      </c>
      <c r="AF99" s="126">
        <v>56.3</v>
      </c>
      <c r="AG99" s="128"/>
      <c r="AH99" s="54">
        <f t="shared" si="22"/>
        <v>82.6</v>
      </c>
      <c r="AI99" s="121">
        <f t="shared" si="23"/>
        <v>4.1666666666666664E-2</v>
      </c>
    </row>
    <row r="100" spans="1:37" ht="15.75" thickBot="1" x14ac:dyDescent="0.3">
      <c r="A100" s="181" t="s">
        <v>222</v>
      </c>
      <c r="B100" s="104">
        <v>68.099999999999994</v>
      </c>
      <c r="C100" s="104">
        <v>69</v>
      </c>
      <c r="D100" s="104">
        <v>63.5</v>
      </c>
      <c r="E100" s="60">
        <v>64.5</v>
      </c>
      <c r="F100" s="60">
        <v>65</v>
      </c>
      <c r="G100" s="60">
        <v>67.599999999999994</v>
      </c>
      <c r="H100" s="60">
        <v>72.2</v>
      </c>
      <c r="I100" s="60">
        <v>32.1</v>
      </c>
      <c r="J100" s="60">
        <v>33.6</v>
      </c>
      <c r="K100" s="60">
        <v>38</v>
      </c>
      <c r="L100" s="60">
        <v>38</v>
      </c>
      <c r="M100" s="60">
        <v>47.5</v>
      </c>
      <c r="N100" s="60">
        <v>51.9</v>
      </c>
      <c r="O100" s="60"/>
      <c r="P100" s="60">
        <v>69</v>
      </c>
      <c r="Q100" s="60">
        <v>63.6</v>
      </c>
      <c r="R100" s="60">
        <v>65.599999999999994</v>
      </c>
      <c r="S100" s="60">
        <v>63.4</v>
      </c>
      <c r="T100" s="60">
        <v>67</v>
      </c>
      <c r="U100" s="60">
        <v>67.900000000000006</v>
      </c>
      <c r="V100" s="60">
        <v>36</v>
      </c>
      <c r="W100" s="60">
        <v>39</v>
      </c>
      <c r="X100" s="60">
        <v>46</v>
      </c>
      <c r="Y100" s="60">
        <v>56</v>
      </c>
      <c r="Z100" s="60">
        <v>51</v>
      </c>
      <c r="AA100" s="60">
        <v>50</v>
      </c>
      <c r="AB100" s="104">
        <v>50.2</v>
      </c>
      <c r="AC100" s="104">
        <v>46.1</v>
      </c>
      <c r="AD100" s="104">
        <v>40.200000000000003</v>
      </c>
      <c r="AE100" s="104">
        <v>69.900000000000006</v>
      </c>
      <c r="AF100" s="104">
        <v>78.099999999999994</v>
      </c>
      <c r="AG100" s="128"/>
      <c r="AH100" s="54">
        <f t="shared" si="22"/>
        <v>78.099999999999994</v>
      </c>
      <c r="AI100" s="121">
        <f t="shared" si="23"/>
        <v>0.95833333333333304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24">AF102</f>
        <v>9.9</v>
      </c>
      <c r="C102" s="53">
        <v>9.9</v>
      </c>
      <c r="D102" s="134">
        <f t="shared" ref="D102:S107" si="25">C102</f>
        <v>9.9</v>
      </c>
      <c r="E102" s="134">
        <f t="shared" si="25"/>
        <v>9.9</v>
      </c>
      <c r="F102" s="134">
        <f t="shared" si="25"/>
        <v>9.9</v>
      </c>
      <c r="G102" s="134">
        <f t="shared" si="25"/>
        <v>9.9</v>
      </c>
      <c r="H102" s="134">
        <f t="shared" si="25"/>
        <v>9.9</v>
      </c>
      <c r="I102" s="134">
        <f t="shared" si="25"/>
        <v>9.9</v>
      </c>
      <c r="J102" s="134">
        <f t="shared" si="25"/>
        <v>9.9</v>
      </c>
      <c r="K102" s="134">
        <f t="shared" si="25"/>
        <v>9.9</v>
      </c>
      <c r="L102" s="134">
        <f t="shared" si="25"/>
        <v>9.9</v>
      </c>
      <c r="M102" s="134">
        <f t="shared" si="25"/>
        <v>9.9</v>
      </c>
      <c r="N102" s="134">
        <f t="shared" si="25"/>
        <v>9.9</v>
      </c>
      <c r="O102" s="134">
        <f t="shared" si="25"/>
        <v>9.9</v>
      </c>
      <c r="P102" s="134">
        <f t="shared" si="25"/>
        <v>9.9</v>
      </c>
      <c r="Q102" s="134">
        <f t="shared" si="25"/>
        <v>9.9</v>
      </c>
      <c r="R102" s="134">
        <f t="shared" si="25"/>
        <v>9.9</v>
      </c>
      <c r="S102" s="134">
        <f t="shared" si="25"/>
        <v>9.9</v>
      </c>
      <c r="T102" s="134">
        <f t="shared" ref="T102:AF107" si="26">S102</f>
        <v>9.9</v>
      </c>
      <c r="U102" s="134">
        <f t="shared" si="26"/>
        <v>9.9</v>
      </c>
      <c r="V102" s="134">
        <f t="shared" si="26"/>
        <v>9.9</v>
      </c>
      <c r="W102" s="134">
        <f t="shared" si="26"/>
        <v>9.9</v>
      </c>
      <c r="X102" s="134">
        <f t="shared" si="26"/>
        <v>9.9</v>
      </c>
      <c r="Y102" s="134">
        <f t="shared" si="26"/>
        <v>9.9</v>
      </c>
      <c r="Z102" s="134">
        <f t="shared" si="26"/>
        <v>9.9</v>
      </c>
      <c r="AA102" s="134">
        <f t="shared" si="26"/>
        <v>9.9</v>
      </c>
      <c r="AB102" s="134">
        <f t="shared" si="26"/>
        <v>9.9</v>
      </c>
      <c r="AC102" s="134">
        <f t="shared" si="26"/>
        <v>9.9</v>
      </c>
      <c r="AD102" s="134">
        <f t="shared" si="26"/>
        <v>9.9</v>
      </c>
      <c r="AE102" s="134">
        <f t="shared" si="26"/>
        <v>9.9</v>
      </c>
      <c r="AF102" s="134">
        <f t="shared" si="26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24"/>
        <v>9.6</v>
      </c>
      <c r="C103" s="137">
        <v>9.6</v>
      </c>
      <c r="D103" s="136">
        <f t="shared" si="25"/>
        <v>9.6</v>
      </c>
      <c r="E103" s="136">
        <f t="shared" si="25"/>
        <v>9.6</v>
      </c>
      <c r="F103" s="136">
        <f t="shared" si="25"/>
        <v>9.6</v>
      </c>
      <c r="G103" s="136">
        <f t="shared" si="25"/>
        <v>9.6</v>
      </c>
      <c r="H103" s="136">
        <f t="shared" si="25"/>
        <v>9.6</v>
      </c>
      <c r="I103" s="136">
        <f t="shared" si="25"/>
        <v>9.6</v>
      </c>
      <c r="J103" s="136">
        <f t="shared" si="25"/>
        <v>9.6</v>
      </c>
      <c r="K103" s="136">
        <f t="shared" si="25"/>
        <v>9.6</v>
      </c>
      <c r="L103" s="136">
        <f t="shared" si="25"/>
        <v>9.6</v>
      </c>
      <c r="M103" s="136">
        <f t="shared" si="25"/>
        <v>9.6</v>
      </c>
      <c r="N103" s="136">
        <f t="shared" si="25"/>
        <v>9.6</v>
      </c>
      <c r="O103" s="136">
        <f t="shared" si="25"/>
        <v>9.6</v>
      </c>
      <c r="P103" s="136">
        <f t="shared" si="25"/>
        <v>9.6</v>
      </c>
      <c r="Q103" s="136">
        <f t="shared" si="25"/>
        <v>9.6</v>
      </c>
      <c r="R103" s="136">
        <f t="shared" si="25"/>
        <v>9.6</v>
      </c>
      <c r="S103" s="136">
        <f t="shared" si="25"/>
        <v>9.6</v>
      </c>
      <c r="T103" s="136">
        <f t="shared" si="26"/>
        <v>9.6</v>
      </c>
      <c r="U103" s="136">
        <f t="shared" si="26"/>
        <v>9.6</v>
      </c>
      <c r="V103" s="136">
        <f t="shared" si="26"/>
        <v>9.6</v>
      </c>
      <c r="W103" s="136">
        <f t="shared" si="26"/>
        <v>9.6</v>
      </c>
      <c r="X103" s="136">
        <f t="shared" si="26"/>
        <v>9.6</v>
      </c>
      <c r="Y103" s="136">
        <f t="shared" si="26"/>
        <v>9.6</v>
      </c>
      <c r="Z103" s="136">
        <f t="shared" si="26"/>
        <v>9.6</v>
      </c>
      <c r="AA103" s="136">
        <f t="shared" si="26"/>
        <v>9.6</v>
      </c>
      <c r="AB103" s="136">
        <f t="shared" si="26"/>
        <v>9.6</v>
      </c>
      <c r="AC103" s="136">
        <f t="shared" si="26"/>
        <v>9.6</v>
      </c>
      <c r="AD103" s="136">
        <f t="shared" si="26"/>
        <v>9.6</v>
      </c>
      <c r="AE103" s="136">
        <f t="shared" si="26"/>
        <v>9.6</v>
      </c>
      <c r="AF103" s="136">
        <f t="shared" si="26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24"/>
        <v>9.98</v>
      </c>
      <c r="C104" s="137">
        <v>9.98</v>
      </c>
      <c r="D104" s="136">
        <f t="shared" si="25"/>
        <v>9.98</v>
      </c>
      <c r="E104" s="136">
        <f t="shared" si="25"/>
        <v>9.98</v>
      </c>
      <c r="F104" s="136">
        <f t="shared" si="25"/>
        <v>9.98</v>
      </c>
      <c r="G104" s="136">
        <f t="shared" si="25"/>
        <v>9.98</v>
      </c>
      <c r="H104" s="136">
        <f t="shared" si="25"/>
        <v>9.98</v>
      </c>
      <c r="I104" s="136">
        <f t="shared" si="25"/>
        <v>9.98</v>
      </c>
      <c r="J104" s="136">
        <f t="shared" si="25"/>
        <v>9.98</v>
      </c>
      <c r="K104" s="136">
        <f t="shared" si="25"/>
        <v>9.98</v>
      </c>
      <c r="L104" s="136">
        <f t="shared" si="25"/>
        <v>9.98</v>
      </c>
      <c r="M104" s="136">
        <f t="shared" si="25"/>
        <v>9.98</v>
      </c>
      <c r="N104" s="136">
        <f t="shared" si="25"/>
        <v>9.98</v>
      </c>
      <c r="O104" s="136">
        <f t="shared" si="25"/>
        <v>9.98</v>
      </c>
      <c r="P104" s="136">
        <f t="shared" si="25"/>
        <v>9.98</v>
      </c>
      <c r="Q104" s="136">
        <f t="shared" si="25"/>
        <v>9.98</v>
      </c>
      <c r="R104" s="136">
        <f t="shared" si="25"/>
        <v>9.98</v>
      </c>
      <c r="S104" s="136">
        <f t="shared" si="25"/>
        <v>9.98</v>
      </c>
      <c r="T104" s="136">
        <f t="shared" si="26"/>
        <v>9.98</v>
      </c>
      <c r="U104" s="136">
        <f t="shared" si="26"/>
        <v>9.98</v>
      </c>
      <c r="V104" s="136">
        <f t="shared" si="26"/>
        <v>9.98</v>
      </c>
      <c r="W104" s="136">
        <f t="shared" si="26"/>
        <v>9.98</v>
      </c>
      <c r="X104" s="136">
        <f t="shared" si="26"/>
        <v>9.98</v>
      </c>
      <c r="Y104" s="136">
        <f t="shared" si="26"/>
        <v>9.98</v>
      </c>
      <c r="Z104" s="136">
        <f t="shared" si="26"/>
        <v>9.98</v>
      </c>
      <c r="AA104" s="136">
        <f t="shared" si="26"/>
        <v>9.98</v>
      </c>
      <c r="AB104" s="136">
        <f t="shared" si="26"/>
        <v>9.98</v>
      </c>
      <c r="AC104" s="136">
        <f t="shared" si="26"/>
        <v>9.98</v>
      </c>
      <c r="AD104" s="136">
        <f t="shared" si="26"/>
        <v>9.98</v>
      </c>
      <c r="AE104" s="136">
        <f t="shared" si="26"/>
        <v>9.98</v>
      </c>
      <c r="AF104" s="136">
        <f t="shared" si="26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24"/>
        <v>9.1</v>
      </c>
      <c r="C105" s="137">
        <v>9.1</v>
      </c>
      <c r="D105" s="136">
        <f t="shared" si="25"/>
        <v>9.1</v>
      </c>
      <c r="E105" s="136">
        <f t="shared" si="25"/>
        <v>9.1</v>
      </c>
      <c r="F105" s="136">
        <f t="shared" si="25"/>
        <v>9.1</v>
      </c>
      <c r="G105" s="136">
        <f t="shared" si="25"/>
        <v>9.1</v>
      </c>
      <c r="H105" s="136">
        <f t="shared" si="25"/>
        <v>9.1</v>
      </c>
      <c r="I105" s="136">
        <f t="shared" si="25"/>
        <v>9.1</v>
      </c>
      <c r="J105" s="136">
        <f t="shared" si="25"/>
        <v>9.1</v>
      </c>
      <c r="K105" s="136">
        <f t="shared" si="25"/>
        <v>9.1</v>
      </c>
      <c r="L105" s="136">
        <f t="shared" si="25"/>
        <v>9.1</v>
      </c>
      <c r="M105" s="136">
        <f t="shared" si="25"/>
        <v>9.1</v>
      </c>
      <c r="N105" s="136">
        <f t="shared" si="25"/>
        <v>9.1</v>
      </c>
      <c r="O105" s="136">
        <f t="shared" si="25"/>
        <v>9.1</v>
      </c>
      <c r="P105" s="136">
        <f t="shared" si="25"/>
        <v>9.1</v>
      </c>
      <c r="Q105" s="136">
        <f t="shared" si="25"/>
        <v>9.1</v>
      </c>
      <c r="R105" s="136">
        <f t="shared" si="25"/>
        <v>9.1</v>
      </c>
      <c r="S105" s="136">
        <f t="shared" si="25"/>
        <v>9.1</v>
      </c>
      <c r="T105" s="136">
        <f t="shared" si="26"/>
        <v>9.1</v>
      </c>
      <c r="U105" s="136">
        <f t="shared" si="26"/>
        <v>9.1</v>
      </c>
      <c r="V105" s="136">
        <f t="shared" si="26"/>
        <v>9.1</v>
      </c>
      <c r="W105" s="136">
        <f t="shared" si="26"/>
        <v>9.1</v>
      </c>
      <c r="X105" s="136">
        <f t="shared" si="26"/>
        <v>9.1</v>
      </c>
      <c r="Y105" s="136">
        <f t="shared" si="26"/>
        <v>9.1</v>
      </c>
      <c r="Z105" s="136">
        <f t="shared" si="26"/>
        <v>9.1</v>
      </c>
      <c r="AA105" s="136">
        <f t="shared" si="26"/>
        <v>9.1</v>
      </c>
      <c r="AB105" s="136">
        <f t="shared" si="26"/>
        <v>9.1</v>
      </c>
      <c r="AC105" s="136">
        <f t="shared" si="26"/>
        <v>9.1</v>
      </c>
      <c r="AD105" s="136">
        <f t="shared" si="26"/>
        <v>9.1</v>
      </c>
      <c r="AE105" s="136">
        <f t="shared" si="26"/>
        <v>9.1</v>
      </c>
      <c r="AF105" s="136">
        <f t="shared" si="26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24"/>
        <v>9.18</v>
      </c>
      <c r="C106" s="137">
        <v>9.18</v>
      </c>
      <c r="D106" s="136">
        <f t="shared" si="25"/>
        <v>9.18</v>
      </c>
      <c r="E106" s="136">
        <f t="shared" si="25"/>
        <v>9.18</v>
      </c>
      <c r="F106" s="136">
        <f t="shared" si="25"/>
        <v>9.18</v>
      </c>
      <c r="G106" s="136">
        <f t="shared" si="25"/>
        <v>9.18</v>
      </c>
      <c r="H106" s="136">
        <f t="shared" si="25"/>
        <v>9.18</v>
      </c>
      <c r="I106" s="136">
        <f t="shared" si="25"/>
        <v>9.18</v>
      </c>
      <c r="J106" s="136">
        <f t="shared" si="25"/>
        <v>9.18</v>
      </c>
      <c r="K106" s="136">
        <f t="shared" si="25"/>
        <v>9.18</v>
      </c>
      <c r="L106" s="136">
        <f t="shared" si="25"/>
        <v>9.18</v>
      </c>
      <c r="M106" s="136">
        <f t="shared" si="25"/>
        <v>9.18</v>
      </c>
      <c r="N106" s="136">
        <f t="shared" si="25"/>
        <v>9.18</v>
      </c>
      <c r="O106" s="136">
        <f t="shared" si="25"/>
        <v>9.18</v>
      </c>
      <c r="P106" s="136">
        <f t="shared" si="25"/>
        <v>9.18</v>
      </c>
      <c r="Q106" s="136">
        <f t="shared" si="25"/>
        <v>9.18</v>
      </c>
      <c r="R106" s="136">
        <f t="shared" si="25"/>
        <v>9.18</v>
      </c>
      <c r="S106" s="136">
        <f t="shared" si="25"/>
        <v>9.18</v>
      </c>
      <c r="T106" s="136">
        <f t="shared" si="26"/>
        <v>9.18</v>
      </c>
      <c r="U106" s="136">
        <f t="shared" si="26"/>
        <v>9.18</v>
      </c>
      <c r="V106" s="136">
        <f t="shared" si="26"/>
        <v>9.18</v>
      </c>
      <c r="W106" s="136">
        <f t="shared" si="26"/>
        <v>9.18</v>
      </c>
      <c r="X106" s="136">
        <f t="shared" si="26"/>
        <v>9.18</v>
      </c>
      <c r="Y106" s="136">
        <f t="shared" si="26"/>
        <v>9.18</v>
      </c>
      <c r="Z106" s="136">
        <f t="shared" si="26"/>
        <v>9.18</v>
      </c>
      <c r="AA106" s="136">
        <f t="shared" si="26"/>
        <v>9.18</v>
      </c>
      <c r="AB106" s="136">
        <f t="shared" si="26"/>
        <v>9.18</v>
      </c>
      <c r="AC106" s="136">
        <f t="shared" si="26"/>
        <v>9.18</v>
      </c>
      <c r="AD106" s="136">
        <f t="shared" si="26"/>
        <v>9.18</v>
      </c>
      <c r="AE106" s="136">
        <f t="shared" si="26"/>
        <v>9.18</v>
      </c>
      <c r="AF106" s="136">
        <f t="shared" si="26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24"/>
        <v>7</v>
      </c>
      <c r="C107" s="137">
        <v>7</v>
      </c>
      <c r="D107" s="136">
        <f t="shared" si="25"/>
        <v>7</v>
      </c>
      <c r="E107" s="136">
        <f t="shared" si="25"/>
        <v>7</v>
      </c>
      <c r="F107" s="136">
        <f t="shared" si="25"/>
        <v>7</v>
      </c>
      <c r="G107" s="136">
        <f t="shared" si="25"/>
        <v>7</v>
      </c>
      <c r="H107" s="136">
        <f t="shared" si="25"/>
        <v>7</v>
      </c>
      <c r="I107" s="136">
        <f t="shared" si="25"/>
        <v>7</v>
      </c>
      <c r="J107" s="136">
        <f t="shared" si="25"/>
        <v>7</v>
      </c>
      <c r="K107" s="136">
        <f t="shared" si="25"/>
        <v>7</v>
      </c>
      <c r="L107" s="136">
        <f t="shared" si="25"/>
        <v>7</v>
      </c>
      <c r="M107" s="136">
        <f t="shared" si="25"/>
        <v>7</v>
      </c>
      <c r="N107" s="136">
        <f t="shared" si="25"/>
        <v>7</v>
      </c>
      <c r="O107" s="136">
        <f t="shared" si="25"/>
        <v>7</v>
      </c>
      <c r="P107" s="136">
        <f t="shared" si="25"/>
        <v>7</v>
      </c>
      <c r="Q107" s="136">
        <f t="shared" si="25"/>
        <v>7</v>
      </c>
      <c r="R107" s="136">
        <f t="shared" si="25"/>
        <v>7</v>
      </c>
      <c r="S107" s="136">
        <f t="shared" si="25"/>
        <v>7</v>
      </c>
      <c r="T107" s="136">
        <f t="shared" si="26"/>
        <v>7</v>
      </c>
      <c r="U107" s="136">
        <f t="shared" si="26"/>
        <v>7</v>
      </c>
      <c r="V107" s="136">
        <f t="shared" si="26"/>
        <v>7</v>
      </c>
      <c r="W107" s="136">
        <f t="shared" si="26"/>
        <v>7</v>
      </c>
      <c r="X107" s="136">
        <f t="shared" si="26"/>
        <v>7</v>
      </c>
      <c r="Y107" s="136">
        <f t="shared" si="26"/>
        <v>7</v>
      </c>
      <c r="Z107" s="136">
        <f t="shared" si="26"/>
        <v>7</v>
      </c>
      <c r="AA107" s="136">
        <f t="shared" si="26"/>
        <v>7</v>
      </c>
      <c r="AB107" s="136">
        <f t="shared" si="26"/>
        <v>7</v>
      </c>
      <c r="AC107" s="136">
        <f t="shared" si="26"/>
        <v>7</v>
      </c>
      <c r="AD107" s="136">
        <f t="shared" si="26"/>
        <v>7</v>
      </c>
      <c r="AE107" s="136">
        <f t="shared" si="26"/>
        <v>7</v>
      </c>
      <c r="AF107" s="136">
        <f t="shared" si="26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27">C109</f>
        <v>2.25</v>
      </c>
      <c r="E109" s="136">
        <f t="shared" si="27"/>
        <v>2.25</v>
      </c>
      <c r="F109" s="136">
        <f t="shared" si="27"/>
        <v>2.25</v>
      </c>
      <c r="G109" s="136">
        <f t="shared" si="27"/>
        <v>2.25</v>
      </c>
      <c r="H109" s="136">
        <f t="shared" si="27"/>
        <v>2.25</v>
      </c>
      <c r="I109" s="136">
        <f t="shared" si="27"/>
        <v>2.25</v>
      </c>
      <c r="J109" s="136">
        <f t="shared" si="27"/>
        <v>2.25</v>
      </c>
      <c r="K109" s="136">
        <f t="shared" si="27"/>
        <v>2.25</v>
      </c>
      <c r="L109" s="136">
        <f t="shared" si="27"/>
        <v>2.25</v>
      </c>
      <c r="M109" s="136">
        <f t="shared" si="27"/>
        <v>2.25</v>
      </c>
      <c r="N109" s="136">
        <f t="shared" si="27"/>
        <v>2.25</v>
      </c>
      <c r="O109" s="136">
        <f t="shared" si="27"/>
        <v>2.25</v>
      </c>
      <c r="P109" s="136">
        <f t="shared" si="27"/>
        <v>2.25</v>
      </c>
      <c r="Q109" s="136">
        <f t="shared" si="27"/>
        <v>2.25</v>
      </c>
      <c r="R109" s="136">
        <f t="shared" si="27"/>
        <v>2.25</v>
      </c>
      <c r="S109" s="136">
        <f t="shared" si="27"/>
        <v>2.25</v>
      </c>
      <c r="T109" s="136">
        <f t="shared" ref="T109:AF110" si="28">S109</f>
        <v>2.25</v>
      </c>
      <c r="U109" s="136">
        <f t="shared" si="28"/>
        <v>2.25</v>
      </c>
      <c r="V109" s="136">
        <f t="shared" si="28"/>
        <v>2.25</v>
      </c>
      <c r="W109" s="136">
        <f t="shared" si="28"/>
        <v>2.25</v>
      </c>
      <c r="X109" s="136">
        <f t="shared" si="28"/>
        <v>2.25</v>
      </c>
      <c r="Y109" s="136">
        <f t="shared" si="28"/>
        <v>2.25</v>
      </c>
      <c r="Z109" s="136">
        <f t="shared" si="28"/>
        <v>2.25</v>
      </c>
      <c r="AA109" s="136">
        <f t="shared" si="28"/>
        <v>2.25</v>
      </c>
      <c r="AB109" s="136">
        <f t="shared" si="28"/>
        <v>2.25</v>
      </c>
      <c r="AC109" s="136">
        <f t="shared" si="28"/>
        <v>2.25</v>
      </c>
      <c r="AD109" s="136">
        <f t="shared" si="28"/>
        <v>2.25</v>
      </c>
      <c r="AE109" s="136">
        <f t="shared" si="28"/>
        <v>2.25</v>
      </c>
      <c r="AF109" s="136">
        <f t="shared" si="28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27"/>
        <v>1.64</v>
      </c>
      <c r="E110" s="136">
        <f t="shared" si="27"/>
        <v>1.64</v>
      </c>
      <c r="F110" s="136">
        <f t="shared" si="27"/>
        <v>1.64</v>
      </c>
      <c r="G110" s="136">
        <f t="shared" si="27"/>
        <v>1.64</v>
      </c>
      <c r="H110" s="136">
        <f t="shared" si="27"/>
        <v>1.64</v>
      </c>
      <c r="I110" s="136">
        <f t="shared" si="27"/>
        <v>1.64</v>
      </c>
      <c r="J110" s="136">
        <f t="shared" si="27"/>
        <v>1.64</v>
      </c>
      <c r="K110" s="136">
        <f t="shared" si="27"/>
        <v>1.64</v>
      </c>
      <c r="L110" s="136">
        <f t="shared" si="27"/>
        <v>1.64</v>
      </c>
      <c r="M110" s="136">
        <f t="shared" si="27"/>
        <v>1.64</v>
      </c>
      <c r="N110" s="136">
        <f t="shared" si="27"/>
        <v>1.64</v>
      </c>
      <c r="O110" s="136">
        <f t="shared" si="27"/>
        <v>1.64</v>
      </c>
      <c r="P110" s="136">
        <f t="shared" si="27"/>
        <v>1.64</v>
      </c>
      <c r="Q110" s="136">
        <f t="shared" si="27"/>
        <v>1.64</v>
      </c>
      <c r="R110" s="136">
        <f t="shared" si="27"/>
        <v>1.64</v>
      </c>
      <c r="S110" s="136">
        <f t="shared" si="27"/>
        <v>1.64</v>
      </c>
      <c r="T110" s="136">
        <f t="shared" si="28"/>
        <v>1.64</v>
      </c>
      <c r="U110" s="136">
        <f t="shared" si="28"/>
        <v>1.64</v>
      </c>
      <c r="V110" s="136">
        <f t="shared" si="28"/>
        <v>1.64</v>
      </c>
      <c r="W110" s="136">
        <f t="shared" si="28"/>
        <v>1.64</v>
      </c>
      <c r="X110" s="136">
        <f t="shared" si="28"/>
        <v>1.64</v>
      </c>
      <c r="Y110" s="136">
        <f t="shared" si="28"/>
        <v>1.64</v>
      </c>
      <c r="Z110" s="136">
        <f t="shared" si="28"/>
        <v>1.64</v>
      </c>
      <c r="AA110" s="136">
        <f t="shared" si="28"/>
        <v>1.64</v>
      </c>
      <c r="AB110" s="136">
        <f t="shared" si="28"/>
        <v>1.64</v>
      </c>
      <c r="AC110" s="136">
        <f t="shared" si="28"/>
        <v>1.64</v>
      </c>
      <c r="AD110" s="136">
        <f t="shared" si="28"/>
        <v>1.64</v>
      </c>
      <c r="AE110" s="136">
        <f t="shared" si="28"/>
        <v>1.64</v>
      </c>
      <c r="AF110" s="136">
        <f t="shared" si="28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29">AF112</f>
        <v>1.62</v>
      </c>
      <c r="C112" s="137">
        <v>1.62</v>
      </c>
      <c r="D112" s="136">
        <f t="shared" ref="D112:S119" si="30">C112</f>
        <v>1.62</v>
      </c>
      <c r="E112" s="136">
        <f t="shared" si="30"/>
        <v>1.62</v>
      </c>
      <c r="F112" s="136">
        <f t="shared" si="30"/>
        <v>1.62</v>
      </c>
      <c r="G112" s="136">
        <f t="shared" si="30"/>
        <v>1.62</v>
      </c>
      <c r="H112" s="136">
        <f t="shared" si="30"/>
        <v>1.62</v>
      </c>
      <c r="I112" s="136">
        <f t="shared" si="30"/>
        <v>1.62</v>
      </c>
      <c r="J112" s="136">
        <f t="shared" si="30"/>
        <v>1.62</v>
      </c>
      <c r="K112" s="136">
        <f t="shared" si="30"/>
        <v>1.62</v>
      </c>
      <c r="L112" s="136">
        <f t="shared" si="30"/>
        <v>1.62</v>
      </c>
      <c r="M112" s="136">
        <f t="shared" si="30"/>
        <v>1.62</v>
      </c>
      <c r="N112" s="136">
        <f t="shared" si="30"/>
        <v>1.62</v>
      </c>
      <c r="O112" s="136">
        <f t="shared" si="30"/>
        <v>1.62</v>
      </c>
      <c r="P112" s="136">
        <f t="shared" si="30"/>
        <v>1.62</v>
      </c>
      <c r="Q112" s="136">
        <f t="shared" si="30"/>
        <v>1.62</v>
      </c>
      <c r="R112" s="136">
        <f t="shared" si="30"/>
        <v>1.62</v>
      </c>
      <c r="S112" s="136">
        <f t="shared" si="30"/>
        <v>1.62</v>
      </c>
      <c r="T112" s="136">
        <f t="shared" ref="T112:AF127" si="31">S112</f>
        <v>1.62</v>
      </c>
      <c r="U112" s="136">
        <f t="shared" si="31"/>
        <v>1.62</v>
      </c>
      <c r="V112" s="136">
        <f t="shared" si="31"/>
        <v>1.62</v>
      </c>
      <c r="W112" s="136">
        <f t="shared" si="31"/>
        <v>1.62</v>
      </c>
      <c r="X112" s="136">
        <f t="shared" si="31"/>
        <v>1.62</v>
      </c>
      <c r="Y112" s="136">
        <f t="shared" si="31"/>
        <v>1.62</v>
      </c>
      <c r="Z112" s="136">
        <f t="shared" si="31"/>
        <v>1.62</v>
      </c>
      <c r="AA112" s="136">
        <f t="shared" si="31"/>
        <v>1.62</v>
      </c>
      <c r="AB112" s="136">
        <f t="shared" si="31"/>
        <v>1.62</v>
      </c>
      <c r="AC112" s="136">
        <f t="shared" si="31"/>
        <v>1.62</v>
      </c>
      <c r="AD112" s="136">
        <f t="shared" si="31"/>
        <v>1.62</v>
      </c>
      <c r="AE112" s="136">
        <f t="shared" si="31"/>
        <v>1.62</v>
      </c>
      <c r="AF112" s="136">
        <f t="shared" si="31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29"/>
        <v>8.36</v>
      </c>
      <c r="C113" s="137">
        <v>8.36</v>
      </c>
      <c r="D113" s="136">
        <f t="shared" si="30"/>
        <v>8.36</v>
      </c>
      <c r="E113" s="136">
        <f t="shared" si="30"/>
        <v>8.36</v>
      </c>
      <c r="F113" s="136">
        <f t="shared" si="30"/>
        <v>8.36</v>
      </c>
      <c r="G113" s="136">
        <f t="shared" si="30"/>
        <v>8.36</v>
      </c>
      <c r="H113" s="136">
        <f t="shared" si="30"/>
        <v>8.36</v>
      </c>
      <c r="I113" s="136">
        <f t="shared" si="30"/>
        <v>8.36</v>
      </c>
      <c r="J113" s="136">
        <f t="shared" si="30"/>
        <v>8.36</v>
      </c>
      <c r="K113" s="136">
        <f t="shared" si="30"/>
        <v>8.36</v>
      </c>
      <c r="L113" s="136">
        <f t="shared" si="30"/>
        <v>8.36</v>
      </c>
      <c r="M113" s="136">
        <f t="shared" si="30"/>
        <v>8.36</v>
      </c>
      <c r="N113" s="136">
        <f t="shared" si="30"/>
        <v>8.36</v>
      </c>
      <c r="O113" s="136">
        <f t="shared" si="30"/>
        <v>8.36</v>
      </c>
      <c r="P113" s="136">
        <f t="shared" si="30"/>
        <v>8.36</v>
      </c>
      <c r="Q113" s="136">
        <f t="shared" si="30"/>
        <v>8.36</v>
      </c>
      <c r="R113" s="136">
        <f t="shared" si="30"/>
        <v>8.36</v>
      </c>
      <c r="S113" s="136">
        <f t="shared" si="30"/>
        <v>8.36</v>
      </c>
      <c r="T113" s="136">
        <f t="shared" si="31"/>
        <v>8.36</v>
      </c>
      <c r="U113" s="136">
        <f t="shared" si="31"/>
        <v>8.36</v>
      </c>
      <c r="V113" s="136">
        <f t="shared" si="31"/>
        <v>8.36</v>
      </c>
      <c r="W113" s="136">
        <f t="shared" si="31"/>
        <v>8.36</v>
      </c>
      <c r="X113" s="136">
        <f t="shared" si="31"/>
        <v>8.36</v>
      </c>
      <c r="Y113" s="136">
        <f t="shared" si="31"/>
        <v>8.36</v>
      </c>
      <c r="Z113" s="136">
        <f t="shared" si="31"/>
        <v>8.36</v>
      </c>
      <c r="AA113" s="136">
        <f t="shared" si="31"/>
        <v>8.36</v>
      </c>
      <c r="AB113" s="136">
        <f t="shared" si="31"/>
        <v>8.36</v>
      </c>
      <c r="AC113" s="136">
        <f t="shared" si="31"/>
        <v>8.36</v>
      </c>
      <c r="AD113" s="136">
        <f t="shared" si="31"/>
        <v>8.36</v>
      </c>
      <c r="AE113" s="136">
        <f t="shared" si="31"/>
        <v>8.36</v>
      </c>
      <c r="AF113" s="136">
        <f t="shared" si="31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29"/>
        <v>5.4</v>
      </c>
      <c r="C114" s="137">
        <v>8</v>
      </c>
      <c r="D114" s="136">
        <f t="shared" si="30"/>
        <v>8</v>
      </c>
      <c r="E114" s="136">
        <f t="shared" si="30"/>
        <v>8</v>
      </c>
      <c r="F114" s="136">
        <f t="shared" si="30"/>
        <v>8</v>
      </c>
      <c r="G114" s="136">
        <f t="shared" si="30"/>
        <v>8</v>
      </c>
      <c r="H114" s="136">
        <f t="shared" si="30"/>
        <v>8</v>
      </c>
      <c r="I114" s="136">
        <f t="shared" si="30"/>
        <v>8</v>
      </c>
      <c r="J114" s="136">
        <v>5.4</v>
      </c>
      <c r="K114" s="136">
        <f t="shared" si="30"/>
        <v>5.4</v>
      </c>
      <c r="L114" s="136">
        <f t="shared" si="30"/>
        <v>5.4</v>
      </c>
      <c r="M114" s="136">
        <f t="shared" si="30"/>
        <v>5.4</v>
      </c>
      <c r="N114" s="136">
        <f t="shared" si="30"/>
        <v>5.4</v>
      </c>
      <c r="O114" s="136">
        <f t="shared" si="30"/>
        <v>5.4</v>
      </c>
      <c r="P114" s="136">
        <f t="shared" si="30"/>
        <v>5.4</v>
      </c>
      <c r="Q114" s="136">
        <f t="shared" si="30"/>
        <v>5.4</v>
      </c>
      <c r="R114" s="136">
        <f t="shared" si="30"/>
        <v>5.4</v>
      </c>
      <c r="S114" s="136">
        <f t="shared" si="30"/>
        <v>5.4</v>
      </c>
      <c r="T114" s="136">
        <f t="shared" si="31"/>
        <v>5.4</v>
      </c>
      <c r="U114" s="136">
        <f t="shared" si="31"/>
        <v>5.4</v>
      </c>
      <c r="V114" s="136">
        <f t="shared" si="31"/>
        <v>5.4</v>
      </c>
      <c r="W114" s="136">
        <f t="shared" si="31"/>
        <v>5.4</v>
      </c>
      <c r="X114" s="136">
        <f t="shared" si="31"/>
        <v>5.4</v>
      </c>
      <c r="Y114" s="136">
        <f t="shared" si="31"/>
        <v>5.4</v>
      </c>
      <c r="Z114" s="136">
        <f t="shared" si="31"/>
        <v>5.4</v>
      </c>
      <c r="AA114" s="136">
        <f t="shared" si="31"/>
        <v>5.4</v>
      </c>
      <c r="AB114" s="136">
        <f t="shared" si="31"/>
        <v>5.4</v>
      </c>
      <c r="AC114" s="136">
        <f t="shared" si="31"/>
        <v>5.4</v>
      </c>
      <c r="AD114" s="136">
        <f t="shared" si="31"/>
        <v>5.4</v>
      </c>
      <c r="AE114" s="136">
        <f t="shared" si="31"/>
        <v>5.4</v>
      </c>
      <c r="AF114" s="136">
        <f t="shared" si="31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29"/>
        <v>6.57</v>
      </c>
      <c r="C115" s="137">
        <v>6.57</v>
      </c>
      <c r="D115" s="136">
        <f t="shared" si="30"/>
        <v>6.57</v>
      </c>
      <c r="E115" s="136">
        <f t="shared" si="30"/>
        <v>6.57</v>
      </c>
      <c r="F115" s="136">
        <f t="shared" si="30"/>
        <v>6.57</v>
      </c>
      <c r="G115" s="136">
        <f t="shared" si="30"/>
        <v>6.57</v>
      </c>
      <c r="H115" s="136">
        <f t="shared" si="30"/>
        <v>6.57</v>
      </c>
      <c r="I115" s="136">
        <f t="shared" si="30"/>
        <v>6.57</v>
      </c>
      <c r="J115" s="136">
        <f t="shared" si="30"/>
        <v>6.57</v>
      </c>
      <c r="K115" s="136">
        <f t="shared" si="30"/>
        <v>6.57</v>
      </c>
      <c r="L115" s="136">
        <f t="shared" si="30"/>
        <v>6.57</v>
      </c>
      <c r="M115" s="136">
        <f t="shared" si="30"/>
        <v>6.57</v>
      </c>
      <c r="N115" s="136">
        <f t="shared" si="30"/>
        <v>6.57</v>
      </c>
      <c r="O115" s="136">
        <f t="shared" si="30"/>
        <v>6.57</v>
      </c>
      <c r="P115" s="136">
        <f t="shared" si="30"/>
        <v>6.57</v>
      </c>
      <c r="Q115" s="136">
        <f t="shared" si="30"/>
        <v>6.57</v>
      </c>
      <c r="R115" s="136">
        <f t="shared" si="30"/>
        <v>6.57</v>
      </c>
      <c r="S115" s="136">
        <f t="shared" si="30"/>
        <v>6.57</v>
      </c>
      <c r="T115" s="136">
        <f t="shared" si="31"/>
        <v>6.57</v>
      </c>
      <c r="U115" s="136">
        <f t="shared" si="31"/>
        <v>6.57</v>
      </c>
      <c r="V115" s="136">
        <f t="shared" si="31"/>
        <v>6.57</v>
      </c>
      <c r="W115" s="136">
        <f t="shared" si="31"/>
        <v>6.57</v>
      </c>
      <c r="X115" s="136">
        <f t="shared" si="31"/>
        <v>6.57</v>
      </c>
      <c r="Y115" s="136">
        <f t="shared" si="31"/>
        <v>6.57</v>
      </c>
      <c r="Z115" s="136">
        <f t="shared" si="31"/>
        <v>6.57</v>
      </c>
      <c r="AA115" s="136">
        <f t="shared" si="31"/>
        <v>6.57</v>
      </c>
      <c r="AB115" s="136">
        <f t="shared" si="31"/>
        <v>6.57</v>
      </c>
      <c r="AC115" s="136">
        <f t="shared" si="31"/>
        <v>6.57</v>
      </c>
      <c r="AD115" s="136">
        <f t="shared" si="31"/>
        <v>6.57</v>
      </c>
      <c r="AE115" s="136">
        <f t="shared" si="31"/>
        <v>6.57</v>
      </c>
      <c r="AF115" s="136">
        <f t="shared" si="31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29"/>
        <v>3.43</v>
      </c>
      <c r="C116" s="137">
        <v>3.43</v>
      </c>
      <c r="D116" s="136">
        <f t="shared" si="30"/>
        <v>3.43</v>
      </c>
      <c r="E116" s="136">
        <f t="shared" si="30"/>
        <v>3.43</v>
      </c>
      <c r="F116" s="136">
        <f t="shared" si="30"/>
        <v>3.43</v>
      </c>
      <c r="G116" s="136">
        <f t="shared" si="30"/>
        <v>3.43</v>
      </c>
      <c r="H116" s="136">
        <f t="shared" si="30"/>
        <v>3.43</v>
      </c>
      <c r="I116" s="136">
        <f t="shared" si="30"/>
        <v>3.43</v>
      </c>
      <c r="J116" s="136">
        <f t="shared" si="30"/>
        <v>3.43</v>
      </c>
      <c r="K116" s="136">
        <f t="shared" si="30"/>
        <v>3.43</v>
      </c>
      <c r="L116" s="136">
        <f t="shared" si="30"/>
        <v>3.43</v>
      </c>
      <c r="M116" s="136">
        <f t="shared" si="30"/>
        <v>3.43</v>
      </c>
      <c r="N116" s="136">
        <f t="shared" si="30"/>
        <v>3.43</v>
      </c>
      <c r="O116" s="136">
        <f t="shared" si="30"/>
        <v>3.43</v>
      </c>
      <c r="P116" s="136">
        <f t="shared" si="30"/>
        <v>3.43</v>
      </c>
      <c r="Q116" s="136">
        <f t="shared" si="30"/>
        <v>3.43</v>
      </c>
      <c r="R116" s="136">
        <f t="shared" si="30"/>
        <v>3.43</v>
      </c>
      <c r="S116" s="136">
        <f t="shared" si="30"/>
        <v>3.43</v>
      </c>
      <c r="T116" s="136">
        <f t="shared" si="31"/>
        <v>3.43</v>
      </c>
      <c r="U116" s="136">
        <f t="shared" si="31"/>
        <v>3.43</v>
      </c>
      <c r="V116" s="136">
        <f t="shared" si="31"/>
        <v>3.43</v>
      </c>
      <c r="W116" s="136">
        <f t="shared" si="31"/>
        <v>3.43</v>
      </c>
      <c r="X116" s="136">
        <f t="shared" si="31"/>
        <v>3.43</v>
      </c>
      <c r="Y116" s="136">
        <f t="shared" si="31"/>
        <v>3.43</v>
      </c>
      <c r="Z116" s="136">
        <f t="shared" si="31"/>
        <v>3.43</v>
      </c>
      <c r="AA116" s="136">
        <f t="shared" si="31"/>
        <v>3.43</v>
      </c>
      <c r="AB116" s="136">
        <f t="shared" si="31"/>
        <v>3.43</v>
      </c>
      <c r="AC116" s="136">
        <f t="shared" si="31"/>
        <v>3.43</v>
      </c>
      <c r="AD116" s="136">
        <f t="shared" si="31"/>
        <v>3.43</v>
      </c>
      <c r="AE116" s="136">
        <f t="shared" si="31"/>
        <v>3.43</v>
      </c>
      <c r="AF116" s="136">
        <f t="shared" si="31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29"/>
        <v>2.96</v>
      </c>
      <c r="C117" s="137">
        <v>2.96</v>
      </c>
      <c r="D117" s="136">
        <f t="shared" si="30"/>
        <v>2.96</v>
      </c>
      <c r="E117" s="136">
        <f t="shared" si="30"/>
        <v>2.96</v>
      </c>
      <c r="F117" s="136">
        <f t="shared" si="30"/>
        <v>2.96</v>
      </c>
      <c r="G117" s="136">
        <f t="shared" si="30"/>
        <v>2.96</v>
      </c>
      <c r="H117" s="136">
        <f t="shared" si="30"/>
        <v>2.96</v>
      </c>
      <c r="I117" s="136">
        <f t="shared" si="30"/>
        <v>2.96</v>
      </c>
      <c r="J117" s="136">
        <f t="shared" si="30"/>
        <v>2.96</v>
      </c>
      <c r="K117" s="136">
        <f t="shared" si="30"/>
        <v>2.96</v>
      </c>
      <c r="L117" s="136">
        <f t="shared" si="30"/>
        <v>2.96</v>
      </c>
      <c r="M117" s="136">
        <f t="shared" si="30"/>
        <v>2.96</v>
      </c>
      <c r="N117" s="136">
        <f t="shared" si="30"/>
        <v>2.96</v>
      </c>
      <c r="O117" s="136">
        <f t="shared" si="30"/>
        <v>2.96</v>
      </c>
      <c r="P117" s="136">
        <f t="shared" si="30"/>
        <v>2.96</v>
      </c>
      <c r="Q117" s="136">
        <f t="shared" si="30"/>
        <v>2.96</v>
      </c>
      <c r="R117" s="136">
        <f t="shared" si="30"/>
        <v>2.96</v>
      </c>
      <c r="S117" s="136">
        <f t="shared" si="30"/>
        <v>2.96</v>
      </c>
      <c r="T117" s="136">
        <f t="shared" si="31"/>
        <v>2.96</v>
      </c>
      <c r="U117" s="136">
        <f t="shared" si="31"/>
        <v>2.96</v>
      </c>
      <c r="V117" s="136">
        <f t="shared" si="31"/>
        <v>2.96</v>
      </c>
      <c r="W117" s="136">
        <f t="shared" si="31"/>
        <v>2.96</v>
      </c>
      <c r="X117" s="136">
        <f t="shared" si="31"/>
        <v>2.96</v>
      </c>
      <c r="Y117" s="136">
        <f t="shared" si="31"/>
        <v>2.96</v>
      </c>
      <c r="Z117" s="136">
        <f t="shared" si="31"/>
        <v>2.96</v>
      </c>
      <c r="AA117" s="136">
        <f t="shared" si="31"/>
        <v>2.96</v>
      </c>
      <c r="AB117" s="136">
        <f t="shared" si="31"/>
        <v>2.96</v>
      </c>
      <c r="AC117" s="136">
        <f t="shared" si="31"/>
        <v>2.96</v>
      </c>
      <c r="AD117" s="136">
        <f t="shared" si="31"/>
        <v>2.96</v>
      </c>
      <c r="AE117" s="136">
        <f t="shared" si="31"/>
        <v>2.96</v>
      </c>
      <c r="AF117" s="136">
        <f t="shared" si="31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29"/>
        <v>8</v>
      </c>
      <c r="C118" s="137">
        <v>8</v>
      </c>
      <c r="D118" s="136">
        <f t="shared" si="30"/>
        <v>8</v>
      </c>
      <c r="E118" s="136">
        <f t="shared" si="30"/>
        <v>8</v>
      </c>
      <c r="F118" s="136">
        <f t="shared" si="30"/>
        <v>8</v>
      </c>
      <c r="G118" s="136">
        <f t="shared" si="30"/>
        <v>8</v>
      </c>
      <c r="H118" s="136">
        <f t="shared" si="30"/>
        <v>8</v>
      </c>
      <c r="I118" s="136">
        <f t="shared" si="30"/>
        <v>8</v>
      </c>
      <c r="J118" s="136">
        <f t="shared" si="30"/>
        <v>8</v>
      </c>
      <c r="K118" s="136">
        <f t="shared" si="30"/>
        <v>8</v>
      </c>
      <c r="L118" s="136">
        <f t="shared" si="30"/>
        <v>8</v>
      </c>
      <c r="M118" s="136">
        <f t="shared" si="30"/>
        <v>8</v>
      </c>
      <c r="N118" s="136">
        <f t="shared" si="30"/>
        <v>8</v>
      </c>
      <c r="O118" s="136">
        <f t="shared" si="30"/>
        <v>8</v>
      </c>
      <c r="P118" s="136">
        <f t="shared" si="30"/>
        <v>8</v>
      </c>
      <c r="Q118" s="136">
        <f t="shared" si="30"/>
        <v>8</v>
      </c>
      <c r="R118" s="136">
        <f t="shared" si="30"/>
        <v>8</v>
      </c>
      <c r="S118" s="136">
        <f t="shared" si="30"/>
        <v>8</v>
      </c>
      <c r="T118" s="136">
        <f t="shared" si="31"/>
        <v>8</v>
      </c>
      <c r="U118" s="136">
        <f t="shared" si="31"/>
        <v>8</v>
      </c>
      <c r="V118" s="136">
        <f t="shared" si="31"/>
        <v>8</v>
      </c>
      <c r="W118" s="136">
        <f t="shared" si="31"/>
        <v>8</v>
      </c>
      <c r="X118" s="136">
        <f t="shared" si="31"/>
        <v>8</v>
      </c>
      <c r="Y118" s="136">
        <f t="shared" si="31"/>
        <v>8</v>
      </c>
      <c r="Z118" s="136">
        <f t="shared" si="31"/>
        <v>8</v>
      </c>
      <c r="AA118" s="136">
        <f t="shared" si="31"/>
        <v>8</v>
      </c>
      <c r="AB118" s="136">
        <f t="shared" si="31"/>
        <v>8</v>
      </c>
      <c r="AC118" s="136">
        <f t="shared" si="31"/>
        <v>8</v>
      </c>
      <c r="AD118" s="136">
        <f t="shared" si="31"/>
        <v>8</v>
      </c>
      <c r="AE118" s="136">
        <f t="shared" si="31"/>
        <v>8</v>
      </c>
      <c r="AF118" s="136">
        <f t="shared" si="31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29"/>
        <v>7</v>
      </c>
      <c r="C119" s="137">
        <v>7</v>
      </c>
      <c r="D119" s="136">
        <f>C119</f>
        <v>7</v>
      </c>
      <c r="E119" s="136">
        <f t="shared" si="30"/>
        <v>7</v>
      </c>
      <c r="F119" s="136">
        <f t="shared" si="30"/>
        <v>7</v>
      </c>
      <c r="G119" s="136">
        <f t="shared" si="30"/>
        <v>7</v>
      </c>
      <c r="H119" s="136">
        <f t="shared" si="30"/>
        <v>7</v>
      </c>
      <c r="I119" s="136">
        <f t="shared" si="30"/>
        <v>7</v>
      </c>
      <c r="J119" s="136">
        <f t="shared" si="30"/>
        <v>7</v>
      </c>
      <c r="K119" s="136">
        <f t="shared" si="30"/>
        <v>7</v>
      </c>
      <c r="L119" s="136">
        <f t="shared" si="30"/>
        <v>7</v>
      </c>
      <c r="M119" s="136">
        <f t="shared" si="30"/>
        <v>7</v>
      </c>
      <c r="N119" s="136">
        <f t="shared" si="30"/>
        <v>7</v>
      </c>
      <c r="O119" s="136">
        <f t="shared" si="30"/>
        <v>7</v>
      </c>
      <c r="P119" s="136">
        <f t="shared" si="30"/>
        <v>7</v>
      </c>
      <c r="Q119" s="136">
        <f t="shared" si="30"/>
        <v>7</v>
      </c>
      <c r="R119" s="136">
        <f t="shared" si="30"/>
        <v>7</v>
      </c>
      <c r="S119" s="136">
        <f t="shared" si="30"/>
        <v>7</v>
      </c>
      <c r="T119" s="136">
        <f t="shared" si="31"/>
        <v>7</v>
      </c>
      <c r="U119" s="136">
        <f t="shared" si="31"/>
        <v>7</v>
      </c>
      <c r="V119" s="136">
        <f t="shared" si="31"/>
        <v>7</v>
      </c>
      <c r="W119" s="136">
        <f t="shared" si="31"/>
        <v>7</v>
      </c>
      <c r="X119" s="136">
        <f t="shared" si="31"/>
        <v>7</v>
      </c>
      <c r="Y119" s="136">
        <f t="shared" si="31"/>
        <v>7</v>
      </c>
      <c r="Z119" s="136">
        <f t="shared" si="31"/>
        <v>7</v>
      </c>
      <c r="AA119" s="136">
        <f t="shared" si="31"/>
        <v>7</v>
      </c>
      <c r="AB119" s="136">
        <f t="shared" si="31"/>
        <v>7</v>
      </c>
      <c r="AC119" s="136">
        <f t="shared" si="31"/>
        <v>7</v>
      </c>
      <c r="AD119" s="136">
        <f t="shared" si="31"/>
        <v>7</v>
      </c>
      <c r="AE119" s="136">
        <f t="shared" si="31"/>
        <v>7</v>
      </c>
      <c r="AF119" s="136">
        <f t="shared" si="31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29"/>
        <v>3.47</v>
      </c>
      <c r="C120" s="137">
        <v>3.47</v>
      </c>
      <c r="D120" s="136">
        <f t="shared" ref="D120:S129" si="32">C120</f>
        <v>3.47</v>
      </c>
      <c r="E120" s="136">
        <f t="shared" si="32"/>
        <v>3.47</v>
      </c>
      <c r="F120" s="136">
        <f t="shared" si="32"/>
        <v>3.47</v>
      </c>
      <c r="G120" s="136">
        <f t="shared" si="32"/>
        <v>3.47</v>
      </c>
      <c r="H120" s="136">
        <f t="shared" si="32"/>
        <v>3.47</v>
      </c>
      <c r="I120" s="136">
        <f t="shared" si="32"/>
        <v>3.47</v>
      </c>
      <c r="J120" s="136">
        <f t="shared" si="32"/>
        <v>3.47</v>
      </c>
      <c r="K120" s="136">
        <f t="shared" si="32"/>
        <v>3.47</v>
      </c>
      <c r="L120" s="136">
        <f t="shared" si="32"/>
        <v>3.47</v>
      </c>
      <c r="M120" s="136">
        <f t="shared" si="32"/>
        <v>3.47</v>
      </c>
      <c r="N120" s="136">
        <f t="shared" si="32"/>
        <v>3.47</v>
      </c>
      <c r="O120" s="136">
        <f t="shared" si="32"/>
        <v>3.47</v>
      </c>
      <c r="P120" s="136">
        <f t="shared" si="32"/>
        <v>3.47</v>
      </c>
      <c r="Q120" s="136">
        <f t="shared" si="32"/>
        <v>3.47</v>
      </c>
      <c r="R120" s="136">
        <f t="shared" si="32"/>
        <v>3.47</v>
      </c>
      <c r="S120" s="136">
        <f t="shared" si="32"/>
        <v>3.47</v>
      </c>
      <c r="T120" s="136">
        <f t="shared" si="31"/>
        <v>3.47</v>
      </c>
      <c r="U120" s="136">
        <f t="shared" si="31"/>
        <v>3.47</v>
      </c>
      <c r="V120" s="136">
        <f t="shared" si="31"/>
        <v>3.47</v>
      </c>
      <c r="W120" s="136">
        <f t="shared" si="31"/>
        <v>3.47</v>
      </c>
      <c r="X120" s="136">
        <f t="shared" si="31"/>
        <v>3.47</v>
      </c>
      <c r="Y120" s="136">
        <f t="shared" si="31"/>
        <v>3.47</v>
      </c>
      <c r="Z120" s="136">
        <f t="shared" si="31"/>
        <v>3.47</v>
      </c>
      <c r="AA120" s="136">
        <f t="shared" si="31"/>
        <v>3.47</v>
      </c>
      <c r="AB120" s="136">
        <f t="shared" si="31"/>
        <v>3.47</v>
      </c>
      <c r="AC120" s="136">
        <f t="shared" si="31"/>
        <v>3.47</v>
      </c>
      <c r="AD120" s="136">
        <f t="shared" si="31"/>
        <v>3.47</v>
      </c>
      <c r="AE120" s="136">
        <f t="shared" si="31"/>
        <v>3.47</v>
      </c>
      <c r="AF120" s="136">
        <f t="shared" si="31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29"/>
        <v>2.1</v>
      </c>
      <c r="C121" s="137">
        <v>2.1</v>
      </c>
      <c r="D121" s="136">
        <f t="shared" si="32"/>
        <v>2.1</v>
      </c>
      <c r="E121" s="136">
        <f t="shared" si="32"/>
        <v>2.1</v>
      </c>
      <c r="F121" s="136">
        <f t="shared" si="32"/>
        <v>2.1</v>
      </c>
      <c r="G121" s="136">
        <f t="shared" si="32"/>
        <v>2.1</v>
      </c>
      <c r="H121" s="136">
        <f t="shared" si="32"/>
        <v>2.1</v>
      </c>
      <c r="I121" s="136">
        <f t="shared" si="32"/>
        <v>2.1</v>
      </c>
      <c r="J121" s="136">
        <f t="shared" si="32"/>
        <v>2.1</v>
      </c>
      <c r="K121" s="136">
        <f t="shared" si="32"/>
        <v>2.1</v>
      </c>
      <c r="L121" s="136">
        <f t="shared" si="32"/>
        <v>2.1</v>
      </c>
      <c r="M121" s="136">
        <f t="shared" si="32"/>
        <v>2.1</v>
      </c>
      <c r="N121" s="136">
        <f t="shared" si="32"/>
        <v>2.1</v>
      </c>
      <c r="O121" s="136">
        <f t="shared" si="32"/>
        <v>2.1</v>
      </c>
      <c r="P121" s="136">
        <f t="shared" si="32"/>
        <v>2.1</v>
      </c>
      <c r="Q121" s="136">
        <f t="shared" si="32"/>
        <v>2.1</v>
      </c>
      <c r="R121" s="136">
        <f t="shared" si="32"/>
        <v>2.1</v>
      </c>
      <c r="S121" s="136">
        <f t="shared" si="32"/>
        <v>2.1</v>
      </c>
      <c r="T121" s="136">
        <f t="shared" si="31"/>
        <v>2.1</v>
      </c>
      <c r="U121" s="136">
        <f t="shared" si="31"/>
        <v>2.1</v>
      </c>
      <c r="V121" s="136">
        <f t="shared" si="31"/>
        <v>2.1</v>
      </c>
      <c r="W121" s="136">
        <f t="shared" si="31"/>
        <v>2.1</v>
      </c>
      <c r="X121" s="136">
        <f t="shared" si="31"/>
        <v>2.1</v>
      </c>
      <c r="Y121" s="136">
        <f t="shared" si="31"/>
        <v>2.1</v>
      </c>
      <c r="Z121" s="136">
        <f t="shared" si="31"/>
        <v>2.1</v>
      </c>
      <c r="AA121" s="136">
        <f t="shared" si="31"/>
        <v>2.1</v>
      </c>
      <c r="AB121" s="136">
        <f t="shared" si="31"/>
        <v>2.1</v>
      </c>
      <c r="AC121" s="136">
        <f t="shared" si="31"/>
        <v>2.1</v>
      </c>
      <c r="AD121" s="136">
        <f t="shared" si="31"/>
        <v>2.1</v>
      </c>
      <c r="AE121" s="136">
        <f t="shared" si="31"/>
        <v>2.1</v>
      </c>
      <c r="AF121" s="136">
        <f t="shared" si="31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29"/>
        <v>9.3000000000000007</v>
      </c>
      <c r="C122" s="137">
        <v>9.3000000000000007</v>
      </c>
      <c r="D122" s="136">
        <f t="shared" si="32"/>
        <v>9.3000000000000007</v>
      </c>
      <c r="E122" s="136">
        <f t="shared" si="32"/>
        <v>9.3000000000000007</v>
      </c>
      <c r="F122" s="136">
        <f t="shared" si="32"/>
        <v>9.3000000000000007</v>
      </c>
      <c r="G122" s="136">
        <f t="shared" si="32"/>
        <v>9.3000000000000007</v>
      </c>
      <c r="H122" s="136">
        <f t="shared" si="32"/>
        <v>9.3000000000000007</v>
      </c>
      <c r="I122" s="136">
        <f t="shared" si="32"/>
        <v>9.3000000000000007</v>
      </c>
      <c r="J122" s="136">
        <f t="shared" si="32"/>
        <v>9.3000000000000007</v>
      </c>
      <c r="K122" s="136">
        <f t="shared" si="32"/>
        <v>9.3000000000000007</v>
      </c>
      <c r="L122" s="136">
        <f t="shared" si="32"/>
        <v>9.3000000000000007</v>
      </c>
      <c r="M122" s="136">
        <f t="shared" si="32"/>
        <v>9.3000000000000007</v>
      </c>
      <c r="N122" s="136">
        <f t="shared" si="32"/>
        <v>9.3000000000000007</v>
      </c>
      <c r="O122" s="136">
        <f t="shared" si="32"/>
        <v>9.3000000000000007</v>
      </c>
      <c r="P122" s="136">
        <f t="shared" si="32"/>
        <v>9.3000000000000007</v>
      </c>
      <c r="Q122" s="136">
        <f t="shared" si="32"/>
        <v>9.3000000000000007</v>
      </c>
      <c r="R122" s="136">
        <f t="shared" si="32"/>
        <v>9.3000000000000007</v>
      </c>
      <c r="S122" s="136">
        <f t="shared" si="32"/>
        <v>9.3000000000000007</v>
      </c>
      <c r="T122" s="136">
        <f t="shared" si="31"/>
        <v>9.3000000000000007</v>
      </c>
      <c r="U122" s="136">
        <f t="shared" si="31"/>
        <v>9.3000000000000007</v>
      </c>
      <c r="V122" s="136">
        <f t="shared" si="31"/>
        <v>9.3000000000000007</v>
      </c>
      <c r="W122" s="136">
        <f t="shared" si="31"/>
        <v>9.3000000000000007</v>
      </c>
      <c r="X122" s="136">
        <f t="shared" si="31"/>
        <v>9.3000000000000007</v>
      </c>
      <c r="Y122" s="136">
        <f t="shared" si="31"/>
        <v>9.3000000000000007</v>
      </c>
      <c r="Z122" s="136">
        <f t="shared" si="31"/>
        <v>9.3000000000000007</v>
      </c>
      <c r="AA122" s="136">
        <f t="shared" si="31"/>
        <v>9.3000000000000007</v>
      </c>
      <c r="AB122" s="136">
        <f t="shared" si="31"/>
        <v>9.3000000000000007</v>
      </c>
      <c r="AC122" s="136">
        <f t="shared" si="31"/>
        <v>9.3000000000000007</v>
      </c>
      <c r="AD122" s="136">
        <f t="shared" si="31"/>
        <v>9.3000000000000007</v>
      </c>
      <c r="AE122" s="136">
        <f t="shared" si="31"/>
        <v>9.3000000000000007</v>
      </c>
      <c r="AF122" s="136">
        <f t="shared" si="31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29"/>
        <v>0</v>
      </c>
      <c r="C124" s="137">
        <v>0</v>
      </c>
      <c r="D124" s="136">
        <f t="shared" si="32"/>
        <v>0</v>
      </c>
      <c r="E124" s="136">
        <f t="shared" si="32"/>
        <v>0</v>
      </c>
      <c r="F124" s="136">
        <f t="shared" si="32"/>
        <v>0</v>
      </c>
      <c r="G124" s="136">
        <f t="shared" si="32"/>
        <v>0</v>
      </c>
      <c r="H124" s="136">
        <f t="shared" si="32"/>
        <v>0</v>
      </c>
      <c r="I124" s="136">
        <f t="shared" si="32"/>
        <v>0</v>
      </c>
      <c r="J124" s="136">
        <f t="shared" si="32"/>
        <v>0</v>
      </c>
      <c r="K124" s="136">
        <f t="shared" si="32"/>
        <v>0</v>
      </c>
      <c r="L124" s="136">
        <f t="shared" si="32"/>
        <v>0</v>
      </c>
      <c r="M124" s="136">
        <f t="shared" si="32"/>
        <v>0</v>
      </c>
      <c r="N124" s="136">
        <f t="shared" si="32"/>
        <v>0</v>
      </c>
      <c r="O124" s="136">
        <f t="shared" si="32"/>
        <v>0</v>
      </c>
      <c r="P124" s="136">
        <f t="shared" si="32"/>
        <v>0</v>
      </c>
      <c r="Q124" s="136">
        <f t="shared" si="32"/>
        <v>0</v>
      </c>
      <c r="R124" s="136">
        <f t="shared" si="32"/>
        <v>0</v>
      </c>
      <c r="S124" s="136">
        <f t="shared" si="32"/>
        <v>0</v>
      </c>
      <c r="T124" s="136">
        <f t="shared" si="31"/>
        <v>0</v>
      </c>
      <c r="U124" s="136">
        <f t="shared" si="31"/>
        <v>0</v>
      </c>
      <c r="V124" s="136">
        <f t="shared" si="31"/>
        <v>0</v>
      </c>
      <c r="W124" s="136">
        <f t="shared" si="31"/>
        <v>0</v>
      </c>
      <c r="X124" s="136">
        <f t="shared" si="31"/>
        <v>0</v>
      </c>
      <c r="Y124" s="136">
        <f t="shared" si="31"/>
        <v>0</v>
      </c>
      <c r="Z124" s="136">
        <f t="shared" si="31"/>
        <v>0</v>
      </c>
      <c r="AA124" s="136">
        <f t="shared" si="31"/>
        <v>0</v>
      </c>
      <c r="AB124" s="136">
        <f t="shared" si="31"/>
        <v>0</v>
      </c>
      <c r="AC124" s="136">
        <f t="shared" si="31"/>
        <v>0</v>
      </c>
      <c r="AD124" s="136">
        <f t="shared" si="31"/>
        <v>0</v>
      </c>
      <c r="AE124" s="136">
        <f t="shared" si="31"/>
        <v>0</v>
      </c>
      <c r="AF124" s="136">
        <f t="shared" si="31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29"/>
        <v>5</v>
      </c>
      <c r="C125" s="137">
        <v>5</v>
      </c>
      <c r="D125" s="136">
        <f t="shared" si="32"/>
        <v>5</v>
      </c>
      <c r="E125" s="136">
        <f t="shared" si="32"/>
        <v>5</v>
      </c>
      <c r="F125" s="136">
        <f t="shared" si="32"/>
        <v>5</v>
      </c>
      <c r="G125" s="136">
        <f t="shared" si="32"/>
        <v>5</v>
      </c>
      <c r="H125" s="136">
        <f t="shared" si="32"/>
        <v>5</v>
      </c>
      <c r="I125" s="136">
        <f t="shared" si="32"/>
        <v>5</v>
      </c>
      <c r="J125" s="136">
        <f t="shared" si="32"/>
        <v>5</v>
      </c>
      <c r="K125" s="136">
        <f t="shared" si="32"/>
        <v>5</v>
      </c>
      <c r="L125" s="136">
        <f t="shared" si="32"/>
        <v>5</v>
      </c>
      <c r="M125" s="136">
        <f t="shared" si="32"/>
        <v>5</v>
      </c>
      <c r="N125" s="136">
        <f t="shared" si="32"/>
        <v>5</v>
      </c>
      <c r="O125" s="136">
        <f t="shared" si="32"/>
        <v>5</v>
      </c>
      <c r="P125" s="136">
        <f t="shared" si="32"/>
        <v>5</v>
      </c>
      <c r="Q125" s="136">
        <f t="shared" si="32"/>
        <v>5</v>
      </c>
      <c r="R125" s="136">
        <f t="shared" si="32"/>
        <v>5</v>
      </c>
      <c r="S125" s="136">
        <f t="shared" si="32"/>
        <v>5</v>
      </c>
      <c r="T125" s="136">
        <f t="shared" si="31"/>
        <v>5</v>
      </c>
      <c r="U125" s="136">
        <f t="shared" si="31"/>
        <v>5</v>
      </c>
      <c r="V125" s="136">
        <f t="shared" si="31"/>
        <v>5</v>
      </c>
      <c r="W125" s="136">
        <f t="shared" si="31"/>
        <v>5</v>
      </c>
      <c r="X125" s="136">
        <f t="shared" si="31"/>
        <v>5</v>
      </c>
      <c r="Y125" s="136">
        <f t="shared" si="31"/>
        <v>5</v>
      </c>
      <c r="Z125" s="136">
        <f t="shared" si="31"/>
        <v>5</v>
      </c>
      <c r="AA125" s="136">
        <f t="shared" si="31"/>
        <v>5</v>
      </c>
      <c r="AB125" s="136">
        <f t="shared" si="31"/>
        <v>5</v>
      </c>
      <c r="AC125" s="136">
        <f t="shared" si="31"/>
        <v>5</v>
      </c>
      <c r="AD125" s="136">
        <f t="shared" si="31"/>
        <v>5</v>
      </c>
      <c r="AE125" s="136">
        <f t="shared" si="31"/>
        <v>5</v>
      </c>
      <c r="AF125" s="136">
        <f t="shared" si="31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29"/>
        <v>1</v>
      </c>
      <c r="C126" s="137">
        <v>1</v>
      </c>
      <c r="D126" s="136">
        <f t="shared" si="32"/>
        <v>1</v>
      </c>
      <c r="E126" s="136">
        <f t="shared" si="32"/>
        <v>1</v>
      </c>
      <c r="F126" s="136">
        <f t="shared" si="32"/>
        <v>1</v>
      </c>
      <c r="G126" s="136">
        <f t="shared" si="32"/>
        <v>1</v>
      </c>
      <c r="H126" s="136">
        <f t="shared" si="32"/>
        <v>1</v>
      </c>
      <c r="I126" s="136">
        <f t="shared" si="32"/>
        <v>1</v>
      </c>
      <c r="J126" s="136">
        <f t="shared" si="32"/>
        <v>1</v>
      </c>
      <c r="K126" s="136">
        <f t="shared" si="32"/>
        <v>1</v>
      </c>
      <c r="L126" s="136">
        <f t="shared" si="32"/>
        <v>1</v>
      </c>
      <c r="M126" s="136">
        <f t="shared" si="32"/>
        <v>1</v>
      </c>
      <c r="N126" s="136">
        <f t="shared" si="32"/>
        <v>1</v>
      </c>
      <c r="O126" s="136">
        <f t="shared" si="32"/>
        <v>1</v>
      </c>
      <c r="P126" s="136">
        <f t="shared" si="32"/>
        <v>1</v>
      </c>
      <c r="Q126" s="136">
        <f t="shared" si="32"/>
        <v>1</v>
      </c>
      <c r="R126" s="136">
        <f t="shared" si="32"/>
        <v>1</v>
      </c>
      <c r="S126" s="136">
        <f t="shared" si="32"/>
        <v>1</v>
      </c>
      <c r="T126" s="136">
        <f t="shared" si="31"/>
        <v>1</v>
      </c>
      <c r="U126" s="136">
        <f t="shared" si="31"/>
        <v>1</v>
      </c>
      <c r="V126" s="136">
        <f t="shared" si="31"/>
        <v>1</v>
      </c>
      <c r="W126" s="136">
        <f t="shared" si="31"/>
        <v>1</v>
      </c>
      <c r="X126" s="136">
        <f t="shared" si="31"/>
        <v>1</v>
      </c>
      <c r="Y126" s="136">
        <f t="shared" si="31"/>
        <v>1</v>
      </c>
      <c r="Z126" s="136">
        <f t="shared" si="31"/>
        <v>1</v>
      </c>
      <c r="AA126" s="136">
        <f t="shared" si="31"/>
        <v>1</v>
      </c>
      <c r="AB126" s="136">
        <f t="shared" si="31"/>
        <v>1</v>
      </c>
      <c r="AC126" s="136">
        <f t="shared" si="31"/>
        <v>1</v>
      </c>
      <c r="AD126" s="136">
        <f t="shared" si="31"/>
        <v>1</v>
      </c>
      <c r="AE126" s="136">
        <f t="shared" si="31"/>
        <v>1</v>
      </c>
      <c r="AF126" s="136">
        <f t="shared" si="31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29"/>
        <v>1.58</v>
      </c>
      <c r="C127" s="137">
        <v>1.58</v>
      </c>
      <c r="D127" s="136">
        <f t="shared" si="32"/>
        <v>1.58</v>
      </c>
      <c r="E127" s="136">
        <f t="shared" si="32"/>
        <v>1.58</v>
      </c>
      <c r="F127" s="136">
        <f t="shared" si="32"/>
        <v>1.58</v>
      </c>
      <c r="G127" s="136">
        <f t="shared" si="32"/>
        <v>1.58</v>
      </c>
      <c r="H127" s="136">
        <f t="shared" si="32"/>
        <v>1.58</v>
      </c>
      <c r="I127" s="136">
        <f t="shared" si="32"/>
        <v>1.58</v>
      </c>
      <c r="J127" s="136">
        <f t="shared" si="32"/>
        <v>1.58</v>
      </c>
      <c r="K127" s="136">
        <f t="shared" si="32"/>
        <v>1.58</v>
      </c>
      <c r="L127" s="136">
        <f t="shared" si="32"/>
        <v>1.58</v>
      </c>
      <c r="M127" s="136">
        <f t="shared" si="32"/>
        <v>1.58</v>
      </c>
      <c r="N127" s="136">
        <f t="shared" si="32"/>
        <v>1.58</v>
      </c>
      <c r="O127" s="136">
        <f t="shared" si="32"/>
        <v>1.58</v>
      </c>
      <c r="P127" s="136">
        <f t="shared" si="32"/>
        <v>1.58</v>
      </c>
      <c r="Q127" s="136">
        <f t="shared" si="32"/>
        <v>1.58</v>
      </c>
      <c r="R127" s="136">
        <f t="shared" si="32"/>
        <v>1.58</v>
      </c>
      <c r="S127" s="136">
        <f t="shared" si="32"/>
        <v>1.58</v>
      </c>
      <c r="T127" s="136">
        <f t="shared" si="31"/>
        <v>1.58</v>
      </c>
      <c r="U127" s="136">
        <f t="shared" si="31"/>
        <v>1.58</v>
      </c>
      <c r="V127" s="136">
        <f t="shared" si="31"/>
        <v>1.58</v>
      </c>
      <c r="W127" s="136">
        <f t="shared" si="31"/>
        <v>1.58</v>
      </c>
      <c r="X127" s="136">
        <f t="shared" si="31"/>
        <v>1.58</v>
      </c>
      <c r="Y127" s="136">
        <f t="shared" si="31"/>
        <v>1.58</v>
      </c>
      <c r="Z127" s="136">
        <f t="shared" si="31"/>
        <v>1.58</v>
      </c>
      <c r="AA127" s="136">
        <f t="shared" si="31"/>
        <v>1.58</v>
      </c>
      <c r="AB127" s="136">
        <f t="shared" si="31"/>
        <v>1.58</v>
      </c>
      <c r="AC127" s="136">
        <f t="shared" si="31"/>
        <v>1.58</v>
      </c>
      <c r="AD127" s="136">
        <f t="shared" si="31"/>
        <v>1.58</v>
      </c>
      <c r="AE127" s="136">
        <f t="shared" si="31"/>
        <v>1.58</v>
      </c>
      <c r="AF127" s="136">
        <f t="shared" si="31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29"/>
        <v>1.46</v>
      </c>
      <c r="C128" s="137">
        <v>1.46</v>
      </c>
      <c r="D128" s="136">
        <f t="shared" si="32"/>
        <v>1.46</v>
      </c>
      <c r="E128" s="136">
        <f t="shared" si="32"/>
        <v>1.46</v>
      </c>
      <c r="F128" s="136">
        <f t="shared" si="32"/>
        <v>1.46</v>
      </c>
      <c r="G128" s="136">
        <f t="shared" si="32"/>
        <v>1.46</v>
      </c>
      <c r="H128" s="136">
        <f t="shared" si="32"/>
        <v>1.46</v>
      </c>
      <c r="I128" s="136">
        <f t="shared" si="32"/>
        <v>1.46</v>
      </c>
      <c r="J128" s="136">
        <f t="shared" si="32"/>
        <v>1.46</v>
      </c>
      <c r="K128" s="136">
        <f t="shared" si="32"/>
        <v>1.46</v>
      </c>
      <c r="L128" s="136">
        <f t="shared" si="32"/>
        <v>1.46</v>
      </c>
      <c r="M128" s="136">
        <f t="shared" si="32"/>
        <v>1.46</v>
      </c>
      <c r="N128" s="136">
        <f t="shared" si="32"/>
        <v>1.46</v>
      </c>
      <c r="O128" s="136">
        <f t="shared" si="32"/>
        <v>1.46</v>
      </c>
      <c r="P128" s="136">
        <f t="shared" si="32"/>
        <v>1.46</v>
      </c>
      <c r="Q128" s="136">
        <f t="shared" si="32"/>
        <v>1.46</v>
      </c>
      <c r="R128" s="136">
        <f t="shared" si="32"/>
        <v>1.46</v>
      </c>
      <c r="S128" s="136">
        <f t="shared" si="32"/>
        <v>1.46</v>
      </c>
      <c r="T128" s="136">
        <f t="shared" ref="T128:AF129" si="33">S128</f>
        <v>1.46</v>
      </c>
      <c r="U128" s="136">
        <f t="shared" si="33"/>
        <v>1.46</v>
      </c>
      <c r="V128" s="136">
        <f t="shared" si="33"/>
        <v>1.46</v>
      </c>
      <c r="W128" s="136">
        <f t="shared" si="33"/>
        <v>1.46</v>
      </c>
      <c r="X128" s="136">
        <f t="shared" si="33"/>
        <v>1.46</v>
      </c>
      <c r="Y128" s="136">
        <f t="shared" si="33"/>
        <v>1.46</v>
      </c>
      <c r="Z128" s="136">
        <f t="shared" si="33"/>
        <v>1.46</v>
      </c>
      <c r="AA128" s="136">
        <f t="shared" si="33"/>
        <v>1.46</v>
      </c>
      <c r="AB128" s="136">
        <f t="shared" si="33"/>
        <v>1.46</v>
      </c>
      <c r="AC128" s="136">
        <f t="shared" si="33"/>
        <v>1.46</v>
      </c>
      <c r="AD128" s="136">
        <f t="shared" si="33"/>
        <v>1.46</v>
      </c>
      <c r="AE128" s="136">
        <f t="shared" si="33"/>
        <v>1.46</v>
      </c>
      <c r="AF128" s="136">
        <f t="shared" si="33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29"/>
        <v>1.48</v>
      </c>
      <c r="C129" s="137">
        <v>1.48</v>
      </c>
      <c r="D129" s="136">
        <f t="shared" si="32"/>
        <v>1.48</v>
      </c>
      <c r="E129" s="136">
        <f t="shared" si="32"/>
        <v>1.48</v>
      </c>
      <c r="F129" s="136">
        <f t="shared" si="32"/>
        <v>1.48</v>
      </c>
      <c r="G129" s="136">
        <f t="shared" si="32"/>
        <v>1.48</v>
      </c>
      <c r="H129" s="136">
        <f t="shared" si="32"/>
        <v>1.48</v>
      </c>
      <c r="I129" s="136">
        <f t="shared" si="32"/>
        <v>1.48</v>
      </c>
      <c r="J129" s="136">
        <f t="shared" si="32"/>
        <v>1.48</v>
      </c>
      <c r="K129" s="136">
        <f t="shared" si="32"/>
        <v>1.48</v>
      </c>
      <c r="L129" s="136">
        <f t="shared" si="32"/>
        <v>1.48</v>
      </c>
      <c r="M129" s="136">
        <f t="shared" si="32"/>
        <v>1.48</v>
      </c>
      <c r="N129" s="136">
        <f t="shared" si="32"/>
        <v>1.48</v>
      </c>
      <c r="O129" s="136">
        <f t="shared" si="32"/>
        <v>1.48</v>
      </c>
      <c r="P129" s="136">
        <f t="shared" si="32"/>
        <v>1.48</v>
      </c>
      <c r="Q129" s="136">
        <f t="shared" si="32"/>
        <v>1.48</v>
      </c>
      <c r="R129" s="136">
        <f t="shared" si="32"/>
        <v>1.48</v>
      </c>
      <c r="S129" s="136">
        <f t="shared" si="32"/>
        <v>1.48</v>
      </c>
      <c r="T129" s="136">
        <f t="shared" si="33"/>
        <v>1.48</v>
      </c>
      <c r="U129" s="136">
        <f t="shared" si="33"/>
        <v>1.48</v>
      </c>
      <c r="V129" s="136">
        <f t="shared" si="33"/>
        <v>1.48</v>
      </c>
      <c r="W129" s="136">
        <f t="shared" si="33"/>
        <v>1.48</v>
      </c>
      <c r="X129" s="136">
        <f t="shared" si="33"/>
        <v>1.48</v>
      </c>
      <c r="Y129" s="136">
        <f t="shared" si="33"/>
        <v>1.48</v>
      </c>
      <c r="Z129" s="136">
        <f t="shared" si="33"/>
        <v>1.48</v>
      </c>
      <c r="AA129" s="136">
        <f t="shared" si="33"/>
        <v>1.48</v>
      </c>
      <c r="AB129" s="136">
        <f t="shared" si="33"/>
        <v>1.48</v>
      </c>
      <c r="AC129" s="136">
        <f t="shared" si="33"/>
        <v>1.48</v>
      </c>
      <c r="AD129" s="136">
        <f t="shared" si="33"/>
        <v>1.48</v>
      </c>
      <c r="AE129" s="136">
        <f t="shared" si="33"/>
        <v>1.48</v>
      </c>
      <c r="AF129" s="136">
        <f t="shared" si="33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34">AF131</f>
        <v>2.2000000000000002</v>
      </c>
      <c r="C131" s="137">
        <v>2.2000000000000002</v>
      </c>
      <c r="D131" s="136">
        <f t="shared" ref="D131:S138" si="35">C131</f>
        <v>2.2000000000000002</v>
      </c>
      <c r="E131" s="136">
        <f t="shared" si="35"/>
        <v>2.2000000000000002</v>
      </c>
      <c r="F131" s="136">
        <f t="shared" si="35"/>
        <v>2.2000000000000002</v>
      </c>
      <c r="G131" s="136">
        <f t="shared" si="35"/>
        <v>2.2000000000000002</v>
      </c>
      <c r="H131" s="136">
        <f t="shared" si="35"/>
        <v>2.2000000000000002</v>
      </c>
      <c r="I131" s="136">
        <f t="shared" si="35"/>
        <v>2.2000000000000002</v>
      </c>
      <c r="J131" s="136">
        <f t="shared" si="35"/>
        <v>2.2000000000000002</v>
      </c>
      <c r="K131" s="136">
        <f t="shared" si="35"/>
        <v>2.2000000000000002</v>
      </c>
      <c r="L131" s="136">
        <f t="shared" si="35"/>
        <v>2.2000000000000002</v>
      </c>
      <c r="M131" s="136">
        <f t="shared" si="35"/>
        <v>2.2000000000000002</v>
      </c>
      <c r="N131" s="136">
        <f t="shared" si="35"/>
        <v>2.2000000000000002</v>
      </c>
      <c r="O131" s="136">
        <f t="shared" si="35"/>
        <v>2.2000000000000002</v>
      </c>
      <c r="P131" s="136">
        <f t="shared" si="35"/>
        <v>2.2000000000000002</v>
      </c>
      <c r="Q131" s="136">
        <f t="shared" si="35"/>
        <v>2.2000000000000002</v>
      </c>
      <c r="R131" s="136">
        <f t="shared" si="35"/>
        <v>2.2000000000000002</v>
      </c>
      <c r="S131" s="136">
        <f t="shared" si="35"/>
        <v>2.2000000000000002</v>
      </c>
      <c r="T131" s="136">
        <f t="shared" ref="T131:AF138" si="36">S131</f>
        <v>2.2000000000000002</v>
      </c>
      <c r="U131" s="136">
        <f t="shared" si="36"/>
        <v>2.2000000000000002</v>
      </c>
      <c r="V131" s="136">
        <f t="shared" si="36"/>
        <v>2.2000000000000002</v>
      </c>
      <c r="W131" s="136">
        <f t="shared" si="36"/>
        <v>2.2000000000000002</v>
      </c>
      <c r="X131" s="136">
        <f t="shared" si="36"/>
        <v>2.2000000000000002</v>
      </c>
      <c r="Y131" s="136">
        <f t="shared" si="36"/>
        <v>2.2000000000000002</v>
      </c>
      <c r="Z131" s="136">
        <f t="shared" si="36"/>
        <v>2.2000000000000002</v>
      </c>
      <c r="AA131" s="136">
        <f t="shared" si="36"/>
        <v>2.2000000000000002</v>
      </c>
      <c r="AB131" s="136">
        <f t="shared" si="36"/>
        <v>2.2000000000000002</v>
      </c>
      <c r="AC131" s="136">
        <f t="shared" si="36"/>
        <v>2.2000000000000002</v>
      </c>
      <c r="AD131" s="136">
        <f t="shared" si="36"/>
        <v>2.2000000000000002</v>
      </c>
      <c r="AE131" s="136">
        <f t="shared" si="36"/>
        <v>2.2000000000000002</v>
      </c>
      <c r="AF131" s="136">
        <f t="shared" si="36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34"/>
        <v>2</v>
      </c>
      <c r="C132" s="137">
        <v>2</v>
      </c>
      <c r="D132" s="136">
        <f t="shared" si="35"/>
        <v>2</v>
      </c>
      <c r="E132" s="136">
        <f t="shared" si="35"/>
        <v>2</v>
      </c>
      <c r="F132" s="136">
        <f t="shared" si="35"/>
        <v>2</v>
      </c>
      <c r="G132" s="136">
        <f t="shared" si="35"/>
        <v>2</v>
      </c>
      <c r="H132" s="136">
        <f t="shared" si="35"/>
        <v>2</v>
      </c>
      <c r="I132" s="136">
        <f t="shared" si="35"/>
        <v>2</v>
      </c>
      <c r="J132" s="136">
        <f t="shared" si="35"/>
        <v>2</v>
      </c>
      <c r="K132" s="136">
        <f t="shared" si="35"/>
        <v>2</v>
      </c>
      <c r="L132" s="136">
        <f t="shared" si="35"/>
        <v>2</v>
      </c>
      <c r="M132" s="136">
        <f t="shared" si="35"/>
        <v>2</v>
      </c>
      <c r="N132" s="136">
        <f t="shared" si="35"/>
        <v>2</v>
      </c>
      <c r="O132" s="136">
        <f t="shared" si="35"/>
        <v>2</v>
      </c>
      <c r="P132" s="136">
        <f t="shared" si="35"/>
        <v>2</v>
      </c>
      <c r="Q132" s="136">
        <f t="shared" si="35"/>
        <v>2</v>
      </c>
      <c r="R132" s="136">
        <f t="shared" si="35"/>
        <v>2</v>
      </c>
      <c r="S132" s="136">
        <f t="shared" si="35"/>
        <v>2</v>
      </c>
      <c r="T132" s="136">
        <f t="shared" si="36"/>
        <v>2</v>
      </c>
      <c r="U132" s="136">
        <f t="shared" si="36"/>
        <v>2</v>
      </c>
      <c r="V132" s="136">
        <f t="shared" si="36"/>
        <v>2</v>
      </c>
      <c r="W132" s="136">
        <f t="shared" si="36"/>
        <v>2</v>
      </c>
      <c r="X132" s="136">
        <f t="shared" si="36"/>
        <v>2</v>
      </c>
      <c r="Y132" s="136">
        <f t="shared" si="36"/>
        <v>2</v>
      </c>
      <c r="Z132" s="136">
        <f t="shared" si="36"/>
        <v>2</v>
      </c>
      <c r="AA132" s="136">
        <f t="shared" si="36"/>
        <v>2</v>
      </c>
      <c r="AB132" s="136">
        <f t="shared" si="36"/>
        <v>2</v>
      </c>
      <c r="AC132" s="136">
        <f t="shared" si="36"/>
        <v>2</v>
      </c>
      <c r="AD132" s="136">
        <f t="shared" si="36"/>
        <v>2</v>
      </c>
      <c r="AE132" s="136">
        <f t="shared" si="36"/>
        <v>2</v>
      </c>
      <c r="AF132" s="136">
        <f t="shared" si="36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34"/>
        <v>1.25</v>
      </c>
      <c r="C133" s="137">
        <v>1.25</v>
      </c>
      <c r="D133" s="136">
        <f t="shared" si="35"/>
        <v>1.25</v>
      </c>
      <c r="E133" s="136">
        <f t="shared" si="35"/>
        <v>1.25</v>
      </c>
      <c r="F133" s="136">
        <f t="shared" si="35"/>
        <v>1.25</v>
      </c>
      <c r="G133" s="136">
        <f t="shared" si="35"/>
        <v>1.25</v>
      </c>
      <c r="H133" s="136">
        <f t="shared" si="35"/>
        <v>1.25</v>
      </c>
      <c r="I133" s="136">
        <f t="shared" si="35"/>
        <v>1.25</v>
      </c>
      <c r="J133" s="136">
        <f t="shared" si="35"/>
        <v>1.25</v>
      </c>
      <c r="K133" s="136">
        <f t="shared" si="35"/>
        <v>1.25</v>
      </c>
      <c r="L133" s="136">
        <f t="shared" si="35"/>
        <v>1.25</v>
      </c>
      <c r="M133" s="136">
        <f t="shared" si="35"/>
        <v>1.25</v>
      </c>
      <c r="N133" s="136">
        <f t="shared" si="35"/>
        <v>1.25</v>
      </c>
      <c r="O133" s="136">
        <f t="shared" si="35"/>
        <v>1.25</v>
      </c>
      <c r="P133" s="136">
        <f t="shared" si="35"/>
        <v>1.25</v>
      </c>
      <c r="Q133" s="136">
        <f t="shared" si="35"/>
        <v>1.25</v>
      </c>
      <c r="R133" s="136">
        <f t="shared" si="35"/>
        <v>1.25</v>
      </c>
      <c r="S133" s="136">
        <f t="shared" si="35"/>
        <v>1.25</v>
      </c>
      <c r="T133" s="136">
        <f t="shared" si="36"/>
        <v>1.25</v>
      </c>
      <c r="U133" s="136">
        <f t="shared" si="36"/>
        <v>1.25</v>
      </c>
      <c r="V133" s="136">
        <f t="shared" si="36"/>
        <v>1.25</v>
      </c>
      <c r="W133" s="136">
        <f t="shared" si="36"/>
        <v>1.25</v>
      </c>
      <c r="X133" s="136">
        <f t="shared" si="36"/>
        <v>1.25</v>
      </c>
      <c r="Y133" s="136">
        <f t="shared" si="36"/>
        <v>1.25</v>
      </c>
      <c r="Z133" s="136">
        <f t="shared" si="36"/>
        <v>1.25</v>
      </c>
      <c r="AA133" s="136">
        <f t="shared" si="36"/>
        <v>1.25</v>
      </c>
      <c r="AB133" s="136">
        <f t="shared" si="36"/>
        <v>1.25</v>
      </c>
      <c r="AC133" s="136">
        <f t="shared" si="36"/>
        <v>1.25</v>
      </c>
      <c r="AD133" s="136">
        <f t="shared" si="36"/>
        <v>1.25</v>
      </c>
      <c r="AE133" s="136">
        <f t="shared" si="36"/>
        <v>1.25</v>
      </c>
      <c r="AF133" s="136">
        <f t="shared" si="36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34"/>
        <v>1.1499999999999999</v>
      </c>
      <c r="C134" s="137">
        <v>1.1499999999999999</v>
      </c>
      <c r="D134" s="136">
        <f t="shared" si="35"/>
        <v>1.1499999999999999</v>
      </c>
      <c r="E134" s="136">
        <f t="shared" si="35"/>
        <v>1.1499999999999999</v>
      </c>
      <c r="F134" s="136">
        <f t="shared" si="35"/>
        <v>1.1499999999999999</v>
      </c>
      <c r="G134" s="136">
        <f t="shared" si="35"/>
        <v>1.1499999999999999</v>
      </c>
      <c r="H134" s="136">
        <f t="shared" si="35"/>
        <v>1.1499999999999999</v>
      </c>
      <c r="I134" s="136">
        <f t="shared" si="35"/>
        <v>1.1499999999999999</v>
      </c>
      <c r="J134" s="136">
        <f t="shared" si="35"/>
        <v>1.1499999999999999</v>
      </c>
      <c r="K134" s="136">
        <f t="shared" si="35"/>
        <v>1.1499999999999999</v>
      </c>
      <c r="L134" s="136">
        <f t="shared" si="35"/>
        <v>1.1499999999999999</v>
      </c>
      <c r="M134" s="136">
        <f t="shared" si="35"/>
        <v>1.1499999999999999</v>
      </c>
      <c r="N134" s="136">
        <f t="shared" si="35"/>
        <v>1.1499999999999999</v>
      </c>
      <c r="O134" s="136">
        <f t="shared" si="35"/>
        <v>1.1499999999999999</v>
      </c>
      <c r="P134" s="136">
        <f t="shared" si="35"/>
        <v>1.1499999999999999</v>
      </c>
      <c r="Q134" s="136">
        <f t="shared" si="35"/>
        <v>1.1499999999999999</v>
      </c>
      <c r="R134" s="136">
        <f t="shared" si="35"/>
        <v>1.1499999999999999</v>
      </c>
      <c r="S134" s="136">
        <f t="shared" si="35"/>
        <v>1.1499999999999999</v>
      </c>
      <c r="T134" s="136">
        <f t="shared" si="36"/>
        <v>1.1499999999999999</v>
      </c>
      <c r="U134" s="136">
        <f t="shared" si="36"/>
        <v>1.1499999999999999</v>
      </c>
      <c r="V134" s="136">
        <f t="shared" si="36"/>
        <v>1.1499999999999999</v>
      </c>
      <c r="W134" s="136">
        <f t="shared" si="36"/>
        <v>1.1499999999999999</v>
      </c>
      <c r="X134" s="136">
        <f t="shared" si="36"/>
        <v>1.1499999999999999</v>
      </c>
      <c r="Y134" s="136">
        <f t="shared" si="36"/>
        <v>1.1499999999999999</v>
      </c>
      <c r="Z134" s="136">
        <f t="shared" si="36"/>
        <v>1.1499999999999999</v>
      </c>
      <c r="AA134" s="136">
        <f t="shared" si="36"/>
        <v>1.1499999999999999</v>
      </c>
      <c r="AB134" s="136">
        <f t="shared" si="36"/>
        <v>1.1499999999999999</v>
      </c>
      <c r="AC134" s="136">
        <f t="shared" si="36"/>
        <v>1.1499999999999999</v>
      </c>
      <c r="AD134" s="136">
        <f t="shared" si="36"/>
        <v>1.1499999999999999</v>
      </c>
      <c r="AE134" s="136">
        <f t="shared" si="36"/>
        <v>1.1499999999999999</v>
      </c>
      <c r="AF134" s="136">
        <f t="shared" si="36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34"/>
        <v>2.133</v>
      </c>
      <c r="C135" s="137">
        <v>2.133</v>
      </c>
      <c r="D135" s="136">
        <f t="shared" si="35"/>
        <v>2.133</v>
      </c>
      <c r="E135" s="136">
        <f t="shared" si="35"/>
        <v>2.133</v>
      </c>
      <c r="F135" s="136">
        <f t="shared" si="35"/>
        <v>2.133</v>
      </c>
      <c r="G135" s="136">
        <f t="shared" si="35"/>
        <v>2.133</v>
      </c>
      <c r="H135" s="136">
        <f t="shared" si="35"/>
        <v>2.133</v>
      </c>
      <c r="I135" s="136">
        <f t="shared" si="35"/>
        <v>2.133</v>
      </c>
      <c r="J135" s="136">
        <f t="shared" si="35"/>
        <v>2.133</v>
      </c>
      <c r="K135" s="136">
        <f t="shared" si="35"/>
        <v>2.133</v>
      </c>
      <c r="L135" s="136">
        <f t="shared" si="35"/>
        <v>2.133</v>
      </c>
      <c r="M135" s="136">
        <f t="shared" si="35"/>
        <v>2.133</v>
      </c>
      <c r="N135" s="136">
        <f t="shared" si="35"/>
        <v>2.133</v>
      </c>
      <c r="O135" s="136">
        <f t="shared" si="35"/>
        <v>2.133</v>
      </c>
      <c r="P135" s="136">
        <f t="shared" si="35"/>
        <v>2.133</v>
      </c>
      <c r="Q135" s="136">
        <f t="shared" si="35"/>
        <v>2.133</v>
      </c>
      <c r="R135" s="136">
        <f t="shared" si="35"/>
        <v>2.133</v>
      </c>
      <c r="S135" s="136">
        <f t="shared" si="35"/>
        <v>2.133</v>
      </c>
      <c r="T135" s="136">
        <f t="shared" si="36"/>
        <v>2.133</v>
      </c>
      <c r="U135" s="136">
        <f t="shared" si="36"/>
        <v>2.133</v>
      </c>
      <c r="V135" s="136">
        <f t="shared" si="36"/>
        <v>2.133</v>
      </c>
      <c r="W135" s="136">
        <f t="shared" si="36"/>
        <v>2.133</v>
      </c>
      <c r="X135" s="136">
        <f t="shared" si="36"/>
        <v>2.133</v>
      </c>
      <c r="Y135" s="136">
        <f t="shared" si="36"/>
        <v>2.133</v>
      </c>
      <c r="Z135" s="136">
        <f t="shared" si="36"/>
        <v>2.133</v>
      </c>
      <c r="AA135" s="136">
        <f t="shared" si="36"/>
        <v>2.133</v>
      </c>
      <c r="AB135" s="136">
        <f t="shared" si="36"/>
        <v>2.133</v>
      </c>
      <c r="AC135" s="136">
        <f t="shared" si="36"/>
        <v>2.133</v>
      </c>
      <c r="AD135" s="136">
        <f t="shared" si="36"/>
        <v>2.133</v>
      </c>
      <c r="AE135" s="136">
        <f t="shared" si="36"/>
        <v>2.133</v>
      </c>
      <c r="AF135" s="136">
        <f t="shared" si="36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34"/>
        <v>2.09</v>
      </c>
      <c r="C136" s="137">
        <v>2.09</v>
      </c>
      <c r="D136" s="136">
        <f t="shared" si="35"/>
        <v>2.09</v>
      </c>
      <c r="E136" s="136">
        <f t="shared" si="35"/>
        <v>2.09</v>
      </c>
      <c r="F136" s="136">
        <f t="shared" si="35"/>
        <v>2.09</v>
      </c>
      <c r="G136" s="136">
        <f t="shared" si="35"/>
        <v>2.09</v>
      </c>
      <c r="H136" s="136">
        <f t="shared" si="35"/>
        <v>2.09</v>
      </c>
      <c r="I136" s="136">
        <f t="shared" si="35"/>
        <v>2.09</v>
      </c>
      <c r="J136" s="136">
        <f t="shared" si="35"/>
        <v>2.09</v>
      </c>
      <c r="K136" s="136">
        <f t="shared" si="35"/>
        <v>2.09</v>
      </c>
      <c r="L136" s="136">
        <f t="shared" si="35"/>
        <v>2.09</v>
      </c>
      <c r="M136" s="136">
        <f t="shared" si="35"/>
        <v>2.09</v>
      </c>
      <c r="N136" s="136">
        <f t="shared" si="35"/>
        <v>2.09</v>
      </c>
      <c r="O136" s="136">
        <f t="shared" si="35"/>
        <v>2.09</v>
      </c>
      <c r="P136" s="136">
        <f t="shared" si="35"/>
        <v>2.09</v>
      </c>
      <c r="Q136" s="136">
        <f t="shared" si="35"/>
        <v>2.09</v>
      </c>
      <c r="R136" s="136">
        <f t="shared" si="35"/>
        <v>2.09</v>
      </c>
      <c r="S136" s="136">
        <f t="shared" si="35"/>
        <v>2.09</v>
      </c>
      <c r="T136" s="136">
        <f t="shared" si="36"/>
        <v>2.09</v>
      </c>
      <c r="U136" s="136">
        <f t="shared" si="36"/>
        <v>2.09</v>
      </c>
      <c r="V136" s="136">
        <f t="shared" si="36"/>
        <v>2.09</v>
      </c>
      <c r="W136" s="136">
        <f t="shared" si="36"/>
        <v>2.09</v>
      </c>
      <c r="X136" s="136">
        <f t="shared" si="36"/>
        <v>2.09</v>
      </c>
      <c r="Y136" s="136">
        <f t="shared" si="36"/>
        <v>2.09</v>
      </c>
      <c r="Z136" s="136">
        <f t="shared" si="36"/>
        <v>2.09</v>
      </c>
      <c r="AA136" s="136">
        <f t="shared" si="36"/>
        <v>2.09</v>
      </c>
      <c r="AB136" s="136">
        <f t="shared" si="36"/>
        <v>2.09</v>
      </c>
      <c r="AC136" s="136">
        <f t="shared" si="36"/>
        <v>2.09</v>
      </c>
      <c r="AD136" s="136">
        <f t="shared" si="36"/>
        <v>2.09</v>
      </c>
      <c r="AE136" s="136">
        <f t="shared" si="36"/>
        <v>2.09</v>
      </c>
      <c r="AF136" s="136">
        <f t="shared" si="36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34"/>
        <v>1.1399999999999999</v>
      </c>
      <c r="C137" s="137">
        <v>1.1399999999999999</v>
      </c>
      <c r="D137" s="136">
        <f t="shared" si="35"/>
        <v>1.1399999999999999</v>
      </c>
      <c r="E137" s="136">
        <f t="shared" si="35"/>
        <v>1.1399999999999999</v>
      </c>
      <c r="F137" s="136">
        <f t="shared" si="35"/>
        <v>1.1399999999999999</v>
      </c>
      <c r="G137" s="136">
        <f t="shared" si="35"/>
        <v>1.1399999999999999</v>
      </c>
      <c r="H137" s="136">
        <f t="shared" si="35"/>
        <v>1.1399999999999999</v>
      </c>
      <c r="I137" s="136">
        <f t="shared" si="35"/>
        <v>1.1399999999999999</v>
      </c>
      <c r="J137" s="136">
        <f t="shared" si="35"/>
        <v>1.1399999999999999</v>
      </c>
      <c r="K137" s="136">
        <f t="shared" si="35"/>
        <v>1.1399999999999999</v>
      </c>
      <c r="L137" s="136">
        <f t="shared" si="35"/>
        <v>1.1399999999999999</v>
      </c>
      <c r="M137" s="136">
        <f t="shared" si="35"/>
        <v>1.1399999999999999</v>
      </c>
      <c r="N137" s="136">
        <f t="shared" si="35"/>
        <v>1.1399999999999999</v>
      </c>
      <c r="O137" s="136">
        <f t="shared" si="35"/>
        <v>1.1399999999999999</v>
      </c>
      <c r="P137" s="136">
        <f t="shared" si="35"/>
        <v>1.1399999999999999</v>
      </c>
      <c r="Q137" s="136">
        <f t="shared" si="35"/>
        <v>1.1399999999999999</v>
      </c>
      <c r="R137" s="136">
        <f t="shared" si="35"/>
        <v>1.1399999999999999</v>
      </c>
      <c r="S137" s="136">
        <f t="shared" si="35"/>
        <v>1.1399999999999999</v>
      </c>
      <c r="T137" s="136">
        <f t="shared" si="36"/>
        <v>1.1399999999999999</v>
      </c>
      <c r="U137" s="136">
        <f t="shared" si="36"/>
        <v>1.1399999999999999</v>
      </c>
      <c r="V137" s="136">
        <f t="shared" si="36"/>
        <v>1.1399999999999999</v>
      </c>
      <c r="W137" s="136">
        <f t="shared" si="36"/>
        <v>1.1399999999999999</v>
      </c>
      <c r="X137" s="136">
        <f t="shared" si="36"/>
        <v>1.1399999999999999</v>
      </c>
      <c r="Y137" s="136">
        <f t="shared" si="36"/>
        <v>1.1399999999999999</v>
      </c>
      <c r="Z137" s="136">
        <f t="shared" si="36"/>
        <v>1.1399999999999999</v>
      </c>
      <c r="AA137" s="136">
        <f t="shared" si="36"/>
        <v>1.1399999999999999</v>
      </c>
      <c r="AB137" s="136">
        <f t="shared" si="36"/>
        <v>1.1399999999999999</v>
      </c>
      <c r="AC137" s="136">
        <f t="shared" si="36"/>
        <v>1.1399999999999999</v>
      </c>
      <c r="AD137" s="136">
        <f t="shared" si="36"/>
        <v>1.1399999999999999</v>
      </c>
      <c r="AE137" s="136">
        <f t="shared" si="36"/>
        <v>1.1399999999999999</v>
      </c>
      <c r="AF137" s="136">
        <f t="shared" si="36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34"/>
        <v>0.82</v>
      </c>
      <c r="C138" s="137">
        <v>0.82</v>
      </c>
      <c r="D138" s="136">
        <f t="shared" si="35"/>
        <v>0.82</v>
      </c>
      <c r="E138" s="136">
        <f t="shared" si="35"/>
        <v>0.82</v>
      </c>
      <c r="F138" s="136">
        <f t="shared" si="35"/>
        <v>0.82</v>
      </c>
      <c r="G138" s="136">
        <f t="shared" si="35"/>
        <v>0.82</v>
      </c>
      <c r="H138" s="136">
        <f t="shared" si="35"/>
        <v>0.82</v>
      </c>
      <c r="I138" s="136">
        <f t="shared" si="35"/>
        <v>0.82</v>
      </c>
      <c r="J138" s="136">
        <f t="shared" si="35"/>
        <v>0.82</v>
      </c>
      <c r="K138" s="136">
        <f t="shared" si="35"/>
        <v>0.82</v>
      </c>
      <c r="L138" s="136">
        <f t="shared" si="35"/>
        <v>0.82</v>
      </c>
      <c r="M138" s="136">
        <f t="shared" si="35"/>
        <v>0.82</v>
      </c>
      <c r="N138" s="136">
        <f t="shared" si="35"/>
        <v>0.82</v>
      </c>
      <c r="O138" s="136">
        <f t="shared" si="35"/>
        <v>0.82</v>
      </c>
      <c r="P138" s="136">
        <f t="shared" si="35"/>
        <v>0.82</v>
      </c>
      <c r="Q138" s="136">
        <f t="shared" si="35"/>
        <v>0.82</v>
      </c>
      <c r="R138" s="136">
        <f t="shared" si="35"/>
        <v>0.82</v>
      </c>
      <c r="S138" s="136">
        <f t="shared" si="35"/>
        <v>0.82</v>
      </c>
      <c r="T138" s="136">
        <f t="shared" si="36"/>
        <v>0.82</v>
      </c>
      <c r="U138" s="136">
        <f t="shared" si="36"/>
        <v>0.82</v>
      </c>
      <c r="V138" s="136">
        <f t="shared" si="36"/>
        <v>0.82</v>
      </c>
      <c r="W138" s="136">
        <f t="shared" si="36"/>
        <v>0.82</v>
      </c>
      <c r="X138" s="136">
        <f t="shared" si="36"/>
        <v>0.82</v>
      </c>
      <c r="Y138" s="136">
        <f t="shared" si="36"/>
        <v>0.82</v>
      </c>
      <c r="Z138" s="136">
        <f t="shared" si="36"/>
        <v>0.82</v>
      </c>
      <c r="AA138" s="136">
        <f t="shared" si="36"/>
        <v>0.82</v>
      </c>
      <c r="AB138" s="136">
        <f t="shared" si="36"/>
        <v>0.82</v>
      </c>
      <c r="AC138" s="136">
        <f t="shared" si="36"/>
        <v>0.82</v>
      </c>
      <c r="AD138" s="136">
        <f t="shared" si="36"/>
        <v>0.82</v>
      </c>
      <c r="AE138" s="136">
        <f t="shared" si="36"/>
        <v>0.82</v>
      </c>
      <c r="AF138" s="136">
        <f t="shared" si="36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37">AF140</f>
        <v>2</v>
      </c>
      <c r="C140" s="137">
        <v>2</v>
      </c>
      <c r="D140" s="136">
        <f t="shared" ref="D140:S146" si="38">C140</f>
        <v>2</v>
      </c>
      <c r="E140" s="136">
        <f t="shared" si="38"/>
        <v>2</v>
      </c>
      <c r="F140" s="136">
        <f t="shared" si="38"/>
        <v>2</v>
      </c>
      <c r="G140" s="136">
        <f t="shared" si="38"/>
        <v>2</v>
      </c>
      <c r="H140" s="136">
        <f t="shared" si="38"/>
        <v>2</v>
      </c>
      <c r="I140" s="136">
        <f t="shared" si="38"/>
        <v>2</v>
      </c>
      <c r="J140" s="136">
        <f t="shared" si="38"/>
        <v>2</v>
      </c>
      <c r="K140" s="136">
        <f t="shared" si="38"/>
        <v>2</v>
      </c>
      <c r="L140" s="136">
        <f t="shared" si="38"/>
        <v>2</v>
      </c>
      <c r="M140" s="136">
        <f t="shared" si="38"/>
        <v>2</v>
      </c>
      <c r="N140" s="136">
        <f t="shared" si="38"/>
        <v>2</v>
      </c>
      <c r="O140" s="136">
        <f t="shared" si="38"/>
        <v>2</v>
      </c>
      <c r="P140" s="136">
        <f t="shared" si="38"/>
        <v>2</v>
      </c>
      <c r="Q140" s="136">
        <f t="shared" si="38"/>
        <v>2</v>
      </c>
      <c r="R140" s="136">
        <f t="shared" si="38"/>
        <v>2</v>
      </c>
      <c r="S140" s="136">
        <f t="shared" si="38"/>
        <v>2</v>
      </c>
      <c r="T140" s="136">
        <f t="shared" ref="T140:AF146" si="39">S140</f>
        <v>2</v>
      </c>
      <c r="U140" s="136">
        <f t="shared" si="39"/>
        <v>2</v>
      </c>
      <c r="V140" s="136">
        <f t="shared" si="39"/>
        <v>2</v>
      </c>
      <c r="W140" s="136">
        <f t="shared" si="39"/>
        <v>2</v>
      </c>
      <c r="X140" s="136">
        <f t="shared" si="39"/>
        <v>2</v>
      </c>
      <c r="Y140" s="136">
        <f t="shared" si="39"/>
        <v>2</v>
      </c>
      <c r="Z140" s="136">
        <f t="shared" si="39"/>
        <v>2</v>
      </c>
      <c r="AA140" s="136">
        <f t="shared" si="39"/>
        <v>2</v>
      </c>
      <c r="AB140" s="136">
        <f t="shared" si="39"/>
        <v>2</v>
      </c>
      <c r="AC140" s="136">
        <f t="shared" si="39"/>
        <v>2</v>
      </c>
      <c r="AD140" s="136">
        <f t="shared" si="39"/>
        <v>2</v>
      </c>
      <c r="AE140" s="136">
        <f t="shared" si="39"/>
        <v>2</v>
      </c>
      <c r="AF140" s="136">
        <f t="shared" si="39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37"/>
        <v>5.61</v>
      </c>
      <c r="C141" s="137">
        <v>5.61</v>
      </c>
      <c r="D141" s="136">
        <f t="shared" si="38"/>
        <v>5.61</v>
      </c>
      <c r="E141" s="136">
        <f t="shared" si="38"/>
        <v>5.61</v>
      </c>
      <c r="F141" s="136">
        <f t="shared" si="38"/>
        <v>5.61</v>
      </c>
      <c r="G141" s="136">
        <f t="shared" si="38"/>
        <v>5.61</v>
      </c>
      <c r="H141" s="136">
        <f t="shared" si="38"/>
        <v>5.61</v>
      </c>
      <c r="I141" s="136">
        <f t="shared" si="38"/>
        <v>5.61</v>
      </c>
      <c r="J141" s="136">
        <f t="shared" si="38"/>
        <v>5.61</v>
      </c>
      <c r="K141" s="136">
        <f t="shared" si="38"/>
        <v>5.61</v>
      </c>
      <c r="L141" s="136">
        <f t="shared" si="38"/>
        <v>5.61</v>
      </c>
      <c r="M141" s="136">
        <f t="shared" si="38"/>
        <v>5.61</v>
      </c>
      <c r="N141" s="136">
        <f t="shared" si="38"/>
        <v>5.61</v>
      </c>
      <c r="O141" s="136">
        <f t="shared" si="38"/>
        <v>5.61</v>
      </c>
      <c r="P141" s="136">
        <f t="shared" si="38"/>
        <v>5.61</v>
      </c>
      <c r="Q141" s="136">
        <f t="shared" si="38"/>
        <v>5.61</v>
      </c>
      <c r="R141" s="136">
        <f t="shared" si="38"/>
        <v>5.61</v>
      </c>
      <c r="S141" s="136">
        <f t="shared" si="38"/>
        <v>5.61</v>
      </c>
      <c r="T141" s="136">
        <f t="shared" si="39"/>
        <v>5.61</v>
      </c>
      <c r="U141" s="136">
        <f t="shared" si="39"/>
        <v>5.61</v>
      </c>
      <c r="V141" s="136">
        <f t="shared" si="39"/>
        <v>5.61</v>
      </c>
      <c r="W141" s="136">
        <f t="shared" si="39"/>
        <v>5.61</v>
      </c>
      <c r="X141" s="136">
        <f t="shared" si="39"/>
        <v>5.61</v>
      </c>
      <c r="Y141" s="136">
        <f t="shared" si="39"/>
        <v>5.61</v>
      </c>
      <c r="Z141" s="136">
        <f t="shared" si="39"/>
        <v>5.61</v>
      </c>
      <c r="AA141" s="136">
        <f t="shared" si="39"/>
        <v>5.61</v>
      </c>
      <c r="AB141" s="136">
        <f t="shared" si="39"/>
        <v>5.61</v>
      </c>
      <c r="AC141" s="136">
        <f t="shared" si="39"/>
        <v>5.61</v>
      </c>
      <c r="AD141" s="136">
        <f t="shared" si="39"/>
        <v>5.61</v>
      </c>
      <c r="AE141" s="136">
        <f t="shared" si="39"/>
        <v>5.61</v>
      </c>
      <c r="AF141" s="136">
        <f t="shared" si="39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37"/>
        <v>1.25</v>
      </c>
      <c r="C143" s="137">
        <v>1.25</v>
      </c>
      <c r="D143" s="136">
        <f t="shared" si="38"/>
        <v>1.25</v>
      </c>
      <c r="E143" s="136">
        <f t="shared" si="38"/>
        <v>1.25</v>
      </c>
      <c r="F143" s="136">
        <f t="shared" si="38"/>
        <v>1.25</v>
      </c>
      <c r="G143" s="136">
        <f t="shared" si="38"/>
        <v>1.25</v>
      </c>
      <c r="H143" s="136">
        <f t="shared" si="38"/>
        <v>1.25</v>
      </c>
      <c r="I143" s="136">
        <f t="shared" si="38"/>
        <v>1.25</v>
      </c>
      <c r="J143" s="136">
        <f t="shared" si="38"/>
        <v>1.25</v>
      </c>
      <c r="K143" s="136">
        <f t="shared" si="38"/>
        <v>1.25</v>
      </c>
      <c r="L143" s="136">
        <f t="shared" si="38"/>
        <v>1.25</v>
      </c>
      <c r="M143" s="136">
        <f t="shared" si="38"/>
        <v>1.25</v>
      </c>
      <c r="N143" s="136">
        <f t="shared" si="38"/>
        <v>1.25</v>
      </c>
      <c r="O143" s="136">
        <f t="shared" si="38"/>
        <v>1.25</v>
      </c>
      <c r="P143" s="136">
        <f t="shared" si="38"/>
        <v>1.25</v>
      </c>
      <c r="Q143" s="136">
        <f t="shared" si="38"/>
        <v>1.25</v>
      </c>
      <c r="R143" s="136">
        <f t="shared" si="38"/>
        <v>1.25</v>
      </c>
      <c r="S143" s="136">
        <f t="shared" si="38"/>
        <v>1.25</v>
      </c>
      <c r="T143" s="136">
        <f t="shared" si="39"/>
        <v>1.25</v>
      </c>
      <c r="U143" s="136">
        <f t="shared" si="39"/>
        <v>1.25</v>
      </c>
      <c r="V143" s="136">
        <f t="shared" si="39"/>
        <v>1.25</v>
      </c>
      <c r="W143" s="136">
        <f t="shared" si="39"/>
        <v>1.25</v>
      </c>
      <c r="X143" s="136">
        <f t="shared" si="39"/>
        <v>1.25</v>
      </c>
      <c r="Y143" s="136">
        <f t="shared" si="39"/>
        <v>1.25</v>
      </c>
      <c r="Z143" s="136">
        <f t="shared" si="39"/>
        <v>1.25</v>
      </c>
      <c r="AA143" s="136">
        <f t="shared" si="39"/>
        <v>1.25</v>
      </c>
      <c r="AB143" s="136">
        <f t="shared" si="39"/>
        <v>1.25</v>
      </c>
      <c r="AC143" s="136">
        <f t="shared" si="39"/>
        <v>1.25</v>
      </c>
      <c r="AD143" s="136">
        <f t="shared" si="39"/>
        <v>1.25</v>
      </c>
      <c r="AE143" s="136">
        <f t="shared" si="39"/>
        <v>1.25</v>
      </c>
      <c r="AF143" s="136">
        <f t="shared" si="39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37"/>
        <v>1.46</v>
      </c>
      <c r="C144" s="137">
        <v>1.46</v>
      </c>
      <c r="D144" s="136">
        <f t="shared" si="38"/>
        <v>1.46</v>
      </c>
      <c r="E144" s="136">
        <f t="shared" si="38"/>
        <v>1.46</v>
      </c>
      <c r="F144" s="136">
        <f t="shared" si="38"/>
        <v>1.46</v>
      </c>
      <c r="G144" s="136">
        <f t="shared" si="38"/>
        <v>1.46</v>
      </c>
      <c r="H144" s="136">
        <f t="shared" si="38"/>
        <v>1.46</v>
      </c>
      <c r="I144" s="136">
        <f t="shared" si="38"/>
        <v>1.46</v>
      </c>
      <c r="J144" s="136">
        <f t="shared" si="38"/>
        <v>1.46</v>
      </c>
      <c r="K144" s="136">
        <f t="shared" si="38"/>
        <v>1.46</v>
      </c>
      <c r="L144" s="136">
        <f t="shared" si="38"/>
        <v>1.46</v>
      </c>
      <c r="M144" s="136">
        <f t="shared" si="38"/>
        <v>1.46</v>
      </c>
      <c r="N144" s="136">
        <f t="shared" si="38"/>
        <v>1.46</v>
      </c>
      <c r="O144" s="136">
        <f t="shared" si="38"/>
        <v>1.46</v>
      </c>
      <c r="P144" s="136">
        <f t="shared" si="38"/>
        <v>1.46</v>
      </c>
      <c r="Q144" s="136">
        <f t="shared" si="38"/>
        <v>1.46</v>
      </c>
      <c r="R144" s="136">
        <f t="shared" si="38"/>
        <v>1.46</v>
      </c>
      <c r="S144" s="136">
        <f t="shared" si="38"/>
        <v>1.46</v>
      </c>
      <c r="T144" s="136">
        <f t="shared" si="39"/>
        <v>1.46</v>
      </c>
      <c r="U144" s="136">
        <f t="shared" si="39"/>
        <v>1.46</v>
      </c>
      <c r="V144" s="136">
        <f t="shared" si="39"/>
        <v>1.46</v>
      </c>
      <c r="W144" s="136">
        <f t="shared" si="39"/>
        <v>1.46</v>
      </c>
      <c r="X144" s="136">
        <f t="shared" si="39"/>
        <v>1.46</v>
      </c>
      <c r="Y144" s="136">
        <f t="shared" si="39"/>
        <v>1.46</v>
      </c>
      <c r="Z144" s="136">
        <f t="shared" si="39"/>
        <v>1.46</v>
      </c>
      <c r="AA144" s="136">
        <f t="shared" si="39"/>
        <v>1.46</v>
      </c>
      <c r="AB144" s="136">
        <f t="shared" si="39"/>
        <v>1.46</v>
      </c>
      <c r="AC144" s="136">
        <f t="shared" si="39"/>
        <v>1.46</v>
      </c>
      <c r="AD144" s="136">
        <f t="shared" si="39"/>
        <v>1.46</v>
      </c>
      <c r="AE144" s="136">
        <f t="shared" si="39"/>
        <v>1.46</v>
      </c>
      <c r="AF144" s="136">
        <f t="shared" si="39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37"/>
        <v>3</v>
      </c>
      <c r="C145" s="137">
        <v>3</v>
      </c>
      <c r="D145" s="136">
        <f t="shared" si="38"/>
        <v>3</v>
      </c>
      <c r="E145" s="136">
        <f t="shared" si="38"/>
        <v>3</v>
      </c>
      <c r="F145" s="136">
        <f t="shared" si="38"/>
        <v>3</v>
      </c>
      <c r="G145" s="136">
        <f t="shared" si="38"/>
        <v>3</v>
      </c>
      <c r="H145" s="136">
        <f t="shared" si="38"/>
        <v>3</v>
      </c>
      <c r="I145" s="136">
        <f t="shared" si="38"/>
        <v>3</v>
      </c>
      <c r="J145" s="136">
        <f t="shared" si="38"/>
        <v>3</v>
      </c>
      <c r="K145" s="136">
        <f t="shared" si="38"/>
        <v>3</v>
      </c>
      <c r="L145" s="136">
        <f t="shared" si="38"/>
        <v>3</v>
      </c>
      <c r="M145" s="136">
        <f t="shared" si="38"/>
        <v>3</v>
      </c>
      <c r="N145" s="136">
        <f t="shared" si="38"/>
        <v>3</v>
      </c>
      <c r="O145" s="136">
        <f t="shared" si="38"/>
        <v>3</v>
      </c>
      <c r="P145" s="136">
        <f t="shared" si="38"/>
        <v>3</v>
      </c>
      <c r="Q145" s="136">
        <f t="shared" si="38"/>
        <v>3</v>
      </c>
      <c r="R145" s="136">
        <f t="shared" si="38"/>
        <v>3</v>
      </c>
      <c r="S145" s="136">
        <f t="shared" si="38"/>
        <v>3</v>
      </c>
      <c r="T145" s="136">
        <f t="shared" si="39"/>
        <v>3</v>
      </c>
      <c r="U145" s="136">
        <f t="shared" si="39"/>
        <v>3</v>
      </c>
      <c r="V145" s="136">
        <f t="shared" si="39"/>
        <v>3</v>
      </c>
      <c r="W145" s="136">
        <f t="shared" si="39"/>
        <v>3</v>
      </c>
      <c r="X145" s="136">
        <f t="shared" si="39"/>
        <v>3</v>
      </c>
      <c r="Y145" s="136">
        <f t="shared" si="39"/>
        <v>3</v>
      </c>
      <c r="Z145" s="136">
        <f t="shared" si="39"/>
        <v>3</v>
      </c>
      <c r="AA145" s="136">
        <f t="shared" si="39"/>
        <v>3</v>
      </c>
      <c r="AB145" s="136">
        <f t="shared" si="39"/>
        <v>3</v>
      </c>
      <c r="AC145" s="136">
        <f t="shared" si="39"/>
        <v>3</v>
      </c>
      <c r="AD145" s="136">
        <f t="shared" si="39"/>
        <v>3</v>
      </c>
      <c r="AE145" s="136">
        <f t="shared" si="39"/>
        <v>3</v>
      </c>
      <c r="AF145" s="136">
        <f t="shared" si="39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37"/>
        <v>3.3</v>
      </c>
      <c r="C146" s="137">
        <v>3.3</v>
      </c>
      <c r="D146" s="136">
        <f t="shared" si="38"/>
        <v>3.3</v>
      </c>
      <c r="E146" s="136">
        <f t="shared" si="38"/>
        <v>3.3</v>
      </c>
      <c r="F146" s="136">
        <f t="shared" si="38"/>
        <v>3.3</v>
      </c>
      <c r="G146" s="136">
        <f t="shared" si="38"/>
        <v>3.3</v>
      </c>
      <c r="H146" s="136">
        <f t="shared" si="38"/>
        <v>3.3</v>
      </c>
      <c r="I146" s="136">
        <f t="shared" si="38"/>
        <v>3.3</v>
      </c>
      <c r="J146" s="136">
        <f t="shared" si="38"/>
        <v>3.3</v>
      </c>
      <c r="K146" s="136">
        <f t="shared" si="38"/>
        <v>3.3</v>
      </c>
      <c r="L146" s="136">
        <f t="shared" si="38"/>
        <v>3.3</v>
      </c>
      <c r="M146" s="136">
        <f t="shared" si="38"/>
        <v>3.3</v>
      </c>
      <c r="N146" s="136">
        <f t="shared" si="38"/>
        <v>3.3</v>
      </c>
      <c r="O146" s="136">
        <f t="shared" si="38"/>
        <v>3.3</v>
      </c>
      <c r="P146" s="136">
        <f t="shared" si="38"/>
        <v>3.3</v>
      </c>
      <c r="Q146" s="136">
        <f t="shared" si="38"/>
        <v>3.3</v>
      </c>
      <c r="R146" s="136">
        <f t="shared" si="38"/>
        <v>3.3</v>
      </c>
      <c r="S146" s="136">
        <f t="shared" si="38"/>
        <v>3.3</v>
      </c>
      <c r="T146" s="136">
        <f t="shared" si="39"/>
        <v>3.3</v>
      </c>
      <c r="U146" s="136">
        <f t="shared" si="39"/>
        <v>3.3</v>
      </c>
      <c r="V146" s="136">
        <f t="shared" si="39"/>
        <v>3.3</v>
      </c>
      <c r="W146" s="136">
        <f t="shared" si="39"/>
        <v>3.3</v>
      </c>
      <c r="X146" s="136">
        <f t="shared" si="39"/>
        <v>3.3</v>
      </c>
      <c r="Y146" s="136">
        <f t="shared" si="39"/>
        <v>3.3</v>
      </c>
      <c r="Z146" s="136">
        <f t="shared" si="39"/>
        <v>3.3</v>
      </c>
      <c r="AA146" s="136">
        <f t="shared" si="39"/>
        <v>3.3</v>
      </c>
      <c r="AB146" s="136">
        <f t="shared" si="39"/>
        <v>3.3</v>
      </c>
      <c r="AC146" s="136">
        <f t="shared" si="39"/>
        <v>3.3</v>
      </c>
      <c r="AD146" s="136">
        <f t="shared" si="39"/>
        <v>3.3</v>
      </c>
      <c r="AE146" s="136">
        <f t="shared" si="39"/>
        <v>3.3</v>
      </c>
      <c r="AF146" s="136">
        <f t="shared" si="39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40">C148</f>
        <v>1.76</v>
      </c>
      <c r="E148" s="136">
        <f t="shared" si="40"/>
        <v>1.76</v>
      </c>
      <c r="F148" s="136">
        <f t="shared" si="40"/>
        <v>1.76</v>
      </c>
      <c r="G148" s="136">
        <f t="shared" si="40"/>
        <v>1.76</v>
      </c>
      <c r="H148" s="136">
        <f t="shared" si="40"/>
        <v>1.76</v>
      </c>
      <c r="I148" s="136">
        <f t="shared" si="40"/>
        <v>1.76</v>
      </c>
      <c r="J148" s="136">
        <f t="shared" si="40"/>
        <v>1.76</v>
      </c>
      <c r="K148" s="136">
        <f t="shared" si="40"/>
        <v>1.76</v>
      </c>
      <c r="L148" s="136">
        <f t="shared" si="40"/>
        <v>1.76</v>
      </c>
      <c r="M148" s="136">
        <f t="shared" si="40"/>
        <v>1.76</v>
      </c>
      <c r="N148" s="136">
        <f t="shared" si="40"/>
        <v>1.76</v>
      </c>
      <c r="O148" s="136">
        <f t="shared" si="40"/>
        <v>1.76</v>
      </c>
      <c r="P148" s="136">
        <f t="shared" si="40"/>
        <v>1.76</v>
      </c>
      <c r="Q148" s="136">
        <f t="shared" si="40"/>
        <v>1.76</v>
      </c>
      <c r="R148" s="136">
        <f t="shared" si="40"/>
        <v>1.76</v>
      </c>
      <c r="S148" s="136">
        <f t="shared" si="40"/>
        <v>1.76</v>
      </c>
      <c r="T148" s="136">
        <f t="shared" ref="T148:AF149" si="41">S148</f>
        <v>1.76</v>
      </c>
      <c r="U148" s="136">
        <f t="shared" si="41"/>
        <v>1.76</v>
      </c>
      <c r="V148" s="136">
        <f t="shared" si="41"/>
        <v>1.76</v>
      </c>
      <c r="W148" s="136">
        <f t="shared" si="41"/>
        <v>1.76</v>
      </c>
      <c r="X148" s="136">
        <f t="shared" si="41"/>
        <v>1.76</v>
      </c>
      <c r="Y148" s="136">
        <f t="shared" si="41"/>
        <v>1.76</v>
      </c>
      <c r="Z148" s="136">
        <f t="shared" si="41"/>
        <v>1.76</v>
      </c>
      <c r="AA148" s="136">
        <f t="shared" si="41"/>
        <v>1.76</v>
      </c>
      <c r="AB148" s="136">
        <f t="shared" si="41"/>
        <v>1.76</v>
      </c>
      <c r="AC148" s="136">
        <f t="shared" si="41"/>
        <v>1.76</v>
      </c>
      <c r="AD148" s="136">
        <f t="shared" si="41"/>
        <v>1.76</v>
      </c>
      <c r="AE148" s="136">
        <f t="shared" si="41"/>
        <v>1.76</v>
      </c>
      <c r="AF148" s="136">
        <f t="shared" si="41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40"/>
        <v>0</v>
      </c>
      <c r="E149" s="136">
        <f t="shared" si="40"/>
        <v>0</v>
      </c>
      <c r="F149" s="136">
        <f t="shared" si="40"/>
        <v>0</v>
      </c>
      <c r="G149" s="136">
        <f t="shared" si="40"/>
        <v>0</v>
      </c>
      <c r="H149" s="136">
        <f t="shared" si="40"/>
        <v>0</v>
      </c>
      <c r="I149" s="136">
        <f t="shared" si="40"/>
        <v>0</v>
      </c>
      <c r="J149" s="136">
        <f t="shared" si="40"/>
        <v>0</v>
      </c>
      <c r="K149" s="136">
        <f t="shared" si="40"/>
        <v>0</v>
      </c>
      <c r="L149" s="136">
        <f t="shared" si="40"/>
        <v>0</v>
      </c>
      <c r="M149" s="136">
        <f t="shared" si="40"/>
        <v>0</v>
      </c>
      <c r="N149" s="136">
        <f t="shared" si="40"/>
        <v>0</v>
      </c>
      <c r="O149" s="136">
        <f t="shared" si="40"/>
        <v>0</v>
      </c>
      <c r="P149" s="136">
        <f t="shared" si="40"/>
        <v>0</v>
      </c>
      <c r="Q149" s="136">
        <f t="shared" si="40"/>
        <v>0</v>
      </c>
      <c r="R149" s="136">
        <f t="shared" si="40"/>
        <v>0</v>
      </c>
      <c r="S149" s="136">
        <f t="shared" si="40"/>
        <v>0</v>
      </c>
      <c r="T149" s="136">
        <f t="shared" si="41"/>
        <v>0</v>
      </c>
      <c r="U149" s="136">
        <f t="shared" si="41"/>
        <v>0</v>
      </c>
      <c r="V149" s="136">
        <f t="shared" si="41"/>
        <v>0</v>
      </c>
      <c r="W149" s="136">
        <f t="shared" si="41"/>
        <v>0</v>
      </c>
      <c r="X149" s="136">
        <f t="shared" si="41"/>
        <v>0</v>
      </c>
      <c r="Y149" s="136">
        <f t="shared" si="41"/>
        <v>0</v>
      </c>
      <c r="Z149" s="136">
        <f t="shared" si="41"/>
        <v>0</v>
      </c>
      <c r="AA149" s="136">
        <f t="shared" si="41"/>
        <v>0</v>
      </c>
      <c r="AB149" s="136">
        <f t="shared" si="41"/>
        <v>0</v>
      </c>
      <c r="AC149" s="136">
        <f t="shared" si="41"/>
        <v>0</v>
      </c>
      <c r="AD149" s="136">
        <f t="shared" si="41"/>
        <v>0</v>
      </c>
      <c r="AE149" s="136">
        <f t="shared" si="41"/>
        <v>0</v>
      </c>
      <c r="AF149" s="136">
        <f t="shared" si="41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42">C151</f>
        <v>0.1</v>
      </c>
      <c r="E151" s="136">
        <f t="shared" si="42"/>
        <v>0.1</v>
      </c>
      <c r="F151" s="136">
        <f t="shared" si="42"/>
        <v>0.1</v>
      </c>
      <c r="G151" s="136">
        <f t="shared" si="42"/>
        <v>0.1</v>
      </c>
      <c r="H151" s="136">
        <f t="shared" si="42"/>
        <v>0.1</v>
      </c>
      <c r="I151" s="136">
        <f t="shared" si="42"/>
        <v>0.1</v>
      </c>
      <c r="J151" s="136">
        <f t="shared" si="42"/>
        <v>0.1</v>
      </c>
      <c r="K151" s="136">
        <f t="shared" si="42"/>
        <v>0.1</v>
      </c>
      <c r="L151" s="136">
        <f t="shared" si="42"/>
        <v>0.1</v>
      </c>
      <c r="M151" s="136">
        <f t="shared" si="42"/>
        <v>0.1</v>
      </c>
      <c r="N151" s="136">
        <f t="shared" si="42"/>
        <v>0.1</v>
      </c>
      <c r="O151" s="136">
        <f t="shared" si="42"/>
        <v>0.1</v>
      </c>
      <c r="P151" s="136">
        <f t="shared" si="42"/>
        <v>0.1</v>
      </c>
      <c r="Q151" s="136">
        <f t="shared" si="42"/>
        <v>0.1</v>
      </c>
      <c r="R151" s="136">
        <f t="shared" si="42"/>
        <v>0.1</v>
      </c>
      <c r="S151" s="136">
        <f t="shared" si="42"/>
        <v>0.1</v>
      </c>
      <c r="T151" s="136">
        <f t="shared" ref="T151:AF154" si="43">S151</f>
        <v>0.1</v>
      </c>
      <c r="U151" s="136">
        <f t="shared" si="43"/>
        <v>0.1</v>
      </c>
      <c r="V151" s="136">
        <f t="shared" si="43"/>
        <v>0.1</v>
      </c>
      <c r="W151" s="136">
        <f t="shared" si="43"/>
        <v>0.1</v>
      </c>
      <c r="X151" s="136">
        <f t="shared" si="43"/>
        <v>0.1</v>
      </c>
      <c r="Y151" s="136">
        <f t="shared" si="43"/>
        <v>0.1</v>
      </c>
      <c r="Z151" s="136">
        <f t="shared" si="43"/>
        <v>0.1</v>
      </c>
      <c r="AA151" s="136">
        <f t="shared" si="43"/>
        <v>0.1</v>
      </c>
      <c r="AB151" s="136">
        <f t="shared" si="43"/>
        <v>0.1</v>
      </c>
      <c r="AC151" s="136">
        <f t="shared" si="43"/>
        <v>0.1</v>
      </c>
      <c r="AD151" s="136">
        <f t="shared" si="43"/>
        <v>0.1</v>
      </c>
      <c r="AE151" s="136">
        <f t="shared" si="43"/>
        <v>0.1</v>
      </c>
      <c r="AF151" s="136">
        <f t="shared" si="43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42"/>
        <v>2.0499999999999998</v>
      </c>
      <c r="E152" s="136">
        <f t="shared" si="42"/>
        <v>2.0499999999999998</v>
      </c>
      <c r="F152" s="136">
        <f t="shared" si="42"/>
        <v>2.0499999999999998</v>
      </c>
      <c r="G152" s="136">
        <f t="shared" si="42"/>
        <v>2.0499999999999998</v>
      </c>
      <c r="H152" s="136">
        <f t="shared" si="42"/>
        <v>2.0499999999999998</v>
      </c>
      <c r="I152" s="136">
        <f t="shared" si="42"/>
        <v>2.0499999999999998</v>
      </c>
      <c r="J152" s="136">
        <f t="shared" si="42"/>
        <v>2.0499999999999998</v>
      </c>
      <c r="K152" s="136">
        <f t="shared" si="42"/>
        <v>2.0499999999999998</v>
      </c>
      <c r="L152" s="136">
        <f t="shared" si="42"/>
        <v>2.0499999999999998</v>
      </c>
      <c r="M152" s="136">
        <f t="shared" si="42"/>
        <v>2.0499999999999998</v>
      </c>
      <c r="N152" s="136">
        <f t="shared" si="42"/>
        <v>2.0499999999999998</v>
      </c>
      <c r="O152" s="136">
        <f t="shared" si="42"/>
        <v>2.0499999999999998</v>
      </c>
      <c r="P152" s="136">
        <f t="shared" si="42"/>
        <v>2.0499999999999998</v>
      </c>
      <c r="Q152" s="136">
        <f t="shared" si="42"/>
        <v>2.0499999999999998</v>
      </c>
      <c r="R152" s="136">
        <f t="shared" si="42"/>
        <v>2.0499999999999998</v>
      </c>
      <c r="S152" s="136">
        <f t="shared" si="42"/>
        <v>2.0499999999999998</v>
      </c>
      <c r="T152" s="136">
        <f t="shared" si="43"/>
        <v>2.0499999999999998</v>
      </c>
      <c r="U152" s="136">
        <f t="shared" si="43"/>
        <v>2.0499999999999998</v>
      </c>
      <c r="V152" s="136">
        <f t="shared" si="43"/>
        <v>2.0499999999999998</v>
      </c>
      <c r="W152" s="136">
        <f t="shared" si="43"/>
        <v>2.0499999999999998</v>
      </c>
      <c r="X152" s="136">
        <f t="shared" si="43"/>
        <v>2.0499999999999998</v>
      </c>
      <c r="Y152" s="136">
        <f t="shared" si="43"/>
        <v>2.0499999999999998</v>
      </c>
      <c r="Z152" s="136">
        <f t="shared" si="43"/>
        <v>2.0499999999999998</v>
      </c>
      <c r="AA152" s="136">
        <f t="shared" si="43"/>
        <v>2.0499999999999998</v>
      </c>
      <c r="AB152" s="136">
        <f t="shared" si="43"/>
        <v>2.0499999999999998</v>
      </c>
      <c r="AC152" s="136">
        <f t="shared" si="43"/>
        <v>2.0499999999999998</v>
      </c>
      <c r="AD152" s="136">
        <f t="shared" si="43"/>
        <v>2.0499999999999998</v>
      </c>
      <c r="AE152" s="136">
        <f t="shared" si="43"/>
        <v>2.0499999999999998</v>
      </c>
      <c r="AF152" s="136">
        <f t="shared" si="43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42"/>
        <v>2.7</v>
      </c>
      <c r="E153" s="136">
        <f t="shared" si="42"/>
        <v>2.7</v>
      </c>
      <c r="F153" s="136">
        <f t="shared" si="42"/>
        <v>2.7</v>
      </c>
      <c r="G153" s="136">
        <f t="shared" si="42"/>
        <v>2.7</v>
      </c>
      <c r="H153" s="136">
        <f t="shared" si="42"/>
        <v>2.7</v>
      </c>
      <c r="I153" s="136">
        <f t="shared" si="42"/>
        <v>2.7</v>
      </c>
      <c r="J153" s="136">
        <f t="shared" si="42"/>
        <v>2.7</v>
      </c>
      <c r="K153" s="136">
        <f t="shared" si="42"/>
        <v>2.7</v>
      </c>
      <c r="L153" s="136">
        <f t="shared" si="42"/>
        <v>2.7</v>
      </c>
      <c r="M153" s="136">
        <f t="shared" si="42"/>
        <v>2.7</v>
      </c>
      <c r="N153" s="136">
        <f t="shared" si="42"/>
        <v>2.7</v>
      </c>
      <c r="O153" s="136">
        <f t="shared" si="42"/>
        <v>2.7</v>
      </c>
      <c r="P153" s="136">
        <f t="shared" si="42"/>
        <v>2.7</v>
      </c>
      <c r="Q153" s="136">
        <f t="shared" si="42"/>
        <v>2.7</v>
      </c>
      <c r="R153" s="136">
        <f t="shared" si="42"/>
        <v>2.7</v>
      </c>
      <c r="S153" s="136">
        <f t="shared" si="42"/>
        <v>2.7</v>
      </c>
      <c r="T153" s="136">
        <f t="shared" si="43"/>
        <v>2.7</v>
      </c>
      <c r="U153" s="136">
        <f t="shared" si="43"/>
        <v>2.7</v>
      </c>
      <c r="V153" s="136">
        <f t="shared" si="43"/>
        <v>2.7</v>
      </c>
      <c r="W153" s="136">
        <f t="shared" si="43"/>
        <v>2.7</v>
      </c>
      <c r="X153" s="136">
        <f t="shared" si="43"/>
        <v>2.7</v>
      </c>
      <c r="Y153" s="136">
        <f t="shared" si="43"/>
        <v>2.7</v>
      </c>
      <c r="Z153" s="136">
        <f t="shared" si="43"/>
        <v>2.7</v>
      </c>
      <c r="AA153" s="136">
        <f t="shared" si="43"/>
        <v>2.7</v>
      </c>
      <c r="AB153" s="136">
        <f t="shared" si="43"/>
        <v>2.7</v>
      </c>
      <c r="AC153" s="136">
        <f t="shared" si="43"/>
        <v>2.7</v>
      </c>
      <c r="AD153" s="136">
        <f t="shared" si="43"/>
        <v>2.7</v>
      </c>
      <c r="AE153" s="136">
        <f t="shared" si="43"/>
        <v>2.7</v>
      </c>
      <c r="AF153" s="136">
        <f t="shared" si="43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42"/>
        <v>2.15</v>
      </c>
      <c r="E154" s="136">
        <f t="shared" si="42"/>
        <v>2.15</v>
      </c>
      <c r="F154" s="136">
        <f t="shared" si="42"/>
        <v>2.15</v>
      </c>
      <c r="G154" s="136">
        <f t="shared" si="42"/>
        <v>2.15</v>
      </c>
      <c r="H154" s="136">
        <f t="shared" si="42"/>
        <v>2.15</v>
      </c>
      <c r="I154" s="136">
        <f t="shared" si="42"/>
        <v>2.15</v>
      </c>
      <c r="J154" s="136">
        <f t="shared" si="42"/>
        <v>2.15</v>
      </c>
      <c r="K154" s="136">
        <f t="shared" si="42"/>
        <v>2.15</v>
      </c>
      <c r="L154" s="136">
        <f t="shared" si="42"/>
        <v>2.15</v>
      </c>
      <c r="M154" s="136">
        <f t="shared" si="42"/>
        <v>2.15</v>
      </c>
      <c r="N154" s="136">
        <f t="shared" si="42"/>
        <v>2.15</v>
      </c>
      <c r="O154" s="136">
        <f t="shared" si="42"/>
        <v>2.15</v>
      </c>
      <c r="P154" s="136">
        <f t="shared" si="42"/>
        <v>2.15</v>
      </c>
      <c r="Q154" s="136">
        <f t="shared" si="42"/>
        <v>2.15</v>
      </c>
      <c r="R154" s="136">
        <f t="shared" si="42"/>
        <v>2.15</v>
      </c>
      <c r="S154" s="136">
        <f t="shared" si="42"/>
        <v>2.15</v>
      </c>
      <c r="T154" s="136">
        <f t="shared" si="43"/>
        <v>2.15</v>
      </c>
      <c r="U154" s="136">
        <f t="shared" si="43"/>
        <v>2.15</v>
      </c>
      <c r="V154" s="136">
        <f t="shared" si="43"/>
        <v>2.15</v>
      </c>
      <c r="W154" s="136">
        <f t="shared" si="43"/>
        <v>2.15</v>
      </c>
      <c r="X154" s="136">
        <f t="shared" si="43"/>
        <v>2.15</v>
      </c>
      <c r="Y154" s="136">
        <f t="shared" si="43"/>
        <v>2.15</v>
      </c>
      <c r="Z154" s="136">
        <f t="shared" si="43"/>
        <v>2.15</v>
      </c>
      <c r="AA154" s="136">
        <f t="shared" si="43"/>
        <v>2.15</v>
      </c>
      <c r="AB154" s="136">
        <f t="shared" si="43"/>
        <v>2.15</v>
      </c>
      <c r="AC154" s="136">
        <f t="shared" si="43"/>
        <v>2.15</v>
      </c>
      <c r="AD154" s="136">
        <f t="shared" si="43"/>
        <v>2.15</v>
      </c>
      <c r="AE154" s="136">
        <f t="shared" si="43"/>
        <v>2.15</v>
      </c>
      <c r="AF154" s="136">
        <f t="shared" si="43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44">AF156</f>
        <v>0.9</v>
      </c>
      <c r="C156" s="137">
        <v>0.9</v>
      </c>
      <c r="D156" s="136">
        <f t="shared" ref="D156:S168" si="45">C156</f>
        <v>0.9</v>
      </c>
      <c r="E156" s="136">
        <f t="shared" si="45"/>
        <v>0.9</v>
      </c>
      <c r="F156" s="136">
        <f t="shared" si="45"/>
        <v>0.9</v>
      </c>
      <c r="G156" s="136">
        <f t="shared" si="45"/>
        <v>0.9</v>
      </c>
      <c r="H156" s="136">
        <f t="shared" si="45"/>
        <v>0.9</v>
      </c>
      <c r="I156" s="136">
        <f t="shared" si="45"/>
        <v>0.9</v>
      </c>
      <c r="J156" s="136">
        <f t="shared" si="45"/>
        <v>0.9</v>
      </c>
      <c r="K156" s="136">
        <f t="shared" si="45"/>
        <v>0.9</v>
      </c>
      <c r="L156" s="136">
        <f t="shared" si="45"/>
        <v>0.9</v>
      </c>
      <c r="M156" s="136">
        <f t="shared" si="45"/>
        <v>0.9</v>
      </c>
      <c r="N156" s="136">
        <f t="shared" si="45"/>
        <v>0.9</v>
      </c>
      <c r="O156" s="136">
        <f t="shared" si="45"/>
        <v>0.9</v>
      </c>
      <c r="P156" s="136">
        <f t="shared" si="45"/>
        <v>0.9</v>
      </c>
      <c r="Q156" s="136">
        <f t="shared" si="45"/>
        <v>0.9</v>
      </c>
      <c r="R156" s="136">
        <f t="shared" si="45"/>
        <v>0.9</v>
      </c>
      <c r="S156" s="136">
        <f t="shared" si="45"/>
        <v>0.9</v>
      </c>
      <c r="T156" s="136">
        <f t="shared" ref="S156:AF168" si="46">S156</f>
        <v>0.9</v>
      </c>
      <c r="U156" s="136">
        <f t="shared" si="46"/>
        <v>0.9</v>
      </c>
      <c r="V156" s="136">
        <f t="shared" si="46"/>
        <v>0.9</v>
      </c>
      <c r="W156" s="136">
        <f t="shared" si="46"/>
        <v>0.9</v>
      </c>
      <c r="X156" s="136">
        <f t="shared" si="46"/>
        <v>0.9</v>
      </c>
      <c r="Y156" s="136">
        <f t="shared" si="46"/>
        <v>0.9</v>
      </c>
      <c r="Z156" s="136">
        <f t="shared" si="46"/>
        <v>0.9</v>
      </c>
      <c r="AA156" s="136">
        <f t="shared" si="46"/>
        <v>0.9</v>
      </c>
      <c r="AB156" s="136">
        <f t="shared" si="46"/>
        <v>0.9</v>
      </c>
      <c r="AC156" s="136">
        <f t="shared" si="46"/>
        <v>0.9</v>
      </c>
      <c r="AD156" s="136">
        <f t="shared" si="46"/>
        <v>0.9</v>
      </c>
      <c r="AE156" s="136">
        <f t="shared" si="46"/>
        <v>0.9</v>
      </c>
      <c r="AF156" s="136">
        <f t="shared" si="46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44"/>
        <v>1.08</v>
      </c>
      <c r="C157" s="137">
        <v>1.08</v>
      </c>
      <c r="D157" s="136">
        <f t="shared" si="45"/>
        <v>1.08</v>
      </c>
      <c r="E157" s="136">
        <f t="shared" si="45"/>
        <v>1.08</v>
      </c>
      <c r="F157" s="136">
        <f t="shared" si="45"/>
        <v>1.08</v>
      </c>
      <c r="G157" s="136">
        <f t="shared" si="45"/>
        <v>1.08</v>
      </c>
      <c r="H157" s="136">
        <f t="shared" si="45"/>
        <v>1.08</v>
      </c>
      <c r="I157" s="136">
        <f t="shared" si="45"/>
        <v>1.08</v>
      </c>
      <c r="J157" s="136">
        <f t="shared" si="45"/>
        <v>1.08</v>
      </c>
      <c r="K157" s="136">
        <f t="shared" si="45"/>
        <v>1.08</v>
      </c>
      <c r="L157" s="136">
        <f t="shared" si="45"/>
        <v>1.08</v>
      </c>
      <c r="M157" s="136">
        <f t="shared" si="45"/>
        <v>1.08</v>
      </c>
      <c r="N157" s="136">
        <f t="shared" si="45"/>
        <v>1.08</v>
      </c>
      <c r="O157" s="136">
        <f t="shared" si="45"/>
        <v>1.08</v>
      </c>
      <c r="P157" s="136">
        <f t="shared" si="45"/>
        <v>1.08</v>
      </c>
      <c r="Q157" s="136">
        <f t="shared" si="45"/>
        <v>1.08</v>
      </c>
      <c r="R157" s="136">
        <f t="shared" si="45"/>
        <v>1.08</v>
      </c>
      <c r="S157" s="136">
        <f t="shared" si="45"/>
        <v>1.08</v>
      </c>
      <c r="T157" s="136">
        <f t="shared" si="46"/>
        <v>1.08</v>
      </c>
      <c r="U157" s="136">
        <f t="shared" si="46"/>
        <v>1.08</v>
      </c>
      <c r="V157" s="136">
        <f t="shared" si="46"/>
        <v>1.08</v>
      </c>
      <c r="W157" s="136">
        <f t="shared" si="46"/>
        <v>1.08</v>
      </c>
      <c r="X157" s="136">
        <f t="shared" si="46"/>
        <v>1.08</v>
      </c>
      <c r="Y157" s="136">
        <f t="shared" si="46"/>
        <v>1.08</v>
      </c>
      <c r="Z157" s="136">
        <f t="shared" si="46"/>
        <v>1.08</v>
      </c>
      <c r="AA157" s="136">
        <f t="shared" si="46"/>
        <v>1.08</v>
      </c>
      <c r="AB157" s="136">
        <f t="shared" si="46"/>
        <v>1.08</v>
      </c>
      <c r="AC157" s="136">
        <f t="shared" si="46"/>
        <v>1.08</v>
      </c>
      <c r="AD157" s="136">
        <f t="shared" si="46"/>
        <v>1.08</v>
      </c>
      <c r="AE157" s="136">
        <f t="shared" si="46"/>
        <v>1.08</v>
      </c>
      <c r="AF157" s="136">
        <f t="shared" si="46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44"/>
        <v>2.37</v>
      </c>
      <c r="C158" s="137">
        <v>2.37</v>
      </c>
      <c r="D158" s="136">
        <f t="shared" si="45"/>
        <v>2.37</v>
      </c>
      <c r="E158" s="136">
        <f t="shared" si="45"/>
        <v>2.37</v>
      </c>
      <c r="F158" s="136">
        <f t="shared" si="45"/>
        <v>2.37</v>
      </c>
      <c r="G158" s="136">
        <f t="shared" si="45"/>
        <v>2.37</v>
      </c>
      <c r="H158" s="136">
        <f t="shared" si="45"/>
        <v>2.37</v>
      </c>
      <c r="I158" s="136">
        <f t="shared" si="45"/>
        <v>2.37</v>
      </c>
      <c r="J158" s="136">
        <f t="shared" si="45"/>
        <v>2.37</v>
      </c>
      <c r="K158" s="136">
        <f t="shared" si="45"/>
        <v>2.37</v>
      </c>
      <c r="L158" s="136">
        <f t="shared" si="45"/>
        <v>2.37</v>
      </c>
      <c r="M158" s="136">
        <f t="shared" si="45"/>
        <v>2.37</v>
      </c>
      <c r="N158" s="136">
        <f t="shared" si="45"/>
        <v>2.37</v>
      </c>
      <c r="O158" s="136">
        <f t="shared" si="45"/>
        <v>2.37</v>
      </c>
      <c r="P158" s="136">
        <f t="shared" si="45"/>
        <v>2.37</v>
      </c>
      <c r="Q158" s="136">
        <f t="shared" si="45"/>
        <v>2.37</v>
      </c>
      <c r="R158" s="136">
        <f t="shared" si="45"/>
        <v>2.37</v>
      </c>
      <c r="S158" s="136">
        <f t="shared" si="45"/>
        <v>2.37</v>
      </c>
      <c r="T158" s="136">
        <f t="shared" si="46"/>
        <v>2.37</v>
      </c>
      <c r="U158" s="136">
        <f t="shared" si="46"/>
        <v>2.37</v>
      </c>
      <c r="V158" s="136">
        <f t="shared" si="46"/>
        <v>2.37</v>
      </c>
      <c r="W158" s="136">
        <f t="shared" si="46"/>
        <v>2.37</v>
      </c>
      <c r="X158" s="136">
        <f t="shared" si="46"/>
        <v>2.37</v>
      </c>
      <c r="Y158" s="136">
        <f t="shared" si="46"/>
        <v>2.37</v>
      </c>
      <c r="Z158" s="136">
        <f t="shared" si="46"/>
        <v>2.37</v>
      </c>
      <c r="AA158" s="136">
        <f t="shared" si="46"/>
        <v>2.37</v>
      </c>
      <c r="AB158" s="136">
        <f t="shared" si="46"/>
        <v>2.37</v>
      </c>
      <c r="AC158" s="136">
        <f t="shared" si="46"/>
        <v>2.37</v>
      </c>
      <c r="AD158" s="136">
        <f t="shared" si="46"/>
        <v>2.37</v>
      </c>
      <c r="AE158" s="136">
        <f t="shared" si="46"/>
        <v>2.37</v>
      </c>
      <c r="AF158" s="136">
        <f t="shared" si="46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44"/>
        <v>1.81</v>
      </c>
      <c r="C159" s="137">
        <v>1.81</v>
      </c>
      <c r="D159" s="136">
        <f t="shared" si="45"/>
        <v>1.81</v>
      </c>
      <c r="E159" s="136">
        <f t="shared" si="45"/>
        <v>1.81</v>
      </c>
      <c r="F159" s="136">
        <f t="shared" si="45"/>
        <v>1.81</v>
      </c>
      <c r="G159" s="136">
        <f t="shared" si="45"/>
        <v>1.81</v>
      </c>
      <c r="H159" s="136">
        <f t="shared" si="45"/>
        <v>1.81</v>
      </c>
      <c r="I159" s="136">
        <f t="shared" si="45"/>
        <v>1.81</v>
      </c>
      <c r="J159" s="136">
        <f t="shared" si="45"/>
        <v>1.81</v>
      </c>
      <c r="K159" s="136">
        <f t="shared" si="45"/>
        <v>1.81</v>
      </c>
      <c r="L159" s="136">
        <f t="shared" si="45"/>
        <v>1.81</v>
      </c>
      <c r="M159" s="136">
        <f t="shared" si="45"/>
        <v>1.81</v>
      </c>
      <c r="N159" s="136">
        <f t="shared" si="45"/>
        <v>1.81</v>
      </c>
      <c r="O159" s="136">
        <f t="shared" si="45"/>
        <v>1.81</v>
      </c>
      <c r="P159" s="136">
        <f t="shared" si="45"/>
        <v>1.81</v>
      </c>
      <c r="Q159" s="136">
        <f t="shared" si="45"/>
        <v>1.81</v>
      </c>
      <c r="R159" s="136">
        <f t="shared" si="45"/>
        <v>1.81</v>
      </c>
      <c r="S159" s="136">
        <f t="shared" si="45"/>
        <v>1.81</v>
      </c>
      <c r="T159" s="136">
        <f t="shared" si="46"/>
        <v>1.81</v>
      </c>
      <c r="U159" s="136">
        <f t="shared" si="46"/>
        <v>1.81</v>
      </c>
      <c r="V159" s="136">
        <f t="shared" si="46"/>
        <v>1.81</v>
      </c>
      <c r="W159" s="136">
        <f t="shared" si="46"/>
        <v>1.81</v>
      </c>
      <c r="X159" s="136">
        <f t="shared" si="46"/>
        <v>1.81</v>
      </c>
      <c r="Y159" s="136">
        <f t="shared" si="46"/>
        <v>1.81</v>
      </c>
      <c r="Z159" s="136">
        <f t="shared" si="46"/>
        <v>1.81</v>
      </c>
      <c r="AA159" s="136">
        <f t="shared" si="46"/>
        <v>1.81</v>
      </c>
      <c r="AB159" s="136">
        <f t="shared" si="46"/>
        <v>1.81</v>
      </c>
      <c r="AC159" s="136">
        <f t="shared" si="46"/>
        <v>1.81</v>
      </c>
      <c r="AD159" s="136">
        <f t="shared" si="46"/>
        <v>1.81</v>
      </c>
      <c r="AE159" s="136">
        <f t="shared" si="46"/>
        <v>1.81</v>
      </c>
      <c r="AF159" s="136">
        <f t="shared" si="46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44"/>
        <v>1.0900000000000001</v>
      </c>
      <c r="C160" s="137">
        <v>1.0900000000000001</v>
      </c>
      <c r="D160" s="136">
        <f t="shared" si="45"/>
        <v>1.0900000000000001</v>
      </c>
      <c r="E160" s="136">
        <f t="shared" si="45"/>
        <v>1.0900000000000001</v>
      </c>
      <c r="F160" s="136">
        <f t="shared" si="45"/>
        <v>1.0900000000000001</v>
      </c>
      <c r="G160" s="136">
        <f t="shared" si="45"/>
        <v>1.0900000000000001</v>
      </c>
      <c r="H160" s="136">
        <f t="shared" si="45"/>
        <v>1.0900000000000001</v>
      </c>
      <c r="I160" s="136">
        <f t="shared" si="45"/>
        <v>1.0900000000000001</v>
      </c>
      <c r="J160" s="136">
        <f t="shared" si="45"/>
        <v>1.0900000000000001</v>
      </c>
      <c r="K160" s="136">
        <f t="shared" si="45"/>
        <v>1.0900000000000001</v>
      </c>
      <c r="L160" s="136">
        <f t="shared" si="45"/>
        <v>1.0900000000000001</v>
      </c>
      <c r="M160" s="136">
        <f t="shared" si="45"/>
        <v>1.0900000000000001</v>
      </c>
      <c r="N160" s="136">
        <f t="shared" si="45"/>
        <v>1.0900000000000001</v>
      </c>
      <c r="O160" s="136">
        <f t="shared" si="45"/>
        <v>1.0900000000000001</v>
      </c>
      <c r="P160" s="136">
        <f t="shared" si="45"/>
        <v>1.0900000000000001</v>
      </c>
      <c r="Q160" s="136">
        <f t="shared" si="45"/>
        <v>1.0900000000000001</v>
      </c>
      <c r="R160" s="136">
        <f t="shared" si="45"/>
        <v>1.0900000000000001</v>
      </c>
      <c r="S160" s="136">
        <f t="shared" si="45"/>
        <v>1.0900000000000001</v>
      </c>
      <c r="T160" s="136">
        <f t="shared" si="46"/>
        <v>1.0900000000000001</v>
      </c>
      <c r="U160" s="136">
        <f t="shared" si="46"/>
        <v>1.0900000000000001</v>
      </c>
      <c r="V160" s="136">
        <f t="shared" si="46"/>
        <v>1.0900000000000001</v>
      </c>
      <c r="W160" s="136">
        <f t="shared" si="46"/>
        <v>1.0900000000000001</v>
      </c>
      <c r="X160" s="136">
        <f t="shared" si="46"/>
        <v>1.0900000000000001</v>
      </c>
      <c r="Y160" s="136">
        <f t="shared" si="46"/>
        <v>1.0900000000000001</v>
      </c>
      <c r="Z160" s="136">
        <f t="shared" si="46"/>
        <v>1.0900000000000001</v>
      </c>
      <c r="AA160" s="136">
        <f t="shared" si="46"/>
        <v>1.0900000000000001</v>
      </c>
      <c r="AB160" s="136">
        <f t="shared" si="46"/>
        <v>1.0900000000000001</v>
      </c>
      <c r="AC160" s="136">
        <f t="shared" si="46"/>
        <v>1.0900000000000001</v>
      </c>
      <c r="AD160" s="136">
        <f t="shared" si="46"/>
        <v>1.0900000000000001</v>
      </c>
      <c r="AE160" s="136">
        <f t="shared" si="46"/>
        <v>1.0900000000000001</v>
      </c>
      <c r="AF160" s="136">
        <f t="shared" si="46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44"/>
        <v>1.58</v>
      </c>
      <c r="C161" s="137">
        <v>1.58</v>
      </c>
      <c r="D161" s="136">
        <f t="shared" si="45"/>
        <v>1.58</v>
      </c>
      <c r="E161" s="136">
        <f t="shared" si="45"/>
        <v>1.58</v>
      </c>
      <c r="F161" s="136">
        <f t="shared" si="45"/>
        <v>1.58</v>
      </c>
      <c r="G161" s="136">
        <f t="shared" si="45"/>
        <v>1.58</v>
      </c>
      <c r="H161" s="136">
        <f t="shared" si="45"/>
        <v>1.58</v>
      </c>
      <c r="I161" s="136">
        <f t="shared" si="45"/>
        <v>1.58</v>
      </c>
      <c r="J161" s="136">
        <f t="shared" si="45"/>
        <v>1.58</v>
      </c>
      <c r="K161" s="136">
        <f t="shared" si="45"/>
        <v>1.58</v>
      </c>
      <c r="L161" s="136">
        <f t="shared" si="45"/>
        <v>1.58</v>
      </c>
      <c r="M161" s="136">
        <f t="shared" si="45"/>
        <v>1.58</v>
      </c>
      <c r="N161" s="136">
        <f t="shared" si="45"/>
        <v>1.58</v>
      </c>
      <c r="O161" s="136">
        <f t="shared" si="45"/>
        <v>1.58</v>
      </c>
      <c r="P161" s="136">
        <f t="shared" si="45"/>
        <v>1.58</v>
      </c>
      <c r="Q161" s="136">
        <f t="shared" si="45"/>
        <v>1.58</v>
      </c>
      <c r="R161" s="136">
        <f t="shared" si="45"/>
        <v>1.58</v>
      </c>
      <c r="S161" s="136">
        <f t="shared" si="45"/>
        <v>1.58</v>
      </c>
      <c r="T161" s="136">
        <f t="shared" si="46"/>
        <v>1.58</v>
      </c>
      <c r="U161" s="136">
        <f t="shared" si="46"/>
        <v>1.58</v>
      </c>
      <c r="V161" s="136">
        <f t="shared" si="46"/>
        <v>1.58</v>
      </c>
      <c r="W161" s="136">
        <f t="shared" si="46"/>
        <v>1.58</v>
      </c>
      <c r="X161" s="136">
        <f t="shared" si="46"/>
        <v>1.58</v>
      </c>
      <c r="Y161" s="136">
        <f t="shared" si="46"/>
        <v>1.58</v>
      </c>
      <c r="Z161" s="136">
        <f t="shared" si="46"/>
        <v>1.58</v>
      </c>
      <c r="AA161" s="136">
        <f t="shared" si="46"/>
        <v>1.58</v>
      </c>
      <c r="AB161" s="136">
        <f t="shared" si="46"/>
        <v>1.58</v>
      </c>
      <c r="AC161" s="136">
        <f t="shared" si="46"/>
        <v>1.58</v>
      </c>
      <c r="AD161" s="136">
        <f t="shared" si="46"/>
        <v>1.58</v>
      </c>
      <c r="AE161" s="136">
        <f t="shared" si="46"/>
        <v>1.58</v>
      </c>
      <c r="AF161" s="136">
        <f t="shared" si="46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44"/>
        <v>2</v>
      </c>
      <c r="C162" s="137">
        <v>2</v>
      </c>
      <c r="D162" s="136">
        <f t="shared" si="45"/>
        <v>2</v>
      </c>
      <c r="E162" s="136">
        <f t="shared" si="45"/>
        <v>2</v>
      </c>
      <c r="F162" s="136">
        <f t="shared" si="45"/>
        <v>2</v>
      </c>
      <c r="G162" s="136">
        <f t="shared" si="45"/>
        <v>2</v>
      </c>
      <c r="H162" s="136">
        <f t="shared" si="45"/>
        <v>2</v>
      </c>
      <c r="I162" s="136">
        <f t="shared" si="45"/>
        <v>2</v>
      </c>
      <c r="J162" s="136">
        <f t="shared" si="45"/>
        <v>2</v>
      </c>
      <c r="K162" s="136">
        <f t="shared" si="45"/>
        <v>2</v>
      </c>
      <c r="L162" s="136">
        <f t="shared" si="45"/>
        <v>2</v>
      </c>
      <c r="M162" s="136">
        <f t="shared" si="45"/>
        <v>2</v>
      </c>
      <c r="N162" s="136">
        <f t="shared" si="45"/>
        <v>2</v>
      </c>
      <c r="O162" s="136">
        <f t="shared" si="45"/>
        <v>2</v>
      </c>
      <c r="P162" s="136">
        <f t="shared" si="45"/>
        <v>2</v>
      </c>
      <c r="Q162" s="136">
        <f t="shared" si="45"/>
        <v>2</v>
      </c>
      <c r="R162" s="136">
        <f t="shared" si="45"/>
        <v>2</v>
      </c>
      <c r="S162" s="136">
        <f t="shared" si="45"/>
        <v>2</v>
      </c>
      <c r="T162" s="136">
        <f t="shared" si="46"/>
        <v>2</v>
      </c>
      <c r="U162" s="136">
        <f t="shared" si="46"/>
        <v>2</v>
      </c>
      <c r="V162" s="136">
        <f t="shared" si="46"/>
        <v>2</v>
      </c>
      <c r="W162" s="136">
        <f t="shared" si="46"/>
        <v>2</v>
      </c>
      <c r="X162" s="136">
        <f t="shared" si="46"/>
        <v>2</v>
      </c>
      <c r="Y162" s="136">
        <f t="shared" si="46"/>
        <v>2</v>
      </c>
      <c r="Z162" s="136">
        <f t="shared" si="46"/>
        <v>2</v>
      </c>
      <c r="AA162" s="136">
        <f t="shared" si="46"/>
        <v>2</v>
      </c>
      <c r="AB162" s="136">
        <f t="shared" si="46"/>
        <v>2</v>
      </c>
      <c r="AC162" s="136">
        <f t="shared" si="46"/>
        <v>2</v>
      </c>
      <c r="AD162" s="136">
        <f t="shared" si="46"/>
        <v>2</v>
      </c>
      <c r="AE162" s="136">
        <f t="shared" si="46"/>
        <v>2</v>
      </c>
      <c r="AF162" s="136">
        <f t="shared" si="46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44"/>
        <v>0.47</v>
      </c>
      <c r="C163" s="137">
        <v>0.47</v>
      </c>
      <c r="D163" s="136">
        <f t="shared" si="45"/>
        <v>0.47</v>
      </c>
      <c r="E163" s="136">
        <f t="shared" si="45"/>
        <v>0.47</v>
      </c>
      <c r="F163" s="136">
        <f t="shared" si="45"/>
        <v>0.47</v>
      </c>
      <c r="G163" s="136">
        <f t="shared" si="45"/>
        <v>0.47</v>
      </c>
      <c r="H163" s="136">
        <f t="shared" si="45"/>
        <v>0.47</v>
      </c>
      <c r="I163" s="136">
        <f t="shared" si="45"/>
        <v>0.47</v>
      </c>
      <c r="J163" s="136">
        <f t="shared" si="45"/>
        <v>0.47</v>
      </c>
      <c r="K163" s="136">
        <f t="shared" si="45"/>
        <v>0.47</v>
      </c>
      <c r="L163" s="136">
        <f t="shared" si="45"/>
        <v>0.47</v>
      </c>
      <c r="M163" s="136">
        <f t="shared" si="45"/>
        <v>0.47</v>
      </c>
      <c r="N163" s="136">
        <f t="shared" si="45"/>
        <v>0.47</v>
      </c>
      <c r="O163" s="136">
        <f t="shared" si="45"/>
        <v>0.47</v>
      </c>
      <c r="P163" s="136">
        <f t="shared" si="45"/>
        <v>0.47</v>
      </c>
      <c r="Q163" s="136">
        <f t="shared" si="45"/>
        <v>0.47</v>
      </c>
      <c r="R163" s="136">
        <f t="shared" si="45"/>
        <v>0.47</v>
      </c>
      <c r="S163" s="136">
        <f t="shared" si="45"/>
        <v>0.47</v>
      </c>
      <c r="T163" s="136">
        <f t="shared" si="46"/>
        <v>0.47</v>
      </c>
      <c r="U163" s="136">
        <f t="shared" si="46"/>
        <v>0.47</v>
      </c>
      <c r="V163" s="136">
        <f t="shared" si="46"/>
        <v>0.47</v>
      </c>
      <c r="W163" s="136">
        <f t="shared" si="46"/>
        <v>0.47</v>
      </c>
      <c r="X163" s="136">
        <f t="shared" si="46"/>
        <v>0.47</v>
      </c>
      <c r="Y163" s="136">
        <f t="shared" si="46"/>
        <v>0.47</v>
      </c>
      <c r="Z163" s="136">
        <f t="shared" si="46"/>
        <v>0.47</v>
      </c>
      <c r="AA163" s="136">
        <f t="shared" si="46"/>
        <v>0.47</v>
      </c>
      <c r="AB163" s="136">
        <f t="shared" si="46"/>
        <v>0.47</v>
      </c>
      <c r="AC163" s="136">
        <f t="shared" si="46"/>
        <v>0.47</v>
      </c>
      <c r="AD163" s="136">
        <f t="shared" si="46"/>
        <v>0.47</v>
      </c>
      <c r="AE163" s="136">
        <f t="shared" si="46"/>
        <v>0.47</v>
      </c>
      <c r="AF163" s="136">
        <f t="shared" si="46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5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44"/>
        <v>0</v>
      </c>
      <c r="C165" s="137">
        <v>0</v>
      </c>
      <c r="D165" s="136">
        <f t="shared" si="45"/>
        <v>0</v>
      </c>
      <c r="E165" s="136">
        <f t="shared" si="45"/>
        <v>0</v>
      </c>
      <c r="F165" s="136">
        <f t="shared" si="45"/>
        <v>0</v>
      </c>
      <c r="G165" s="136">
        <f t="shared" si="45"/>
        <v>0</v>
      </c>
      <c r="H165" s="136">
        <f t="shared" si="45"/>
        <v>0</v>
      </c>
      <c r="I165" s="136">
        <f t="shared" si="45"/>
        <v>0</v>
      </c>
      <c r="J165" s="136">
        <f t="shared" si="45"/>
        <v>0</v>
      </c>
      <c r="K165" s="136">
        <f t="shared" si="45"/>
        <v>0</v>
      </c>
      <c r="L165" s="136">
        <f t="shared" si="45"/>
        <v>0</v>
      </c>
      <c r="M165" s="136">
        <f t="shared" si="45"/>
        <v>0</v>
      </c>
      <c r="N165" s="136">
        <f t="shared" si="45"/>
        <v>0</v>
      </c>
      <c r="O165" s="136">
        <f t="shared" si="45"/>
        <v>0</v>
      </c>
      <c r="P165" s="136">
        <f t="shared" si="45"/>
        <v>0</v>
      </c>
      <c r="Q165" s="136">
        <f t="shared" si="45"/>
        <v>0</v>
      </c>
      <c r="R165" s="136">
        <f t="shared" si="45"/>
        <v>0</v>
      </c>
      <c r="S165" s="136">
        <f t="shared" si="46"/>
        <v>0</v>
      </c>
      <c r="T165" s="136">
        <f t="shared" si="46"/>
        <v>0</v>
      </c>
      <c r="U165" s="136">
        <f t="shared" si="46"/>
        <v>0</v>
      </c>
      <c r="V165" s="136">
        <f t="shared" si="46"/>
        <v>0</v>
      </c>
      <c r="W165" s="136">
        <f t="shared" si="46"/>
        <v>0</v>
      </c>
      <c r="X165" s="136">
        <f t="shared" si="46"/>
        <v>0</v>
      </c>
      <c r="Y165" s="136">
        <f t="shared" si="46"/>
        <v>0</v>
      </c>
      <c r="Z165" s="136">
        <f t="shared" si="46"/>
        <v>0</v>
      </c>
      <c r="AA165" s="136">
        <f t="shared" si="46"/>
        <v>0</v>
      </c>
      <c r="AB165" s="136">
        <f t="shared" si="46"/>
        <v>0</v>
      </c>
      <c r="AC165" s="136">
        <f t="shared" si="46"/>
        <v>0</v>
      </c>
      <c r="AD165" s="136">
        <f t="shared" si="46"/>
        <v>0</v>
      </c>
      <c r="AE165" s="136">
        <f t="shared" si="46"/>
        <v>0</v>
      </c>
      <c r="AF165" s="136">
        <f t="shared" si="46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44"/>
        <v>0.8</v>
      </c>
      <c r="C166" s="137">
        <v>0.8</v>
      </c>
      <c r="D166" s="136">
        <f t="shared" si="45"/>
        <v>0.8</v>
      </c>
      <c r="E166" s="136">
        <f t="shared" si="45"/>
        <v>0.8</v>
      </c>
      <c r="F166" s="136">
        <f t="shared" si="45"/>
        <v>0.8</v>
      </c>
      <c r="G166" s="136">
        <f t="shared" si="45"/>
        <v>0.8</v>
      </c>
      <c r="H166" s="136">
        <f t="shared" si="45"/>
        <v>0.8</v>
      </c>
      <c r="I166" s="136">
        <f t="shared" si="45"/>
        <v>0.8</v>
      </c>
      <c r="J166" s="136">
        <f t="shared" si="45"/>
        <v>0.8</v>
      </c>
      <c r="K166" s="136">
        <f t="shared" si="45"/>
        <v>0.8</v>
      </c>
      <c r="L166" s="136">
        <f t="shared" si="45"/>
        <v>0.8</v>
      </c>
      <c r="M166" s="136">
        <f t="shared" si="45"/>
        <v>0.8</v>
      </c>
      <c r="N166" s="136">
        <f t="shared" si="45"/>
        <v>0.8</v>
      </c>
      <c r="O166" s="136">
        <f t="shared" si="45"/>
        <v>0.8</v>
      </c>
      <c r="P166" s="136">
        <f t="shared" si="45"/>
        <v>0.8</v>
      </c>
      <c r="Q166" s="136">
        <f t="shared" si="45"/>
        <v>0.8</v>
      </c>
      <c r="R166" s="136">
        <f t="shared" si="45"/>
        <v>0.8</v>
      </c>
      <c r="S166" s="136">
        <f t="shared" si="46"/>
        <v>0.8</v>
      </c>
      <c r="T166" s="136">
        <f t="shared" si="46"/>
        <v>0.8</v>
      </c>
      <c r="U166" s="136">
        <f t="shared" si="46"/>
        <v>0.8</v>
      </c>
      <c r="V166" s="136">
        <f t="shared" si="46"/>
        <v>0.8</v>
      </c>
      <c r="W166" s="136">
        <f t="shared" si="46"/>
        <v>0.8</v>
      </c>
      <c r="X166" s="136">
        <f t="shared" si="46"/>
        <v>0.8</v>
      </c>
      <c r="Y166" s="136">
        <f t="shared" si="46"/>
        <v>0.8</v>
      </c>
      <c r="Z166" s="136">
        <f t="shared" si="46"/>
        <v>0.8</v>
      </c>
      <c r="AA166" s="136">
        <f t="shared" si="46"/>
        <v>0.8</v>
      </c>
      <c r="AB166" s="136">
        <f t="shared" si="46"/>
        <v>0.8</v>
      </c>
      <c r="AC166" s="136">
        <f t="shared" si="46"/>
        <v>0.8</v>
      </c>
      <c r="AD166" s="136">
        <f t="shared" si="46"/>
        <v>0.8</v>
      </c>
      <c r="AE166" s="136">
        <f t="shared" si="46"/>
        <v>0.8</v>
      </c>
      <c r="AF166" s="136">
        <f t="shared" si="46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44"/>
        <v>1.5</v>
      </c>
      <c r="C167" s="137">
        <v>1.5</v>
      </c>
      <c r="D167" s="136">
        <f t="shared" si="45"/>
        <v>1.5</v>
      </c>
      <c r="E167" s="136">
        <f t="shared" si="45"/>
        <v>1.5</v>
      </c>
      <c r="F167" s="136">
        <f t="shared" si="45"/>
        <v>1.5</v>
      </c>
      <c r="G167" s="136">
        <f t="shared" si="45"/>
        <v>1.5</v>
      </c>
      <c r="H167" s="136">
        <f t="shared" si="45"/>
        <v>1.5</v>
      </c>
      <c r="I167" s="136">
        <f t="shared" si="45"/>
        <v>1.5</v>
      </c>
      <c r="J167" s="136">
        <f t="shared" si="45"/>
        <v>1.5</v>
      </c>
      <c r="K167" s="136">
        <f t="shared" si="45"/>
        <v>1.5</v>
      </c>
      <c r="L167" s="136">
        <f t="shared" si="45"/>
        <v>1.5</v>
      </c>
      <c r="M167" s="136">
        <f t="shared" si="45"/>
        <v>1.5</v>
      </c>
      <c r="N167" s="136">
        <f t="shared" si="45"/>
        <v>1.5</v>
      </c>
      <c r="O167" s="136">
        <f t="shared" si="45"/>
        <v>1.5</v>
      </c>
      <c r="P167" s="136">
        <f t="shared" si="45"/>
        <v>1.5</v>
      </c>
      <c r="Q167" s="136">
        <f t="shared" si="45"/>
        <v>1.5</v>
      </c>
      <c r="R167" s="136">
        <f t="shared" si="45"/>
        <v>1.5</v>
      </c>
      <c r="S167" s="136">
        <f t="shared" si="46"/>
        <v>1.5</v>
      </c>
      <c r="T167" s="136">
        <f t="shared" si="46"/>
        <v>1.5</v>
      </c>
      <c r="U167" s="136">
        <f t="shared" si="46"/>
        <v>1.5</v>
      </c>
      <c r="V167" s="136">
        <f t="shared" si="46"/>
        <v>1.5</v>
      </c>
      <c r="W167" s="136">
        <f t="shared" si="46"/>
        <v>1.5</v>
      </c>
      <c r="X167" s="136">
        <f t="shared" si="46"/>
        <v>1.5</v>
      </c>
      <c r="Y167" s="136">
        <f t="shared" si="46"/>
        <v>1.5</v>
      </c>
      <c r="Z167" s="136">
        <f t="shared" si="46"/>
        <v>1.5</v>
      </c>
      <c r="AA167" s="136">
        <f t="shared" si="46"/>
        <v>1.5</v>
      </c>
      <c r="AB167" s="136">
        <f t="shared" si="46"/>
        <v>1.5</v>
      </c>
      <c r="AC167" s="136">
        <f t="shared" si="46"/>
        <v>1.5</v>
      </c>
      <c r="AD167" s="136">
        <f t="shared" si="46"/>
        <v>1.5</v>
      </c>
      <c r="AE167" s="136">
        <f t="shared" si="46"/>
        <v>1.5</v>
      </c>
      <c r="AF167" s="136">
        <f t="shared" si="46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44"/>
        <v>1</v>
      </c>
      <c r="C168" s="137">
        <v>1</v>
      </c>
      <c r="D168" s="136">
        <f t="shared" si="45"/>
        <v>1</v>
      </c>
      <c r="E168" s="136">
        <f t="shared" si="45"/>
        <v>1</v>
      </c>
      <c r="F168" s="136">
        <f t="shared" si="45"/>
        <v>1</v>
      </c>
      <c r="G168" s="136">
        <f t="shared" si="45"/>
        <v>1</v>
      </c>
      <c r="H168" s="136">
        <f t="shared" si="45"/>
        <v>1</v>
      </c>
      <c r="I168" s="136">
        <f t="shared" si="45"/>
        <v>1</v>
      </c>
      <c r="J168" s="136">
        <f t="shared" si="45"/>
        <v>1</v>
      </c>
      <c r="K168" s="136">
        <f t="shared" si="45"/>
        <v>1</v>
      </c>
      <c r="L168" s="136">
        <f t="shared" si="45"/>
        <v>1</v>
      </c>
      <c r="M168" s="136">
        <f t="shared" si="45"/>
        <v>1</v>
      </c>
      <c r="N168" s="136">
        <f t="shared" si="45"/>
        <v>1</v>
      </c>
      <c r="O168" s="136">
        <f t="shared" si="45"/>
        <v>1</v>
      </c>
      <c r="P168" s="136">
        <f t="shared" si="45"/>
        <v>1</v>
      </c>
      <c r="Q168" s="136">
        <f t="shared" si="45"/>
        <v>1</v>
      </c>
      <c r="R168" s="136">
        <f t="shared" si="45"/>
        <v>1</v>
      </c>
      <c r="S168" s="136">
        <f t="shared" si="46"/>
        <v>1</v>
      </c>
      <c r="T168" s="136">
        <f t="shared" si="46"/>
        <v>1</v>
      </c>
      <c r="U168" s="136">
        <f t="shared" si="46"/>
        <v>1</v>
      </c>
      <c r="V168" s="136">
        <f t="shared" si="46"/>
        <v>1</v>
      </c>
      <c r="W168" s="136">
        <f t="shared" si="46"/>
        <v>1</v>
      </c>
      <c r="X168" s="136">
        <f t="shared" si="46"/>
        <v>1</v>
      </c>
      <c r="Y168" s="136">
        <f t="shared" si="46"/>
        <v>1</v>
      </c>
      <c r="Z168" s="136">
        <f t="shared" si="46"/>
        <v>1</v>
      </c>
      <c r="AA168" s="136">
        <f t="shared" si="46"/>
        <v>1</v>
      </c>
      <c r="AB168" s="136">
        <f t="shared" si="46"/>
        <v>1</v>
      </c>
      <c r="AC168" s="136">
        <f t="shared" si="46"/>
        <v>1</v>
      </c>
      <c r="AD168" s="136">
        <f t="shared" si="46"/>
        <v>1</v>
      </c>
      <c r="AE168" s="136">
        <f t="shared" si="46"/>
        <v>1</v>
      </c>
      <c r="AF168" s="136">
        <f t="shared" si="46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47">AF170</f>
        <v>1</v>
      </c>
      <c r="C170" s="137">
        <v>1</v>
      </c>
      <c r="D170" s="136">
        <f t="shared" ref="D170:S177" si="48">C170</f>
        <v>1</v>
      </c>
      <c r="E170" s="136">
        <f t="shared" si="48"/>
        <v>1</v>
      </c>
      <c r="F170" s="136">
        <f t="shared" si="48"/>
        <v>1</v>
      </c>
      <c r="G170" s="136">
        <f t="shared" si="48"/>
        <v>1</v>
      </c>
      <c r="H170" s="136">
        <f t="shared" si="48"/>
        <v>1</v>
      </c>
      <c r="I170" s="136">
        <f t="shared" si="48"/>
        <v>1</v>
      </c>
      <c r="J170" s="136">
        <f t="shared" si="48"/>
        <v>1</v>
      </c>
      <c r="K170" s="136">
        <f t="shared" si="48"/>
        <v>1</v>
      </c>
      <c r="L170" s="136">
        <f t="shared" si="48"/>
        <v>1</v>
      </c>
      <c r="M170" s="136">
        <f t="shared" si="48"/>
        <v>1</v>
      </c>
      <c r="N170" s="136">
        <f t="shared" si="48"/>
        <v>1</v>
      </c>
      <c r="O170" s="136">
        <f t="shared" si="48"/>
        <v>1</v>
      </c>
      <c r="P170" s="136">
        <f t="shared" si="48"/>
        <v>1</v>
      </c>
      <c r="Q170" s="136">
        <f t="shared" si="48"/>
        <v>1</v>
      </c>
      <c r="R170" s="136">
        <f t="shared" si="48"/>
        <v>1</v>
      </c>
      <c r="S170" s="136">
        <f t="shared" si="48"/>
        <v>1</v>
      </c>
      <c r="T170" s="136">
        <f t="shared" ref="S170:AF177" si="49">S170</f>
        <v>1</v>
      </c>
      <c r="U170" s="136">
        <f t="shared" si="49"/>
        <v>1</v>
      </c>
      <c r="V170" s="136">
        <f t="shared" si="49"/>
        <v>1</v>
      </c>
      <c r="W170" s="136">
        <f t="shared" si="49"/>
        <v>1</v>
      </c>
      <c r="X170" s="136">
        <f t="shared" si="49"/>
        <v>1</v>
      </c>
      <c r="Y170" s="136">
        <f t="shared" si="49"/>
        <v>1</v>
      </c>
      <c r="Z170" s="136">
        <f t="shared" si="49"/>
        <v>1</v>
      </c>
      <c r="AA170" s="136">
        <f t="shared" si="49"/>
        <v>1</v>
      </c>
      <c r="AB170" s="136">
        <f t="shared" si="49"/>
        <v>1</v>
      </c>
      <c r="AC170" s="136">
        <f t="shared" si="49"/>
        <v>1</v>
      </c>
      <c r="AD170" s="136">
        <f t="shared" si="49"/>
        <v>1</v>
      </c>
      <c r="AE170" s="136">
        <f t="shared" si="49"/>
        <v>1</v>
      </c>
      <c r="AF170" s="136">
        <f t="shared" si="49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47"/>
        <v>0.42</v>
      </c>
      <c r="C171" s="137">
        <v>0.42</v>
      </c>
      <c r="D171" s="136">
        <f t="shared" si="48"/>
        <v>0.42</v>
      </c>
      <c r="E171" s="136">
        <f t="shared" si="48"/>
        <v>0.42</v>
      </c>
      <c r="F171" s="136">
        <f t="shared" si="48"/>
        <v>0.42</v>
      </c>
      <c r="G171" s="136">
        <f t="shared" si="48"/>
        <v>0.42</v>
      </c>
      <c r="H171" s="136">
        <f t="shared" si="48"/>
        <v>0.42</v>
      </c>
      <c r="I171" s="136">
        <f t="shared" si="48"/>
        <v>0.42</v>
      </c>
      <c r="J171" s="136">
        <f t="shared" si="48"/>
        <v>0.42</v>
      </c>
      <c r="K171" s="136">
        <f t="shared" si="48"/>
        <v>0.42</v>
      </c>
      <c r="L171" s="136">
        <f t="shared" si="48"/>
        <v>0.42</v>
      </c>
      <c r="M171" s="136">
        <f t="shared" si="48"/>
        <v>0.42</v>
      </c>
      <c r="N171" s="136">
        <f t="shared" si="48"/>
        <v>0.42</v>
      </c>
      <c r="O171" s="136">
        <f t="shared" si="48"/>
        <v>0.42</v>
      </c>
      <c r="P171" s="136">
        <f t="shared" si="48"/>
        <v>0.42</v>
      </c>
      <c r="Q171" s="136">
        <f t="shared" si="48"/>
        <v>0.42</v>
      </c>
      <c r="R171" s="136">
        <f t="shared" si="48"/>
        <v>0.42</v>
      </c>
      <c r="S171" s="136">
        <f t="shared" si="49"/>
        <v>0.42</v>
      </c>
      <c r="T171" s="136">
        <f t="shared" si="49"/>
        <v>0.42</v>
      </c>
      <c r="U171" s="136">
        <f t="shared" si="49"/>
        <v>0.42</v>
      </c>
      <c r="V171" s="136">
        <f t="shared" si="49"/>
        <v>0.42</v>
      </c>
      <c r="W171" s="136">
        <f t="shared" si="49"/>
        <v>0.42</v>
      </c>
      <c r="X171" s="136">
        <f t="shared" si="49"/>
        <v>0.42</v>
      </c>
      <c r="Y171" s="136">
        <f t="shared" si="49"/>
        <v>0.42</v>
      </c>
      <c r="Z171" s="136">
        <f t="shared" si="49"/>
        <v>0.42</v>
      </c>
      <c r="AA171" s="136">
        <f t="shared" si="49"/>
        <v>0.42</v>
      </c>
      <c r="AB171" s="136">
        <f t="shared" si="49"/>
        <v>0.42</v>
      </c>
      <c r="AC171" s="136">
        <f t="shared" si="49"/>
        <v>0.42</v>
      </c>
      <c r="AD171" s="136">
        <f t="shared" si="49"/>
        <v>0.42</v>
      </c>
      <c r="AE171" s="136">
        <f t="shared" si="49"/>
        <v>0.42</v>
      </c>
      <c r="AF171" s="136">
        <f t="shared" si="49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47"/>
        <v>0.46</v>
      </c>
      <c r="C172" s="137">
        <v>0.46</v>
      </c>
      <c r="D172" s="136">
        <f t="shared" si="48"/>
        <v>0.46</v>
      </c>
      <c r="E172" s="136">
        <f t="shared" si="48"/>
        <v>0.46</v>
      </c>
      <c r="F172" s="136">
        <f t="shared" si="48"/>
        <v>0.46</v>
      </c>
      <c r="G172" s="136">
        <f t="shared" si="48"/>
        <v>0.46</v>
      </c>
      <c r="H172" s="136">
        <f t="shared" si="48"/>
        <v>0.46</v>
      </c>
      <c r="I172" s="136">
        <f t="shared" si="48"/>
        <v>0.46</v>
      </c>
      <c r="J172" s="136">
        <f t="shared" si="48"/>
        <v>0.46</v>
      </c>
      <c r="K172" s="136">
        <f t="shared" si="48"/>
        <v>0.46</v>
      </c>
      <c r="L172" s="136">
        <f t="shared" si="48"/>
        <v>0.46</v>
      </c>
      <c r="M172" s="136">
        <f t="shared" si="48"/>
        <v>0.46</v>
      </c>
      <c r="N172" s="136">
        <f t="shared" si="48"/>
        <v>0.46</v>
      </c>
      <c r="O172" s="136">
        <f t="shared" si="48"/>
        <v>0.46</v>
      </c>
      <c r="P172" s="136">
        <f t="shared" si="48"/>
        <v>0.46</v>
      </c>
      <c r="Q172" s="136">
        <f t="shared" si="48"/>
        <v>0.46</v>
      </c>
      <c r="R172" s="136">
        <f t="shared" si="48"/>
        <v>0.46</v>
      </c>
      <c r="S172" s="136">
        <f t="shared" si="49"/>
        <v>0.46</v>
      </c>
      <c r="T172" s="136">
        <f t="shared" si="49"/>
        <v>0.46</v>
      </c>
      <c r="U172" s="136">
        <f t="shared" si="49"/>
        <v>0.46</v>
      </c>
      <c r="V172" s="136">
        <f t="shared" si="49"/>
        <v>0.46</v>
      </c>
      <c r="W172" s="136">
        <f t="shared" si="49"/>
        <v>0.46</v>
      </c>
      <c r="X172" s="136">
        <f t="shared" si="49"/>
        <v>0.46</v>
      </c>
      <c r="Y172" s="136">
        <f t="shared" si="49"/>
        <v>0.46</v>
      </c>
      <c r="Z172" s="136">
        <f t="shared" si="49"/>
        <v>0.46</v>
      </c>
      <c r="AA172" s="136">
        <f t="shared" si="49"/>
        <v>0.46</v>
      </c>
      <c r="AB172" s="136">
        <f t="shared" si="49"/>
        <v>0.46</v>
      </c>
      <c r="AC172" s="136">
        <f t="shared" si="49"/>
        <v>0.46</v>
      </c>
      <c r="AD172" s="136">
        <f t="shared" si="49"/>
        <v>0.46</v>
      </c>
      <c r="AE172" s="136">
        <f t="shared" si="49"/>
        <v>0.46</v>
      </c>
      <c r="AF172" s="136">
        <f t="shared" si="49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47"/>
        <v>0.85</v>
      </c>
      <c r="C173" s="137">
        <v>0.85</v>
      </c>
      <c r="D173" s="136">
        <f t="shared" si="48"/>
        <v>0.85</v>
      </c>
      <c r="E173" s="136">
        <f t="shared" si="48"/>
        <v>0.85</v>
      </c>
      <c r="F173" s="136">
        <f t="shared" si="48"/>
        <v>0.85</v>
      </c>
      <c r="G173" s="136">
        <f t="shared" si="48"/>
        <v>0.85</v>
      </c>
      <c r="H173" s="136">
        <f t="shared" si="48"/>
        <v>0.85</v>
      </c>
      <c r="I173" s="136">
        <f t="shared" si="48"/>
        <v>0.85</v>
      </c>
      <c r="J173" s="136">
        <f t="shared" si="48"/>
        <v>0.85</v>
      </c>
      <c r="K173" s="136">
        <f t="shared" si="48"/>
        <v>0.85</v>
      </c>
      <c r="L173" s="136">
        <f t="shared" si="48"/>
        <v>0.85</v>
      </c>
      <c r="M173" s="136">
        <f t="shared" si="48"/>
        <v>0.85</v>
      </c>
      <c r="N173" s="136">
        <f t="shared" si="48"/>
        <v>0.85</v>
      </c>
      <c r="O173" s="136">
        <f t="shared" si="48"/>
        <v>0.85</v>
      </c>
      <c r="P173" s="136">
        <f t="shared" si="48"/>
        <v>0.85</v>
      </c>
      <c r="Q173" s="136">
        <f t="shared" si="48"/>
        <v>0.85</v>
      </c>
      <c r="R173" s="136">
        <f t="shared" si="48"/>
        <v>0.85</v>
      </c>
      <c r="S173" s="136">
        <f t="shared" si="49"/>
        <v>0.85</v>
      </c>
      <c r="T173" s="136">
        <f t="shared" si="49"/>
        <v>0.85</v>
      </c>
      <c r="U173" s="136">
        <f t="shared" si="49"/>
        <v>0.85</v>
      </c>
      <c r="V173" s="136">
        <f t="shared" si="49"/>
        <v>0.85</v>
      </c>
      <c r="W173" s="136">
        <f t="shared" si="49"/>
        <v>0.85</v>
      </c>
      <c r="X173" s="136">
        <f t="shared" si="49"/>
        <v>0.85</v>
      </c>
      <c r="Y173" s="136">
        <f t="shared" si="49"/>
        <v>0.85</v>
      </c>
      <c r="Z173" s="136">
        <f t="shared" si="49"/>
        <v>0.85</v>
      </c>
      <c r="AA173" s="136">
        <f t="shared" si="49"/>
        <v>0.85</v>
      </c>
      <c r="AB173" s="136">
        <f t="shared" si="49"/>
        <v>0.85</v>
      </c>
      <c r="AC173" s="136">
        <f t="shared" si="49"/>
        <v>0.85</v>
      </c>
      <c r="AD173" s="136">
        <f t="shared" si="49"/>
        <v>0.85</v>
      </c>
      <c r="AE173" s="136">
        <f t="shared" si="49"/>
        <v>0.85</v>
      </c>
      <c r="AF173" s="136">
        <f t="shared" si="49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47"/>
        <v>0.9</v>
      </c>
      <c r="C174" s="137">
        <v>0.9</v>
      </c>
      <c r="D174" s="136">
        <f t="shared" si="48"/>
        <v>0.9</v>
      </c>
      <c r="E174" s="136">
        <f t="shared" si="48"/>
        <v>0.9</v>
      </c>
      <c r="F174" s="136">
        <f t="shared" si="48"/>
        <v>0.9</v>
      </c>
      <c r="G174" s="136">
        <f t="shared" si="48"/>
        <v>0.9</v>
      </c>
      <c r="H174" s="136">
        <f t="shared" si="48"/>
        <v>0.9</v>
      </c>
      <c r="I174" s="136">
        <f t="shared" si="48"/>
        <v>0.9</v>
      </c>
      <c r="J174" s="136">
        <f t="shared" si="48"/>
        <v>0.9</v>
      </c>
      <c r="K174" s="136">
        <f t="shared" si="48"/>
        <v>0.9</v>
      </c>
      <c r="L174" s="136">
        <f t="shared" si="48"/>
        <v>0.9</v>
      </c>
      <c r="M174" s="136">
        <f t="shared" si="48"/>
        <v>0.9</v>
      </c>
      <c r="N174" s="136">
        <f t="shared" si="48"/>
        <v>0.9</v>
      </c>
      <c r="O174" s="136">
        <f t="shared" si="48"/>
        <v>0.9</v>
      </c>
      <c r="P174" s="136">
        <f t="shared" si="48"/>
        <v>0.9</v>
      </c>
      <c r="Q174" s="136">
        <f t="shared" si="48"/>
        <v>0.9</v>
      </c>
      <c r="R174" s="136">
        <f t="shared" si="48"/>
        <v>0.9</v>
      </c>
      <c r="S174" s="136">
        <f t="shared" si="49"/>
        <v>0.9</v>
      </c>
      <c r="T174" s="136">
        <f t="shared" si="49"/>
        <v>0.9</v>
      </c>
      <c r="U174" s="136">
        <f t="shared" si="49"/>
        <v>0.9</v>
      </c>
      <c r="V174" s="136">
        <f t="shared" si="49"/>
        <v>0.9</v>
      </c>
      <c r="W174" s="136">
        <f t="shared" si="49"/>
        <v>0.9</v>
      </c>
      <c r="X174" s="136">
        <f t="shared" si="49"/>
        <v>0.9</v>
      </c>
      <c r="Y174" s="136">
        <f t="shared" si="49"/>
        <v>0.9</v>
      </c>
      <c r="Z174" s="136">
        <f t="shared" si="49"/>
        <v>0.9</v>
      </c>
      <c r="AA174" s="136">
        <f t="shared" si="49"/>
        <v>0.9</v>
      </c>
      <c r="AB174" s="136">
        <f t="shared" si="49"/>
        <v>0.9</v>
      </c>
      <c r="AC174" s="136">
        <f t="shared" si="49"/>
        <v>0.9</v>
      </c>
      <c r="AD174" s="136">
        <f t="shared" si="49"/>
        <v>0.9</v>
      </c>
      <c r="AE174" s="136">
        <f t="shared" si="49"/>
        <v>0.9</v>
      </c>
      <c r="AF174" s="136">
        <f t="shared" si="49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47"/>
        <v>0.44</v>
      </c>
      <c r="C175" s="137">
        <v>0.44</v>
      </c>
      <c r="D175" s="136">
        <f t="shared" si="48"/>
        <v>0.44</v>
      </c>
      <c r="E175" s="136">
        <f t="shared" si="48"/>
        <v>0.44</v>
      </c>
      <c r="F175" s="136">
        <f t="shared" si="48"/>
        <v>0.44</v>
      </c>
      <c r="G175" s="136">
        <f t="shared" si="48"/>
        <v>0.44</v>
      </c>
      <c r="H175" s="136">
        <f t="shared" si="48"/>
        <v>0.44</v>
      </c>
      <c r="I175" s="136">
        <f t="shared" si="48"/>
        <v>0.44</v>
      </c>
      <c r="J175" s="136">
        <f t="shared" si="48"/>
        <v>0.44</v>
      </c>
      <c r="K175" s="136">
        <f t="shared" si="48"/>
        <v>0.44</v>
      </c>
      <c r="L175" s="136">
        <f t="shared" si="48"/>
        <v>0.44</v>
      </c>
      <c r="M175" s="136">
        <f t="shared" si="48"/>
        <v>0.44</v>
      </c>
      <c r="N175" s="136">
        <f t="shared" si="48"/>
        <v>0.44</v>
      </c>
      <c r="O175" s="136">
        <f t="shared" si="48"/>
        <v>0.44</v>
      </c>
      <c r="P175" s="136">
        <f t="shared" si="48"/>
        <v>0.44</v>
      </c>
      <c r="Q175" s="136">
        <f t="shared" si="48"/>
        <v>0.44</v>
      </c>
      <c r="R175" s="136">
        <f t="shared" si="48"/>
        <v>0.44</v>
      </c>
      <c r="S175" s="136">
        <f t="shared" si="49"/>
        <v>0.44</v>
      </c>
      <c r="T175" s="136">
        <f t="shared" si="49"/>
        <v>0.44</v>
      </c>
      <c r="U175" s="136">
        <f t="shared" si="49"/>
        <v>0.44</v>
      </c>
      <c r="V175" s="136">
        <f t="shared" si="49"/>
        <v>0.44</v>
      </c>
      <c r="W175" s="136">
        <f t="shared" si="49"/>
        <v>0.44</v>
      </c>
      <c r="X175" s="136">
        <f t="shared" si="49"/>
        <v>0.44</v>
      </c>
      <c r="Y175" s="136">
        <f t="shared" si="49"/>
        <v>0.44</v>
      </c>
      <c r="Z175" s="136">
        <f t="shared" si="49"/>
        <v>0.44</v>
      </c>
      <c r="AA175" s="136">
        <f t="shared" si="49"/>
        <v>0.44</v>
      </c>
      <c r="AB175" s="136">
        <f t="shared" si="49"/>
        <v>0.44</v>
      </c>
      <c r="AC175" s="136">
        <f t="shared" si="49"/>
        <v>0.44</v>
      </c>
      <c r="AD175" s="136">
        <f t="shared" si="49"/>
        <v>0.44</v>
      </c>
      <c r="AE175" s="136">
        <f t="shared" si="49"/>
        <v>0.44</v>
      </c>
      <c r="AF175" s="136">
        <f t="shared" si="49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47"/>
        <v>2.1</v>
      </c>
      <c r="C176" s="137">
        <v>2.1</v>
      </c>
      <c r="D176" s="136">
        <f t="shared" si="48"/>
        <v>2.1</v>
      </c>
      <c r="E176" s="136">
        <f t="shared" si="48"/>
        <v>2.1</v>
      </c>
      <c r="F176" s="136">
        <f t="shared" si="48"/>
        <v>2.1</v>
      </c>
      <c r="G176" s="136">
        <f t="shared" si="48"/>
        <v>2.1</v>
      </c>
      <c r="H176" s="136">
        <f t="shared" si="48"/>
        <v>2.1</v>
      </c>
      <c r="I176" s="136">
        <f t="shared" si="48"/>
        <v>2.1</v>
      </c>
      <c r="J176" s="136">
        <f t="shared" si="48"/>
        <v>2.1</v>
      </c>
      <c r="K176" s="136">
        <f t="shared" si="48"/>
        <v>2.1</v>
      </c>
      <c r="L176" s="136">
        <f t="shared" si="48"/>
        <v>2.1</v>
      </c>
      <c r="M176" s="136">
        <f t="shared" si="48"/>
        <v>2.1</v>
      </c>
      <c r="N176" s="136">
        <f t="shared" si="48"/>
        <v>2.1</v>
      </c>
      <c r="O176" s="136">
        <f t="shared" si="48"/>
        <v>2.1</v>
      </c>
      <c r="P176" s="136">
        <f t="shared" si="48"/>
        <v>2.1</v>
      </c>
      <c r="Q176" s="136">
        <f t="shared" si="48"/>
        <v>2.1</v>
      </c>
      <c r="R176" s="136">
        <f t="shared" si="48"/>
        <v>2.1</v>
      </c>
      <c r="S176" s="136">
        <f t="shared" si="49"/>
        <v>2.1</v>
      </c>
      <c r="T176" s="136">
        <f t="shared" si="49"/>
        <v>2.1</v>
      </c>
      <c r="U176" s="136">
        <f t="shared" si="49"/>
        <v>2.1</v>
      </c>
      <c r="V176" s="136">
        <f t="shared" si="49"/>
        <v>2.1</v>
      </c>
      <c r="W176" s="136">
        <f t="shared" si="49"/>
        <v>2.1</v>
      </c>
      <c r="X176" s="136">
        <f t="shared" si="49"/>
        <v>2.1</v>
      </c>
      <c r="Y176" s="136">
        <f t="shared" si="49"/>
        <v>2.1</v>
      </c>
      <c r="Z176" s="136">
        <f t="shared" si="49"/>
        <v>2.1</v>
      </c>
      <c r="AA176" s="136">
        <f t="shared" si="49"/>
        <v>2.1</v>
      </c>
      <c r="AB176" s="136">
        <f t="shared" si="49"/>
        <v>2.1</v>
      </c>
      <c r="AC176" s="136">
        <f t="shared" si="49"/>
        <v>2.1</v>
      </c>
      <c r="AD176" s="136">
        <f t="shared" si="49"/>
        <v>2.1</v>
      </c>
      <c r="AE176" s="136">
        <f t="shared" si="49"/>
        <v>2.1</v>
      </c>
      <c r="AF176" s="136">
        <f t="shared" si="49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47"/>
        <v>0.9</v>
      </c>
      <c r="C177" s="137">
        <v>0.9</v>
      </c>
      <c r="D177" s="136">
        <f t="shared" si="48"/>
        <v>0.9</v>
      </c>
      <c r="E177" s="136">
        <f t="shared" si="48"/>
        <v>0.9</v>
      </c>
      <c r="F177" s="136">
        <f t="shared" si="48"/>
        <v>0.9</v>
      </c>
      <c r="G177" s="136">
        <f t="shared" si="48"/>
        <v>0.9</v>
      </c>
      <c r="H177" s="136">
        <f t="shared" si="48"/>
        <v>0.9</v>
      </c>
      <c r="I177" s="136">
        <f t="shared" si="48"/>
        <v>0.9</v>
      </c>
      <c r="J177" s="136">
        <f t="shared" si="48"/>
        <v>0.9</v>
      </c>
      <c r="K177" s="136">
        <f t="shared" si="48"/>
        <v>0.9</v>
      </c>
      <c r="L177" s="136">
        <f t="shared" si="48"/>
        <v>0.9</v>
      </c>
      <c r="M177" s="136">
        <f t="shared" si="48"/>
        <v>0.9</v>
      </c>
      <c r="N177" s="136">
        <f t="shared" si="48"/>
        <v>0.9</v>
      </c>
      <c r="O177" s="136">
        <f t="shared" si="48"/>
        <v>0.9</v>
      </c>
      <c r="P177" s="136">
        <f t="shared" si="48"/>
        <v>0.9</v>
      </c>
      <c r="Q177" s="136">
        <f t="shared" si="48"/>
        <v>0.9</v>
      </c>
      <c r="R177" s="136">
        <f t="shared" si="48"/>
        <v>0.9</v>
      </c>
      <c r="S177" s="136">
        <f t="shared" si="49"/>
        <v>0.9</v>
      </c>
      <c r="T177" s="136">
        <f t="shared" si="49"/>
        <v>0.9</v>
      </c>
      <c r="U177" s="136">
        <f t="shared" si="49"/>
        <v>0.9</v>
      </c>
      <c r="V177" s="136">
        <f t="shared" si="49"/>
        <v>0.9</v>
      </c>
      <c r="W177" s="136">
        <f t="shared" si="49"/>
        <v>0.9</v>
      </c>
      <c r="X177" s="136">
        <f t="shared" si="49"/>
        <v>0.9</v>
      </c>
      <c r="Y177" s="136">
        <f t="shared" si="49"/>
        <v>0.9</v>
      </c>
      <c r="Z177" s="136">
        <f t="shared" si="49"/>
        <v>0.9</v>
      </c>
      <c r="AA177" s="136">
        <f t="shared" si="49"/>
        <v>0.9</v>
      </c>
      <c r="AB177" s="136">
        <f t="shared" si="49"/>
        <v>0.9</v>
      </c>
      <c r="AC177" s="136">
        <f t="shared" si="49"/>
        <v>0.9</v>
      </c>
      <c r="AD177" s="136">
        <f t="shared" si="49"/>
        <v>0.9</v>
      </c>
      <c r="AE177" s="136">
        <f t="shared" si="49"/>
        <v>0.9</v>
      </c>
      <c r="AF177" s="136">
        <f t="shared" si="49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50">AF179</f>
        <v>0.57999999999999996</v>
      </c>
      <c r="C179" s="137">
        <v>0.57999999999999996</v>
      </c>
      <c r="D179" s="136">
        <f t="shared" ref="D179:S191" si="51">C179</f>
        <v>0.57999999999999996</v>
      </c>
      <c r="E179" s="136">
        <f t="shared" si="51"/>
        <v>0.57999999999999996</v>
      </c>
      <c r="F179" s="136">
        <f t="shared" si="51"/>
        <v>0.57999999999999996</v>
      </c>
      <c r="G179" s="136">
        <f t="shared" si="51"/>
        <v>0.57999999999999996</v>
      </c>
      <c r="H179" s="136">
        <f t="shared" si="51"/>
        <v>0.57999999999999996</v>
      </c>
      <c r="I179" s="136">
        <f t="shared" si="51"/>
        <v>0.57999999999999996</v>
      </c>
      <c r="J179" s="136">
        <f t="shared" si="51"/>
        <v>0.57999999999999996</v>
      </c>
      <c r="K179" s="136">
        <f t="shared" si="51"/>
        <v>0.57999999999999996</v>
      </c>
      <c r="L179" s="136">
        <f t="shared" si="51"/>
        <v>0.57999999999999996</v>
      </c>
      <c r="M179" s="136">
        <f t="shared" si="51"/>
        <v>0.57999999999999996</v>
      </c>
      <c r="N179" s="136">
        <f t="shared" si="51"/>
        <v>0.57999999999999996</v>
      </c>
      <c r="O179" s="136">
        <f t="shared" si="51"/>
        <v>0.57999999999999996</v>
      </c>
      <c r="P179" s="136">
        <f t="shared" si="51"/>
        <v>0.57999999999999996</v>
      </c>
      <c r="Q179" s="136">
        <f t="shared" si="51"/>
        <v>0.57999999999999996</v>
      </c>
      <c r="R179" s="136">
        <f t="shared" si="51"/>
        <v>0.57999999999999996</v>
      </c>
      <c r="S179" s="136">
        <f t="shared" si="51"/>
        <v>0.57999999999999996</v>
      </c>
      <c r="T179" s="136">
        <f t="shared" ref="S179:AF191" si="52">S179</f>
        <v>0.57999999999999996</v>
      </c>
      <c r="U179" s="136">
        <f t="shared" si="52"/>
        <v>0.57999999999999996</v>
      </c>
      <c r="V179" s="136">
        <f t="shared" si="52"/>
        <v>0.57999999999999996</v>
      </c>
      <c r="W179" s="136">
        <f t="shared" si="52"/>
        <v>0.57999999999999996</v>
      </c>
      <c r="X179" s="136">
        <f t="shared" si="52"/>
        <v>0.57999999999999996</v>
      </c>
      <c r="Y179" s="136">
        <f t="shared" si="52"/>
        <v>0.57999999999999996</v>
      </c>
      <c r="Z179" s="136">
        <f t="shared" si="52"/>
        <v>0.57999999999999996</v>
      </c>
      <c r="AA179" s="136">
        <f t="shared" si="52"/>
        <v>0.57999999999999996</v>
      </c>
      <c r="AB179" s="136">
        <f t="shared" si="52"/>
        <v>0.57999999999999996</v>
      </c>
      <c r="AC179" s="136">
        <f t="shared" si="52"/>
        <v>0.57999999999999996</v>
      </c>
      <c r="AD179" s="136">
        <f t="shared" si="52"/>
        <v>0.57999999999999996</v>
      </c>
      <c r="AE179" s="136">
        <f t="shared" si="52"/>
        <v>0.57999999999999996</v>
      </c>
      <c r="AF179" s="136">
        <f t="shared" si="52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50"/>
        <v>0.8</v>
      </c>
      <c r="C180" s="137">
        <v>0.8</v>
      </c>
      <c r="D180" s="136">
        <f t="shared" si="51"/>
        <v>0.8</v>
      </c>
      <c r="E180" s="136">
        <f t="shared" si="51"/>
        <v>0.8</v>
      </c>
      <c r="F180" s="136">
        <f t="shared" si="51"/>
        <v>0.8</v>
      </c>
      <c r="G180" s="136">
        <f t="shared" si="51"/>
        <v>0.8</v>
      </c>
      <c r="H180" s="136">
        <f t="shared" si="51"/>
        <v>0.8</v>
      </c>
      <c r="I180" s="136">
        <f t="shared" si="51"/>
        <v>0.8</v>
      </c>
      <c r="J180" s="136">
        <f t="shared" si="51"/>
        <v>0.8</v>
      </c>
      <c r="K180" s="136">
        <f t="shared" si="51"/>
        <v>0.8</v>
      </c>
      <c r="L180" s="136">
        <f t="shared" si="51"/>
        <v>0.8</v>
      </c>
      <c r="M180" s="136">
        <f t="shared" si="51"/>
        <v>0.8</v>
      </c>
      <c r="N180" s="136">
        <f t="shared" si="51"/>
        <v>0.8</v>
      </c>
      <c r="O180" s="136">
        <f t="shared" si="51"/>
        <v>0.8</v>
      </c>
      <c r="P180" s="136">
        <f t="shared" si="51"/>
        <v>0.8</v>
      </c>
      <c r="Q180" s="136">
        <f t="shared" si="51"/>
        <v>0.8</v>
      </c>
      <c r="R180" s="136">
        <f t="shared" si="51"/>
        <v>0.8</v>
      </c>
      <c r="S180" s="136">
        <f t="shared" si="51"/>
        <v>0.8</v>
      </c>
      <c r="T180" s="136">
        <f t="shared" si="52"/>
        <v>0.8</v>
      </c>
      <c r="U180" s="136">
        <f t="shared" si="52"/>
        <v>0.8</v>
      </c>
      <c r="V180" s="136">
        <f t="shared" si="52"/>
        <v>0.8</v>
      </c>
      <c r="W180" s="136">
        <f t="shared" si="52"/>
        <v>0.8</v>
      </c>
      <c r="X180" s="136">
        <f t="shared" si="52"/>
        <v>0.8</v>
      </c>
      <c r="Y180" s="136">
        <f t="shared" si="52"/>
        <v>0.8</v>
      </c>
      <c r="Z180" s="136">
        <f t="shared" si="52"/>
        <v>0.8</v>
      </c>
      <c r="AA180" s="136">
        <f t="shared" si="52"/>
        <v>0.8</v>
      </c>
      <c r="AB180" s="136">
        <f t="shared" si="52"/>
        <v>0.8</v>
      </c>
      <c r="AC180" s="136">
        <f t="shared" si="52"/>
        <v>0.8</v>
      </c>
      <c r="AD180" s="136">
        <f t="shared" si="52"/>
        <v>0.8</v>
      </c>
      <c r="AE180" s="136">
        <f t="shared" si="52"/>
        <v>0.8</v>
      </c>
      <c r="AF180" s="136">
        <f t="shared" si="52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50"/>
        <v>0</v>
      </c>
      <c r="C181" s="137">
        <v>0</v>
      </c>
      <c r="D181" s="136">
        <f t="shared" si="51"/>
        <v>0</v>
      </c>
      <c r="E181" s="136">
        <f t="shared" si="51"/>
        <v>0</v>
      </c>
      <c r="F181" s="136">
        <f t="shared" si="51"/>
        <v>0</v>
      </c>
      <c r="G181" s="136">
        <f t="shared" si="51"/>
        <v>0</v>
      </c>
      <c r="H181" s="136">
        <f t="shared" si="51"/>
        <v>0</v>
      </c>
      <c r="I181" s="136">
        <f t="shared" si="51"/>
        <v>0</v>
      </c>
      <c r="J181" s="136">
        <f t="shared" si="51"/>
        <v>0</v>
      </c>
      <c r="K181" s="136">
        <f t="shared" si="51"/>
        <v>0</v>
      </c>
      <c r="L181" s="136">
        <f t="shared" si="51"/>
        <v>0</v>
      </c>
      <c r="M181" s="136">
        <f t="shared" si="51"/>
        <v>0</v>
      </c>
      <c r="N181" s="136">
        <f t="shared" si="51"/>
        <v>0</v>
      </c>
      <c r="O181" s="136">
        <f t="shared" si="51"/>
        <v>0</v>
      </c>
      <c r="P181" s="136">
        <f t="shared" si="51"/>
        <v>0</v>
      </c>
      <c r="Q181" s="136">
        <f t="shared" si="51"/>
        <v>0</v>
      </c>
      <c r="R181" s="136">
        <f t="shared" si="51"/>
        <v>0</v>
      </c>
      <c r="S181" s="136">
        <f t="shared" si="51"/>
        <v>0</v>
      </c>
      <c r="T181" s="136">
        <f t="shared" si="52"/>
        <v>0</v>
      </c>
      <c r="U181" s="136">
        <f t="shared" si="52"/>
        <v>0</v>
      </c>
      <c r="V181" s="136">
        <f t="shared" si="52"/>
        <v>0</v>
      </c>
      <c r="W181" s="136">
        <f t="shared" si="52"/>
        <v>0</v>
      </c>
      <c r="X181" s="136">
        <f t="shared" si="52"/>
        <v>0</v>
      </c>
      <c r="Y181" s="136">
        <f t="shared" si="52"/>
        <v>0</v>
      </c>
      <c r="Z181" s="136">
        <f t="shared" si="52"/>
        <v>0</v>
      </c>
      <c r="AA181" s="136">
        <f t="shared" si="52"/>
        <v>0</v>
      </c>
      <c r="AB181" s="136">
        <f t="shared" si="52"/>
        <v>0</v>
      </c>
      <c r="AC181" s="136">
        <f t="shared" si="52"/>
        <v>0</v>
      </c>
      <c r="AD181" s="136">
        <f t="shared" si="52"/>
        <v>0</v>
      </c>
      <c r="AE181" s="136">
        <f t="shared" si="52"/>
        <v>0</v>
      </c>
      <c r="AF181" s="136">
        <f t="shared" si="52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50"/>
        <v>0.6</v>
      </c>
      <c r="C183" s="137">
        <v>0.6</v>
      </c>
      <c r="D183" s="136">
        <f t="shared" si="51"/>
        <v>0.6</v>
      </c>
      <c r="E183" s="136">
        <f t="shared" si="51"/>
        <v>0.6</v>
      </c>
      <c r="F183" s="136">
        <f t="shared" si="51"/>
        <v>0.6</v>
      </c>
      <c r="G183" s="136">
        <f t="shared" si="51"/>
        <v>0.6</v>
      </c>
      <c r="H183" s="136">
        <f t="shared" si="51"/>
        <v>0.6</v>
      </c>
      <c r="I183" s="136">
        <f t="shared" si="51"/>
        <v>0.6</v>
      </c>
      <c r="J183" s="136">
        <f t="shared" si="51"/>
        <v>0.6</v>
      </c>
      <c r="K183" s="136">
        <f t="shared" si="51"/>
        <v>0.6</v>
      </c>
      <c r="L183" s="136">
        <f t="shared" si="51"/>
        <v>0.6</v>
      </c>
      <c r="M183" s="136">
        <f t="shared" si="51"/>
        <v>0.6</v>
      </c>
      <c r="N183" s="136">
        <f t="shared" si="51"/>
        <v>0.6</v>
      </c>
      <c r="O183" s="136">
        <f t="shared" si="51"/>
        <v>0.6</v>
      </c>
      <c r="P183" s="136">
        <f t="shared" si="51"/>
        <v>0.6</v>
      </c>
      <c r="Q183" s="136">
        <f t="shared" si="51"/>
        <v>0.6</v>
      </c>
      <c r="R183" s="136">
        <f t="shared" si="51"/>
        <v>0.6</v>
      </c>
      <c r="S183" s="136">
        <f t="shared" si="51"/>
        <v>0.6</v>
      </c>
      <c r="T183" s="136">
        <f t="shared" si="52"/>
        <v>0.6</v>
      </c>
      <c r="U183" s="136">
        <f t="shared" si="52"/>
        <v>0.6</v>
      </c>
      <c r="V183" s="136">
        <f t="shared" si="52"/>
        <v>0.6</v>
      </c>
      <c r="W183" s="136">
        <f t="shared" si="52"/>
        <v>0.6</v>
      </c>
      <c r="X183" s="136">
        <f t="shared" si="52"/>
        <v>0.6</v>
      </c>
      <c r="Y183" s="136">
        <f t="shared" si="52"/>
        <v>0.6</v>
      </c>
      <c r="Z183" s="136">
        <f t="shared" si="52"/>
        <v>0.6</v>
      </c>
      <c r="AA183" s="136">
        <f t="shared" si="52"/>
        <v>0.6</v>
      </c>
      <c r="AB183" s="136">
        <f t="shared" si="52"/>
        <v>0.6</v>
      </c>
      <c r="AC183" s="136">
        <f t="shared" si="52"/>
        <v>0.6</v>
      </c>
      <c r="AD183" s="136">
        <f t="shared" si="52"/>
        <v>0.6</v>
      </c>
      <c r="AE183" s="136">
        <f t="shared" si="52"/>
        <v>0.6</v>
      </c>
      <c r="AF183" s="136">
        <f t="shared" si="52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50"/>
        <v>0.35</v>
      </c>
      <c r="C184" s="137">
        <v>0.35</v>
      </c>
      <c r="D184" s="136">
        <f t="shared" si="51"/>
        <v>0.35</v>
      </c>
      <c r="E184" s="136">
        <f t="shared" si="51"/>
        <v>0.35</v>
      </c>
      <c r="F184" s="136">
        <f t="shared" si="51"/>
        <v>0.35</v>
      </c>
      <c r="G184" s="136">
        <f t="shared" si="51"/>
        <v>0.35</v>
      </c>
      <c r="H184" s="136">
        <f t="shared" si="51"/>
        <v>0.35</v>
      </c>
      <c r="I184" s="136">
        <f t="shared" si="51"/>
        <v>0.35</v>
      </c>
      <c r="J184" s="136">
        <f t="shared" si="51"/>
        <v>0.35</v>
      </c>
      <c r="K184" s="136">
        <f t="shared" si="51"/>
        <v>0.35</v>
      </c>
      <c r="L184" s="136">
        <f t="shared" si="51"/>
        <v>0.35</v>
      </c>
      <c r="M184" s="136">
        <f t="shared" si="51"/>
        <v>0.35</v>
      </c>
      <c r="N184" s="136">
        <f t="shared" si="51"/>
        <v>0.35</v>
      </c>
      <c r="O184" s="136">
        <f t="shared" si="51"/>
        <v>0.35</v>
      </c>
      <c r="P184" s="136">
        <f t="shared" si="51"/>
        <v>0.35</v>
      </c>
      <c r="Q184" s="136">
        <f t="shared" si="51"/>
        <v>0.35</v>
      </c>
      <c r="R184" s="136">
        <f t="shared" si="51"/>
        <v>0.35</v>
      </c>
      <c r="S184" s="136">
        <f t="shared" si="51"/>
        <v>0.35</v>
      </c>
      <c r="T184" s="136">
        <f t="shared" si="52"/>
        <v>0.35</v>
      </c>
      <c r="U184" s="136">
        <f t="shared" si="52"/>
        <v>0.35</v>
      </c>
      <c r="V184" s="136">
        <f t="shared" si="52"/>
        <v>0.35</v>
      </c>
      <c r="W184" s="136">
        <f t="shared" si="52"/>
        <v>0.35</v>
      </c>
      <c r="X184" s="136">
        <f t="shared" si="52"/>
        <v>0.35</v>
      </c>
      <c r="Y184" s="136">
        <f t="shared" si="52"/>
        <v>0.35</v>
      </c>
      <c r="Z184" s="136">
        <f t="shared" si="52"/>
        <v>0.35</v>
      </c>
      <c r="AA184" s="136">
        <f t="shared" si="52"/>
        <v>0.35</v>
      </c>
      <c r="AB184" s="136">
        <f t="shared" si="52"/>
        <v>0.35</v>
      </c>
      <c r="AC184" s="136">
        <f t="shared" si="52"/>
        <v>0.35</v>
      </c>
      <c r="AD184" s="136">
        <f t="shared" si="52"/>
        <v>0.35</v>
      </c>
      <c r="AE184" s="136">
        <f t="shared" si="52"/>
        <v>0.35</v>
      </c>
      <c r="AF184" s="136">
        <f t="shared" si="52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50"/>
        <v>0.28999999999999998</v>
      </c>
      <c r="C185" s="137">
        <v>0.28999999999999998</v>
      </c>
      <c r="D185" s="136">
        <f t="shared" si="51"/>
        <v>0.28999999999999998</v>
      </c>
      <c r="E185" s="136">
        <f t="shared" si="51"/>
        <v>0.28999999999999998</v>
      </c>
      <c r="F185" s="136">
        <f t="shared" si="51"/>
        <v>0.28999999999999998</v>
      </c>
      <c r="G185" s="136">
        <f t="shared" si="51"/>
        <v>0.28999999999999998</v>
      </c>
      <c r="H185" s="136">
        <f t="shared" si="51"/>
        <v>0.28999999999999998</v>
      </c>
      <c r="I185" s="136">
        <f t="shared" si="51"/>
        <v>0.28999999999999998</v>
      </c>
      <c r="J185" s="136">
        <f t="shared" si="51"/>
        <v>0.28999999999999998</v>
      </c>
      <c r="K185" s="136">
        <f t="shared" si="51"/>
        <v>0.28999999999999998</v>
      </c>
      <c r="L185" s="136">
        <f t="shared" si="51"/>
        <v>0.28999999999999998</v>
      </c>
      <c r="M185" s="136">
        <f t="shared" si="51"/>
        <v>0.28999999999999998</v>
      </c>
      <c r="N185" s="136">
        <f t="shared" si="51"/>
        <v>0.28999999999999998</v>
      </c>
      <c r="O185" s="136">
        <f t="shared" si="51"/>
        <v>0.28999999999999998</v>
      </c>
      <c r="P185" s="136">
        <f t="shared" si="51"/>
        <v>0.28999999999999998</v>
      </c>
      <c r="Q185" s="136">
        <f t="shared" si="51"/>
        <v>0.28999999999999998</v>
      </c>
      <c r="R185" s="136">
        <f t="shared" si="51"/>
        <v>0.28999999999999998</v>
      </c>
      <c r="S185" s="136">
        <f t="shared" si="51"/>
        <v>0.28999999999999998</v>
      </c>
      <c r="T185" s="136">
        <f t="shared" si="52"/>
        <v>0.28999999999999998</v>
      </c>
      <c r="U185" s="136">
        <f t="shared" si="52"/>
        <v>0.28999999999999998</v>
      </c>
      <c r="V185" s="136">
        <f t="shared" si="52"/>
        <v>0.28999999999999998</v>
      </c>
      <c r="W185" s="136">
        <f t="shared" si="52"/>
        <v>0.28999999999999998</v>
      </c>
      <c r="X185" s="136">
        <f t="shared" si="52"/>
        <v>0.28999999999999998</v>
      </c>
      <c r="Y185" s="136">
        <f t="shared" si="52"/>
        <v>0.28999999999999998</v>
      </c>
      <c r="Z185" s="136">
        <f t="shared" si="52"/>
        <v>0.28999999999999998</v>
      </c>
      <c r="AA185" s="136">
        <f t="shared" si="52"/>
        <v>0.28999999999999998</v>
      </c>
      <c r="AB185" s="136">
        <f t="shared" si="52"/>
        <v>0.28999999999999998</v>
      </c>
      <c r="AC185" s="136">
        <f t="shared" si="52"/>
        <v>0.28999999999999998</v>
      </c>
      <c r="AD185" s="136">
        <f t="shared" si="52"/>
        <v>0.28999999999999998</v>
      </c>
      <c r="AE185" s="136">
        <f t="shared" si="52"/>
        <v>0.28999999999999998</v>
      </c>
      <c r="AF185" s="136">
        <f t="shared" si="52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50"/>
        <v>0.06</v>
      </c>
      <c r="C186" s="137">
        <v>0.06</v>
      </c>
      <c r="D186" s="136">
        <f t="shared" si="51"/>
        <v>0.06</v>
      </c>
      <c r="E186" s="136">
        <f t="shared" si="51"/>
        <v>0.06</v>
      </c>
      <c r="F186" s="136">
        <f t="shared" si="51"/>
        <v>0.06</v>
      </c>
      <c r="G186" s="136">
        <f t="shared" si="51"/>
        <v>0.06</v>
      </c>
      <c r="H186" s="136">
        <f t="shared" si="51"/>
        <v>0.06</v>
      </c>
      <c r="I186" s="136">
        <f t="shared" si="51"/>
        <v>0.06</v>
      </c>
      <c r="J186" s="136">
        <f t="shared" si="51"/>
        <v>0.06</v>
      </c>
      <c r="K186" s="136">
        <f t="shared" si="51"/>
        <v>0.06</v>
      </c>
      <c r="L186" s="136">
        <f t="shared" si="51"/>
        <v>0.06</v>
      </c>
      <c r="M186" s="136">
        <f t="shared" si="51"/>
        <v>0.06</v>
      </c>
      <c r="N186" s="136">
        <f t="shared" si="51"/>
        <v>0.06</v>
      </c>
      <c r="O186" s="136">
        <f t="shared" si="51"/>
        <v>0.06</v>
      </c>
      <c r="P186" s="136">
        <f t="shared" si="51"/>
        <v>0.06</v>
      </c>
      <c r="Q186" s="136">
        <f t="shared" si="51"/>
        <v>0.06</v>
      </c>
      <c r="R186" s="136">
        <f t="shared" si="51"/>
        <v>0.06</v>
      </c>
      <c r="S186" s="136">
        <f t="shared" si="51"/>
        <v>0.06</v>
      </c>
      <c r="T186" s="136">
        <f t="shared" si="52"/>
        <v>0.06</v>
      </c>
      <c r="U186" s="136">
        <f t="shared" si="52"/>
        <v>0.06</v>
      </c>
      <c r="V186" s="136">
        <f t="shared" si="52"/>
        <v>0.06</v>
      </c>
      <c r="W186" s="136">
        <f t="shared" si="52"/>
        <v>0.06</v>
      </c>
      <c r="X186" s="136">
        <f t="shared" si="52"/>
        <v>0.06</v>
      </c>
      <c r="Y186" s="136">
        <f t="shared" si="52"/>
        <v>0.06</v>
      </c>
      <c r="Z186" s="136">
        <f t="shared" si="52"/>
        <v>0.06</v>
      </c>
      <c r="AA186" s="136">
        <f t="shared" si="52"/>
        <v>0.06</v>
      </c>
      <c r="AB186" s="136">
        <f t="shared" si="52"/>
        <v>0.06</v>
      </c>
      <c r="AC186" s="136">
        <f t="shared" si="52"/>
        <v>0.06</v>
      </c>
      <c r="AD186" s="136">
        <f t="shared" si="52"/>
        <v>0.06</v>
      </c>
      <c r="AE186" s="136">
        <f t="shared" si="52"/>
        <v>0.06</v>
      </c>
      <c r="AF186" s="136">
        <f t="shared" si="52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50"/>
        <v>0.11</v>
      </c>
      <c r="C187" s="137">
        <v>0.11</v>
      </c>
      <c r="D187" s="136">
        <f t="shared" si="51"/>
        <v>0.11</v>
      </c>
      <c r="E187" s="136">
        <f t="shared" si="51"/>
        <v>0.11</v>
      </c>
      <c r="F187" s="136">
        <f t="shared" si="51"/>
        <v>0.11</v>
      </c>
      <c r="G187" s="136">
        <f t="shared" si="51"/>
        <v>0.11</v>
      </c>
      <c r="H187" s="136">
        <f t="shared" si="51"/>
        <v>0.11</v>
      </c>
      <c r="I187" s="136">
        <f t="shared" si="51"/>
        <v>0.11</v>
      </c>
      <c r="J187" s="136">
        <f t="shared" si="51"/>
        <v>0.11</v>
      </c>
      <c r="K187" s="136">
        <f t="shared" si="51"/>
        <v>0.11</v>
      </c>
      <c r="L187" s="136">
        <f t="shared" si="51"/>
        <v>0.11</v>
      </c>
      <c r="M187" s="136">
        <f t="shared" si="51"/>
        <v>0.11</v>
      </c>
      <c r="N187" s="136">
        <f t="shared" si="51"/>
        <v>0.11</v>
      </c>
      <c r="O187" s="136">
        <f t="shared" si="51"/>
        <v>0.11</v>
      </c>
      <c r="P187" s="136">
        <f t="shared" si="51"/>
        <v>0.11</v>
      </c>
      <c r="Q187" s="136">
        <f t="shared" si="51"/>
        <v>0.11</v>
      </c>
      <c r="R187" s="136">
        <f t="shared" si="51"/>
        <v>0.11</v>
      </c>
      <c r="S187" s="136">
        <f t="shared" si="51"/>
        <v>0.11</v>
      </c>
      <c r="T187" s="136">
        <f t="shared" si="52"/>
        <v>0.11</v>
      </c>
      <c r="U187" s="136">
        <f t="shared" si="52"/>
        <v>0.11</v>
      </c>
      <c r="V187" s="136">
        <f t="shared" si="52"/>
        <v>0.11</v>
      </c>
      <c r="W187" s="136">
        <f t="shared" si="52"/>
        <v>0.11</v>
      </c>
      <c r="X187" s="136">
        <f t="shared" si="52"/>
        <v>0.11</v>
      </c>
      <c r="Y187" s="136">
        <f t="shared" si="52"/>
        <v>0.11</v>
      </c>
      <c r="Z187" s="136">
        <f t="shared" si="52"/>
        <v>0.11</v>
      </c>
      <c r="AA187" s="136">
        <f t="shared" si="52"/>
        <v>0.11</v>
      </c>
      <c r="AB187" s="136">
        <f t="shared" si="52"/>
        <v>0.11</v>
      </c>
      <c r="AC187" s="136">
        <f t="shared" si="52"/>
        <v>0.11</v>
      </c>
      <c r="AD187" s="136">
        <f t="shared" si="52"/>
        <v>0.11</v>
      </c>
      <c r="AE187" s="136">
        <f t="shared" si="52"/>
        <v>0.11</v>
      </c>
      <c r="AF187" s="136">
        <f t="shared" si="52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50"/>
        <v>0.1</v>
      </c>
      <c r="C188" s="137">
        <v>0.1</v>
      </c>
      <c r="D188" s="136">
        <f t="shared" si="51"/>
        <v>0.1</v>
      </c>
      <c r="E188" s="136">
        <f t="shared" si="51"/>
        <v>0.1</v>
      </c>
      <c r="F188" s="136">
        <f t="shared" si="51"/>
        <v>0.1</v>
      </c>
      <c r="G188" s="136">
        <f t="shared" si="51"/>
        <v>0.1</v>
      </c>
      <c r="H188" s="136">
        <f t="shared" si="51"/>
        <v>0.1</v>
      </c>
      <c r="I188" s="136">
        <f t="shared" si="51"/>
        <v>0.1</v>
      </c>
      <c r="J188" s="136">
        <f t="shared" si="51"/>
        <v>0.1</v>
      </c>
      <c r="K188" s="136">
        <f t="shared" si="51"/>
        <v>0.1</v>
      </c>
      <c r="L188" s="136">
        <f t="shared" si="51"/>
        <v>0.1</v>
      </c>
      <c r="M188" s="136">
        <f t="shared" si="51"/>
        <v>0.1</v>
      </c>
      <c r="N188" s="136">
        <f t="shared" si="51"/>
        <v>0.1</v>
      </c>
      <c r="O188" s="136">
        <f t="shared" si="51"/>
        <v>0.1</v>
      </c>
      <c r="P188" s="136">
        <f t="shared" si="51"/>
        <v>0.1</v>
      </c>
      <c r="Q188" s="136">
        <f t="shared" si="51"/>
        <v>0.1</v>
      </c>
      <c r="R188" s="136">
        <f t="shared" si="51"/>
        <v>0.1</v>
      </c>
      <c r="S188" s="136">
        <f t="shared" si="52"/>
        <v>0.1</v>
      </c>
      <c r="T188" s="136">
        <f t="shared" si="52"/>
        <v>0.1</v>
      </c>
      <c r="U188" s="136">
        <f t="shared" si="52"/>
        <v>0.1</v>
      </c>
      <c r="V188" s="136">
        <f t="shared" si="52"/>
        <v>0.1</v>
      </c>
      <c r="W188" s="136">
        <f t="shared" si="52"/>
        <v>0.1</v>
      </c>
      <c r="X188" s="136">
        <f t="shared" si="52"/>
        <v>0.1</v>
      </c>
      <c r="Y188" s="136">
        <f t="shared" si="52"/>
        <v>0.1</v>
      </c>
      <c r="Z188" s="136">
        <f t="shared" si="52"/>
        <v>0.1</v>
      </c>
      <c r="AA188" s="136">
        <f t="shared" si="52"/>
        <v>0.1</v>
      </c>
      <c r="AB188" s="136">
        <f t="shared" si="52"/>
        <v>0.1</v>
      </c>
      <c r="AC188" s="136">
        <f t="shared" si="52"/>
        <v>0.1</v>
      </c>
      <c r="AD188" s="136">
        <f t="shared" si="52"/>
        <v>0.1</v>
      </c>
      <c r="AE188" s="136">
        <f t="shared" si="52"/>
        <v>0.1</v>
      </c>
      <c r="AF188" s="136">
        <f t="shared" si="52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50"/>
        <v>0.09</v>
      </c>
      <c r="C189" s="137">
        <v>0.09</v>
      </c>
      <c r="D189" s="136">
        <f t="shared" si="51"/>
        <v>0.09</v>
      </c>
      <c r="E189" s="136">
        <f t="shared" si="51"/>
        <v>0.09</v>
      </c>
      <c r="F189" s="136">
        <f t="shared" si="51"/>
        <v>0.09</v>
      </c>
      <c r="G189" s="136">
        <f t="shared" si="51"/>
        <v>0.09</v>
      </c>
      <c r="H189" s="136">
        <f t="shared" si="51"/>
        <v>0.09</v>
      </c>
      <c r="I189" s="136">
        <f t="shared" si="51"/>
        <v>0.09</v>
      </c>
      <c r="J189" s="136">
        <f t="shared" si="51"/>
        <v>0.09</v>
      </c>
      <c r="K189" s="136">
        <f t="shared" si="51"/>
        <v>0.09</v>
      </c>
      <c r="L189" s="136">
        <f t="shared" si="51"/>
        <v>0.09</v>
      </c>
      <c r="M189" s="136">
        <f t="shared" si="51"/>
        <v>0.09</v>
      </c>
      <c r="N189" s="136">
        <f t="shared" si="51"/>
        <v>0.09</v>
      </c>
      <c r="O189" s="136">
        <f t="shared" si="51"/>
        <v>0.09</v>
      </c>
      <c r="P189" s="136">
        <f t="shared" si="51"/>
        <v>0.09</v>
      </c>
      <c r="Q189" s="136">
        <f t="shared" si="51"/>
        <v>0.09</v>
      </c>
      <c r="R189" s="136">
        <f t="shared" si="51"/>
        <v>0.09</v>
      </c>
      <c r="S189" s="136">
        <f t="shared" si="52"/>
        <v>0.09</v>
      </c>
      <c r="T189" s="136">
        <f t="shared" si="52"/>
        <v>0.09</v>
      </c>
      <c r="U189" s="136">
        <f t="shared" si="52"/>
        <v>0.09</v>
      </c>
      <c r="V189" s="136">
        <f t="shared" si="52"/>
        <v>0.09</v>
      </c>
      <c r="W189" s="136">
        <f t="shared" si="52"/>
        <v>0.09</v>
      </c>
      <c r="X189" s="136">
        <f t="shared" si="52"/>
        <v>0.09</v>
      </c>
      <c r="Y189" s="136">
        <f t="shared" si="52"/>
        <v>0.09</v>
      </c>
      <c r="Z189" s="136">
        <f t="shared" si="52"/>
        <v>0.09</v>
      </c>
      <c r="AA189" s="136">
        <f t="shared" si="52"/>
        <v>0.09</v>
      </c>
      <c r="AB189" s="136">
        <f t="shared" si="52"/>
        <v>0.09</v>
      </c>
      <c r="AC189" s="136">
        <f t="shared" si="52"/>
        <v>0.09</v>
      </c>
      <c r="AD189" s="136">
        <f t="shared" si="52"/>
        <v>0.09</v>
      </c>
      <c r="AE189" s="136">
        <f t="shared" si="52"/>
        <v>0.09</v>
      </c>
      <c r="AF189" s="136">
        <f t="shared" si="52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50"/>
        <v>0.04</v>
      </c>
      <c r="C190" s="53">
        <v>0.04</v>
      </c>
      <c r="D190" s="136">
        <f t="shared" si="51"/>
        <v>0.04</v>
      </c>
      <c r="E190" s="136">
        <f t="shared" si="51"/>
        <v>0.04</v>
      </c>
      <c r="F190" s="136">
        <f t="shared" si="51"/>
        <v>0.04</v>
      </c>
      <c r="G190" s="136">
        <f t="shared" si="51"/>
        <v>0.04</v>
      </c>
      <c r="H190" s="136">
        <f t="shared" si="51"/>
        <v>0.04</v>
      </c>
      <c r="I190" s="136">
        <f t="shared" si="51"/>
        <v>0.04</v>
      </c>
      <c r="J190" s="136">
        <f t="shared" si="51"/>
        <v>0.04</v>
      </c>
      <c r="K190" s="136">
        <f t="shared" si="51"/>
        <v>0.04</v>
      </c>
      <c r="L190" s="136">
        <f t="shared" si="51"/>
        <v>0.04</v>
      </c>
      <c r="M190" s="136">
        <f t="shared" si="51"/>
        <v>0.04</v>
      </c>
      <c r="N190" s="136">
        <f t="shared" si="51"/>
        <v>0.04</v>
      </c>
      <c r="O190" s="136">
        <f t="shared" si="51"/>
        <v>0.04</v>
      </c>
      <c r="P190" s="136">
        <f t="shared" si="51"/>
        <v>0.04</v>
      </c>
      <c r="Q190" s="136">
        <f t="shared" si="51"/>
        <v>0.04</v>
      </c>
      <c r="R190" s="136">
        <f t="shared" si="51"/>
        <v>0.04</v>
      </c>
      <c r="S190" s="136">
        <f t="shared" si="52"/>
        <v>0.04</v>
      </c>
      <c r="T190" s="136">
        <f t="shared" si="52"/>
        <v>0.04</v>
      </c>
      <c r="U190" s="136">
        <f t="shared" si="52"/>
        <v>0.04</v>
      </c>
      <c r="V190" s="136">
        <f t="shared" si="52"/>
        <v>0.04</v>
      </c>
      <c r="W190" s="136">
        <f t="shared" si="52"/>
        <v>0.04</v>
      </c>
      <c r="X190" s="136">
        <f t="shared" si="52"/>
        <v>0.04</v>
      </c>
      <c r="Y190" s="136">
        <f t="shared" si="52"/>
        <v>0.04</v>
      </c>
      <c r="Z190" s="136">
        <f t="shared" si="52"/>
        <v>0.04</v>
      </c>
      <c r="AA190" s="136">
        <f t="shared" si="52"/>
        <v>0.04</v>
      </c>
      <c r="AB190" s="136">
        <f t="shared" si="52"/>
        <v>0.04</v>
      </c>
      <c r="AC190" s="136">
        <f t="shared" si="52"/>
        <v>0.04</v>
      </c>
      <c r="AD190" s="136">
        <f t="shared" si="52"/>
        <v>0.04</v>
      </c>
      <c r="AE190" s="136">
        <f t="shared" si="52"/>
        <v>0.04</v>
      </c>
      <c r="AF190" s="136">
        <f t="shared" si="52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50"/>
        <v>2.3E-2</v>
      </c>
      <c r="C191" s="53">
        <v>2.3E-2</v>
      </c>
      <c r="D191" s="136">
        <f>C191</f>
        <v>2.3E-2</v>
      </c>
      <c r="E191" s="136">
        <f t="shared" si="51"/>
        <v>2.3E-2</v>
      </c>
      <c r="F191" s="136">
        <f t="shared" si="51"/>
        <v>2.3E-2</v>
      </c>
      <c r="G191" s="136">
        <f t="shared" si="51"/>
        <v>2.3E-2</v>
      </c>
      <c r="H191" s="136">
        <f t="shared" si="51"/>
        <v>2.3E-2</v>
      </c>
      <c r="I191" s="136">
        <f t="shared" si="51"/>
        <v>2.3E-2</v>
      </c>
      <c r="J191" s="136">
        <f t="shared" si="51"/>
        <v>2.3E-2</v>
      </c>
      <c r="K191" s="136">
        <f t="shared" si="51"/>
        <v>2.3E-2</v>
      </c>
      <c r="L191" s="136">
        <f t="shared" si="51"/>
        <v>2.3E-2</v>
      </c>
      <c r="M191" s="136">
        <f t="shared" si="51"/>
        <v>2.3E-2</v>
      </c>
      <c r="N191" s="136">
        <f t="shared" si="51"/>
        <v>2.3E-2</v>
      </c>
      <c r="O191" s="136">
        <f t="shared" si="51"/>
        <v>2.3E-2</v>
      </c>
      <c r="P191" s="136">
        <f t="shared" si="51"/>
        <v>2.3E-2</v>
      </c>
      <c r="Q191" s="136">
        <f t="shared" si="51"/>
        <v>2.3E-2</v>
      </c>
      <c r="R191" s="136">
        <f t="shared" si="51"/>
        <v>2.3E-2</v>
      </c>
      <c r="S191" s="136">
        <f t="shared" si="52"/>
        <v>2.3E-2</v>
      </c>
      <c r="T191" s="136">
        <f t="shared" si="52"/>
        <v>2.3E-2</v>
      </c>
      <c r="U191" s="136">
        <f t="shared" si="52"/>
        <v>2.3E-2</v>
      </c>
      <c r="V191" s="136">
        <f t="shared" si="52"/>
        <v>2.3E-2</v>
      </c>
      <c r="W191" s="136">
        <f t="shared" si="52"/>
        <v>2.3E-2</v>
      </c>
      <c r="X191" s="136">
        <f t="shared" si="52"/>
        <v>2.3E-2</v>
      </c>
      <c r="Y191" s="136">
        <f t="shared" si="52"/>
        <v>2.3E-2</v>
      </c>
      <c r="Z191" s="136">
        <f t="shared" si="52"/>
        <v>2.3E-2</v>
      </c>
      <c r="AA191" s="136">
        <f t="shared" si="52"/>
        <v>2.3E-2</v>
      </c>
      <c r="AB191" s="136">
        <f t="shared" si="52"/>
        <v>2.3E-2</v>
      </c>
      <c r="AC191" s="136">
        <f t="shared" si="52"/>
        <v>2.3E-2</v>
      </c>
      <c r="AD191" s="136">
        <f t="shared" si="52"/>
        <v>2.3E-2</v>
      </c>
      <c r="AE191" s="136">
        <f t="shared" si="52"/>
        <v>2.3E-2</v>
      </c>
      <c r="AF191" s="136">
        <f t="shared" si="52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53">SUM(C102:C191)</f>
        <v>194.70600000000002</v>
      </c>
      <c r="D192" s="141">
        <f t="shared" si="53"/>
        <v>194.70600000000002</v>
      </c>
      <c r="E192" s="141">
        <f t="shared" si="53"/>
        <v>194.70600000000002</v>
      </c>
      <c r="F192" s="141">
        <f t="shared" si="53"/>
        <v>194.70600000000002</v>
      </c>
      <c r="G192" s="141">
        <f t="shared" si="53"/>
        <v>194.70600000000002</v>
      </c>
      <c r="H192" s="141">
        <f t="shared" si="53"/>
        <v>194.70600000000002</v>
      </c>
      <c r="I192" s="141">
        <f t="shared" si="53"/>
        <v>194.70600000000002</v>
      </c>
      <c r="J192" s="141">
        <f t="shared" si="53"/>
        <v>192.10600000000005</v>
      </c>
      <c r="K192" s="141">
        <f t="shared" si="53"/>
        <v>192.10600000000005</v>
      </c>
      <c r="L192" s="141">
        <f t="shared" si="53"/>
        <v>192.10600000000005</v>
      </c>
      <c r="M192" s="141">
        <f t="shared" si="53"/>
        <v>192.10600000000005</v>
      </c>
      <c r="N192" s="141">
        <f t="shared" si="53"/>
        <v>192.10600000000005</v>
      </c>
      <c r="O192" s="141">
        <f t="shared" si="53"/>
        <v>192.10600000000005</v>
      </c>
      <c r="P192" s="141">
        <f t="shared" si="53"/>
        <v>192.10600000000005</v>
      </c>
      <c r="Q192" s="141">
        <f t="shared" si="53"/>
        <v>192.10600000000005</v>
      </c>
      <c r="R192" s="141">
        <f t="shared" si="53"/>
        <v>192.10600000000005</v>
      </c>
      <c r="S192" s="141">
        <f t="shared" si="53"/>
        <v>192.10600000000005</v>
      </c>
      <c r="T192" s="141">
        <f t="shared" si="53"/>
        <v>192.10600000000005</v>
      </c>
      <c r="U192" s="141">
        <f t="shared" si="53"/>
        <v>192.10600000000005</v>
      </c>
      <c r="V192" s="141">
        <f t="shared" si="53"/>
        <v>192.10600000000005</v>
      </c>
      <c r="W192" s="141">
        <f t="shared" si="53"/>
        <v>192.10600000000005</v>
      </c>
      <c r="X192" s="141">
        <f t="shared" si="53"/>
        <v>192.10600000000005</v>
      </c>
      <c r="Y192" s="141">
        <f t="shared" si="53"/>
        <v>192.10600000000005</v>
      </c>
      <c r="Z192" s="141">
        <f t="shared" si="53"/>
        <v>192.10600000000005</v>
      </c>
      <c r="AA192" s="141">
        <f t="shared" si="53"/>
        <v>192.10600000000005</v>
      </c>
      <c r="AB192" s="141">
        <f t="shared" si="53"/>
        <v>192.10600000000005</v>
      </c>
      <c r="AC192" s="141">
        <f t="shared" si="53"/>
        <v>192.10600000000005</v>
      </c>
      <c r="AD192" s="141">
        <f t="shared" si="53"/>
        <v>192.10600000000005</v>
      </c>
      <c r="AE192" s="141">
        <f t="shared" si="53"/>
        <v>192.10600000000005</v>
      </c>
      <c r="AF192" s="141">
        <f t="shared" si="53"/>
        <v>192.10600000000005</v>
      </c>
      <c r="AG192" s="142">
        <f t="shared" si="53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54">AF194</f>
        <v>0.3</v>
      </c>
      <c r="C194" s="143">
        <v>0.3</v>
      </c>
      <c r="D194" s="143">
        <f t="shared" ref="D194:S199" si="55">C194</f>
        <v>0.3</v>
      </c>
      <c r="E194" s="143">
        <f t="shared" si="55"/>
        <v>0.3</v>
      </c>
      <c r="F194" s="143">
        <f t="shared" si="55"/>
        <v>0.3</v>
      </c>
      <c r="G194" s="143">
        <f t="shared" si="55"/>
        <v>0.3</v>
      </c>
      <c r="H194" s="143">
        <f t="shared" si="55"/>
        <v>0.3</v>
      </c>
      <c r="I194" s="143">
        <f t="shared" si="55"/>
        <v>0.3</v>
      </c>
      <c r="J194" s="143">
        <f t="shared" si="55"/>
        <v>0.3</v>
      </c>
      <c r="K194" s="143">
        <f t="shared" si="55"/>
        <v>0.3</v>
      </c>
      <c r="L194" s="143">
        <f t="shared" si="55"/>
        <v>0.3</v>
      </c>
      <c r="M194" s="143">
        <f t="shared" si="55"/>
        <v>0.3</v>
      </c>
      <c r="N194" s="143">
        <f t="shared" si="55"/>
        <v>0.3</v>
      </c>
      <c r="O194" s="143">
        <f t="shared" si="55"/>
        <v>0.3</v>
      </c>
      <c r="P194" s="143">
        <f t="shared" si="55"/>
        <v>0.3</v>
      </c>
      <c r="Q194" s="143">
        <f t="shared" si="55"/>
        <v>0.3</v>
      </c>
      <c r="R194" s="143">
        <f t="shared" si="55"/>
        <v>0.3</v>
      </c>
      <c r="S194" s="143">
        <f t="shared" si="55"/>
        <v>0.3</v>
      </c>
      <c r="T194" s="143">
        <f t="shared" ref="T194:AF199" si="56">S194</f>
        <v>0.3</v>
      </c>
      <c r="U194" s="143">
        <f t="shared" si="56"/>
        <v>0.3</v>
      </c>
      <c r="V194" s="143">
        <f t="shared" si="56"/>
        <v>0.3</v>
      </c>
      <c r="W194" s="143">
        <f t="shared" si="56"/>
        <v>0.3</v>
      </c>
      <c r="X194" s="143">
        <f t="shared" si="56"/>
        <v>0.3</v>
      </c>
      <c r="Y194" s="143">
        <f t="shared" si="56"/>
        <v>0.3</v>
      </c>
      <c r="Z194" s="143">
        <f t="shared" si="56"/>
        <v>0.3</v>
      </c>
      <c r="AA194" s="143">
        <f t="shared" si="56"/>
        <v>0.3</v>
      </c>
      <c r="AB194" s="143">
        <f t="shared" si="56"/>
        <v>0.3</v>
      </c>
      <c r="AC194" s="143">
        <f t="shared" si="56"/>
        <v>0.3</v>
      </c>
      <c r="AD194" s="143">
        <f t="shared" si="56"/>
        <v>0.3</v>
      </c>
      <c r="AE194" s="143">
        <f t="shared" si="56"/>
        <v>0.3</v>
      </c>
      <c r="AF194" s="143">
        <f t="shared" si="56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54"/>
        <v>0.4</v>
      </c>
      <c r="C195" s="136">
        <v>0.4</v>
      </c>
      <c r="D195" s="136">
        <f t="shared" si="55"/>
        <v>0.4</v>
      </c>
      <c r="E195" s="136">
        <f t="shared" si="55"/>
        <v>0.4</v>
      </c>
      <c r="F195" s="136">
        <f t="shared" si="55"/>
        <v>0.4</v>
      </c>
      <c r="G195" s="136">
        <f t="shared" si="55"/>
        <v>0.4</v>
      </c>
      <c r="H195" s="136">
        <f t="shared" si="55"/>
        <v>0.4</v>
      </c>
      <c r="I195" s="136">
        <f t="shared" si="55"/>
        <v>0.4</v>
      </c>
      <c r="J195" s="136">
        <f t="shared" si="55"/>
        <v>0.4</v>
      </c>
      <c r="K195" s="136">
        <f t="shared" si="55"/>
        <v>0.4</v>
      </c>
      <c r="L195" s="136">
        <f t="shared" si="55"/>
        <v>0.4</v>
      </c>
      <c r="M195" s="136">
        <f t="shared" si="55"/>
        <v>0.4</v>
      </c>
      <c r="N195" s="136">
        <f t="shared" si="55"/>
        <v>0.4</v>
      </c>
      <c r="O195" s="136">
        <f t="shared" si="55"/>
        <v>0.4</v>
      </c>
      <c r="P195" s="136">
        <f t="shared" si="55"/>
        <v>0.4</v>
      </c>
      <c r="Q195" s="136">
        <f t="shared" si="55"/>
        <v>0.4</v>
      </c>
      <c r="R195" s="136">
        <f t="shared" si="55"/>
        <v>0.4</v>
      </c>
      <c r="S195" s="136">
        <f t="shared" si="55"/>
        <v>0.4</v>
      </c>
      <c r="T195" s="136">
        <f t="shared" si="56"/>
        <v>0.4</v>
      </c>
      <c r="U195" s="136">
        <f t="shared" si="56"/>
        <v>0.4</v>
      </c>
      <c r="V195" s="136">
        <f t="shared" si="56"/>
        <v>0.4</v>
      </c>
      <c r="W195" s="136">
        <f>V195</f>
        <v>0.4</v>
      </c>
      <c r="X195" s="136">
        <f>W195</f>
        <v>0.4</v>
      </c>
      <c r="Y195" s="136">
        <f t="shared" si="56"/>
        <v>0.4</v>
      </c>
      <c r="Z195" s="136">
        <f t="shared" si="56"/>
        <v>0.4</v>
      </c>
      <c r="AA195" s="136">
        <f t="shared" si="56"/>
        <v>0.4</v>
      </c>
      <c r="AB195" s="136">
        <f t="shared" si="56"/>
        <v>0.4</v>
      </c>
      <c r="AC195" s="136">
        <f t="shared" si="56"/>
        <v>0.4</v>
      </c>
      <c r="AD195" s="136">
        <f t="shared" si="56"/>
        <v>0.4</v>
      </c>
      <c r="AE195" s="136">
        <f t="shared" si="56"/>
        <v>0.4</v>
      </c>
      <c r="AF195" s="136">
        <f t="shared" si="56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54"/>
        <v>1.5</v>
      </c>
      <c r="C196" s="136">
        <v>1.5</v>
      </c>
      <c r="D196" s="136">
        <f t="shared" si="55"/>
        <v>1.5</v>
      </c>
      <c r="E196" s="136">
        <f t="shared" si="55"/>
        <v>1.5</v>
      </c>
      <c r="F196" s="136">
        <f t="shared" si="55"/>
        <v>1.5</v>
      </c>
      <c r="G196" s="136">
        <f t="shared" si="55"/>
        <v>1.5</v>
      </c>
      <c r="H196" s="136">
        <f t="shared" si="55"/>
        <v>1.5</v>
      </c>
      <c r="I196" s="136">
        <f t="shared" si="55"/>
        <v>1.5</v>
      </c>
      <c r="J196" s="136">
        <f t="shared" si="55"/>
        <v>1.5</v>
      </c>
      <c r="K196" s="136">
        <f t="shared" si="55"/>
        <v>1.5</v>
      </c>
      <c r="L196" s="136">
        <f t="shared" si="55"/>
        <v>1.5</v>
      </c>
      <c r="M196" s="136">
        <f t="shared" si="55"/>
        <v>1.5</v>
      </c>
      <c r="N196" s="136">
        <f t="shared" si="55"/>
        <v>1.5</v>
      </c>
      <c r="O196" s="136">
        <f t="shared" si="55"/>
        <v>1.5</v>
      </c>
      <c r="P196" s="136">
        <f t="shared" si="55"/>
        <v>1.5</v>
      </c>
      <c r="Q196" s="136">
        <f t="shared" si="55"/>
        <v>1.5</v>
      </c>
      <c r="R196" s="136">
        <f t="shared" si="55"/>
        <v>1.5</v>
      </c>
      <c r="S196" s="136">
        <f t="shared" si="55"/>
        <v>1.5</v>
      </c>
      <c r="T196" s="136">
        <f t="shared" si="56"/>
        <v>1.5</v>
      </c>
      <c r="U196" s="136">
        <f t="shared" si="56"/>
        <v>1.5</v>
      </c>
      <c r="V196" s="136">
        <f t="shared" si="56"/>
        <v>1.5</v>
      </c>
      <c r="W196" s="136">
        <f t="shared" si="56"/>
        <v>1.5</v>
      </c>
      <c r="X196" s="136">
        <f t="shared" si="56"/>
        <v>1.5</v>
      </c>
      <c r="Y196" s="136">
        <f t="shared" si="56"/>
        <v>1.5</v>
      </c>
      <c r="Z196" s="136">
        <f t="shared" si="56"/>
        <v>1.5</v>
      </c>
      <c r="AA196" s="136">
        <f t="shared" si="56"/>
        <v>1.5</v>
      </c>
      <c r="AB196" s="136">
        <f t="shared" si="56"/>
        <v>1.5</v>
      </c>
      <c r="AC196" s="136">
        <f t="shared" si="56"/>
        <v>1.5</v>
      </c>
      <c r="AD196" s="136">
        <f t="shared" si="56"/>
        <v>1.5</v>
      </c>
      <c r="AE196" s="136">
        <f t="shared" si="56"/>
        <v>1.5</v>
      </c>
      <c r="AF196" s="136">
        <f t="shared" si="56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54"/>
        <v>0.3</v>
      </c>
      <c r="C197" s="136">
        <v>0.3</v>
      </c>
      <c r="D197" s="136">
        <f t="shared" si="55"/>
        <v>0.3</v>
      </c>
      <c r="E197" s="136">
        <f t="shared" si="55"/>
        <v>0.3</v>
      </c>
      <c r="F197" s="136">
        <f t="shared" si="55"/>
        <v>0.3</v>
      </c>
      <c r="G197" s="136">
        <f t="shared" si="55"/>
        <v>0.3</v>
      </c>
      <c r="H197" s="136">
        <f t="shared" si="55"/>
        <v>0.3</v>
      </c>
      <c r="I197" s="136">
        <f t="shared" si="55"/>
        <v>0.3</v>
      </c>
      <c r="J197" s="136">
        <f t="shared" si="55"/>
        <v>0.3</v>
      </c>
      <c r="K197" s="136">
        <f t="shared" si="55"/>
        <v>0.3</v>
      </c>
      <c r="L197" s="136">
        <f t="shared" si="55"/>
        <v>0.3</v>
      </c>
      <c r="M197" s="136">
        <f t="shared" si="55"/>
        <v>0.3</v>
      </c>
      <c r="N197" s="136">
        <f t="shared" si="55"/>
        <v>0.3</v>
      </c>
      <c r="O197" s="136">
        <f t="shared" si="55"/>
        <v>0.3</v>
      </c>
      <c r="P197" s="136">
        <f t="shared" si="55"/>
        <v>0.3</v>
      </c>
      <c r="Q197" s="136">
        <f t="shared" si="55"/>
        <v>0.3</v>
      </c>
      <c r="R197" s="136">
        <f t="shared" si="55"/>
        <v>0.3</v>
      </c>
      <c r="S197" s="136">
        <f t="shared" si="55"/>
        <v>0.3</v>
      </c>
      <c r="T197" s="136">
        <f t="shared" si="56"/>
        <v>0.3</v>
      </c>
      <c r="U197" s="136">
        <f t="shared" si="56"/>
        <v>0.3</v>
      </c>
      <c r="V197" s="136">
        <f t="shared" si="56"/>
        <v>0.3</v>
      </c>
      <c r="W197" s="136">
        <f t="shared" si="56"/>
        <v>0.3</v>
      </c>
      <c r="X197" s="136">
        <f t="shared" si="56"/>
        <v>0.3</v>
      </c>
      <c r="Y197" s="136">
        <f t="shared" si="56"/>
        <v>0.3</v>
      </c>
      <c r="Z197" s="136">
        <f t="shared" si="56"/>
        <v>0.3</v>
      </c>
      <c r="AA197" s="136">
        <f t="shared" si="56"/>
        <v>0.3</v>
      </c>
      <c r="AB197" s="136">
        <f t="shared" si="56"/>
        <v>0.3</v>
      </c>
      <c r="AC197" s="136">
        <f t="shared" si="56"/>
        <v>0.3</v>
      </c>
      <c r="AD197" s="136">
        <f t="shared" si="56"/>
        <v>0.3</v>
      </c>
      <c r="AE197" s="136">
        <f t="shared" si="56"/>
        <v>0.3</v>
      </c>
      <c r="AF197" s="136">
        <f t="shared" si="56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54"/>
        <v>0.4</v>
      </c>
      <c r="C198" s="136">
        <v>0.4</v>
      </c>
      <c r="D198" s="136">
        <f t="shared" si="55"/>
        <v>0.4</v>
      </c>
      <c r="E198" s="136">
        <f t="shared" si="55"/>
        <v>0.4</v>
      </c>
      <c r="F198" s="136">
        <f t="shared" si="55"/>
        <v>0.4</v>
      </c>
      <c r="G198" s="136">
        <f t="shared" si="55"/>
        <v>0.4</v>
      </c>
      <c r="H198" s="136">
        <f t="shared" si="55"/>
        <v>0.4</v>
      </c>
      <c r="I198" s="136">
        <f t="shared" si="55"/>
        <v>0.4</v>
      </c>
      <c r="J198" s="136">
        <f t="shared" si="55"/>
        <v>0.4</v>
      </c>
      <c r="K198" s="136">
        <f t="shared" si="55"/>
        <v>0.4</v>
      </c>
      <c r="L198" s="136">
        <f t="shared" si="55"/>
        <v>0.4</v>
      </c>
      <c r="M198" s="136">
        <f t="shared" si="55"/>
        <v>0.4</v>
      </c>
      <c r="N198" s="136">
        <f t="shared" si="55"/>
        <v>0.4</v>
      </c>
      <c r="O198" s="136">
        <f t="shared" si="55"/>
        <v>0.4</v>
      </c>
      <c r="P198" s="136">
        <f t="shared" si="55"/>
        <v>0.4</v>
      </c>
      <c r="Q198" s="136">
        <f t="shared" si="55"/>
        <v>0.4</v>
      </c>
      <c r="R198" s="136">
        <f t="shared" si="55"/>
        <v>0.4</v>
      </c>
      <c r="S198" s="136">
        <f t="shared" si="55"/>
        <v>0.4</v>
      </c>
      <c r="T198" s="136">
        <f t="shared" si="56"/>
        <v>0.4</v>
      </c>
      <c r="U198" s="136">
        <f t="shared" si="56"/>
        <v>0.4</v>
      </c>
      <c r="V198" s="136">
        <f t="shared" si="56"/>
        <v>0.4</v>
      </c>
      <c r="W198" s="136">
        <f t="shared" si="56"/>
        <v>0.4</v>
      </c>
      <c r="X198" s="136">
        <f t="shared" si="56"/>
        <v>0.4</v>
      </c>
      <c r="Y198" s="136">
        <f t="shared" si="56"/>
        <v>0.4</v>
      </c>
      <c r="Z198" s="136">
        <f t="shared" si="56"/>
        <v>0.4</v>
      </c>
      <c r="AA198" s="136">
        <f t="shared" si="56"/>
        <v>0.4</v>
      </c>
      <c r="AB198" s="136">
        <f t="shared" si="56"/>
        <v>0.4</v>
      </c>
      <c r="AC198" s="136">
        <f t="shared" si="56"/>
        <v>0.4</v>
      </c>
      <c r="AD198" s="136">
        <f t="shared" si="56"/>
        <v>0.4</v>
      </c>
      <c r="AE198" s="136">
        <f t="shared" si="56"/>
        <v>0.4</v>
      </c>
      <c r="AF198" s="136">
        <f t="shared" si="56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54"/>
        <v>0.64</v>
      </c>
      <c r="C199" s="146">
        <v>0.64</v>
      </c>
      <c r="D199" s="146">
        <f t="shared" si="55"/>
        <v>0.64</v>
      </c>
      <c r="E199" s="146">
        <f t="shared" si="55"/>
        <v>0.64</v>
      </c>
      <c r="F199" s="146">
        <f t="shared" si="55"/>
        <v>0.64</v>
      </c>
      <c r="G199" s="146">
        <f t="shared" si="55"/>
        <v>0.64</v>
      </c>
      <c r="H199" s="146">
        <f t="shared" si="55"/>
        <v>0.64</v>
      </c>
      <c r="I199" s="146">
        <f t="shared" si="55"/>
        <v>0.64</v>
      </c>
      <c r="J199" s="146">
        <f t="shared" si="55"/>
        <v>0.64</v>
      </c>
      <c r="K199" s="146">
        <f t="shared" si="55"/>
        <v>0.64</v>
      </c>
      <c r="L199" s="146">
        <f t="shared" si="55"/>
        <v>0.64</v>
      </c>
      <c r="M199" s="146">
        <f t="shared" si="55"/>
        <v>0.64</v>
      </c>
      <c r="N199" s="146">
        <f t="shared" si="55"/>
        <v>0.64</v>
      </c>
      <c r="O199" s="146">
        <f t="shared" si="55"/>
        <v>0.64</v>
      </c>
      <c r="P199" s="146">
        <f t="shared" si="55"/>
        <v>0.64</v>
      </c>
      <c r="Q199" s="146">
        <f t="shared" si="55"/>
        <v>0.64</v>
      </c>
      <c r="R199" s="146">
        <f t="shared" si="55"/>
        <v>0.64</v>
      </c>
      <c r="S199" s="146">
        <f t="shared" si="55"/>
        <v>0.64</v>
      </c>
      <c r="T199" s="146">
        <f t="shared" si="56"/>
        <v>0.64</v>
      </c>
      <c r="U199" s="146">
        <f t="shared" si="56"/>
        <v>0.64</v>
      </c>
      <c r="V199" s="146">
        <f t="shared" si="56"/>
        <v>0.64</v>
      </c>
      <c r="W199" s="146">
        <f t="shared" si="56"/>
        <v>0.64</v>
      </c>
      <c r="X199" s="146">
        <f t="shared" si="56"/>
        <v>0.64</v>
      </c>
      <c r="Y199" s="146">
        <f t="shared" si="56"/>
        <v>0.64</v>
      </c>
      <c r="Z199" s="146">
        <f t="shared" si="56"/>
        <v>0.64</v>
      </c>
      <c r="AA199" s="146">
        <f t="shared" si="56"/>
        <v>0.64</v>
      </c>
      <c r="AB199" s="146">
        <f t="shared" si="56"/>
        <v>0.64</v>
      </c>
      <c r="AC199" s="146">
        <f t="shared" si="56"/>
        <v>0.64</v>
      </c>
      <c r="AD199" s="146">
        <f t="shared" si="56"/>
        <v>0.64</v>
      </c>
      <c r="AE199" s="146">
        <f t="shared" si="56"/>
        <v>0.64</v>
      </c>
      <c r="AF199" s="146">
        <f t="shared" si="56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57">SUM(D194:D199)</f>
        <v>3.54</v>
      </c>
      <c r="E200" s="149">
        <f t="shared" si="57"/>
        <v>3.54</v>
      </c>
      <c r="F200" s="149">
        <f t="shared" si="57"/>
        <v>3.54</v>
      </c>
      <c r="G200" s="149">
        <f t="shared" si="57"/>
        <v>3.54</v>
      </c>
      <c r="H200" s="149">
        <f t="shared" si="57"/>
        <v>3.54</v>
      </c>
      <c r="I200" s="149">
        <f t="shared" si="57"/>
        <v>3.54</v>
      </c>
      <c r="J200" s="149">
        <f t="shared" si="57"/>
        <v>3.54</v>
      </c>
      <c r="K200" s="149">
        <f t="shared" si="57"/>
        <v>3.54</v>
      </c>
      <c r="L200" s="149">
        <f t="shared" si="57"/>
        <v>3.54</v>
      </c>
      <c r="M200" s="149">
        <f>SUM(M194:M199)</f>
        <v>3.54</v>
      </c>
      <c r="N200" s="149">
        <f t="shared" ref="N200:S200" si="58">SUM(N194:N199)</f>
        <v>3.54</v>
      </c>
      <c r="O200" s="149">
        <f t="shared" si="58"/>
        <v>3.54</v>
      </c>
      <c r="P200" s="149">
        <f t="shared" si="58"/>
        <v>3.54</v>
      </c>
      <c r="Q200" s="149">
        <f t="shared" si="58"/>
        <v>3.54</v>
      </c>
      <c r="R200" s="149">
        <f t="shared" si="58"/>
        <v>3.54</v>
      </c>
      <c r="S200" s="149">
        <f t="shared" si="58"/>
        <v>3.54</v>
      </c>
      <c r="T200" s="149">
        <f>SUM(T194:T199)</f>
        <v>3.54</v>
      </c>
      <c r="U200" s="149">
        <f t="shared" ref="U200:AG200" si="59">SUM(U194:U199)</f>
        <v>3.54</v>
      </c>
      <c r="V200" s="149">
        <f t="shared" si="59"/>
        <v>3.54</v>
      </c>
      <c r="W200" s="149">
        <f t="shared" si="59"/>
        <v>3.54</v>
      </c>
      <c r="X200" s="149">
        <f t="shared" si="59"/>
        <v>3.54</v>
      </c>
      <c r="Y200" s="149">
        <f t="shared" si="59"/>
        <v>3.54</v>
      </c>
      <c r="Z200" s="149">
        <f t="shared" si="59"/>
        <v>3.54</v>
      </c>
      <c r="AA200" s="149">
        <f t="shared" si="59"/>
        <v>3.54</v>
      </c>
      <c r="AB200" s="149">
        <f t="shared" si="59"/>
        <v>3.54</v>
      </c>
      <c r="AC200" s="149">
        <f t="shared" si="59"/>
        <v>3.54</v>
      </c>
      <c r="AD200" s="149">
        <f t="shared" si="59"/>
        <v>3.54</v>
      </c>
      <c r="AE200" s="149">
        <f t="shared" si="59"/>
        <v>3.54</v>
      </c>
      <c r="AF200" s="149">
        <f t="shared" si="59"/>
        <v>3.54</v>
      </c>
      <c r="AG200" s="150">
        <f t="shared" si="59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1434.5400000000002</v>
      </c>
      <c r="C209" s="164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2078/11/25)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60">B75</f>
        <v>970.64</v>
      </c>
      <c r="U214" s="174">
        <f t="shared" si="60"/>
        <v>977.34</v>
      </c>
      <c r="V214" s="174">
        <f t="shared" si="60"/>
        <v>923.64</v>
      </c>
      <c r="W214" s="174">
        <f t="shared" si="60"/>
        <v>957.04000000000008</v>
      </c>
      <c r="X214" s="174">
        <f t="shared" si="60"/>
        <v>969.04000000000008</v>
      </c>
      <c r="Y214" s="174">
        <f t="shared" si="60"/>
        <v>1006.14</v>
      </c>
      <c r="Z214" s="174">
        <f t="shared" si="60"/>
        <v>1096.74</v>
      </c>
      <c r="AA214" s="174">
        <f t="shared" si="60"/>
        <v>1171.6499999999999</v>
      </c>
      <c r="AB214" s="174">
        <f t="shared" si="60"/>
        <v>1250.6399999999999</v>
      </c>
      <c r="AC214" s="174">
        <f t="shared" si="60"/>
        <v>1366.1399999999999</v>
      </c>
      <c r="AD214" s="174">
        <f t="shared" si="60"/>
        <v>1434.5400000000002</v>
      </c>
      <c r="AE214" s="174">
        <f t="shared" si="60"/>
        <v>1404.44</v>
      </c>
      <c r="AF214" s="174">
        <f t="shared" si="60"/>
        <v>1343.24</v>
      </c>
      <c r="AG214" s="174">
        <f t="shared" si="60"/>
        <v>3.54</v>
      </c>
      <c r="AH214" s="174">
        <f t="shared" si="60"/>
        <v>1322.24</v>
      </c>
      <c r="AI214" s="174">
        <f t="shared" si="60"/>
        <v>1213.6399999999999</v>
      </c>
      <c r="AJ214" s="174">
        <f t="shared" si="60"/>
        <v>1218.1400000000001</v>
      </c>
      <c r="AK214" s="174">
        <f t="shared" si="60"/>
        <v>1264.54</v>
      </c>
      <c r="AL214" s="174">
        <f t="shared" si="60"/>
        <v>1265.24</v>
      </c>
      <c r="AM214" s="174">
        <f t="shared" si="60"/>
        <v>1291.04</v>
      </c>
      <c r="AN214" s="174">
        <f t="shared" si="60"/>
        <v>1266.6399999999999</v>
      </c>
      <c r="AO214" s="174">
        <f t="shared" si="60"/>
        <v>1289.94</v>
      </c>
      <c r="AP214" s="174">
        <f t="shared" si="60"/>
        <v>1342.14</v>
      </c>
      <c r="AQ214" s="174">
        <f t="shared" si="60"/>
        <v>1500.24</v>
      </c>
      <c r="AR214" s="174">
        <f t="shared" si="60"/>
        <v>1535.94</v>
      </c>
      <c r="AS214" s="174">
        <f t="shared" si="60"/>
        <v>1465.94</v>
      </c>
      <c r="AT214" s="174">
        <f t="shared" si="60"/>
        <v>1385.3400000000001</v>
      </c>
      <c r="AU214" s="174">
        <f t="shared" si="60"/>
        <v>1325.3400000000001</v>
      </c>
      <c r="AV214" s="174">
        <f t="shared" si="60"/>
        <v>1222.1400000000001</v>
      </c>
      <c r="AW214" s="174">
        <f t="shared" si="60"/>
        <v>1081.98</v>
      </c>
      <c r="AX214" s="174">
        <f t="shared" si="60"/>
        <v>1044.04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61">C199</f>
        <v>0.64</v>
      </c>
      <c r="C235" s="177">
        <f t="shared" si="61"/>
        <v>0.64</v>
      </c>
      <c r="D235" s="177">
        <f t="shared" si="61"/>
        <v>0.64</v>
      </c>
      <c r="E235" s="177">
        <f t="shared" si="61"/>
        <v>0.64</v>
      </c>
      <c r="F235" s="177">
        <f t="shared" si="61"/>
        <v>0.64</v>
      </c>
      <c r="G235" s="177">
        <f t="shared" si="61"/>
        <v>0.64</v>
      </c>
      <c r="H235" s="177">
        <f t="shared" si="61"/>
        <v>0.64</v>
      </c>
      <c r="I235" s="177">
        <f t="shared" si="61"/>
        <v>0.64</v>
      </c>
      <c r="J235" s="177">
        <f t="shared" si="61"/>
        <v>0.64</v>
      </c>
      <c r="K235" s="177">
        <f t="shared" si="61"/>
        <v>0.64</v>
      </c>
      <c r="L235" s="177">
        <f t="shared" si="61"/>
        <v>0.64</v>
      </c>
      <c r="M235" s="177">
        <f t="shared" si="61"/>
        <v>0.64</v>
      </c>
      <c r="N235" s="177">
        <f t="shared" si="61"/>
        <v>0.64</v>
      </c>
      <c r="O235" s="177">
        <f t="shared" si="61"/>
        <v>0.64</v>
      </c>
      <c r="P235" s="177">
        <f t="shared" si="61"/>
        <v>0.64</v>
      </c>
      <c r="Q235" s="177">
        <f t="shared" si="61"/>
        <v>0.64</v>
      </c>
      <c r="R235" s="177">
        <f t="shared" si="61"/>
        <v>0.64</v>
      </c>
      <c r="S235" s="177">
        <f t="shared" si="61"/>
        <v>0.64</v>
      </c>
      <c r="T235" s="177">
        <f t="shared" si="61"/>
        <v>0.64</v>
      </c>
      <c r="U235" s="177">
        <f t="shared" si="61"/>
        <v>0.64</v>
      </c>
      <c r="V235" s="177">
        <f t="shared" si="61"/>
        <v>0.64</v>
      </c>
      <c r="W235" s="177">
        <f t="shared" si="61"/>
        <v>0.64</v>
      </c>
      <c r="X235" s="177">
        <f t="shared" si="61"/>
        <v>0.64</v>
      </c>
      <c r="Y235" s="177">
        <f t="shared" si="61"/>
        <v>0.64</v>
      </c>
      <c r="Z235" s="177">
        <f t="shared" si="61"/>
        <v>0.64</v>
      </c>
      <c r="AA235" s="177">
        <f t="shared" si="61"/>
        <v>0.64</v>
      </c>
      <c r="AB235" s="177">
        <f t="shared" si="61"/>
        <v>0.64</v>
      </c>
      <c r="AC235" s="177">
        <f t="shared" si="61"/>
        <v>0.64</v>
      </c>
      <c r="AD235" s="177">
        <f t="shared" si="61"/>
        <v>0.64</v>
      </c>
      <c r="AE235" s="177">
        <f t="shared" si="61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62">IF(C203&lt;100,"",C203-520)</f>
        <v/>
      </c>
      <c r="D236" s="120" t="str">
        <f t="shared" si="62"/>
        <v/>
      </c>
      <c r="E236" s="120" t="str">
        <f t="shared" si="62"/>
        <v/>
      </c>
      <c r="F236" s="120" t="str">
        <f t="shared" si="62"/>
        <v/>
      </c>
      <c r="G236" s="120" t="str">
        <f t="shared" si="62"/>
        <v/>
      </c>
      <c r="H236" s="120" t="str">
        <f t="shared" si="62"/>
        <v/>
      </c>
      <c r="I236" s="120" t="str">
        <f t="shared" si="62"/>
        <v/>
      </c>
      <c r="J236" s="120" t="str">
        <f t="shared" si="62"/>
        <v/>
      </c>
      <c r="K236" s="120" t="str">
        <f t="shared" si="62"/>
        <v/>
      </c>
      <c r="L236" s="120" t="str">
        <f t="shared" si="62"/>
        <v/>
      </c>
      <c r="M236" s="120" t="str">
        <f t="shared" si="62"/>
        <v/>
      </c>
      <c r="N236" s="120" t="str">
        <f t="shared" si="62"/>
        <v/>
      </c>
      <c r="O236" s="120" t="str">
        <f t="shared" si="62"/>
        <v/>
      </c>
      <c r="P236" s="120" t="str">
        <f t="shared" si="62"/>
        <v/>
      </c>
      <c r="Q236" s="120" t="str">
        <f t="shared" si="62"/>
        <v/>
      </c>
      <c r="R236" s="120" t="str">
        <f t="shared" si="62"/>
        <v/>
      </c>
      <c r="S236" s="120" t="str">
        <f t="shared" si="62"/>
        <v/>
      </c>
      <c r="T236" s="120" t="str">
        <f t="shared" si="62"/>
        <v/>
      </c>
      <c r="U236" s="120" t="str">
        <f t="shared" si="62"/>
        <v/>
      </c>
      <c r="V236" s="120" t="str">
        <f t="shared" si="62"/>
        <v/>
      </c>
      <c r="W236" s="120" t="str">
        <f t="shared" si="62"/>
        <v/>
      </c>
      <c r="X236" s="120" t="str">
        <f t="shared" si="62"/>
        <v/>
      </c>
      <c r="Y236" s="120" t="str">
        <f t="shared" si="62"/>
        <v/>
      </c>
      <c r="Z236" s="120" t="str">
        <f t="shared" si="62"/>
        <v/>
      </c>
      <c r="AA236" s="120" t="str">
        <f t="shared" si="62"/>
        <v/>
      </c>
      <c r="AB236" s="120" t="str">
        <f t="shared" si="62"/>
        <v/>
      </c>
      <c r="AC236" s="120" t="str">
        <f t="shared" si="62"/>
        <v/>
      </c>
      <c r="AD236" s="120" t="str">
        <f t="shared" si="62"/>
        <v/>
      </c>
      <c r="AE236" s="120" t="str">
        <f t="shared" si="62"/>
        <v/>
      </c>
      <c r="AF236" s="120" t="str">
        <f t="shared" si="62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63">IF(B204&lt;100,"",B204-620)</f>
        <v/>
      </c>
      <c r="C237" s="120" t="str">
        <f t="shared" si="63"/>
        <v/>
      </c>
      <c r="D237" s="120" t="str">
        <f t="shared" si="63"/>
        <v/>
      </c>
      <c r="E237" s="120" t="str">
        <f t="shared" si="63"/>
        <v/>
      </c>
      <c r="F237" s="120" t="str">
        <f t="shared" si="63"/>
        <v/>
      </c>
      <c r="G237" s="120" t="str">
        <f t="shared" si="63"/>
        <v/>
      </c>
      <c r="H237" s="120" t="str">
        <f t="shared" si="63"/>
        <v/>
      </c>
      <c r="I237" s="120" t="str">
        <f t="shared" si="63"/>
        <v/>
      </c>
      <c r="J237" s="120" t="str">
        <f t="shared" si="63"/>
        <v/>
      </c>
      <c r="K237" s="120" t="str">
        <f t="shared" si="63"/>
        <v/>
      </c>
      <c r="L237" s="120" t="str">
        <f t="shared" si="63"/>
        <v/>
      </c>
      <c r="M237" s="120" t="str">
        <f t="shared" si="63"/>
        <v/>
      </c>
      <c r="N237" s="120" t="str">
        <f t="shared" si="63"/>
        <v/>
      </c>
      <c r="O237" s="120" t="str">
        <f t="shared" si="63"/>
        <v/>
      </c>
      <c r="P237" s="120" t="str">
        <f t="shared" si="63"/>
        <v/>
      </c>
      <c r="Q237" s="120" t="str">
        <f t="shared" si="63"/>
        <v/>
      </c>
      <c r="R237" s="120" t="str">
        <f t="shared" si="63"/>
        <v/>
      </c>
      <c r="S237" s="120" t="str">
        <f t="shared" si="63"/>
        <v/>
      </c>
      <c r="T237" s="120" t="str">
        <f t="shared" si="63"/>
        <v/>
      </c>
      <c r="U237" s="120" t="str">
        <f t="shared" si="63"/>
        <v/>
      </c>
      <c r="V237" s="120" t="str">
        <f t="shared" si="63"/>
        <v/>
      </c>
      <c r="W237" s="120" t="str">
        <f t="shared" si="63"/>
        <v/>
      </c>
      <c r="X237" s="120" t="str">
        <f t="shared" si="63"/>
        <v/>
      </c>
      <c r="Y237" s="120" t="str">
        <f t="shared" si="63"/>
        <v/>
      </c>
      <c r="Z237" s="120" t="str">
        <f t="shared" si="63"/>
        <v/>
      </c>
      <c r="AA237" s="120" t="str">
        <f t="shared" si="63"/>
        <v/>
      </c>
      <c r="AB237" s="120" t="str">
        <f t="shared" si="63"/>
        <v/>
      </c>
      <c r="AC237" s="120" t="str">
        <f t="shared" si="63"/>
        <v/>
      </c>
      <c r="AD237" s="120" t="str">
        <f t="shared" si="63"/>
        <v/>
      </c>
      <c r="AE237" s="120" t="str">
        <f t="shared" si="63"/>
        <v/>
      </c>
      <c r="AF237" s="120" t="str">
        <f t="shared" si="63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64">IF(B205&lt;100,"",B205-330)</f>
        <v/>
      </c>
      <c r="C238" s="120" t="str">
        <f t="shared" si="64"/>
        <v/>
      </c>
      <c r="D238" s="120" t="str">
        <f t="shared" si="64"/>
        <v/>
      </c>
      <c r="E238" s="120" t="str">
        <f t="shared" si="64"/>
        <v/>
      </c>
      <c r="F238" s="120" t="str">
        <f t="shared" si="64"/>
        <v/>
      </c>
      <c r="G238" s="120" t="str">
        <f t="shared" si="64"/>
        <v/>
      </c>
      <c r="H238" s="120" t="str">
        <f t="shared" si="64"/>
        <v/>
      </c>
      <c r="I238" s="120" t="str">
        <f t="shared" si="64"/>
        <v/>
      </c>
      <c r="J238" s="120" t="str">
        <f t="shared" si="64"/>
        <v/>
      </c>
      <c r="K238" s="120" t="str">
        <f t="shared" si="64"/>
        <v/>
      </c>
      <c r="L238" s="120" t="str">
        <f t="shared" si="64"/>
        <v/>
      </c>
      <c r="M238" s="120" t="str">
        <f t="shared" si="64"/>
        <v/>
      </c>
      <c r="N238" s="120" t="str">
        <f t="shared" si="64"/>
        <v/>
      </c>
      <c r="O238" s="120" t="str">
        <f t="shared" si="64"/>
        <v/>
      </c>
      <c r="P238" s="120" t="str">
        <f t="shared" si="64"/>
        <v/>
      </c>
      <c r="Q238" s="120" t="str">
        <f t="shared" si="64"/>
        <v/>
      </c>
      <c r="R238" s="120" t="str">
        <f t="shared" si="64"/>
        <v/>
      </c>
      <c r="S238" s="120" t="str">
        <f t="shared" si="64"/>
        <v/>
      </c>
      <c r="T238" s="120" t="str">
        <f t="shared" si="64"/>
        <v/>
      </c>
      <c r="U238" s="120" t="str">
        <f t="shared" si="64"/>
        <v/>
      </c>
      <c r="V238" s="120" t="str">
        <f t="shared" si="64"/>
        <v/>
      </c>
      <c r="W238" s="120" t="str">
        <f t="shared" si="64"/>
        <v/>
      </c>
      <c r="X238" s="120" t="str">
        <f t="shared" si="64"/>
        <v/>
      </c>
      <c r="Y238" s="120" t="str">
        <f t="shared" si="64"/>
        <v/>
      </c>
      <c r="Z238" s="120" t="str">
        <f t="shared" si="64"/>
        <v/>
      </c>
      <c r="AA238" s="120" t="str">
        <f t="shared" si="64"/>
        <v/>
      </c>
      <c r="AB238" s="120" t="str">
        <f t="shared" si="64"/>
        <v/>
      </c>
      <c r="AC238" s="120" t="str">
        <f t="shared" si="64"/>
        <v/>
      </c>
      <c r="AD238" s="120" t="str">
        <f t="shared" si="64"/>
        <v/>
      </c>
      <c r="AE238" s="120" t="str">
        <f t="shared" si="64"/>
        <v/>
      </c>
      <c r="AF238" s="120" t="str">
        <f t="shared" si="64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65">IF(C206&lt;100,"",C206-1500)</f>
        <v/>
      </c>
      <c r="D239" s="120" t="str">
        <f t="shared" si="65"/>
        <v/>
      </c>
      <c r="E239" s="120" t="str">
        <f t="shared" si="65"/>
        <v/>
      </c>
      <c r="F239" s="120" t="str">
        <f t="shared" si="65"/>
        <v/>
      </c>
      <c r="G239" s="120" t="str">
        <f t="shared" si="65"/>
        <v/>
      </c>
      <c r="H239" s="120" t="str">
        <f t="shared" si="65"/>
        <v/>
      </c>
      <c r="I239" s="120" t="str">
        <f t="shared" si="65"/>
        <v/>
      </c>
      <c r="J239" s="120" t="str">
        <f t="shared" si="65"/>
        <v/>
      </c>
      <c r="K239" s="120" t="str">
        <f t="shared" si="65"/>
        <v/>
      </c>
      <c r="L239" s="120" t="str">
        <f t="shared" si="65"/>
        <v/>
      </c>
      <c r="M239" s="120" t="str">
        <f t="shared" si="65"/>
        <v/>
      </c>
      <c r="N239" s="120" t="str">
        <f t="shared" si="65"/>
        <v/>
      </c>
      <c r="O239" s="120" t="str">
        <f t="shared" si="65"/>
        <v/>
      </c>
      <c r="P239" s="120" t="str">
        <f t="shared" si="65"/>
        <v/>
      </c>
      <c r="Q239" s="120" t="str">
        <f t="shared" si="65"/>
        <v/>
      </c>
      <c r="R239" s="120" t="str">
        <f t="shared" si="65"/>
        <v/>
      </c>
      <c r="S239" s="120" t="str">
        <f t="shared" si="65"/>
        <v/>
      </c>
      <c r="T239" s="120" t="str">
        <f t="shared" si="65"/>
        <v/>
      </c>
      <c r="U239" s="120" t="str">
        <f t="shared" si="65"/>
        <v/>
      </c>
      <c r="V239" s="120" t="str">
        <f t="shared" si="65"/>
        <v/>
      </c>
      <c r="W239" s="120" t="str">
        <f t="shared" si="65"/>
        <v/>
      </c>
      <c r="X239" s="120" t="str">
        <f t="shared" si="65"/>
        <v/>
      </c>
      <c r="Y239" s="120" t="str">
        <f t="shared" si="65"/>
        <v/>
      </c>
      <c r="Z239" s="120" t="str">
        <f t="shared" si="65"/>
        <v/>
      </c>
      <c r="AA239" s="120" t="str">
        <f t="shared" si="65"/>
        <v/>
      </c>
      <c r="AB239" s="120" t="str">
        <f t="shared" si="65"/>
        <v/>
      </c>
      <c r="AC239" s="120" t="str">
        <f t="shared" si="65"/>
        <v/>
      </c>
      <c r="AD239" s="120" t="str">
        <f t="shared" si="65"/>
        <v/>
      </c>
      <c r="AE239" s="120" t="str">
        <f t="shared" si="65"/>
        <v/>
      </c>
      <c r="AF239" s="120" t="str">
        <f t="shared" si="65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M37:R37 E57:L59 N62:N67 F60:O60 P39:R39 M39:O42 O61:O67 P40:Q42 R42 P60:R67 R40:T41 M58:W59 U40:Y42 Y85:AA91 AB81:AF81 B81:R81 C56:AF56 B82:AF83 D194:AF200 B194:B200 C68:AF72 AB84:AF91 M53:AF55 B9:AF10 B192:AF192 AF57:AF61 AG73 AB94:AF100 U213:AF213 B53:B73 B83:B91 B73:AF80 C57:D67 C84:D91 B94:D100 E60:E67 F61:N61 F63:M67 O12:S14 T13:Y14 S36:Y37 O16:Y32 N45:Y48 AB16:AE26 Z12:AE14 Z16:AA31 Z40:AE43 AB12:AF12 AB16:AF18 AB20:AF21 Z36:AF36 S65:AF67 M11:AF11 AB23:AF31 B36:R36">
    <cfRule type="expression" dxfId="2086" priority="274">
      <formula>B$9&gt;=20/24</formula>
    </cfRule>
    <cfRule type="expression" dxfId="2085" priority="275">
      <formula>AND(B$9&gt;=14/24,B$9&lt;20/24)</formula>
    </cfRule>
    <cfRule type="expression" dxfId="2084" priority="276">
      <formula>AND(B$9&gt;=8/24,B$9&lt;14/24)</formula>
    </cfRule>
    <cfRule type="expression" dxfId="2083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082" priority="269">
      <formula>M$9&gt;=20/24</formula>
    </cfRule>
    <cfRule type="expression" dxfId="2081" priority="270">
      <formula>AND(M$9&gt;=14/24,M$9&lt;20/24)</formula>
    </cfRule>
    <cfRule type="expression" dxfId="2080" priority="271">
      <formula>AND(M$9&gt;=8/24,M$9&lt;14/24)</formula>
    </cfRule>
    <cfRule type="expression" dxfId="2079" priority="272">
      <formula>M$9&lt;8/24</formula>
    </cfRule>
  </conditionalFormatting>
  <conditionalFormatting sqref="M43:R43">
    <cfRule type="expression" dxfId="2078" priority="265">
      <formula>M$9&gt;=20/24</formula>
    </cfRule>
    <cfRule type="expression" dxfId="2077" priority="266">
      <formula>AND(M$9&gt;=14/24,M$9&lt;20/24)</formula>
    </cfRule>
    <cfRule type="expression" dxfId="2076" priority="267">
      <formula>AND(M$9&gt;=8/24,M$9&lt;14/24)</formula>
    </cfRule>
    <cfRule type="expression" dxfId="2075" priority="268">
      <formula>M$9&lt;8/24</formula>
    </cfRule>
  </conditionalFormatting>
  <conditionalFormatting sqref="Z32:AF32">
    <cfRule type="expression" dxfId="2074" priority="261">
      <formula>Z$9&gt;=20/24</formula>
    </cfRule>
    <cfRule type="expression" dxfId="2073" priority="262">
      <formula>AND(Z$9&gt;=14/24,Z$9&lt;20/24)</formula>
    </cfRule>
    <cfRule type="expression" dxfId="2072" priority="263">
      <formula>AND(Z$9&gt;=8/24,Z$9&lt;14/24)</formula>
    </cfRule>
    <cfRule type="expression" dxfId="2071" priority="264">
      <formula>Z$9&lt;8/24</formula>
    </cfRule>
  </conditionalFormatting>
  <conditionalFormatting sqref="S39:AE39">
    <cfRule type="expression" dxfId="2070" priority="257">
      <formula>S$9&gt;=20/24</formula>
    </cfRule>
    <cfRule type="expression" dxfId="2069" priority="258">
      <formula>AND(S$9&gt;=14/24,S$9&lt;20/24)</formula>
    </cfRule>
    <cfRule type="expression" dxfId="2068" priority="259">
      <formula>AND(S$9&gt;=8/24,S$9&lt;14/24)</formula>
    </cfRule>
    <cfRule type="expression" dxfId="2067" priority="260">
      <formula>S$9&lt;8/24</formula>
    </cfRule>
  </conditionalFormatting>
  <conditionalFormatting sqref="S57:AE57">
    <cfRule type="expression" dxfId="2066" priority="253">
      <formula>S$9&gt;=20/24</formula>
    </cfRule>
    <cfRule type="expression" dxfId="2065" priority="254">
      <formula>AND(S$9&gt;=14/24,S$9&lt;20/24)</formula>
    </cfRule>
    <cfRule type="expression" dxfId="2064" priority="255">
      <formula>AND(S$9&gt;=8/24,S$9&lt;14/24)</formula>
    </cfRule>
    <cfRule type="expression" dxfId="2063" priority="256">
      <formula>S$9&lt;8/24</formula>
    </cfRule>
  </conditionalFormatting>
  <conditionalFormatting sqref="S81:AA81">
    <cfRule type="expression" dxfId="2062" priority="249">
      <formula>S$9&gt;=20/24</formula>
    </cfRule>
    <cfRule type="expression" dxfId="2061" priority="250">
      <formula>AND(S$9&gt;=14/24,S$9&lt;20/24)</formula>
    </cfRule>
    <cfRule type="expression" dxfId="2060" priority="251">
      <formula>AND(S$9&gt;=8/24,S$9&lt;14/24)</formula>
    </cfRule>
    <cfRule type="expression" dxfId="2059" priority="252">
      <formula>S$9&lt;8/24</formula>
    </cfRule>
  </conditionalFormatting>
  <conditionalFormatting sqref="U84:AA84">
    <cfRule type="expression" dxfId="2058" priority="245">
      <formula>U$9&gt;=20/24</formula>
    </cfRule>
    <cfRule type="expression" dxfId="2057" priority="246">
      <formula>AND(U$9&gt;=14/24,U$9&lt;20/24)</formula>
    </cfRule>
    <cfRule type="expression" dxfId="2056" priority="247">
      <formula>AND(U$9&gt;=8/24,U$9&lt;14/24)</formula>
    </cfRule>
    <cfRule type="expression" dxfId="2055" priority="248">
      <formula>U$9&lt;8/24</formula>
    </cfRule>
  </conditionalFormatting>
  <conditionalFormatting sqref="O35:Y35">
    <cfRule type="expression" dxfId="2054" priority="241">
      <formula>O$9&gt;=20/24</formula>
    </cfRule>
    <cfRule type="expression" dxfId="2053" priority="242">
      <formula>AND(O$9&gt;=14/24,O$9&lt;20/24)</formula>
    </cfRule>
    <cfRule type="expression" dxfId="2052" priority="243">
      <formula>AND(O$9&gt;=8/24,O$9&lt;14/24)</formula>
    </cfRule>
    <cfRule type="expression" dxfId="2051" priority="244">
      <formula>O$9&lt;8/24</formula>
    </cfRule>
  </conditionalFormatting>
  <conditionalFormatting sqref="M49:Y49">
    <cfRule type="expression" dxfId="2050" priority="237">
      <formula>M$9&gt;=20/24</formula>
    </cfRule>
    <cfRule type="expression" dxfId="2049" priority="238">
      <formula>AND(M$9&gt;=14/24,M$9&lt;20/24)</formula>
    </cfRule>
    <cfRule type="expression" dxfId="2048" priority="239">
      <formula>AND(M$9&gt;=8/24,M$9&lt;14/24)</formula>
    </cfRule>
    <cfRule type="expression" dxfId="2047" priority="240">
      <formula>M$9&lt;8/24</formula>
    </cfRule>
  </conditionalFormatting>
  <conditionalFormatting sqref="M50:Y50">
    <cfRule type="expression" dxfId="2046" priority="233">
      <formula>M$9&gt;=20/24</formula>
    </cfRule>
    <cfRule type="expression" dxfId="2045" priority="234">
      <formula>AND(M$9&gt;=14/24,M$9&lt;20/24)</formula>
    </cfRule>
    <cfRule type="expression" dxfId="2044" priority="235">
      <formula>AND(M$9&gt;=8/24,M$9&lt;14/24)</formula>
    </cfRule>
    <cfRule type="expression" dxfId="2043" priority="236">
      <formula>M$9&lt;8/24</formula>
    </cfRule>
  </conditionalFormatting>
  <conditionalFormatting sqref="M45:Y48">
    <cfRule type="expression" dxfId="2042" priority="229">
      <formula>M$9&gt;=20/24</formula>
    </cfRule>
    <cfRule type="expression" dxfId="2041" priority="230">
      <formula>AND(M$9&gt;=14/24,M$9&lt;20/24)</formula>
    </cfRule>
    <cfRule type="expression" dxfId="2040" priority="231">
      <formula>AND(M$9&gt;=8/24,M$9&lt;14/24)</formula>
    </cfRule>
    <cfRule type="expression" dxfId="2039" priority="232">
      <formula>M$9&lt;8/24</formula>
    </cfRule>
  </conditionalFormatting>
  <conditionalFormatting sqref="Z37:AE37">
    <cfRule type="expression" dxfId="2038" priority="225">
      <formula>Z$9&gt;=20/24</formula>
    </cfRule>
    <cfRule type="expression" dxfId="2037" priority="226">
      <formula>AND(Z$9&gt;=14/24,Z$9&lt;20/24)</formula>
    </cfRule>
    <cfRule type="expression" dxfId="2036" priority="227">
      <formula>AND(Z$9&gt;=8/24,Z$9&lt;14/24)</formula>
    </cfRule>
    <cfRule type="expression" dxfId="2035" priority="228">
      <formula>Z$9&lt;8/24</formula>
    </cfRule>
  </conditionalFormatting>
  <conditionalFormatting sqref="Z35:AF35">
    <cfRule type="expression" dxfId="2034" priority="221">
      <formula>Z$9&gt;=20/24</formula>
    </cfRule>
    <cfRule type="expression" dxfId="2033" priority="222">
      <formula>AND(Z$9&gt;=14/24,Z$9&lt;20/24)</formula>
    </cfRule>
    <cfRule type="expression" dxfId="2032" priority="223">
      <formula>AND(Z$9&gt;=8/24,Z$9&lt;14/24)</formula>
    </cfRule>
    <cfRule type="expression" dxfId="2031" priority="224">
      <formula>Z$9&lt;8/24</formula>
    </cfRule>
  </conditionalFormatting>
  <conditionalFormatting sqref="S42:T43 U43:Y43 S45:AF48">
    <cfRule type="expression" dxfId="2030" priority="217">
      <formula>S$9&gt;=20/24</formula>
    </cfRule>
    <cfRule type="expression" dxfId="2029" priority="218">
      <formula>AND(S$9&gt;=14/24,S$9&lt;20/24)</formula>
    </cfRule>
    <cfRule type="expression" dxfId="2028" priority="219">
      <formula>AND(S$9&gt;=8/24,S$9&lt;14/24)</formula>
    </cfRule>
    <cfRule type="expression" dxfId="2027" priority="220">
      <formula>S$9&lt;8/24</formula>
    </cfRule>
  </conditionalFormatting>
  <conditionalFormatting sqref="S49:AF49">
    <cfRule type="expression" dxfId="2026" priority="213">
      <formula>S$9&gt;=20/24</formula>
    </cfRule>
    <cfRule type="expression" dxfId="2025" priority="214">
      <formula>AND(S$9&gt;=14/24,S$9&lt;20/24)</formula>
    </cfRule>
    <cfRule type="expression" dxfId="2024" priority="215">
      <formula>AND(S$9&gt;=8/24,S$9&lt;14/24)</formula>
    </cfRule>
    <cfRule type="expression" dxfId="2023" priority="216">
      <formula>S$9&lt;8/24</formula>
    </cfRule>
  </conditionalFormatting>
  <conditionalFormatting sqref="S50:AF50">
    <cfRule type="expression" dxfId="2022" priority="209">
      <formula>S$9&gt;=20/24</formula>
    </cfRule>
    <cfRule type="expression" dxfId="2021" priority="210">
      <formula>AND(S$9&gt;=14/24,S$9&lt;20/24)</formula>
    </cfRule>
    <cfRule type="expression" dxfId="2020" priority="211">
      <formula>AND(S$9&gt;=8/24,S$9&lt;14/24)</formula>
    </cfRule>
    <cfRule type="expression" dxfId="2019" priority="212">
      <formula>S$9&lt;8/24</formula>
    </cfRule>
  </conditionalFormatting>
  <conditionalFormatting sqref="S60:T61 X60:AE61 S62:AF64">
    <cfRule type="expression" dxfId="2018" priority="205">
      <formula>S$9&gt;=20/24</formula>
    </cfRule>
    <cfRule type="expression" dxfId="2017" priority="206">
      <formula>AND(S$9&gt;=14/24,S$9&lt;20/24)</formula>
    </cfRule>
    <cfRule type="expression" dxfId="2016" priority="207">
      <formula>AND(S$9&gt;=8/24,S$9&lt;14/24)</formula>
    </cfRule>
    <cfRule type="expression" dxfId="2015" priority="208">
      <formula>S$9&lt;8/24</formula>
    </cfRule>
  </conditionalFormatting>
  <conditionalFormatting sqref="F62:M62">
    <cfRule type="expression" dxfId="2014" priority="201">
      <formula>F$9&gt;=20/24</formula>
    </cfRule>
    <cfRule type="expression" dxfId="2013" priority="202">
      <formula>AND(F$9&gt;=14/24,F$9&lt;20/24)</formula>
    </cfRule>
    <cfRule type="expression" dxfId="2012" priority="203">
      <formula>AND(F$9&gt;=8/24,F$9&lt;14/24)</formula>
    </cfRule>
    <cfRule type="expression" dxfId="2011" priority="204">
      <formula>F$9&lt;8/24</formula>
    </cfRule>
  </conditionalFormatting>
  <conditionalFormatting sqref="U94:AA97">
    <cfRule type="expression" dxfId="2010" priority="197">
      <formula>U$9&gt;=20/24</formula>
    </cfRule>
    <cfRule type="expression" dxfId="2009" priority="198">
      <formula>AND(U$9&gt;=14/24,U$9&lt;20/24)</formula>
    </cfRule>
    <cfRule type="expression" dxfId="2008" priority="199">
      <formula>AND(U$9&gt;=8/24,U$9&lt;14/24)</formula>
    </cfRule>
    <cfRule type="expression" dxfId="2007" priority="200">
      <formula>U$9&lt;8/24</formula>
    </cfRule>
  </conditionalFormatting>
  <conditionalFormatting sqref="AG51 B11:K32 L12:M32 B34:M36 O12:S14 T13:Y14 O16:Y32 B37:AF56 L11:AF11 Z12:AF32 N36 O34:AF36">
    <cfRule type="expression" dxfId="2006" priority="196">
      <formula>B11&gt;$AG11</formula>
    </cfRule>
  </conditionalFormatting>
  <conditionalFormatting sqref="A101:A157 A84:A97 A11:A14 A16:A32 A45:A72 A80:A82 A74:A78 A35:A43 A170:A200">
    <cfRule type="expression" dxfId="2005" priority="195">
      <formula>$AH11=0</formula>
    </cfRule>
  </conditionalFormatting>
  <conditionalFormatting sqref="U98:AA98">
    <cfRule type="expression" dxfId="2004" priority="191">
      <formula>U$9&gt;=20/24</formula>
    </cfRule>
    <cfRule type="expression" dxfId="2003" priority="192">
      <formula>AND(U$9&gt;=14/24,U$9&lt;20/24)</formula>
    </cfRule>
    <cfRule type="expression" dxfId="2002" priority="193">
      <formula>AND(U$9&gt;=8/24,U$9&lt;14/24)</formula>
    </cfRule>
    <cfRule type="expression" dxfId="2001" priority="194">
      <formula>U$9&lt;8/24</formula>
    </cfRule>
  </conditionalFormatting>
  <conditionalFormatting sqref="A98">
    <cfRule type="expression" dxfId="2000" priority="190">
      <formula>$AH98=0</formula>
    </cfRule>
  </conditionalFormatting>
  <conditionalFormatting sqref="Z15:AE15">
    <cfRule type="expression" dxfId="1999" priority="159">
      <formula>Z$9&gt;=20/24</formula>
    </cfRule>
    <cfRule type="expression" dxfId="1998" priority="160">
      <formula>AND(Z$9&gt;=14/24,Z$9&lt;20/24)</formula>
    </cfRule>
    <cfRule type="expression" dxfId="1997" priority="161">
      <formula>AND(Z$9&gt;=8/24,Z$9&lt;14/24)</formula>
    </cfRule>
    <cfRule type="expression" dxfId="1996" priority="162">
      <formula>Z$9&lt;8/24</formula>
    </cfRule>
  </conditionalFormatting>
  <conditionalFormatting sqref="O15:Y15">
    <cfRule type="expression" dxfId="1995" priority="155">
      <formula>O$9&gt;=20/24</formula>
    </cfRule>
    <cfRule type="expression" dxfId="1994" priority="156">
      <formula>AND(O$9&gt;=14/24,O$9&lt;20/24)</formula>
    </cfRule>
    <cfRule type="expression" dxfId="1993" priority="157">
      <formula>AND(O$9&gt;=8/24,O$9&lt;14/24)</formula>
    </cfRule>
    <cfRule type="expression" dxfId="1992" priority="158">
      <formula>O$9&lt;8/24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1991" priority="173">
      <formula>Z$9&gt;=20/24</formula>
    </cfRule>
    <cfRule type="expression" dxfId="1990" priority="174">
      <formula>AND(Z$9&gt;=14/24,Z$9&lt;20/24)</formula>
    </cfRule>
    <cfRule type="expression" dxfId="1989" priority="175">
      <formula>AND(Z$9&gt;=8/24,Z$9&lt;14/24)</formula>
    </cfRule>
    <cfRule type="expression" dxfId="1988" priority="176">
      <formula>Z$9&lt;8/24</formula>
    </cfRule>
  </conditionalFormatting>
  <conditionalFormatting sqref="O34:Y34">
    <cfRule type="expression" dxfId="1987" priority="169">
      <formula>O$9&gt;=20/24</formula>
    </cfRule>
    <cfRule type="expression" dxfId="1986" priority="170">
      <formula>AND(O$9&gt;=14/24,O$9&lt;20/24)</formula>
    </cfRule>
    <cfRule type="expression" dxfId="1985" priority="171">
      <formula>AND(O$9&gt;=8/24,O$9&lt;14/24)</formula>
    </cfRule>
    <cfRule type="expression" dxfId="1984" priority="172">
      <formula>O$9&lt;8/24</formula>
    </cfRule>
  </conditionalFormatting>
  <conditionalFormatting sqref="A34">
    <cfRule type="expression" dxfId="1983" priority="164">
      <formula>$AH34=0</formula>
    </cfRule>
  </conditionalFormatting>
  <conditionalFormatting sqref="A83">
    <cfRule type="expression" dxfId="1982" priority="163">
      <formula>$AH83=0</formula>
    </cfRule>
  </conditionalFormatting>
  <conditionalFormatting sqref="O15:Y15">
    <cfRule type="expression" dxfId="1981" priority="154">
      <formula>O15&gt;$AG15</formula>
    </cfRule>
  </conditionalFormatting>
  <conditionalFormatting sqref="A15">
    <cfRule type="expression" dxfId="1980" priority="153">
      <formula>$AH15=0</formula>
    </cfRule>
  </conditionalFormatting>
  <conditionalFormatting sqref="A164:A169">
    <cfRule type="expression" dxfId="1979" priority="152">
      <formula>$AH164=0</formula>
    </cfRule>
  </conditionalFormatting>
  <conditionalFormatting sqref="A158:A163">
    <cfRule type="expression" dxfId="1978" priority="151">
      <formula>$AH158=0</formula>
    </cfRule>
  </conditionalFormatting>
  <conditionalFormatting sqref="Z44:AE44">
    <cfRule type="expression" dxfId="1977" priority="147">
      <formula>Z$9&gt;=20/24</formula>
    </cfRule>
    <cfRule type="expression" dxfId="1976" priority="148">
      <formula>AND(Z$9&gt;=14/24,Z$9&lt;20/24)</formula>
    </cfRule>
    <cfRule type="expression" dxfId="1975" priority="149">
      <formula>AND(Z$9&gt;=8/24,Z$9&lt;14/24)</formula>
    </cfRule>
    <cfRule type="expression" dxfId="1974" priority="150">
      <formula>Z$9&lt;8/24</formula>
    </cfRule>
  </conditionalFormatting>
  <conditionalFormatting sqref="M44:R44">
    <cfRule type="expression" dxfId="1973" priority="143">
      <formula>M$9&gt;=20/24</formula>
    </cfRule>
    <cfRule type="expression" dxfId="1972" priority="144">
      <formula>AND(M$9&gt;=14/24,M$9&lt;20/24)</formula>
    </cfRule>
    <cfRule type="expression" dxfId="1971" priority="145">
      <formula>AND(M$9&gt;=8/24,M$9&lt;14/24)</formula>
    </cfRule>
    <cfRule type="expression" dxfId="1970" priority="146">
      <formula>M$9&lt;8/24</formula>
    </cfRule>
  </conditionalFormatting>
  <conditionalFormatting sqref="S44:Y44">
    <cfRule type="expression" dxfId="1969" priority="139">
      <formula>S$9&gt;=20/24</formula>
    </cfRule>
    <cfRule type="expression" dxfId="1968" priority="140">
      <formula>AND(S$9&gt;=14/24,S$9&lt;20/24)</formula>
    </cfRule>
    <cfRule type="expression" dxfId="1967" priority="141">
      <formula>AND(S$9&gt;=8/24,S$9&lt;14/24)</formula>
    </cfRule>
    <cfRule type="expression" dxfId="1966" priority="142">
      <formula>S$9&lt;8/24</formula>
    </cfRule>
  </conditionalFormatting>
  <conditionalFormatting sqref="A44">
    <cfRule type="expression" dxfId="1965" priority="138">
      <formula>$AH44=0</formula>
    </cfRule>
  </conditionalFormatting>
  <conditionalFormatting sqref="A79">
    <cfRule type="expression" dxfId="1964" priority="137">
      <formula>$AH79=0</formula>
    </cfRule>
  </conditionalFormatting>
  <conditionalFormatting sqref="A73">
    <cfRule type="expression" dxfId="1963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1">
    <cfRule type="expression" dxfId="1962" priority="132">
      <formula>U$9&gt;=20/24</formula>
    </cfRule>
    <cfRule type="expression" dxfId="1961" priority="133">
      <formula>AND(U$9&gt;=14/24,U$9&lt;20/24)</formula>
    </cfRule>
    <cfRule type="expression" dxfId="1960" priority="134">
      <formula>AND(U$9&gt;=8/24,U$9&lt;14/24)</formula>
    </cfRule>
    <cfRule type="expression" dxfId="1959" priority="135">
      <formula>U$9&lt;8/24</formula>
    </cfRule>
  </conditionalFormatting>
  <conditionalFormatting sqref="U85:X91">
    <cfRule type="expression" dxfId="1958" priority="128">
      <formula>U$9&gt;=20/24</formula>
    </cfRule>
    <cfRule type="expression" dxfId="1957" priority="129">
      <formula>AND(U$9&gt;=14/24,U$9&lt;20/24)</formula>
    </cfRule>
    <cfRule type="expression" dxfId="1956" priority="130">
      <formula>AND(U$9&gt;=8/24,U$9&lt;14/24)</formula>
    </cfRule>
    <cfRule type="expression" dxfId="1955" priority="131">
      <formula>U$9&lt;8/24</formula>
    </cfRule>
  </conditionalFormatting>
  <conditionalFormatting sqref="S85:T91 E84:R91">
    <cfRule type="expression" dxfId="1954" priority="124">
      <formula>E$9&gt;=20/24</formula>
    </cfRule>
    <cfRule type="expression" dxfId="1953" priority="125">
      <formula>AND(E$9&gt;=14/24,E$9&lt;20/24)</formula>
    </cfRule>
    <cfRule type="expression" dxfId="1952" priority="126">
      <formula>AND(E$9&gt;=8/24,E$9&lt;14/24)</formula>
    </cfRule>
    <cfRule type="expression" dxfId="1951" priority="127">
      <formula>E$9&lt;8/24</formula>
    </cfRule>
  </conditionalFormatting>
  <conditionalFormatting sqref="S84:T84">
    <cfRule type="expression" dxfId="1950" priority="120">
      <formula>S$9&gt;=20/24</formula>
    </cfRule>
    <cfRule type="expression" dxfId="1949" priority="121">
      <formula>AND(S$9&gt;=14/24,S$9&lt;20/24)</formula>
    </cfRule>
    <cfRule type="expression" dxfId="1948" priority="122">
      <formula>AND(S$9&gt;=8/24,S$9&lt;14/24)</formula>
    </cfRule>
    <cfRule type="expression" dxfId="1947" priority="123">
      <formula>S$9&lt;8/24</formula>
    </cfRule>
  </conditionalFormatting>
  <conditionalFormatting sqref="E94:F94 E95:M97">
    <cfRule type="expression" dxfId="1946" priority="116">
      <formula>E$9&gt;=20/24</formula>
    </cfRule>
    <cfRule type="expression" dxfId="1945" priority="117">
      <formula>AND(E$9&gt;=14/24,E$9&lt;20/24)</formula>
    </cfRule>
    <cfRule type="expression" dxfId="1944" priority="118">
      <formula>AND(E$9&gt;=8/24,E$9&lt;14/24)</formula>
    </cfRule>
    <cfRule type="expression" dxfId="1943" priority="119">
      <formula>E$9&lt;8/24</formula>
    </cfRule>
  </conditionalFormatting>
  <conditionalFormatting sqref="N95:R97 O94:R94">
    <cfRule type="expression" dxfId="1942" priority="112">
      <formula>N$9&gt;=20/24</formula>
    </cfRule>
    <cfRule type="expression" dxfId="1941" priority="113">
      <formula>AND(N$9&gt;=14/24,N$9&lt;20/24)</formula>
    </cfRule>
    <cfRule type="expression" dxfId="1940" priority="114">
      <formula>AND(N$9&gt;=8/24,N$9&lt;14/24)</formula>
    </cfRule>
    <cfRule type="expression" dxfId="1939" priority="115">
      <formula>N$9&lt;8/24</formula>
    </cfRule>
  </conditionalFormatting>
  <conditionalFormatting sqref="S94:T97">
    <cfRule type="expression" dxfId="1938" priority="108">
      <formula>S$9&gt;=20/24</formula>
    </cfRule>
    <cfRule type="expression" dxfId="1937" priority="109">
      <formula>AND(S$9&gt;=14/24,S$9&lt;20/24)</formula>
    </cfRule>
    <cfRule type="expression" dxfId="1936" priority="110">
      <formula>AND(S$9&gt;=8/24,S$9&lt;14/24)</formula>
    </cfRule>
    <cfRule type="expression" dxfId="1935" priority="111">
      <formula>S$9&lt;8/24</formula>
    </cfRule>
  </conditionalFormatting>
  <conditionalFormatting sqref="E98:M98">
    <cfRule type="expression" dxfId="1934" priority="104">
      <formula>E$9&gt;=20/24</formula>
    </cfRule>
    <cfRule type="expression" dxfId="1933" priority="105">
      <formula>AND(E$9&gt;=14/24,E$9&lt;20/24)</formula>
    </cfRule>
    <cfRule type="expression" dxfId="1932" priority="106">
      <formula>AND(E$9&gt;=8/24,E$9&lt;14/24)</formula>
    </cfRule>
    <cfRule type="expression" dxfId="1931" priority="107">
      <formula>E$9&lt;8/24</formula>
    </cfRule>
  </conditionalFormatting>
  <conditionalFormatting sqref="N98:R98">
    <cfRule type="expression" dxfId="1930" priority="100">
      <formula>N$9&gt;=20/24</formula>
    </cfRule>
    <cfRule type="expression" dxfId="1929" priority="101">
      <formula>AND(N$9&gt;=14/24,N$9&lt;20/24)</formula>
    </cfRule>
    <cfRule type="expression" dxfId="1928" priority="102">
      <formula>AND(N$9&gt;=8/24,N$9&lt;14/24)</formula>
    </cfRule>
    <cfRule type="expression" dxfId="1927" priority="103">
      <formula>N$9&lt;8/24</formula>
    </cfRule>
  </conditionalFormatting>
  <conditionalFormatting sqref="S98:T98">
    <cfRule type="expression" dxfId="1926" priority="96">
      <formula>S$9&gt;=20/24</formula>
    </cfRule>
    <cfRule type="expression" dxfId="1925" priority="97">
      <formula>AND(S$9&gt;=14/24,S$9&lt;20/24)</formula>
    </cfRule>
    <cfRule type="expression" dxfId="1924" priority="98">
      <formula>AND(S$9&gt;=8/24,S$9&lt;14/24)</formula>
    </cfRule>
    <cfRule type="expression" dxfId="1923" priority="99">
      <formula>S$9&lt;8/24</formula>
    </cfRule>
  </conditionalFormatting>
  <conditionalFormatting sqref="M94:N94">
    <cfRule type="expression" dxfId="1922" priority="92">
      <formula>M$9&gt;=20/24</formula>
    </cfRule>
    <cfRule type="expression" dxfId="1921" priority="93">
      <formula>AND(M$9&gt;=14/24,M$9&lt;20/24)</formula>
    </cfRule>
    <cfRule type="expression" dxfId="1920" priority="94">
      <formula>AND(M$9&gt;=8/24,M$9&lt;14/24)</formula>
    </cfRule>
    <cfRule type="expression" dxfId="1919" priority="95">
      <formula>M$9&lt;8/24</formula>
    </cfRule>
  </conditionalFormatting>
  <conditionalFormatting sqref="G94:L94">
    <cfRule type="expression" dxfId="1918" priority="88">
      <formula>G$9&gt;=20/24</formula>
    </cfRule>
    <cfRule type="expression" dxfId="1917" priority="89">
      <formula>AND(G$9&gt;=14/24,G$9&lt;20/24)</formula>
    </cfRule>
    <cfRule type="expression" dxfId="1916" priority="90">
      <formula>AND(G$9&gt;=8/24,G$9&lt;14/24)</formula>
    </cfRule>
    <cfRule type="expression" dxfId="1915" priority="91">
      <formula>G$9&lt;8/24</formula>
    </cfRule>
  </conditionalFormatting>
  <conditionalFormatting sqref="U94:W94">
    <cfRule type="expression" dxfId="1914" priority="84">
      <formula>U$9&gt;=20/24</formula>
    </cfRule>
    <cfRule type="expression" dxfId="1913" priority="85">
      <formula>AND(U$9&gt;=14/24,U$9&lt;20/24)</formula>
    </cfRule>
    <cfRule type="expression" dxfId="1912" priority="86">
      <formula>AND(U$9&gt;=8/24,U$9&lt;14/24)</formula>
    </cfRule>
    <cfRule type="expression" dxfId="1911" priority="87">
      <formula>U$9&lt;8/24</formula>
    </cfRule>
  </conditionalFormatting>
  <conditionalFormatting sqref="N94:T94">
    <cfRule type="expression" dxfId="1910" priority="80">
      <formula>N$9&gt;=20/24</formula>
    </cfRule>
    <cfRule type="expression" dxfId="1909" priority="81">
      <formula>AND(N$9&gt;=14/24,N$9&lt;20/24)</formula>
    </cfRule>
    <cfRule type="expression" dxfId="1908" priority="82">
      <formula>AND(N$9&gt;=8/24,N$9&lt;14/24)</formula>
    </cfRule>
    <cfRule type="expression" dxfId="1907" priority="83">
      <formula>N$9&lt;8/24</formula>
    </cfRule>
  </conditionalFormatting>
  <conditionalFormatting sqref="U99:AA100">
    <cfRule type="expression" dxfId="1906" priority="76">
      <formula>U$9&gt;=20/24</formula>
    </cfRule>
    <cfRule type="expression" dxfId="1905" priority="77">
      <formula>AND(U$9&gt;=14/24,U$9&lt;20/24)</formula>
    </cfRule>
    <cfRule type="expression" dxfId="1904" priority="78">
      <formula>AND(U$9&gt;=8/24,U$9&lt;14/24)</formula>
    </cfRule>
    <cfRule type="expression" dxfId="1903" priority="79">
      <formula>U$9&lt;8/24</formula>
    </cfRule>
  </conditionalFormatting>
  <conditionalFormatting sqref="E99:M100">
    <cfRule type="expression" dxfId="1902" priority="72">
      <formula>E$9&gt;=20/24</formula>
    </cfRule>
    <cfRule type="expression" dxfId="1901" priority="73">
      <formula>AND(E$9&gt;=14/24,E$9&lt;20/24)</formula>
    </cfRule>
    <cfRule type="expression" dxfId="1900" priority="74">
      <formula>AND(E$9&gt;=8/24,E$9&lt;14/24)</formula>
    </cfRule>
    <cfRule type="expression" dxfId="1899" priority="75">
      <formula>E$9&lt;8/24</formula>
    </cfRule>
  </conditionalFormatting>
  <conditionalFormatting sqref="N99:R100">
    <cfRule type="expression" dxfId="1898" priority="68">
      <formula>N$9&gt;=20/24</formula>
    </cfRule>
    <cfRule type="expression" dxfId="1897" priority="69">
      <formula>AND(N$9&gt;=14/24,N$9&lt;20/24)</formula>
    </cfRule>
    <cfRule type="expression" dxfId="1896" priority="70">
      <formula>AND(N$9&gt;=8/24,N$9&lt;14/24)</formula>
    </cfRule>
    <cfRule type="expression" dxfId="1895" priority="71">
      <formula>N$9&lt;8/24</formula>
    </cfRule>
  </conditionalFormatting>
  <conditionalFormatting sqref="S99:T100">
    <cfRule type="expression" dxfId="1894" priority="64">
      <formula>S$9&gt;=20/24</formula>
    </cfRule>
    <cfRule type="expression" dxfId="1893" priority="65">
      <formula>AND(S$9&gt;=14/24,S$9&lt;20/24)</formula>
    </cfRule>
    <cfRule type="expression" dxfId="1892" priority="66">
      <formula>AND(S$9&gt;=8/24,S$9&lt;14/24)</formula>
    </cfRule>
    <cfRule type="expression" dxfId="1891" priority="67">
      <formula>S$9&lt;8/24</formula>
    </cfRule>
  </conditionalFormatting>
  <conditionalFormatting sqref="T12:Y12">
    <cfRule type="expression" dxfId="1890" priority="60">
      <formula>T$9&gt;=20/24</formula>
    </cfRule>
    <cfRule type="expression" dxfId="1889" priority="61">
      <formula>AND(T$9&gt;=14/24,T$9&lt;20/24)</formula>
    </cfRule>
    <cfRule type="expression" dxfId="1888" priority="62">
      <formula>AND(T$9&gt;=8/24,T$9&lt;14/24)</formula>
    </cfRule>
    <cfRule type="expression" dxfId="1887" priority="63">
      <formula>T$9&lt;8/24</formula>
    </cfRule>
  </conditionalFormatting>
  <conditionalFormatting sqref="T12:Y12">
    <cfRule type="expression" dxfId="1886" priority="52">
      <formula>T$9&gt;=20/24</formula>
    </cfRule>
    <cfRule type="expression" dxfId="1885" priority="53">
      <formula>AND(T$9&gt;=14/24,T$9&lt;20/24)</formula>
    </cfRule>
    <cfRule type="expression" dxfId="1884" priority="54">
      <formula>AND(T$9&gt;=8/24,T$9&lt;14/24)</formula>
    </cfRule>
    <cfRule type="expression" dxfId="1883" priority="55">
      <formula>T$9&lt;8/24</formula>
    </cfRule>
  </conditionalFormatting>
  <conditionalFormatting sqref="AB58:AE59">
    <cfRule type="expression" dxfId="1882" priority="48">
      <formula>AB$9&gt;=20/24</formula>
    </cfRule>
    <cfRule type="expression" dxfId="1881" priority="49">
      <formula>AND(AB$9&gt;=14/24,AB$9&lt;20/24)</formula>
    </cfRule>
    <cfRule type="expression" dxfId="1880" priority="50">
      <formula>AND(AB$9&gt;=8/24,AB$9&lt;14/24)</formula>
    </cfRule>
    <cfRule type="expression" dxfId="1879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78" priority="281">
      <formula>C$9&gt;=20/24</formula>
    </cfRule>
    <cfRule type="expression" dxfId="1877" priority="282">
      <formula>AND(C$9&gt;=14/24,C$9&lt;20/24)</formula>
    </cfRule>
    <cfRule type="expression" dxfId="1876" priority="283">
      <formula>AND(C$9&gt;=8/24,C$9&lt;14/24)</formula>
    </cfRule>
    <cfRule type="expression" dxfId="1875" priority="284">
      <formula>C$9&lt;8/24</formula>
    </cfRule>
  </conditionalFormatting>
  <conditionalFormatting sqref="A201">
    <cfRule type="expression" dxfId="1874" priority="285">
      <formula>$AH201=0</formula>
    </cfRule>
  </conditionalFormatting>
  <conditionalFormatting sqref="AG213">
    <cfRule type="expression" dxfId="1873" priority="286">
      <formula>B$9&gt;=20/24</formula>
    </cfRule>
    <cfRule type="expression" dxfId="1872" priority="287">
      <formula>AND(B$9&gt;=14/24,B$9&lt;20/24)</formula>
    </cfRule>
    <cfRule type="expression" dxfId="1871" priority="288">
      <formula>AND(B$9&gt;=8/24,B$9&lt;14/24)</formula>
    </cfRule>
    <cfRule type="expression" dxfId="1870" priority="289">
      <formula>B$9&lt;8/24</formula>
    </cfRule>
  </conditionalFormatting>
  <conditionalFormatting sqref="S8">
    <cfRule type="expression" dxfId="1869" priority="42">
      <formula>U$9&gt;=20/24</formula>
    </cfRule>
    <cfRule type="expression" dxfId="1868" priority="43">
      <formula>AND(U$9&gt;=14/24,U$9&lt;20/24)</formula>
    </cfRule>
    <cfRule type="expression" dxfId="1867" priority="44">
      <formula>AND(U$9&gt;=8/24,U$9&lt;14/24)</formula>
    </cfRule>
    <cfRule type="expression" dxfId="1866" priority="45">
      <formula>U$9&lt;8/24</formula>
    </cfRule>
  </conditionalFormatting>
  <conditionalFormatting sqref="AB8">
    <cfRule type="expression" dxfId="1865" priority="38">
      <formula>AD$9&gt;=20/24</formula>
    </cfRule>
    <cfRule type="expression" dxfId="1864" priority="39">
      <formula>AND(AD$9&gt;=14/24,AD$9&lt;20/24)</formula>
    </cfRule>
    <cfRule type="expression" dxfId="1863" priority="40">
      <formula>AND(AD$9&gt;=8/24,AD$9&lt;14/24)</formula>
    </cfRule>
    <cfRule type="expression" dxfId="1862" priority="41">
      <formula>AD$9&lt;8/24</formula>
    </cfRule>
  </conditionalFormatting>
  <conditionalFormatting sqref="AH213:AX213">
    <cfRule type="expression" dxfId="1861" priority="290">
      <formula>AG$9&gt;=20/24</formula>
    </cfRule>
    <cfRule type="expression" dxfId="1860" priority="291">
      <formula>AND(AG$9&gt;=14/24,AG$9&lt;20/24)</formula>
    </cfRule>
    <cfRule type="expression" dxfId="1859" priority="292">
      <formula>AND(AG$9&gt;=8/24,AG$9&lt;14/24)</formula>
    </cfRule>
    <cfRule type="expression" dxfId="1858" priority="293">
      <formula>AG$9&lt;8/24</formula>
    </cfRule>
  </conditionalFormatting>
  <conditionalFormatting sqref="T213">
    <cfRule type="expression" dxfId="1857" priority="294">
      <formula>AX$9&gt;=20/24</formula>
    </cfRule>
    <cfRule type="expression" dxfId="1856" priority="295">
      <formula>AND(AX$9&gt;=14/24,AX$9&lt;20/24)</formula>
    </cfRule>
    <cfRule type="expression" dxfId="1855" priority="296">
      <formula>AND(AX$9&gt;=8/24,AX$9&lt;14/24)</formula>
    </cfRule>
    <cfRule type="expression" dxfId="1854" priority="297">
      <formula>AX$9&lt;8/24</formula>
    </cfRule>
  </conditionalFormatting>
  <conditionalFormatting sqref="A99:A100">
    <cfRule type="expression" dxfId="1853" priority="37">
      <formula>$AH99=0</formula>
    </cfRule>
  </conditionalFormatting>
  <conditionalFormatting sqref="O33:Y33">
    <cfRule type="expression" dxfId="1852" priority="33">
      <formula>O$9&gt;=20/24</formula>
    </cfRule>
    <cfRule type="expression" dxfId="1851" priority="34">
      <formula>AND(O$9&gt;=14/24,O$9&lt;20/24)</formula>
    </cfRule>
    <cfRule type="expression" dxfId="1850" priority="35">
      <formula>AND(O$9&gt;=8/24,O$9&lt;14/24)</formula>
    </cfRule>
    <cfRule type="expression" dxfId="1849" priority="36">
      <formula>O$9&lt;8/24</formula>
    </cfRule>
  </conditionalFormatting>
  <conditionalFormatting sqref="Z33:AF33">
    <cfRule type="expression" dxfId="1848" priority="29">
      <formula>Z$9&gt;=20/24</formula>
    </cfRule>
    <cfRule type="expression" dxfId="1847" priority="30">
      <formula>AND(Z$9&gt;=14/24,Z$9&lt;20/24)</formula>
    </cfRule>
    <cfRule type="expression" dxfId="1846" priority="31">
      <formula>AND(Z$9&gt;=8/24,Z$9&lt;14/24)</formula>
    </cfRule>
    <cfRule type="expression" dxfId="1845" priority="32">
      <formula>Z$9&lt;8/24</formula>
    </cfRule>
  </conditionalFormatting>
  <conditionalFormatting sqref="B33:M33 O33:AF33">
    <cfRule type="expression" dxfId="1844" priority="24">
      <formula>B33&gt;$AG33</formula>
    </cfRule>
  </conditionalFormatting>
  <conditionalFormatting sqref="N33">
    <cfRule type="expression" dxfId="1843" priority="1">
      <formula>N33&gt;$AG33</formula>
    </cfRule>
  </conditionalFormatting>
  <conditionalFormatting sqref="N12:N14 N16:N32">
    <cfRule type="expression" dxfId="1842" priority="20">
      <formula>N$9&gt;=20/24</formula>
    </cfRule>
    <cfRule type="expression" dxfId="1841" priority="21">
      <formula>AND(N$9&gt;=14/24,N$9&lt;20/24)</formula>
    </cfRule>
    <cfRule type="expression" dxfId="1840" priority="22">
      <formula>AND(N$9&gt;=8/24,N$9&lt;14/24)</formula>
    </cfRule>
    <cfRule type="expression" dxfId="1839" priority="23">
      <formula>N$9&lt;8/24</formula>
    </cfRule>
  </conditionalFormatting>
  <conditionalFormatting sqref="N35">
    <cfRule type="expression" dxfId="1838" priority="16">
      <formula>N$9&gt;=20/24</formula>
    </cfRule>
    <cfRule type="expression" dxfId="1837" priority="17">
      <formula>AND(N$9&gt;=14/24,N$9&lt;20/24)</formula>
    </cfRule>
    <cfRule type="expression" dxfId="1836" priority="18">
      <formula>AND(N$9&gt;=8/24,N$9&lt;14/24)</formula>
    </cfRule>
    <cfRule type="expression" dxfId="1835" priority="19">
      <formula>N$9&lt;8/24</formula>
    </cfRule>
  </conditionalFormatting>
  <conditionalFormatting sqref="N12:N14 N16:N32 N34:N35">
    <cfRule type="expression" dxfId="1834" priority="15">
      <formula>N12&gt;$AG12</formula>
    </cfRule>
  </conditionalFormatting>
  <conditionalFormatting sqref="N34">
    <cfRule type="expression" dxfId="1833" priority="11">
      <formula>N$9&gt;=20/24</formula>
    </cfRule>
    <cfRule type="expression" dxfId="1832" priority="12">
      <formula>AND(N$9&gt;=14/24,N$9&lt;20/24)</formula>
    </cfRule>
    <cfRule type="expression" dxfId="1831" priority="13">
      <formula>AND(N$9&gt;=8/24,N$9&lt;14/24)</formula>
    </cfRule>
    <cfRule type="expression" dxfId="1830" priority="14">
      <formula>N$9&lt;8/24</formula>
    </cfRule>
  </conditionalFormatting>
  <conditionalFormatting sqref="N15">
    <cfRule type="expression" dxfId="1829" priority="7">
      <formula>N$9&gt;=20/24</formula>
    </cfRule>
    <cfRule type="expression" dxfId="1828" priority="8">
      <formula>AND(N$9&gt;=14/24,N$9&lt;20/24)</formula>
    </cfRule>
    <cfRule type="expression" dxfId="1827" priority="9">
      <formula>AND(N$9&gt;=8/24,N$9&lt;14/24)</formula>
    </cfRule>
    <cfRule type="expression" dxfId="1826" priority="10">
      <formula>N$9&lt;8/24</formula>
    </cfRule>
  </conditionalFormatting>
  <conditionalFormatting sqref="N15">
    <cfRule type="expression" dxfId="1825" priority="6">
      <formula>N15&gt;$AG15</formula>
    </cfRule>
  </conditionalFormatting>
  <conditionalFormatting sqref="N33">
    <cfRule type="expression" dxfId="1824" priority="2">
      <formula>N$9&gt;=20/24</formula>
    </cfRule>
    <cfRule type="expression" dxfId="1823" priority="3">
      <formula>AND(N$9&gt;=14/24,N$9&lt;20/24)</formula>
    </cfRule>
    <cfRule type="expression" dxfId="1822" priority="4">
      <formula>AND(N$9&gt;=8/24,N$9&lt;14/24)</formula>
    </cfRule>
    <cfRule type="expression" dxfId="1821" priority="5">
      <formula>N$9&lt;8/24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9FD8C89E-04D4-4F22-9AD5-2F3764A3E07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F58" sqref="AF58"/>
    </sheetView>
  </sheetViews>
  <sheetFormatPr defaultRowHeight="15" x14ac:dyDescent="0.25"/>
  <cols>
    <col min="1" max="1" width="32.85546875" bestFit="1" customWidth="1"/>
    <col min="2" max="2" width="8.2851562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4" width="6.42578125" bestFit="1" customWidth="1"/>
    <col min="15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2078/11/26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470.09999999999997</v>
      </c>
      <c r="C5" s="32">
        <f t="shared" si="0"/>
        <v>492.6</v>
      </c>
      <c r="D5" s="32">
        <f t="shared" si="0"/>
        <v>491.5</v>
      </c>
      <c r="E5" s="32">
        <f t="shared" si="0"/>
        <v>471.8</v>
      </c>
      <c r="F5" s="32">
        <f t="shared" si="0"/>
        <v>474.8</v>
      </c>
      <c r="G5" s="32">
        <f t="shared" si="0"/>
        <v>492.5</v>
      </c>
      <c r="H5" s="32">
        <f t="shared" si="0"/>
        <v>480.7</v>
      </c>
      <c r="I5" s="32">
        <f t="shared" si="0"/>
        <v>317.39999999999998</v>
      </c>
      <c r="J5" s="32">
        <f t="shared" si="0"/>
        <v>323.10000000000002</v>
      </c>
      <c r="K5" s="32">
        <f t="shared" si="0"/>
        <v>294</v>
      </c>
      <c r="L5" s="32">
        <f t="shared" si="0"/>
        <v>270.10000000000002</v>
      </c>
      <c r="M5" s="32">
        <f t="shared" si="0"/>
        <v>645.4</v>
      </c>
      <c r="N5" s="32">
        <f t="shared" si="0"/>
        <v>605.5</v>
      </c>
      <c r="O5" s="32">
        <f t="shared" si="0"/>
        <v>473.9</v>
      </c>
      <c r="P5" s="32">
        <f t="shared" si="0"/>
        <v>616</v>
      </c>
      <c r="Q5" s="32">
        <f t="shared" si="0"/>
        <v>557.1</v>
      </c>
      <c r="R5" s="32">
        <f t="shared" si="0"/>
        <v>583</v>
      </c>
      <c r="S5" s="32">
        <f t="shared" si="0"/>
        <v>617.6</v>
      </c>
      <c r="T5" s="32">
        <f t="shared" si="0"/>
        <v>590.6</v>
      </c>
      <c r="U5" s="32">
        <f t="shared" si="0"/>
        <v>197.1</v>
      </c>
      <c r="V5" s="32">
        <f t="shared" si="0"/>
        <v>414.80000000000007</v>
      </c>
      <c r="W5" s="32">
        <f t="shared" si="0"/>
        <v>294.2</v>
      </c>
      <c r="X5" s="32">
        <f t="shared" si="0"/>
        <v>316.2</v>
      </c>
      <c r="Y5" s="32">
        <f t="shared" si="0"/>
        <v>304.60000000000002</v>
      </c>
      <c r="Z5" s="32">
        <f t="shared" si="0"/>
        <v>298.3</v>
      </c>
      <c r="AA5" s="32">
        <f t="shared" si="0"/>
        <v>302.2</v>
      </c>
      <c r="AB5" s="32">
        <f t="shared" si="0"/>
        <v>321</v>
      </c>
      <c r="AC5" s="32">
        <f t="shared" si="0"/>
        <v>479</v>
      </c>
      <c r="AD5" s="32">
        <f t="shared" si="0"/>
        <v>395</v>
      </c>
      <c r="AE5" s="32">
        <f t="shared" si="0"/>
        <v>371</v>
      </c>
      <c r="AF5" s="32">
        <f>B68</f>
        <v>463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1446MW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Load=963</v>
      </c>
      <c r="B7" s="37">
        <f t="shared" ref="B7:AF7" si="1">B75</f>
        <v>973.44</v>
      </c>
      <c r="C7" s="37">
        <f t="shared" si="1"/>
        <v>970.54</v>
      </c>
      <c r="D7" s="37">
        <f t="shared" si="1"/>
        <v>984.64</v>
      </c>
      <c r="E7" s="37">
        <f t="shared" si="1"/>
        <v>982.84</v>
      </c>
      <c r="F7" s="37">
        <f t="shared" si="1"/>
        <v>975.94</v>
      </c>
      <c r="G7" s="37">
        <f t="shared" si="1"/>
        <v>962.93999999999994</v>
      </c>
      <c r="H7" s="37">
        <f t="shared" si="1"/>
        <v>1063.04</v>
      </c>
      <c r="I7" s="37">
        <f t="shared" si="1"/>
        <v>1157.3400000000001</v>
      </c>
      <c r="J7" s="37">
        <f t="shared" si="1"/>
        <v>1241.6400000000001</v>
      </c>
      <c r="K7" s="37">
        <f t="shared" si="1"/>
        <v>1404.04</v>
      </c>
      <c r="L7" s="37">
        <f t="shared" si="1"/>
        <v>1445.94</v>
      </c>
      <c r="M7" s="37">
        <f t="shared" si="1"/>
        <v>1359.94</v>
      </c>
      <c r="N7" s="37">
        <f t="shared" si="1"/>
        <v>1339.44</v>
      </c>
      <c r="O7" s="37">
        <f t="shared" si="1"/>
        <v>1301.44</v>
      </c>
      <c r="P7" s="37">
        <f t="shared" si="1"/>
        <v>1277.74</v>
      </c>
      <c r="Q7" s="37">
        <f t="shared" si="1"/>
        <v>1331.9399999999998</v>
      </c>
      <c r="R7" s="37">
        <f t="shared" si="1"/>
        <v>1235.3400000000001</v>
      </c>
      <c r="S7" s="37">
        <f t="shared" si="1"/>
        <v>1238.24</v>
      </c>
      <c r="T7" s="37">
        <f t="shared" si="1"/>
        <v>1252.74</v>
      </c>
      <c r="U7" s="37">
        <f t="shared" si="1"/>
        <v>1314.54</v>
      </c>
      <c r="V7" s="37">
        <f t="shared" si="1"/>
        <v>1177.04</v>
      </c>
      <c r="W7" s="37">
        <f t="shared" si="1"/>
        <v>1243.7400000000002</v>
      </c>
      <c r="X7" s="37">
        <f t="shared" si="1"/>
        <v>1316.8400000000001</v>
      </c>
      <c r="Y7" s="37">
        <f t="shared" si="1"/>
        <v>1516.94</v>
      </c>
      <c r="Z7" s="37">
        <f t="shared" si="1"/>
        <v>1533.0400000000002</v>
      </c>
      <c r="AA7" s="37">
        <f t="shared" si="1"/>
        <v>1436.94</v>
      </c>
      <c r="AB7" s="37">
        <f t="shared" si="1"/>
        <v>1329.14</v>
      </c>
      <c r="AC7" s="37">
        <f t="shared" si="1"/>
        <v>1273.94</v>
      </c>
      <c r="AD7" s="37">
        <f t="shared" si="1"/>
        <v>1237.8400000000001</v>
      </c>
      <c r="AE7" s="37">
        <f t="shared" si="1"/>
        <v>1085.94</v>
      </c>
      <c r="AF7" s="37">
        <f t="shared" si="1"/>
        <v>1012.3399999999999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30</v>
      </c>
      <c r="C11" s="49">
        <v>20</v>
      </c>
      <c r="D11" s="49">
        <v>12</v>
      </c>
      <c r="E11" s="49">
        <v>12</v>
      </c>
      <c r="F11" s="49">
        <v>12</v>
      </c>
      <c r="G11" s="49">
        <v>12</v>
      </c>
      <c r="H11" s="49">
        <v>12</v>
      </c>
      <c r="I11" s="49">
        <v>55</v>
      </c>
      <c r="J11" s="49">
        <v>215</v>
      </c>
      <c r="K11" s="49">
        <v>300</v>
      </c>
      <c r="L11" s="49">
        <v>310</v>
      </c>
      <c r="M11" s="50">
        <v>280</v>
      </c>
      <c r="N11" s="50">
        <v>30</v>
      </c>
      <c r="O11" s="50">
        <v>30</v>
      </c>
      <c r="P11" s="50">
        <v>140</v>
      </c>
      <c r="Q11" s="50">
        <v>25</v>
      </c>
      <c r="R11" s="51">
        <v>25</v>
      </c>
      <c r="S11" s="50">
        <v>25</v>
      </c>
      <c r="T11" s="50">
        <v>12</v>
      </c>
      <c r="U11" s="50">
        <v>70</v>
      </c>
      <c r="V11" s="50">
        <v>220</v>
      </c>
      <c r="W11" s="50">
        <v>100</v>
      </c>
      <c r="X11" s="50">
        <v>180</v>
      </c>
      <c r="Y11" s="50">
        <v>350</v>
      </c>
      <c r="Z11" s="52">
        <v>380</v>
      </c>
      <c r="AA11" s="52">
        <v>290</v>
      </c>
      <c r="AB11" s="50">
        <v>210</v>
      </c>
      <c r="AC11" s="50">
        <v>210</v>
      </c>
      <c r="AD11" s="50">
        <v>80</v>
      </c>
      <c r="AE11" s="50">
        <v>80</v>
      </c>
      <c r="AF11" s="50">
        <v>80</v>
      </c>
      <c r="AG11" s="53">
        <v>456</v>
      </c>
      <c r="AH11" s="54">
        <f>MAX(B11:AF11)</f>
        <v>380</v>
      </c>
      <c r="AI11" s="55">
        <f>MIN(B11:AF11)</f>
        <v>12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31</v>
      </c>
      <c r="C12" s="50">
        <v>31</v>
      </c>
      <c r="D12" s="50">
        <v>31</v>
      </c>
      <c r="E12" s="50">
        <v>31</v>
      </c>
      <c r="F12" s="50">
        <v>31</v>
      </c>
      <c r="G12" s="50">
        <v>31</v>
      </c>
      <c r="H12" s="50">
        <v>31</v>
      </c>
      <c r="I12" s="50">
        <v>31</v>
      </c>
      <c r="J12" s="50">
        <v>31</v>
      </c>
      <c r="K12" s="50">
        <v>31</v>
      </c>
      <c r="L12" s="50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16.899999999999999</v>
      </c>
      <c r="C13" s="49">
        <v>16.7</v>
      </c>
      <c r="D13" s="49">
        <v>16.8</v>
      </c>
      <c r="E13" s="49">
        <v>16.8</v>
      </c>
      <c r="F13" s="49">
        <v>16.8</v>
      </c>
      <c r="G13" s="49">
        <v>16.8</v>
      </c>
      <c r="H13" s="49">
        <v>16.8</v>
      </c>
      <c r="I13" s="49">
        <v>16.7</v>
      </c>
      <c r="J13" s="49">
        <v>16.7</v>
      </c>
      <c r="K13" s="49">
        <v>16.899999999999999</v>
      </c>
      <c r="L13" s="49">
        <v>16.899999999999999</v>
      </c>
      <c r="M13" s="50">
        <v>16.899999999999999</v>
      </c>
      <c r="N13" s="50">
        <v>16.899999999999999</v>
      </c>
      <c r="O13" s="50">
        <v>17.3</v>
      </c>
      <c r="P13" s="50">
        <v>16.899999999999999</v>
      </c>
      <c r="Q13" s="50">
        <v>16.899999999999999</v>
      </c>
      <c r="R13" s="50">
        <v>16.899999999999999</v>
      </c>
      <c r="S13" s="49">
        <v>16.899999999999999</v>
      </c>
      <c r="T13" s="49">
        <v>16.899999999999999</v>
      </c>
      <c r="U13" s="49">
        <v>16.899999999999999</v>
      </c>
      <c r="V13" s="49">
        <v>16.899999999999999</v>
      </c>
      <c r="W13" s="49">
        <v>16.899999999999999</v>
      </c>
      <c r="X13" s="49">
        <v>16.899999999999999</v>
      </c>
      <c r="Y13" s="49">
        <v>16.899999999999999</v>
      </c>
      <c r="Z13" s="50">
        <v>16.899999999999999</v>
      </c>
      <c r="AA13" s="50">
        <v>16.899999999999999</v>
      </c>
      <c r="AB13" s="50">
        <v>16.899999999999999</v>
      </c>
      <c r="AC13" s="50">
        <v>16.899999999999999</v>
      </c>
      <c r="AD13" s="50">
        <v>16.899999999999999</v>
      </c>
      <c r="AE13" s="50">
        <v>16.899999999999999</v>
      </c>
      <c r="AF13" s="50">
        <v>15.3</v>
      </c>
      <c r="AG13" s="59">
        <v>52.4</v>
      </c>
      <c r="AH13" s="54">
        <f t="shared" si="2"/>
        <v>17.3</v>
      </c>
      <c r="AI13" s="55">
        <f t="shared" si="3"/>
        <v>15.3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36.799999999999997</v>
      </c>
      <c r="C14" s="49">
        <v>36.700000000000003</v>
      </c>
      <c r="D14" s="49">
        <v>36.799999999999997</v>
      </c>
      <c r="E14" s="49">
        <v>36.299999999999997</v>
      </c>
      <c r="F14" s="49">
        <v>36.9</v>
      </c>
      <c r="G14" s="49">
        <v>36.9</v>
      </c>
      <c r="H14" s="49">
        <v>36.9</v>
      </c>
      <c r="I14" s="49">
        <v>35.4</v>
      </c>
      <c r="J14" s="49">
        <v>35.4</v>
      </c>
      <c r="K14" s="49">
        <v>36.1</v>
      </c>
      <c r="L14" s="49">
        <v>36.1</v>
      </c>
      <c r="M14" s="50">
        <v>36.1</v>
      </c>
      <c r="N14" s="50">
        <v>36.1</v>
      </c>
      <c r="O14" s="50">
        <v>34.6</v>
      </c>
      <c r="P14" s="50">
        <v>34.799999999999997</v>
      </c>
      <c r="Q14" s="50">
        <v>34.200000000000003</v>
      </c>
      <c r="R14" s="50">
        <v>34.200000000000003</v>
      </c>
      <c r="S14" s="50">
        <v>34.200000000000003</v>
      </c>
      <c r="T14" s="50">
        <v>34.200000000000003</v>
      </c>
      <c r="U14" s="50">
        <v>34.200000000000003</v>
      </c>
      <c r="V14" s="50">
        <v>34.200000000000003</v>
      </c>
      <c r="W14" s="50">
        <v>34.200000000000003</v>
      </c>
      <c r="X14" s="50">
        <v>34.200000000000003</v>
      </c>
      <c r="Y14" s="50">
        <v>34.200000000000003</v>
      </c>
      <c r="Z14" s="50">
        <v>34.200000000000003</v>
      </c>
      <c r="AA14" s="50">
        <v>34.200000000000003</v>
      </c>
      <c r="AB14" s="50">
        <v>34.200000000000003</v>
      </c>
      <c r="AC14" s="50">
        <v>34.200000000000003</v>
      </c>
      <c r="AD14" s="50">
        <v>34.200000000000003</v>
      </c>
      <c r="AE14" s="50">
        <v>34.200000000000003</v>
      </c>
      <c r="AF14" s="50">
        <v>34.200000000000003</v>
      </c>
      <c r="AG14" s="59">
        <v>50</v>
      </c>
      <c r="AH14" s="54">
        <f t="shared" si="2"/>
        <v>36.9</v>
      </c>
      <c r="AI14" s="55">
        <f t="shared" si="3"/>
        <v>34.200000000000003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23.1</v>
      </c>
      <c r="C15" s="61">
        <v>22.5</v>
      </c>
      <c r="D15" s="61">
        <v>22.6</v>
      </c>
      <c r="E15" s="61">
        <v>22.7</v>
      </c>
      <c r="F15" s="61">
        <v>22.5</v>
      </c>
      <c r="G15" s="61">
        <v>22.5</v>
      </c>
      <c r="H15" s="61">
        <v>22.5</v>
      </c>
      <c r="I15" s="61">
        <v>21.3</v>
      </c>
      <c r="J15" s="61">
        <v>21.3</v>
      </c>
      <c r="K15" s="61">
        <v>20.9</v>
      </c>
      <c r="L15" s="61">
        <v>20.8</v>
      </c>
      <c r="M15" s="50">
        <v>20.8</v>
      </c>
      <c r="N15" s="50">
        <v>20.8</v>
      </c>
      <c r="O15" s="50">
        <v>20</v>
      </c>
      <c r="P15" s="50">
        <v>20.7</v>
      </c>
      <c r="Q15" s="50">
        <v>20.100000000000001</v>
      </c>
      <c r="R15" s="50">
        <v>20.100000000000001</v>
      </c>
      <c r="S15" s="50">
        <v>20.100000000000001</v>
      </c>
      <c r="T15" s="50">
        <v>20.100000000000001</v>
      </c>
      <c r="U15" s="50">
        <v>20.100000000000001</v>
      </c>
      <c r="V15" s="50">
        <v>20.100000000000001</v>
      </c>
      <c r="W15" s="50">
        <v>20.100000000000001</v>
      </c>
      <c r="X15" s="50">
        <v>20.100000000000001</v>
      </c>
      <c r="Y15" s="50">
        <v>20.100000000000001</v>
      </c>
      <c r="Z15" s="50">
        <v>20.100000000000001</v>
      </c>
      <c r="AA15" s="50">
        <v>20.100000000000001</v>
      </c>
      <c r="AB15" s="50">
        <v>20.100000000000001</v>
      </c>
      <c r="AC15" s="50">
        <v>20.100000000000001</v>
      </c>
      <c r="AD15" s="50">
        <v>20.100000000000001</v>
      </c>
      <c r="AE15" s="50">
        <v>20.100000000000001</v>
      </c>
      <c r="AF15" s="50">
        <v>20.100000000000001</v>
      </c>
      <c r="AG15" s="62">
        <v>45</v>
      </c>
      <c r="AH15" s="54">
        <f t="shared" si="2"/>
        <v>23.1</v>
      </c>
      <c r="AI15" s="55">
        <f t="shared" si="3"/>
        <v>20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10.6</v>
      </c>
      <c r="C19" s="49">
        <v>11.7</v>
      </c>
      <c r="D19" s="49">
        <v>11.7</v>
      </c>
      <c r="E19" s="49">
        <v>10.8</v>
      </c>
      <c r="F19" s="49">
        <v>10.8</v>
      </c>
      <c r="G19" s="49">
        <v>11.3</v>
      </c>
      <c r="H19" s="49">
        <v>11</v>
      </c>
      <c r="I19" s="49">
        <v>10.3</v>
      </c>
      <c r="J19" s="49">
        <v>10.3</v>
      </c>
      <c r="K19" s="49">
        <v>9.6</v>
      </c>
      <c r="L19" s="49">
        <v>9.5</v>
      </c>
      <c r="M19" s="50">
        <v>9.5</v>
      </c>
      <c r="N19" s="50">
        <v>9.5</v>
      </c>
      <c r="O19" s="50">
        <v>9.5</v>
      </c>
      <c r="P19" s="50">
        <v>10.199999999999999</v>
      </c>
      <c r="Q19" s="50">
        <v>10.1</v>
      </c>
      <c r="R19" s="50">
        <v>10.1</v>
      </c>
      <c r="S19" s="50">
        <v>10.1</v>
      </c>
      <c r="T19" s="50">
        <v>10.1</v>
      </c>
      <c r="U19" s="50">
        <v>10.1</v>
      </c>
      <c r="V19" s="50">
        <v>10.1</v>
      </c>
      <c r="W19" s="50">
        <v>10.1</v>
      </c>
      <c r="X19" s="50">
        <v>10.1</v>
      </c>
      <c r="Y19" s="50">
        <v>10.1</v>
      </c>
      <c r="Z19" s="50">
        <v>10.1</v>
      </c>
      <c r="AA19" s="50">
        <v>10.1</v>
      </c>
      <c r="AB19" s="50">
        <v>10.1</v>
      </c>
      <c r="AC19" s="50">
        <v>10.1</v>
      </c>
      <c r="AD19" s="50">
        <v>10.1</v>
      </c>
      <c r="AE19" s="50">
        <v>10.1</v>
      </c>
      <c r="AF19" s="50">
        <v>10.7</v>
      </c>
      <c r="AG19" s="59">
        <v>30</v>
      </c>
      <c r="AH19" s="54">
        <f t="shared" si="2"/>
        <v>11.7</v>
      </c>
      <c r="AI19" s="55">
        <f t="shared" si="3"/>
        <v>9.5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10.3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10.3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11.9</v>
      </c>
      <c r="C22" s="49">
        <v>12</v>
      </c>
      <c r="D22" s="49">
        <v>12.1</v>
      </c>
      <c r="E22" s="49">
        <v>12.1</v>
      </c>
      <c r="F22" s="49">
        <v>12.2</v>
      </c>
      <c r="G22" s="49">
        <v>12.2</v>
      </c>
      <c r="H22" s="49">
        <v>12</v>
      </c>
      <c r="I22" s="49">
        <v>12</v>
      </c>
      <c r="J22" s="49">
        <v>12</v>
      </c>
      <c r="K22" s="49">
        <v>11.7</v>
      </c>
      <c r="L22" s="49">
        <v>11.7</v>
      </c>
      <c r="M22" s="50">
        <v>11.7</v>
      </c>
      <c r="N22" s="50">
        <v>11.7</v>
      </c>
      <c r="O22" s="50">
        <v>11.7</v>
      </c>
      <c r="P22" s="50">
        <v>11.4</v>
      </c>
      <c r="Q22" s="50">
        <v>12</v>
      </c>
      <c r="R22" s="50">
        <v>12</v>
      </c>
      <c r="S22" s="50">
        <v>12</v>
      </c>
      <c r="T22" s="50">
        <v>12</v>
      </c>
      <c r="U22" s="50">
        <v>12</v>
      </c>
      <c r="V22" s="50">
        <v>12</v>
      </c>
      <c r="W22" s="50">
        <v>12</v>
      </c>
      <c r="X22" s="50">
        <v>12</v>
      </c>
      <c r="Y22" s="50">
        <v>12</v>
      </c>
      <c r="Z22" s="50">
        <v>12</v>
      </c>
      <c r="AA22" s="50">
        <v>12</v>
      </c>
      <c r="AB22" s="50">
        <v>12</v>
      </c>
      <c r="AC22" s="50">
        <v>12</v>
      </c>
      <c r="AD22" s="50">
        <v>12</v>
      </c>
      <c r="AE22" s="50">
        <v>12</v>
      </c>
      <c r="AF22" s="50">
        <v>12</v>
      </c>
      <c r="AG22" s="59">
        <v>25</v>
      </c>
      <c r="AH22" s="54">
        <f t="shared" si="2"/>
        <v>12.2</v>
      </c>
      <c r="AI22" s="55">
        <f t="shared" si="3"/>
        <v>11.4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9.6999999999999993</v>
      </c>
      <c r="C24" s="49">
        <v>10</v>
      </c>
      <c r="D24" s="49">
        <v>9</v>
      </c>
      <c r="E24" s="49">
        <v>8.6999999999999993</v>
      </c>
      <c r="F24" s="49">
        <v>8.3000000000000007</v>
      </c>
      <c r="G24" s="49">
        <v>7.9</v>
      </c>
      <c r="H24" s="49">
        <v>7.7</v>
      </c>
      <c r="I24" s="49">
        <v>8.4</v>
      </c>
      <c r="J24" s="49">
        <v>8.3000000000000007</v>
      </c>
      <c r="K24" s="49">
        <v>8.1999999999999993</v>
      </c>
      <c r="L24" s="49">
        <v>8.1999999999999993</v>
      </c>
      <c r="M24" s="50">
        <v>8.1999999999999993</v>
      </c>
      <c r="N24" s="50">
        <v>8.1999999999999993</v>
      </c>
      <c r="O24" s="50">
        <v>8.1999999999999993</v>
      </c>
      <c r="P24" s="50">
        <v>8.1999999999999993</v>
      </c>
      <c r="Q24" s="50">
        <v>8.1999999999999993</v>
      </c>
      <c r="R24" s="50">
        <v>8.1999999999999993</v>
      </c>
      <c r="S24" s="50">
        <v>8.1999999999999993</v>
      </c>
      <c r="T24" s="50">
        <v>8.1999999999999993</v>
      </c>
      <c r="U24" s="50">
        <v>8.1999999999999993</v>
      </c>
      <c r="V24" s="50">
        <v>8.1999999999999993</v>
      </c>
      <c r="W24" s="50">
        <v>8.1999999999999993</v>
      </c>
      <c r="X24" s="50">
        <v>8.1999999999999993</v>
      </c>
      <c r="Y24" s="50">
        <v>8.1999999999999993</v>
      </c>
      <c r="Z24" s="50">
        <v>8.1999999999999993</v>
      </c>
      <c r="AA24" s="50">
        <v>8.1999999999999993</v>
      </c>
      <c r="AB24" s="50">
        <v>8.1999999999999993</v>
      </c>
      <c r="AC24" s="50">
        <v>8.1999999999999993</v>
      </c>
      <c r="AD24" s="50">
        <v>8.1999999999999993</v>
      </c>
      <c r="AE24" s="50">
        <v>8.1999999999999993</v>
      </c>
      <c r="AF24" s="50">
        <v>8.1999999999999993</v>
      </c>
      <c r="AG24" s="59">
        <v>25</v>
      </c>
      <c r="AH24" s="54">
        <f t="shared" si="2"/>
        <v>10</v>
      </c>
      <c r="AI24" s="55">
        <f t="shared" si="3"/>
        <v>7.7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130</v>
      </c>
      <c r="C36" s="61">
        <v>130</v>
      </c>
      <c r="D36" s="61">
        <v>130</v>
      </c>
      <c r="E36" s="61">
        <v>130</v>
      </c>
      <c r="F36" s="61">
        <v>130</v>
      </c>
      <c r="G36" s="61">
        <v>130</v>
      </c>
      <c r="H36" s="61">
        <v>130</v>
      </c>
      <c r="I36" s="61">
        <v>130</v>
      </c>
      <c r="J36" s="61">
        <v>130</v>
      </c>
      <c r="K36" s="61">
        <v>130</v>
      </c>
      <c r="L36" s="61">
        <v>130</v>
      </c>
      <c r="M36" s="61">
        <v>130</v>
      </c>
      <c r="N36" s="61">
        <v>130</v>
      </c>
      <c r="O36" s="61">
        <v>130</v>
      </c>
      <c r="P36" s="61">
        <v>130</v>
      </c>
      <c r="Q36" s="61">
        <v>130</v>
      </c>
      <c r="R36" s="61">
        <v>130</v>
      </c>
      <c r="S36" s="61">
        <v>130</v>
      </c>
      <c r="T36" s="61">
        <v>130</v>
      </c>
      <c r="U36" s="61">
        <v>130</v>
      </c>
      <c r="V36" s="61">
        <v>130</v>
      </c>
      <c r="W36" s="61">
        <v>130</v>
      </c>
      <c r="X36" s="61">
        <v>130</v>
      </c>
      <c r="Y36" s="61">
        <v>130</v>
      </c>
      <c r="Z36" s="61">
        <v>130</v>
      </c>
      <c r="AA36" s="61">
        <v>130</v>
      </c>
      <c r="AB36" s="61">
        <v>130</v>
      </c>
      <c r="AC36" s="61">
        <v>130</v>
      </c>
      <c r="AD36" s="61">
        <v>130</v>
      </c>
      <c r="AE36" s="61">
        <v>130</v>
      </c>
      <c r="AF36" s="61">
        <v>130</v>
      </c>
      <c r="AG36" s="67">
        <v>85</v>
      </c>
      <c r="AH36" s="54">
        <f t="shared" si="2"/>
        <v>130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61">
        <v>31.6</v>
      </c>
      <c r="C37" s="61">
        <v>32.200000000000003</v>
      </c>
      <c r="D37" s="61">
        <v>32.200000000000003</v>
      </c>
      <c r="E37" s="61">
        <v>36.4</v>
      </c>
      <c r="F37" s="61">
        <v>35.1</v>
      </c>
      <c r="G37" s="61">
        <v>35.799999999999997</v>
      </c>
      <c r="H37" s="61">
        <v>39.1</v>
      </c>
      <c r="I37" s="61">
        <v>36.6</v>
      </c>
      <c r="J37" s="61">
        <v>36</v>
      </c>
      <c r="K37" s="61">
        <v>35.799999999999997</v>
      </c>
      <c r="L37" s="61">
        <v>36.200000000000003</v>
      </c>
      <c r="M37" s="61">
        <v>34.4</v>
      </c>
      <c r="N37" s="70">
        <f>14+22.7</f>
        <v>36.700000000000003</v>
      </c>
      <c r="O37" s="70">
        <f>14.1+22.8</f>
        <v>36.9</v>
      </c>
      <c r="P37" s="70">
        <f>13.9+22.9</f>
        <v>36.799999999999997</v>
      </c>
      <c r="Q37" s="70">
        <f>13.5+23</f>
        <v>36.5</v>
      </c>
      <c r="R37" s="70">
        <f>12.9+22.1</f>
        <v>35</v>
      </c>
      <c r="S37" s="70">
        <f>13+22.4</f>
        <v>35.4</v>
      </c>
      <c r="T37" s="70">
        <v>33.6</v>
      </c>
      <c r="U37" s="70"/>
      <c r="V37" s="70">
        <v>32.299999999999997</v>
      </c>
      <c r="W37" s="70">
        <v>31.7</v>
      </c>
      <c r="X37" s="70">
        <v>29.9</v>
      </c>
      <c r="Y37" s="70">
        <v>27.2</v>
      </c>
      <c r="Z37" s="70">
        <v>27.2</v>
      </c>
      <c r="AA37" s="70">
        <v>27.6</v>
      </c>
      <c r="AB37" s="70">
        <f>10.8+18</f>
        <v>28.8</v>
      </c>
      <c r="AC37" s="70">
        <f>10.8+18</f>
        <v>28.8</v>
      </c>
      <c r="AD37" s="70">
        <f>10.8+18</f>
        <v>28.8</v>
      </c>
      <c r="AE37" s="70">
        <f>10.8+18</f>
        <v>28.8</v>
      </c>
      <c r="AF37" s="70">
        <v>24</v>
      </c>
      <c r="AG37" s="67">
        <v>240</v>
      </c>
      <c r="AH37" s="54">
        <f t="shared" si="2"/>
        <v>39.1</v>
      </c>
      <c r="AI37" s="55">
        <f t="shared" si="3"/>
        <v>24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384.2</v>
      </c>
      <c r="C38" s="72">
        <f t="shared" ref="C38:AF38" si="5">SUM(C11:C36)</f>
        <v>374.79999999999995</v>
      </c>
      <c r="D38" s="72">
        <f t="shared" si="5"/>
        <v>366.19999999999993</v>
      </c>
      <c r="E38" s="72">
        <f t="shared" si="5"/>
        <v>364.6</v>
      </c>
      <c r="F38" s="72">
        <f t="shared" si="5"/>
        <v>364.7</v>
      </c>
      <c r="G38" s="72">
        <f t="shared" si="5"/>
        <v>364.79999999999995</v>
      </c>
      <c r="H38" s="72">
        <f t="shared" si="5"/>
        <v>364.09999999999997</v>
      </c>
      <c r="I38" s="72">
        <f t="shared" si="5"/>
        <v>404.6</v>
      </c>
      <c r="J38" s="72">
        <f t="shared" si="5"/>
        <v>564.20000000000005</v>
      </c>
      <c r="K38" s="72">
        <f t="shared" si="5"/>
        <v>648.6</v>
      </c>
      <c r="L38" s="72">
        <f t="shared" si="5"/>
        <v>658.40000000000009</v>
      </c>
      <c r="M38" s="72">
        <f t="shared" si="5"/>
        <v>628.4</v>
      </c>
      <c r="N38" s="72">
        <f t="shared" si="5"/>
        <v>378.4</v>
      </c>
      <c r="O38" s="72">
        <f t="shared" si="5"/>
        <v>376.5</v>
      </c>
      <c r="P38" s="72">
        <f t="shared" si="5"/>
        <v>487.39999999999992</v>
      </c>
      <c r="Q38" s="72">
        <f t="shared" si="5"/>
        <v>371.7</v>
      </c>
      <c r="R38" s="72">
        <f t="shared" si="5"/>
        <v>371.7</v>
      </c>
      <c r="S38" s="72">
        <f t="shared" si="5"/>
        <v>371.7</v>
      </c>
      <c r="T38" s="72">
        <f t="shared" si="5"/>
        <v>358.69999999999993</v>
      </c>
      <c r="U38" s="72">
        <f t="shared" si="5"/>
        <v>416.7</v>
      </c>
      <c r="V38" s="72">
        <f t="shared" si="5"/>
        <v>566.70000000000005</v>
      </c>
      <c r="W38" s="72">
        <f t="shared" si="5"/>
        <v>446.7</v>
      </c>
      <c r="X38" s="72">
        <f t="shared" si="5"/>
        <v>526.70000000000005</v>
      </c>
      <c r="Y38" s="72">
        <f t="shared" si="5"/>
        <v>696.70000000000016</v>
      </c>
      <c r="Z38" s="72">
        <f t="shared" si="5"/>
        <v>726.7</v>
      </c>
      <c r="AA38" s="72">
        <f t="shared" si="5"/>
        <v>636.70000000000005</v>
      </c>
      <c r="AB38" s="72">
        <f t="shared" si="5"/>
        <v>556.70000000000005</v>
      </c>
      <c r="AC38" s="72">
        <f t="shared" si="5"/>
        <v>556.70000000000005</v>
      </c>
      <c r="AD38" s="72">
        <f t="shared" si="5"/>
        <v>426.7</v>
      </c>
      <c r="AE38" s="72">
        <f t="shared" si="5"/>
        <v>426.7</v>
      </c>
      <c r="AF38" s="72">
        <f t="shared" si="5"/>
        <v>425.69999999999993</v>
      </c>
      <c r="AG38" s="67">
        <f>SUM(AG11:AG37)</f>
        <v>1492.8299999999997</v>
      </c>
      <c r="AH38" s="54">
        <f t="shared" si="2"/>
        <v>726.7</v>
      </c>
      <c r="AI38" s="55">
        <f t="shared" si="3"/>
        <v>358.69999999999993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61">
        <v>40.5</v>
      </c>
      <c r="I39" s="61">
        <v>98.2</v>
      </c>
      <c r="J39" s="61">
        <v>144.19999999999999</v>
      </c>
      <c r="K39" s="61">
        <v>146.30000000000001</v>
      </c>
      <c r="L39" s="61">
        <v>144.19999999999999</v>
      </c>
      <c r="M39" s="61">
        <v>131.69999999999999</v>
      </c>
      <c r="N39" s="50">
        <v>81.2</v>
      </c>
      <c r="O39" s="50">
        <v>81.099999999999994</v>
      </c>
      <c r="P39" s="50">
        <v>80.8</v>
      </c>
      <c r="Q39" s="50">
        <v>81.2</v>
      </c>
      <c r="R39" s="50">
        <v>81.2</v>
      </c>
      <c r="S39" s="50">
        <v>91.3</v>
      </c>
      <c r="T39" s="50">
        <v>91.3</v>
      </c>
      <c r="U39" s="50">
        <v>91.3</v>
      </c>
      <c r="V39" s="50">
        <v>135</v>
      </c>
      <c r="W39" s="50">
        <v>121</v>
      </c>
      <c r="X39" s="50">
        <v>144</v>
      </c>
      <c r="Y39" s="50">
        <v>144</v>
      </c>
      <c r="Z39" s="50">
        <v>144</v>
      </c>
      <c r="AA39" s="50">
        <v>144</v>
      </c>
      <c r="AB39" s="50">
        <v>144.69999999999999</v>
      </c>
      <c r="AC39" s="50">
        <v>135</v>
      </c>
      <c r="AD39" s="50">
        <v>110</v>
      </c>
      <c r="AE39" s="50">
        <v>81</v>
      </c>
      <c r="AF39" s="49">
        <v>34</v>
      </c>
      <c r="AG39" s="62">
        <v>144</v>
      </c>
      <c r="AH39" s="54">
        <f t="shared" si="2"/>
        <v>146.30000000000001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35.6</v>
      </c>
      <c r="I40" s="61">
        <v>35.700000000000003</v>
      </c>
      <c r="J40" s="61">
        <v>35</v>
      </c>
      <c r="K40" s="61">
        <v>71.599999999999994</v>
      </c>
      <c r="L40" s="61">
        <v>71.599999999999994</v>
      </c>
      <c r="M40" s="61">
        <v>59.8</v>
      </c>
      <c r="N40" s="73">
        <v>43.5</v>
      </c>
      <c r="O40" s="73">
        <v>51</v>
      </c>
      <c r="P40" s="73">
        <v>60.6</v>
      </c>
      <c r="Q40" s="73">
        <v>50</v>
      </c>
      <c r="R40" s="73">
        <v>55.5</v>
      </c>
      <c r="S40" s="73">
        <v>45.3</v>
      </c>
      <c r="T40" s="73">
        <v>22.8</v>
      </c>
      <c r="U40" s="73">
        <v>22.8</v>
      </c>
      <c r="V40" s="73">
        <v>22.8</v>
      </c>
      <c r="W40" s="73">
        <v>50.8</v>
      </c>
      <c r="X40" s="73">
        <v>69.599999999999994</v>
      </c>
      <c r="Y40" s="73">
        <v>69.599999999999994</v>
      </c>
      <c r="Z40" s="73">
        <v>69.599999999999994</v>
      </c>
      <c r="AA40" s="73">
        <v>69.599999999999994</v>
      </c>
      <c r="AB40" s="73">
        <v>67.5</v>
      </c>
      <c r="AC40" s="73">
        <v>34</v>
      </c>
      <c r="AD40" s="73">
        <v>34</v>
      </c>
      <c r="AE40" s="73">
        <v>25</v>
      </c>
      <c r="AF40" s="61">
        <v>25</v>
      </c>
      <c r="AG40" s="67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33.799999999999997</v>
      </c>
      <c r="C41" s="61">
        <v>33</v>
      </c>
      <c r="D41" s="61">
        <v>33.200000000000003</v>
      </c>
      <c r="E41" s="61">
        <v>34.1</v>
      </c>
      <c r="F41" s="61">
        <v>46.8</v>
      </c>
      <c r="G41" s="61">
        <v>22.2</v>
      </c>
      <c r="H41" s="61">
        <v>21.9</v>
      </c>
      <c r="I41" s="61">
        <v>35.799999999999997</v>
      </c>
      <c r="J41" s="61">
        <v>50</v>
      </c>
      <c r="K41" s="61">
        <v>67.900000000000006</v>
      </c>
      <c r="L41" s="61">
        <v>70</v>
      </c>
      <c r="M41" s="61">
        <v>50</v>
      </c>
      <c r="N41" s="73">
        <v>49.5</v>
      </c>
      <c r="O41" s="73">
        <v>49.9</v>
      </c>
      <c r="P41" s="73">
        <v>46.2</v>
      </c>
      <c r="Q41" s="73">
        <v>20.399999999999999</v>
      </c>
      <c r="R41" s="73">
        <v>23.3</v>
      </c>
      <c r="S41" s="73">
        <v>23.5</v>
      </c>
      <c r="T41" s="73">
        <v>23.5</v>
      </c>
      <c r="U41" s="73">
        <v>23.5</v>
      </c>
      <c r="V41" s="73">
        <v>36.5</v>
      </c>
      <c r="W41" s="73">
        <v>36.5</v>
      </c>
      <c r="X41" s="73">
        <v>69</v>
      </c>
      <c r="Y41" s="73">
        <v>69</v>
      </c>
      <c r="Z41" s="73">
        <v>69</v>
      </c>
      <c r="AA41" s="73">
        <v>69</v>
      </c>
      <c r="AB41" s="73">
        <v>67.900000000000006</v>
      </c>
      <c r="AC41" s="73">
        <v>63</v>
      </c>
      <c r="AD41" s="73">
        <v>53</v>
      </c>
      <c r="AE41" s="73">
        <v>56</v>
      </c>
      <c r="AF41" s="61">
        <v>56</v>
      </c>
      <c r="AG41" s="67">
        <v>69</v>
      </c>
      <c r="AH41" s="54">
        <f t="shared" si="2"/>
        <v>70</v>
      </c>
      <c r="AI41" s="55">
        <f t="shared" si="3"/>
        <v>20.399999999999999</v>
      </c>
      <c r="AK41" s="56"/>
    </row>
    <row r="42" spans="1:88" x14ac:dyDescent="0.25">
      <c r="A42" s="66" t="s">
        <v>50</v>
      </c>
      <c r="B42" s="61">
        <v>48.1</v>
      </c>
      <c r="C42" s="61">
        <v>48.3</v>
      </c>
      <c r="D42" s="61">
        <v>48.3</v>
      </c>
      <c r="E42" s="61">
        <v>48.3</v>
      </c>
      <c r="F42" s="61">
        <v>48.3</v>
      </c>
      <c r="G42" s="61">
        <v>48.1</v>
      </c>
      <c r="H42" s="61">
        <v>50.4</v>
      </c>
      <c r="I42" s="61">
        <v>50.4</v>
      </c>
      <c r="J42" s="61">
        <v>50.4</v>
      </c>
      <c r="K42" s="61">
        <v>50.2</v>
      </c>
      <c r="L42" s="61">
        <v>48.1</v>
      </c>
      <c r="M42" s="61">
        <v>48.3</v>
      </c>
      <c r="N42" s="73">
        <v>46.4</v>
      </c>
      <c r="O42" s="73">
        <v>47.6</v>
      </c>
      <c r="P42" s="73">
        <v>48.1</v>
      </c>
      <c r="Q42" s="73">
        <v>47.8</v>
      </c>
      <c r="R42" s="73">
        <v>46.4</v>
      </c>
      <c r="S42" s="73">
        <v>46.9</v>
      </c>
      <c r="T42" s="73">
        <v>44.3</v>
      </c>
      <c r="U42" s="73">
        <v>44.3</v>
      </c>
      <c r="V42" s="73">
        <v>44.3</v>
      </c>
      <c r="W42" s="73">
        <v>47.7</v>
      </c>
      <c r="X42" s="73">
        <v>47</v>
      </c>
      <c r="Y42" s="73">
        <v>47</v>
      </c>
      <c r="Z42" s="73">
        <v>47</v>
      </c>
      <c r="AA42" s="73">
        <v>47</v>
      </c>
      <c r="AB42" s="73">
        <v>44.3</v>
      </c>
      <c r="AC42" s="73">
        <v>44.3</v>
      </c>
      <c r="AD42" s="73">
        <v>46.3</v>
      </c>
      <c r="AE42" s="73">
        <v>46.3</v>
      </c>
      <c r="AF42" s="61">
        <v>46.3</v>
      </c>
      <c r="AG42" s="67">
        <v>60</v>
      </c>
      <c r="AH42" s="54">
        <f t="shared" si="2"/>
        <v>50.4</v>
      </c>
      <c r="AI42" s="55">
        <f t="shared" si="3"/>
        <v>44.3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8.6999999999999993</v>
      </c>
      <c r="H43" s="61">
        <v>13.7</v>
      </c>
      <c r="I43" s="61">
        <v>7.6</v>
      </c>
      <c r="J43" s="61">
        <v>15</v>
      </c>
      <c r="K43" s="61">
        <v>15</v>
      </c>
      <c r="L43" s="61">
        <v>15</v>
      </c>
      <c r="M43" s="61">
        <v>28</v>
      </c>
      <c r="N43" s="50">
        <v>9</v>
      </c>
      <c r="O43" s="50">
        <v>9</v>
      </c>
      <c r="P43" s="50">
        <v>9.5</v>
      </c>
      <c r="Q43" s="50">
        <v>9.1999999999999993</v>
      </c>
      <c r="R43" s="50">
        <v>9.1999999999999993</v>
      </c>
      <c r="S43" s="50">
        <v>0</v>
      </c>
      <c r="T43" s="50">
        <v>0</v>
      </c>
      <c r="U43" s="50">
        <v>0</v>
      </c>
      <c r="V43" s="50">
        <v>15</v>
      </c>
      <c r="W43" s="50">
        <v>17.100000000000001</v>
      </c>
      <c r="X43" s="50">
        <v>22</v>
      </c>
      <c r="Y43" s="50">
        <v>30</v>
      </c>
      <c r="Z43" s="73">
        <v>30</v>
      </c>
      <c r="AA43" s="73">
        <v>30</v>
      </c>
      <c r="AB43" s="73">
        <v>11</v>
      </c>
      <c r="AC43" s="73">
        <v>11</v>
      </c>
      <c r="AD43" s="73">
        <v>0</v>
      </c>
      <c r="AE43" s="73">
        <v>11.6</v>
      </c>
      <c r="AF43" s="61">
        <v>10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185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13</v>
      </c>
      <c r="C45" s="50">
        <v>13</v>
      </c>
      <c r="D45" s="50">
        <v>13</v>
      </c>
      <c r="E45" s="50">
        <v>13</v>
      </c>
      <c r="F45" s="50">
        <v>13</v>
      </c>
      <c r="G45" s="50">
        <v>13</v>
      </c>
      <c r="H45" s="50">
        <v>13</v>
      </c>
      <c r="I45" s="50">
        <v>13</v>
      </c>
      <c r="J45" s="50">
        <v>13</v>
      </c>
      <c r="K45" s="50">
        <v>13</v>
      </c>
      <c r="L45" s="50">
        <v>13</v>
      </c>
      <c r="M45" s="50">
        <v>13</v>
      </c>
      <c r="N45" s="61">
        <v>13</v>
      </c>
      <c r="O45" s="61">
        <v>13</v>
      </c>
      <c r="P45" s="61">
        <v>13</v>
      </c>
      <c r="Q45" s="61">
        <v>13</v>
      </c>
      <c r="R45" s="61">
        <v>13</v>
      </c>
      <c r="S45" s="61">
        <v>13</v>
      </c>
      <c r="T45" s="61">
        <v>13</v>
      </c>
      <c r="U45" s="61">
        <v>13</v>
      </c>
      <c r="V45" s="61">
        <v>13</v>
      </c>
      <c r="W45" s="61">
        <v>13</v>
      </c>
      <c r="X45" s="61">
        <v>13</v>
      </c>
      <c r="Y45" s="61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50">
        <v>5.5</v>
      </c>
      <c r="C46" s="50">
        <v>5.5</v>
      </c>
      <c r="D46" s="50">
        <v>5.5</v>
      </c>
      <c r="E46" s="50">
        <v>5.5</v>
      </c>
      <c r="F46" s="50">
        <v>5.5</v>
      </c>
      <c r="G46" s="50">
        <v>5.5</v>
      </c>
      <c r="H46" s="50">
        <v>5.5</v>
      </c>
      <c r="I46" s="50">
        <v>5.5</v>
      </c>
      <c r="J46" s="50">
        <v>5.5</v>
      </c>
      <c r="K46" s="50">
        <v>5.5</v>
      </c>
      <c r="L46" s="50">
        <v>5.5</v>
      </c>
      <c r="M46" s="50">
        <v>5.5</v>
      </c>
      <c r="N46" s="50">
        <v>5.5</v>
      </c>
      <c r="O46" s="50">
        <v>5.5</v>
      </c>
      <c r="P46" s="50">
        <v>5.5</v>
      </c>
      <c r="Q46" s="50">
        <v>5.5</v>
      </c>
      <c r="R46" s="50">
        <v>5.5</v>
      </c>
      <c r="S46" s="50">
        <v>5.5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10</v>
      </c>
      <c r="H47" s="50">
        <v>10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4.8</v>
      </c>
      <c r="C49" s="50">
        <v>4.8</v>
      </c>
      <c r="D49" s="50">
        <v>4.8</v>
      </c>
      <c r="E49" s="50">
        <v>4.8</v>
      </c>
      <c r="F49" s="50">
        <v>4.8</v>
      </c>
      <c r="G49" s="50">
        <v>4.8</v>
      </c>
      <c r="H49" s="50">
        <v>4.8</v>
      </c>
      <c r="I49" s="50">
        <v>4.8</v>
      </c>
      <c r="J49" s="50">
        <v>4.8</v>
      </c>
      <c r="K49" s="50">
        <v>4.8</v>
      </c>
      <c r="L49" s="50">
        <v>4.8</v>
      </c>
      <c r="M49" s="50">
        <v>4.8</v>
      </c>
      <c r="N49" s="50">
        <v>4.8</v>
      </c>
      <c r="O49" s="50">
        <v>4.8</v>
      </c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B200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U200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126.24000000000001</v>
      </c>
      <c r="C52" s="72">
        <f t="shared" ref="C52:AF52" si="9">SUM(C39:C51)</f>
        <v>125.64</v>
      </c>
      <c r="D52" s="72">
        <f t="shared" si="9"/>
        <v>125.84</v>
      </c>
      <c r="E52" s="72">
        <f t="shared" si="9"/>
        <v>126.74000000000001</v>
      </c>
      <c r="F52" s="72">
        <f t="shared" si="9"/>
        <v>139.44</v>
      </c>
      <c r="G52" s="72">
        <f t="shared" si="9"/>
        <v>123.34</v>
      </c>
      <c r="H52" s="72">
        <f t="shared" si="9"/>
        <v>206.44</v>
      </c>
      <c r="I52" s="72">
        <f t="shared" si="9"/>
        <v>272.04000000000002</v>
      </c>
      <c r="J52" s="72">
        <f t="shared" si="9"/>
        <v>338.94</v>
      </c>
      <c r="K52" s="72">
        <f t="shared" si="9"/>
        <v>395.34000000000003</v>
      </c>
      <c r="L52" s="72">
        <f t="shared" si="9"/>
        <v>393.24</v>
      </c>
      <c r="M52" s="72">
        <f t="shared" si="9"/>
        <v>362.14000000000004</v>
      </c>
      <c r="N52" s="72">
        <f t="shared" si="9"/>
        <v>273.94000000000005</v>
      </c>
      <c r="O52" s="72">
        <f t="shared" si="9"/>
        <v>282.94000000000005</v>
      </c>
      <c r="P52" s="72">
        <f t="shared" si="9"/>
        <v>289.54000000000008</v>
      </c>
      <c r="Q52" s="72">
        <f t="shared" si="9"/>
        <v>252.93999999999997</v>
      </c>
      <c r="R52" s="72">
        <f t="shared" si="9"/>
        <v>259.94</v>
      </c>
      <c r="S52" s="72">
        <f t="shared" si="9"/>
        <v>251.34</v>
      </c>
      <c r="T52" s="72">
        <f t="shared" si="9"/>
        <v>226.23999999999998</v>
      </c>
      <c r="U52" s="72">
        <f t="shared" si="9"/>
        <v>226.23999999999998</v>
      </c>
      <c r="V52" s="72">
        <f t="shared" si="9"/>
        <v>297.94000000000005</v>
      </c>
      <c r="W52" s="72">
        <f t="shared" si="9"/>
        <v>317.44000000000005</v>
      </c>
      <c r="X52" s="72">
        <f t="shared" si="9"/>
        <v>395.94000000000005</v>
      </c>
      <c r="Y52" s="72">
        <f t="shared" si="9"/>
        <v>403.94000000000005</v>
      </c>
      <c r="Z52" s="72">
        <f t="shared" si="9"/>
        <v>403.94000000000005</v>
      </c>
      <c r="AA52" s="72">
        <f t="shared" si="9"/>
        <v>403.94000000000005</v>
      </c>
      <c r="AB52" s="72">
        <f t="shared" si="9"/>
        <v>379.74000000000007</v>
      </c>
      <c r="AC52" s="72">
        <f t="shared" si="9"/>
        <v>331.64000000000004</v>
      </c>
      <c r="AD52" s="72">
        <f t="shared" si="9"/>
        <v>287.64000000000004</v>
      </c>
      <c r="AE52" s="72">
        <f t="shared" si="9"/>
        <v>264.24</v>
      </c>
      <c r="AF52" s="72">
        <f t="shared" si="9"/>
        <v>215.64000000000001</v>
      </c>
      <c r="AG52" s="78">
        <f>SUM(AG39:AG51)</f>
        <v>489.91</v>
      </c>
      <c r="AH52" s="54">
        <f t="shared" si="2"/>
        <v>403.94000000000005</v>
      </c>
      <c r="AI52" s="55">
        <f t="shared" si="3"/>
        <v>123.34</v>
      </c>
      <c r="AK52" s="56"/>
    </row>
    <row r="53" spans="1:37" x14ac:dyDescent="0.25">
      <c r="A53" s="57" t="s">
        <v>61</v>
      </c>
      <c r="B53" s="50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14</v>
      </c>
      <c r="K53" s="61">
        <v>25</v>
      </c>
      <c r="L53" s="61">
        <v>60</v>
      </c>
      <c r="M53" s="79">
        <v>60</v>
      </c>
      <c r="N53" s="79">
        <v>25.3</v>
      </c>
      <c r="O53" s="79">
        <v>20</v>
      </c>
      <c r="P53" s="79">
        <v>13.9</v>
      </c>
      <c r="Q53" s="50">
        <v>13.8</v>
      </c>
      <c r="R53" s="50">
        <v>25.7</v>
      </c>
      <c r="S53" s="50">
        <v>20.2</v>
      </c>
      <c r="T53" s="50">
        <v>30.1</v>
      </c>
      <c r="U53" s="50">
        <v>50</v>
      </c>
      <c r="V53" s="50">
        <v>50.4</v>
      </c>
      <c r="W53" s="50">
        <v>40</v>
      </c>
      <c r="X53" s="50">
        <v>60</v>
      </c>
      <c r="Y53" s="50">
        <v>60</v>
      </c>
      <c r="Z53" s="50">
        <v>60</v>
      </c>
      <c r="AA53" s="50">
        <v>60</v>
      </c>
      <c r="AB53" s="50">
        <v>59.6</v>
      </c>
      <c r="AC53" s="50">
        <v>40</v>
      </c>
      <c r="AD53" s="50">
        <v>20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5.2</v>
      </c>
      <c r="K54" s="61">
        <v>8.8000000000000007</v>
      </c>
      <c r="L54" s="61">
        <v>29.5</v>
      </c>
      <c r="M54" s="79">
        <v>28.8</v>
      </c>
      <c r="N54" s="79">
        <v>12</v>
      </c>
      <c r="O54" s="79">
        <v>12.1</v>
      </c>
      <c r="P54" s="79">
        <v>9.5</v>
      </c>
      <c r="Q54" s="73">
        <v>12.8</v>
      </c>
      <c r="R54" s="73">
        <v>15.3</v>
      </c>
      <c r="S54" s="50">
        <v>8.8000000000000007</v>
      </c>
      <c r="T54" s="50">
        <v>14.7</v>
      </c>
      <c r="U54" s="50">
        <v>23</v>
      </c>
      <c r="V54" s="73">
        <v>24.1</v>
      </c>
      <c r="W54" s="73">
        <v>18.2</v>
      </c>
      <c r="X54" s="73">
        <v>29</v>
      </c>
      <c r="Y54" s="73">
        <v>29.4</v>
      </c>
      <c r="Z54" s="73">
        <v>27.7</v>
      </c>
      <c r="AA54" s="73">
        <v>28</v>
      </c>
      <c r="AB54" s="73">
        <v>29.2</v>
      </c>
      <c r="AC54" s="73">
        <v>18</v>
      </c>
      <c r="AD54" s="73">
        <v>18</v>
      </c>
      <c r="AE54" s="73">
        <v>0</v>
      </c>
      <c r="AF54" s="73">
        <v>0</v>
      </c>
      <c r="AG54" s="67">
        <v>32</v>
      </c>
      <c r="AH54" s="54">
        <f t="shared" si="2"/>
        <v>29.5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74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1.9</v>
      </c>
      <c r="K55" s="74">
        <v>3.2</v>
      </c>
      <c r="L55" s="74">
        <v>10.8</v>
      </c>
      <c r="M55" s="81">
        <v>10.5</v>
      </c>
      <c r="N55" s="81">
        <v>4.4000000000000004</v>
      </c>
      <c r="O55" s="81">
        <v>4.4000000000000004</v>
      </c>
      <c r="P55" s="81">
        <v>3.5</v>
      </c>
      <c r="Q55" s="80">
        <v>4.7</v>
      </c>
      <c r="R55" s="80">
        <v>5.6</v>
      </c>
      <c r="S55" s="50">
        <v>3.2</v>
      </c>
      <c r="T55" s="50">
        <v>5.4</v>
      </c>
      <c r="U55" s="50">
        <v>8</v>
      </c>
      <c r="V55" s="80">
        <v>8.8000000000000007</v>
      </c>
      <c r="W55" s="80">
        <v>6.6</v>
      </c>
      <c r="X55" s="80">
        <v>11</v>
      </c>
      <c r="Y55" s="80">
        <v>10.7</v>
      </c>
      <c r="Z55" s="80">
        <v>10.1</v>
      </c>
      <c r="AA55" s="80">
        <v>10</v>
      </c>
      <c r="AB55" s="80">
        <v>1.7</v>
      </c>
      <c r="AC55" s="80">
        <v>6.6</v>
      </c>
      <c r="AD55" s="80">
        <v>6.5</v>
      </c>
      <c r="AE55" s="80">
        <v>0</v>
      </c>
      <c r="AF55" s="80">
        <v>0</v>
      </c>
      <c r="AG55" s="82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0</v>
      </c>
      <c r="H56" s="72">
        <f t="shared" si="11"/>
        <v>0</v>
      </c>
      <c r="I56" s="72">
        <f t="shared" si="11"/>
        <v>0</v>
      </c>
      <c r="J56" s="72">
        <f t="shared" si="11"/>
        <v>21.099999999999998</v>
      </c>
      <c r="K56" s="72">
        <f t="shared" si="11"/>
        <v>37</v>
      </c>
      <c r="L56" s="72">
        <f t="shared" si="11"/>
        <v>100.3</v>
      </c>
      <c r="M56" s="72">
        <f t="shared" si="11"/>
        <v>99.3</v>
      </c>
      <c r="N56" s="72">
        <f t="shared" si="11"/>
        <v>41.699999999999996</v>
      </c>
      <c r="O56" s="72">
        <f t="shared" si="11"/>
        <v>36.5</v>
      </c>
      <c r="P56" s="72">
        <f t="shared" si="11"/>
        <v>26.9</v>
      </c>
      <c r="Q56" s="72">
        <f t="shared" si="11"/>
        <v>31.3</v>
      </c>
      <c r="R56" s="72">
        <f t="shared" si="11"/>
        <v>46.6</v>
      </c>
      <c r="S56" s="72">
        <f t="shared" si="11"/>
        <v>32.200000000000003</v>
      </c>
      <c r="T56" s="72">
        <f t="shared" si="11"/>
        <v>50.199999999999996</v>
      </c>
      <c r="U56" s="72">
        <f t="shared" si="11"/>
        <v>81</v>
      </c>
      <c r="V56" s="72">
        <f t="shared" si="11"/>
        <v>83.3</v>
      </c>
      <c r="W56" s="72">
        <f t="shared" si="11"/>
        <v>64.8</v>
      </c>
      <c r="X56" s="72">
        <f t="shared" si="11"/>
        <v>100</v>
      </c>
      <c r="Y56" s="72">
        <f t="shared" si="11"/>
        <v>100.10000000000001</v>
      </c>
      <c r="Z56" s="72">
        <f t="shared" si="11"/>
        <v>97.8</v>
      </c>
      <c r="AA56" s="72">
        <f t="shared" si="11"/>
        <v>98</v>
      </c>
      <c r="AB56" s="72">
        <f t="shared" si="11"/>
        <v>90.5</v>
      </c>
      <c r="AC56" s="72">
        <f t="shared" si="11"/>
        <v>64.599999999999994</v>
      </c>
      <c r="AD56" s="72">
        <f t="shared" si="11"/>
        <v>44.5</v>
      </c>
      <c r="AE56" s="72">
        <f t="shared" si="11"/>
        <v>0</v>
      </c>
      <c r="AF56" s="72">
        <f t="shared" si="11"/>
        <v>0</v>
      </c>
      <c r="AG56" s="78">
        <f>SUM(AG53:AG55)</f>
        <v>106</v>
      </c>
      <c r="AH56" s="54">
        <f t="shared" si="2"/>
        <v>100.3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66</v>
      </c>
      <c r="C57" s="50">
        <v>68.2</v>
      </c>
      <c r="D57" s="50">
        <v>62</v>
      </c>
      <c r="E57" s="50">
        <v>64</v>
      </c>
      <c r="F57" s="50">
        <v>64.099999999999994</v>
      </c>
      <c r="G57" s="50">
        <v>74.3</v>
      </c>
      <c r="H57" s="50">
        <v>76</v>
      </c>
      <c r="I57" s="50">
        <v>74</v>
      </c>
      <c r="J57" s="50">
        <v>40.1</v>
      </c>
      <c r="K57" s="50">
        <v>17.2</v>
      </c>
      <c r="L57" s="50">
        <v>17.2</v>
      </c>
      <c r="M57" s="50">
        <v>20.100000000000001</v>
      </c>
      <c r="N57" s="50">
        <v>65.7</v>
      </c>
      <c r="O57" s="50">
        <v>66</v>
      </c>
      <c r="P57" s="50">
        <v>72.2</v>
      </c>
      <c r="Q57" s="50">
        <v>69.599999999999994</v>
      </c>
      <c r="R57" s="50">
        <v>70.2</v>
      </c>
      <c r="S57" s="50">
        <v>71.2</v>
      </c>
      <c r="T57" s="50">
        <v>79</v>
      </c>
      <c r="U57" s="50">
        <v>52</v>
      </c>
      <c r="V57" s="50">
        <v>46.2</v>
      </c>
      <c r="W57" s="50">
        <v>38.200000000000003</v>
      </c>
      <c r="X57" s="50">
        <v>25.2</v>
      </c>
      <c r="Y57" s="50">
        <v>31</v>
      </c>
      <c r="Z57" s="50">
        <v>22.2</v>
      </c>
      <c r="AA57" s="50">
        <v>24</v>
      </c>
      <c r="AB57" s="50">
        <v>24</v>
      </c>
      <c r="AC57" s="50">
        <v>21</v>
      </c>
      <c r="AD57" s="50">
        <v>56</v>
      </c>
      <c r="AE57" s="50">
        <v>65</v>
      </c>
      <c r="AF57" s="50">
        <v>60</v>
      </c>
      <c r="AG57" s="62"/>
      <c r="AH57" s="54">
        <f t="shared" si="2"/>
        <v>79</v>
      </c>
      <c r="AI57" s="55">
        <f t="shared" si="3"/>
        <v>17.2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0</v>
      </c>
      <c r="J58" s="73">
        <v>90.1</v>
      </c>
      <c r="K58" s="73">
        <v>95.5</v>
      </c>
      <c r="L58" s="73">
        <v>91.5</v>
      </c>
      <c r="M58" s="50">
        <v>84.6</v>
      </c>
      <c r="N58" s="50">
        <v>71.099999999999994</v>
      </c>
      <c r="O58" s="50">
        <v>70.5</v>
      </c>
      <c r="P58" s="50">
        <v>73</v>
      </c>
      <c r="Q58" s="50">
        <v>69.2</v>
      </c>
      <c r="R58" s="50">
        <v>53.4</v>
      </c>
      <c r="S58" s="50">
        <v>53.7</v>
      </c>
      <c r="T58" s="50">
        <v>55.6</v>
      </c>
      <c r="U58" s="50">
        <v>55.6</v>
      </c>
      <c r="V58" s="50">
        <v>48</v>
      </c>
      <c r="W58" s="50">
        <v>82.2</v>
      </c>
      <c r="X58" s="83">
        <v>84</v>
      </c>
      <c r="Y58" s="83">
        <v>99.2</v>
      </c>
      <c r="Z58" s="83">
        <v>95.2</v>
      </c>
      <c r="AA58" s="83">
        <v>92.3</v>
      </c>
      <c r="AB58" s="73">
        <v>84.2</v>
      </c>
      <c r="AC58" s="73">
        <v>85</v>
      </c>
      <c r="AD58" s="73">
        <v>86</v>
      </c>
      <c r="AE58" s="73">
        <v>76</v>
      </c>
      <c r="AF58" s="73">
        <v>72</v>
      </c>
      <c r="AG58" s="67"/>
      <c r="AH58" s="54">
        <f t="shared" si="2"/>
        <v>99.2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350.2</v>
      </c>
      <c r="C59" s="73">
        <v>352</v>
      </c>
      <c r="D59" s="73">
        <v>378.8</v>
      </c>
      <c r="E59" s="73">
        <v>378.5</v>
      </c>
      <c r="F59" s="73">
        <v>356.5</v>
      </c>
      <c r="G59" s="73">
        <v>350.3</v>
      </c>
      <c r="H59" s="50">
        <v>362.7</v>
      </c>
      <c r="I59" s="50">
        <v>350.5</v>
      </c>
      <c r="J59" s="50">
        <v>50.2</v>
      </c>
      <c r="K59" s="50">
        <v>72.2</v>
      </c>
      <c r="L59" s="50">
        <v>45.8</v>
      </c>
      <c r="M59" s="73">
        <v>35.9</v>
      </c>
      <c r="N59" s="73">
        <v>363.5</v>
      </c>
      <c r="O59" s="73">
        <v>338</v>
      </c>
      <c r="P59" s="73">
        <v>186</v>
      </c>
      <c r="Q59" s="73">
        <v>338</v>
      </c>
      <c r="R59" s="73">
        <v>347</v>
      </c>
      <c r="S59" s="73">
        <v>361.1</v>
      </c>
      <c r="T59" s="73">
        <v>341.5</v>
      </c>
      <c r="U59" s="73">
        <v>341.5</v>
      </c>
      <c r="V59" s="73">
        <v>0</v>
      </c>
      <c r="W59" s="73">
        <v>160.69999999999999</v>
      </c>
      <c r="X59" s="84">
        <v>55</v>
      </c>
      <c r="Y59" s="84">
        <v>55.6</v>
      </c>
      <c r="Z59" s="84">
        <v>54</v>
      </c>
      <c r="AA59" s="84">
        <v>45</v>
      </c>
      <c r="AB59" s="73">
        <v>56.4</v>
      </c>
      <c r="AC59" s="73">
        <v>81</v>
      </c>
      <c r="AD59" s="73">
        <v>206</v>
      </c>
      <c r="AE59" s="73">
        <v>126</v>
      </c>
      <c r="AF59" s="73">
        <v>118</v>
      </c>
      <c r="AG59" s="85"/>
      <c r="AH59" s="54">
        <f t="shared" si="2"/>
        <v>378.8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46.8</v>
      </c>
      <c r="C60" s="58">
        <v>49.9</v>
      </c>
      <c r="D60" s="58">
        <v>51.8</v>
      </c>
      <c r="E60" s="58">
        <v>49</v>
      </c>
      <c r="F60" s="58">
        <v>51.2</v>
      </c>
      <c r="G60" s="58">
        <v>50.2</v>
      </c>
      <c r="H60" s="58">
        <v>53.8</v>
      </c>
      <c r="I60" s="58">
        <v>56.2</v>
      </c>
      <c r="J60" s="58">
        <v>55.6</v>
      </c>
      <c r="K60" s="58">
        <v>55.6</v>
      </c>
      <c r="L60" s="58">
        <v>52.7</v>
      </c>
      <c r="M60" s="73">
        <v>55.6</v>
      </c>
      <c r="N60" s="73">
        <v>58.1</v>
      </c>
      <c r="O60" s="73">
        <v>57.4</v>
      </c>
      <c r="P60" s="73">
        <v>59</v>
      </c>
      <c r="Q60" s="73">
        <v>55.9</v>
      </c>
      <c r="R60" s="73">
        <v>0</v>
      </c>
      <c r="S60" s="73">
        <v>20</v>
      </c>
      <c r="T60" s="73">
        <v>54.9</v>
      </c>
      <c r="U60" s="73">
        <v>54.9</v>
      </c>
      <c r="V60" s="73">
        <v>54.8</v>
      </c>
      <c r="W60" s="73">
        <v>51.1</v>
      </c>
      <c r="X60" s="73">
        <v>55</v>
      </c>
      <c r="Y60" s="73">
        <v>49.1</v>
      </c>
      <c r="Z60" s="73">
        <v>56.2</v>
      </c>
      <c r="AA60" s="73">
        <v>52</v>
      </c>
      <c r="AB60" s="73">
        <v>52.1</v>
      </c>
      <c r="AC60" s="73">
        <v>49</v>
      </c>
      <c r="AD60" s="73">
        <v>48</v>
      </c>
      <c r="AE60" s="73">
        <v>49</v>
      </c>
      <c r="AF60" s="58">
        <v>51</v>
      </c>
      <c r="AG60" s="85"/>
      <c r="AH60" s="54">
        <f t="shared" si="2"/>
        <v>59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0</v>
      </c>
      <c r="C61" s="50">
        <v>0</v>
      </c>
      <c r="D61" s="50">
        <v>0</v>
      </c>
      <c r="E61" s="50">
        <v>0</v>
      </c>
      <c r="F61" s="58">
        <v>0</v>
      </c>
      <c r="G61" s="58">
        <v>0</v>
      </c>
      <c r="H61" s="58">
        <v>0</v>
      </c>
      <c r="I61" s="58">
        <v>0</v>
      </c>
      <c r="J61" s="58">
        <v>81.400000000000006</v>
      </c>
      <c r="K61" s="58">
        <v>82.6</v>
      </c>
      <c r="L61" s="58">
        <v>86.8</v>
      </c>
      <c r="M61" s="50">
        <v>73.900000000000006</v>
      </c>
      <c r="N61" s="50">
        <v>87</v>
      </c>
      <c r="O61" s="50">
        <v>73.599999999999994</v>
      </c>
      <c r="P61" s="50">
        <v>83.7</v>
      </c>
      <c r="Q61" s="50">
        <v>83.3</v>
      </c>
      <c r="R61" s="50">
        <v>86.5</v>
      </c>
      <c r="S61" s="50">
        <v>77</v>
      </c>
      <c r="T61" s="50">
        <v>86.6</v>
      </c>
      <c r="U61" s="50">
        <v>86.6</v>
      </c>
      <c r="V61" s="50">
        <v>48.1</v>
      </c>
      <c r="W61" s="50">
        <v>82.6</v>
      </c>
      <c r="X61" s="50">
        <v>75</v>
      </c>
      <c r="Y61" s="50">
        <v>81.3</v>
      </c>
      <c r="Z61" s="50">
        <v>77</v>
      </c>
      <c r="AA61" s="50">
        <v>85</v>
      </c>
      <c r="AB61" s="50">
        <v>85.5</v>
      </c>
      <c r="AC61" s="50">
        <v>85</v>
      </c>
      <c r="AD61" s="50">
        <v>83</v>
      </c>
      <c r="AE61" s="50">
        <v>79</v>
      </c>
      <c r="AF61" s="50">
        <v>70</v>
      </c>
      <c r="AG61" s="85"/>
      <c r="AH61" s="54">
        <f t="shared" si="2"/>
        <v>87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73">
        <v>0</v>
      </c>
      <c r="N62" s="60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v>0</v>
      </c>
      <c r="J63" s="60">
        <v>0</v>
      </c>
      <c r="K63" s="60">
        <v>0</v>
      </c>
      <c r="L63" s="60">
        <v>0</v>
      </c>
      <c r="M63" s="73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73">
        <v>0</v>
      </c>
      <c r="N64" s="58">
        <v>0</v>
      </c>
      <c r="O64" s="58">
        <v>0</v>
      </c>
      <c r="P64" s="60">
        <v>0</v>
      </c>
      <c r="Q64" s="60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73">
        <v>0</v>
      </c>
      <c r="N65" s="58">
        <v>0</v>
      </c>
      <c r="O65" s="58">
        <v>0</v>
      </c>
      <c r="P65" s="60">
        <v>0</v>
      </c>
      <c r="Q65" s="60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73">
        <v>0</v>
      </c>
      <c r="N66" s="63">
        <v>0</v>
      </c>
      <c r="O66" s="63">
        <v>0</v>
      </c>
      <c r="P66" s="60">
        <v>0</v>
      </c>
      <c r="Q66" s="60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73">
        <v>0</v>
      </c>
      <c r="N67" s="63">
        <v>0</v>
      </c>
      <c r="O67" s="63">
        <v>0</v>
      </c>
      <c r="P67" s="60">
        <v>0</v>
      </c>
      <c r="Q67" s="60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463</v>
      </c>
      <c r="C68" s="72">
        <f>SUM(C57:C67)</f>
        <v>470.09999999999997</v>
      </c>
      <c r="D68" s="72">
        <f t="shared" ref="D68:AF68" si="13">SUM(D57:D67)</f>
        <v>492.6</v>
      </c>
      <c r="E68" s="72">
        <f t="shared" si="13"/>
        <v>491.5</v>
      </c>
      <c r="F68" s="72">
        <f t="shared" si="13"/>
        <v>471.8</v>
      </c>
      <c r="G68" s="72">
        <f t="shared" si="13"/>
        <v>474.8</v>
      </c>
      <c r="H68" s="72">
        <f t="shared" si="13"/>
        <v>492.5</v>
      </c>
      <c r="I68" s="72">
        <f t="shared" si="13"/>
        <v>480.7</v>
      </c>
      <c r="J68" s="72">
        <f t="shared" si="13"/>
        <v>317.39999999999998</v>
      </c>
      <c r="K68" s="72">
        <f t="shared" si="13"/>
        <v>323.10000000000002</v>
      </c>
      <c r="L68" s="72">
        <f t="shared" si="13"/>
        <v>294</v>
      </c>
      <c r="M68" s="72">
        <f t="shared" si="13"/>
        <v>270.10000000000002</v>
      </c>
      <c r="N68" s="72">
        <f t="shared" si="13"/>
        <v>645.4</v>
      </c>
      <c r="O68" s="72">
        <f t="shared" si="13"/>
        <v>605.5</v>
      </c>
      <c r="P68" s="72">
        <f t="shared" si="13"/>
        <v>473.9</v>
      </c>
      <c r="Q68" s="72">
        <f t="shared" si="13"/>
        <v>616</v>
      </c>
      <c r="R68" s="72">
        <f t="shared" si="13"/>
        <v>557.1</v>
      </c>
      <c r="S68" s="72">
        <f t="shared" si="13"/>
        <v>583</v>
      </c>
      <c r="T68" s="72">
        <f t="shared" si="13"/>
        <v>617.6</v>
      </c>
      <c r="U68" s="72">
        <f t="shared" si="13"/>
        <v>590.6</v>
      </c>
      <c r="V68" s="72">
        <f t="shared" si="13"/>
        <v>197.1</v>
      </c>
      <c r="W68" s="72">
        <f t="shared" si="13"/>
        <v>414.80000000000007</v>
      </c>
      <c r="X68" s="72">
        <f t="shared" si="13"/>
        <v>294.2</v>
      </c>
      <c r="Y68" s="72">
        <f t="shared" si="13"/>
        <v>316.2</v>
      </c>
      <c r="Z68" s="72">
        <f t="shared" si="13"/>
        <v>304.60000000000002</v>
      </c>
      <c r="AA68" s="72">
        <f t="shared" si="13"/>
        <v>298.3</v>
      </c>
      <c r="AB68" s="72">
        <f t="shared" si="13"/>
        <v>302.2</v>
      </c>
      <c r="AC68" s="72">
        <f t="shared" si="13"/>
        <v>321</v>
      </c>
      <c r="AD68" s="72">
        <f t="shared" si="13"/>
        <v>479</v>
      </c>
      <c r="AE68" s="72">
        <f t="shared" si="13"/>
        <v>395</v>
      </c>
      <c r="AF68" s="72">
        <f t="shared" si="13"/>
        <v>371</v>
      </c>
      <c r="AG68" s="78">
        <f>SUM(AG57:AG67)</f>
        <v>0</v>
      </c>
      <c r="AH68" s="54">
        <f t="shared" si="2"/>
        <v>645.4</v>
      </c>
      <c r="AI68" s="55">
        <f t="shared" si="3"/>
        <v>197.1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f t="shared" si="15"/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973.44</v>
      </c>
      <c r="C73" s="89">
        <f>C68+C56+C52+C38+C72</f>
        <v>970.54</v>
      </c>
      <c r="D73" s="89">
        <f t="shared" ref="D73:AG73" si="17">D68+D56+D52+D38+D72</f>
        <v>984.64</v>
      </c>
      <c r="E73" s="89">
        <f t="shared" si="17"/>
        <v>982.84</v>
      </c>
      <c r="F73" s="89">
        <f t="shared" si="17"/>
        <v>975.94</v>
      </c>
      <c r="G73" s="89">
        <f t="shared" si="17"/>
        <v>962.93999999999994</v>
      </c>
      <c r="H73" s="89">
        <f t="shared" si="17"/>
        <v>1063.04</v>
      </c>
      <c r="I73" s="89">
        <f t="shared" si="17"/>
        <v>1157.3400000000001</v>
      </c>
      <c r="J73" s="89">
        <f t="shared" si="17"/>
        <v>1241.6400000000001</v>
      </c>
      <c r="K73" s="89">
        <f t="shared" si="17"/>
        <v>1404.04</v>
      </c>
      <c r="L73" s="89">
        <f t="shared" si="17"/>
        <v>1445.94</v>
      </c>
      <c r="M73" s="89">
        <f t="shared" si="17"/>
        <v>1359.94</v>
      </c>
      <c r="N73" s="89">
        <f t="shared" si="17"/>
        <v>1339.44</v>
      </c>
      <c r="O73" s="89">
        <f t="shared" si="17"/>
        <v>1301.44</v>
      </c>
      <c r="P73" s="89">
        <f t="shared" si="17"/>
        <v>1277.74</v>
      </c>
      <c r="Q73" s="89">
        <f t="shared" si="17"/>
        <v>1271.9399999999998</v>
      </c>
      <c r="R73" s="89">
        <f t="shared" si="17"/>
        <v>1235.3400000000001</v>
      </c>
      <c r="S73" s="89">
        <f t="shared" si="17"/>
        <v>1238.24</v>
      </c>
      <c r="T73" s="89">
        <f t="shared" si="17"/>
        <v>1252.74</v>
      </c>
      <c r="U73" s="89">
        <f t="shared" si="17"/>
        <v>1314.54</v>
      </c>
      <c r="V73" s="89">
        <f t="shared" si="17"/>
        <v>1145.04</v>
      </c>
      <c r="W73" s="89">
        <f t="shared" si="17"/>
        <v>1243.7400000000002</v>
      </c>
      <c r="X73" s="89">
        <f t="shared" si="17"/>
        <v>1316.8400000000001</v>
      </c>
      <c r="Y73" s="89">
        <f t="shared" si="17"/>
        <v>1516.94</v>
      </c>
      <c r="Z73" s="89">
        <f t="shared" si="17"/>
        <v>1533.0400000000002</v>
      </c>
      <c r="AA73" s="89">
        <f t="shared" si="17"/>
        <v>1436.94</v>
      </c>
      <c r="AB73" s="89">
        <f t="shared" si="17"/>
        <v>1329.14</v>
      </c>
      <c r="AC73" s="89">
        <f t="shared" si="17"/>
        <v>1273.94</v>
      </c>
      <c r="AD73" s="89">
        <f t="shared" si="17"/>
        <v>1237.8400000000001</v>
      </c>
      <c r="AE73" s="89">
        <f t="shared" si="17"/>
        <v>1085.94</v>
      </c>
      <c r="AF73" s="89">
        <f t="shared" si="17"/>
        <v>1012.3399999999999</v>
      </c>
      <c r="AG73" s="89">
        <f t="shared" si="17"/>
        <v>2144.14</v>
      </c>
      <c r="AH73" s="54">
        <f t="shared" si="2"/>
        <v>1533.0400000000002</v>
      </c>
      <c r="AI73" s="55">
        <f t="shared" si="3"/>
        <v>962.93999999999994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>
        <v>60</v>
      </c>
      <c r="R74" s="91"/>
      <c r="S74" s="91"/>
      <c r="T74" s="91"/>
      <c r="U74" s="91"/>
      <c r="V74" s="91">
        <v>32</v>
      </c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60</v>
      </c>
      <c r="AI74" s="55">
        <f t="shared" si="3"/>
        <v>32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973.44</v>
      </c>
      <c r="C75" s="89">
        <f>C73+C74</f>
        <v>970.54</v>
      </c>
      <c r="D75" s="89">
        <f t="shared" ref="D75:AF75" si="19">D72+D68+D56+D52+D38+D74</f>
        <v>984.64</v>
      </c>
      <c r="E75" s="89">
        <f t="shared" si="19"/>
        <v>982.84</v>
      </c>
      <c r="F75" s="89">
        <f t="shared" si="19"/>
        <v>975.94</v>
      </c>
      <c r="G75" s="89">
        <f t="shared" si="19"/>
        <v>962.93999999999994</v>
      </c>
      <c r="H75" s="89">
        <f t="shared" si="19"/>
        <v>1063.04</v>
      </c>
      <c r="I75" s="89">
        <f t="shared" si="19"/>
        <v>1157.3400000000001</v>
      </c>
      <c r="J75" s="89">
        <f t="shared" si="19"/>
        <v>1241.6400000000001</v>
      </c>
      <c r="K75" s="89">
        <f t="shared" si="19"/>
        <v>1404.04</v>
      </c>
      <c r="L75" s="89">
        <f t="shared" si="19"/>
        <v>1445.94</v>
      </c>
      <c r="M75" s="89">
        <f t="shared" si="19"/>
        <v>1359.94</v>
      </c>
      <c r="N75" s="89">
        <f t="shared" si="19"/>
        <v>1339.44</v>
      </c>
      <c r="O75" s="89">
        <f t="shared" si="19"/>
        <v>1301.44</v>
      </c>
      <c r="P75" s="89">
        <f t="shared" si="19"/>
        <v>1277.74</v>
      </c>
      <c r="Q75" s="89">
        <f t="shared" si="19"/>
        <v>1331.9399999999998</v>
      </c>
      <c r="R75" s="89">
        <f t="shared" si="19"/>
        <v>1235.3400000000001</v>
      </c>
      <c r="S75" s="89">
        <f t="shared" si="19"/>
        <v>1238.24</v>
      </c>
      <c r="T75" s="89">
        <f t="shared" si="19"/>
        <v>1252.74</v>
      </c>
      <c r="U75" s="89">
        <f t="shared" si="19"/>
        <v>1314.54</v>
      </c>
      <c r="V75" s="89">
        <f t="shared" si="19"/>
        <v>1177.04</v>
      </c>
      <c r="W75" s="89">
        <f t="shared" si="19"/>
        <v>1243.7400000000002</v>
      </c>
      <c r="X75" s="89">
        <f t="shared" si="19"/>
        <v>1316.8400000000001</v>
      </c>
      <c r="Y75" s="89">
        <f t="shared" si="19"/>
        <v>1516.94</v>
      </c>
      <c r="Z75" s="89">
        <f t="shared" si="19"/>
        <v>1533.0400000000002</v>
      </c>
      <c r="AA75" s="89">
        <f t="shared" si="19"/>
        <v>1436.94</v>
      </c>
      <c r="AB75" s="89">
        <f t="shared" si="19"/>
        <v>1329.14</v>
      </c>
      <c r="AC75" s="89">
        <f t="shared" si="19"/>
        <v>1273.94</v>
      </c>
      <c r="AD75" s="89">
        <f t="shared" si="19"/>
        <v>1237.8400000000001</v>
      </c>
      <c r="AE75" s="89">
        <f t="shared" si="19"/>
        <v>1085.94</v>
      </c>
      <c r="AF75" s="89">
        <f t="shared" si="19"/>
        <v>1012.3399999999999</v>
      </c>
      <c r="AG75" s="78">
        <f>AG72+AG68+AG56+AG52+AG38+AG74</f>
        <v>2144.14</v>
      </c>
      <c r="AH75" s="54">
        <f t="shared" si="2"/>
        <v>1533.0400000000002</v>
      </c>
      <c r="AI75" s="55">
        <f t="shared" si="3"/>
        <v>962.93999999999994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f t="shared" si="21"/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f t="shared" si="25"/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f t="shared" si="27"/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f t="shared" si="29"/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f t="shared" si="31"/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f t="shared" si="33"/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1946.88</v>
      </c>
      <c r="C83" s="72">
        <f t="shared" ref="C83:AG83" si="35">SUM(C70:C82)</f>
        <v>1941.08</v>
      </c>
      <c r="D83" s="72">
        <f t="shared" si="35"/>
        <v>1969.28</v>
      </c>
      <c r="E83" s="72">
        <f t="shared" si="35"/>
        <v>1965.68</v>
      </c>
      <c r="F83" s="72">
        <f t="shared" si="35"/>
        <v>1951.88</v>
      </c>
      <c r="G83" s="72">
        <f t="shared" si="35"/>
        <v>1925.8799999999999</v>
      </c>
      <c r="H83" s="72">
        <f t="shared" si="35"/>
        <v>2126.08</v>
      </c>
      <c r="I83" s="72">
        <f t="shared" si="35"/>
        <v>2314.6800000000003</v>
      </c>
      <c r="J83" s="72">
        <f t="shared" si="35"/>
        <v>2483.2800000000002</v>
      </c>
      <c r="K83" s="72">
        <f t="shared" si="35"/>
        <v>2808.08</v>
      </c>
      <c r="L83" s="72">
        <f t="shared" si="35"/>
        <v>2891.88</v>
      </c>
      <c r="M83" s="72">
        <f t="shared" si="35"/>
        <v>2719.88</v>
      </c>
      <c r="N83" s="72">
        <f t="shared" si="35"/>
        <v>2678.88</v>
      </c>
      <c r="O83" s="72">
        <f t="shared" si="35"/>
        <v>2602.88</v>
      </c>
      <c r="P83" s="72">
        <f t="shared" si="35"/>
        <v>2555.48</v>
      </c>
      <c r="Q83" s="72">
        <f t="shared" si="35"/>
        <v>2663.8799999999997</v>
      </c>
      <c r="R83" s="72">
        <f t="shared" si="35"/>
        <v>2470.6800000000003</v>
      </c>
      <c r="S83" s="72">
        <f t="shared" si="35"/>
        <v>2476.48</v>
      </c>
      <c r="T83" s="72">
        <f t="shared" si="35"/>
        <v>2505.48</v>
      </c>
      <c r="U83" s="72">
        <f t="shared" si="35"/>
        <v>2629.08</v>
      </c>
      <c r="V83" s="72">
        <f t="shared" si="35"/>
        <v>2354.08</v>
      </c>
      <c r="W83" s="72">
        <f t="shared" si="35"/>
        <v>2487.4800000000005</v>
      </c>
      <c r="X83" s="72">
        <f t="shared" si="35"/>
        <v>2633.6800000000003</v>
      </c>
      <c r="Y83" s="72">
        <f t="shared" si="35"/>
        <v>3033.88</v>
      </c>
      <c r="Z83" s="72">
        <f t="shared" si="35"/>
        <v>3066.0800000000004</v>
      </c>
      <c r="AA83" s="72">
        <f t="shared" si="35"/>
        <v>2873.88</v>
      </c>
      <c r="AB83" s="72">
        <f t="shared" si="35"/>
        <v>2658.28</v>
      </c>
      <c r="AC83" s="72">
        <f t="shared" si="35"/>
        <v>2547.88</v>
      </c>
      <c r="AD83" s="72">
        <f t="shared" si="35"/>
        <v>2475.6800000000003</v>
      </c>
      <c r="AE83" s="72">
        <f t="shared" si="35"/>
        <v>2171.88</v>
      </c>
      <c r="AF83" s="72">
        <f t="shared" si="35"/>
        <v>2024.6799999999998</v>
      </c>
      <c r="AG83" s="78">
        <f t="shared" si="35"/>
        <v>4360.08</v>
      </c>
      <c r="AH83" s="54">
        <f t="shared" si="22"/>
        <v>3066.0800000000004</v>
      </c>
      <c r="AI83" s="55">
        <f t="shared" si="23"/>
        <v>1925.8799999999999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50.02</v>
      </c>
      <c r="C84" s="95">
        <v>50.024999999999999</v>
      </c>
      <c r="D84" s="95">
        <v>49.99</v>
      </c>
      <c r="E84" s="96">
        <v>49.965000000000003</v>
      </c>
      <c r="F84" s="96">
        <v>50.008000000000003</v>
      </c>
      <c r="G84" s="96">
        <v>49.994999999999997</v>
      </c>
      <c r="H84" s="96">
        <v>50.006</v>
      </c>
      <c r="I84" s="96">
        <v>49.927</v>
      </c>
      <c r="J84" s="96">
        <v>50.042999999999999</v>
      </c>
      <c r="K84" s="96">
        <v>49.884</v>
      </c>
      <c r="L84" s="96">
        <v>50.021000000000001</v>
      </c>
      <c r="M84" s="96">
        <v>50.087000000000003</v>
      </c>
      <c r="N84" s="96">
        <v>50.061</v>
      </c>
      <c r="O84" s="96">
        <v>49.892000000000003</v>
      </c>
      <c r="P84" s="96">
        <v>50.04</v>
      </c>
      <c r="Q84" s="96">
        <v>49.96</v>
      </c>
      <c r="R84" s="96">
        <v>50.006999999999998</v>
      </c>
      <c r="S84" s="96">
        <v>49.996000000000002</v>
      </c>
      <c r="T84" s="96">
        <v>49.997</v>
      </c>
      <c r="U84" s="96">
        <v>49.948999999999998</v>
      </c>
      <c r="V84" s="96">
        <v>49.83</v>
      </c>
      <c r="W84" s="96">
        <v>49.930999999999997</v>
      </c>
      <c r="X84" s="96">
        <v>49.920999999999999</v>
      </c>
      <c r="Y84" s="96">
        <v>50.045999999999999</v>
      </c>
      <c r="Z84" s="96">
        <v>49.889000000000003</v>
      </c>
      <c r="AA84" s="96">
        <v>49.963000000000001</v>
      </c>
      <c r="AB84" s="96">
        <v>49.988</v>
      </c>
      <c r="AC84" s="96">
        <v>49.98</v>
      </c>
      <c r="AD84" s="96">
        <v>50.02</v>
      </c>
      <c r="AE84" s="96">
        <v>50.03</v>
      </c>
      <c r="AF84" s="96">
        <v>50.05</v>
      </c>
      <c r="AG84" s="97"/>
      <c r="AH84" s="54">
        <f t="shared" si="22"/>
        <v>50.087000000000003</v>
      </c>
      <c r="AI84" s="55">
        <f t="shared" si="23"/>
        <v>49.83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124.4</v>
      </c>
      <c r="C85" s="99">
        <v>124.4</v>
      </c>
      <c r="D85" s="99">
        <v>123.9</v>
      </c>
      <c r="E85" s="73">
        <v>123.9</v>
      </c>
      <c r="F85" s="73">
        <v>124.9</v>
      </c>
      <c r="G85" s="73">
        <v>123.6</v>
      </c>
      <c r="H85" s="73">
        <v>125.1</v>
      </c>
      <c r="I85" s="73">
        <v>127.9</v>
      </c>
      <c r="J85" s="73">
        <v>124.5</v>
      </c>
      <c r="K85" s="73">
        <v>123.2</v>
      </c>
      <c r="L85" s="73">
        <v>125.4</v>
      </c>
      <c r="M85" s="73">
        <v>125.8</v>
      </c>
      <c r="N85" s="73">
        <v>124.7</v>
      </c>
      <c r="O85" s="73">
        <v>124.9</v>
      </c>
      <c r="P85" s="73">
        <v>124.8</v>
      </c>
      <c r="Q85" s="73">
        <v>123.3</v>
      </c>
      <c r="R85" s="73">
        <v>123.9</v>
      </c>
      <c r="S85" s="73">
        <v>124.4</v>
      </c>
      <c r="T85" s="73">
        <v>124.6</v>
      </c>
      <c r="U85" s="100">
        <v>125.8</v>
      </c>
      <c r="V85" s="100">
        <v>127</v>
      </c>
      <c r="W85" s="100">
        <v>126.9</v>
      </c>
      <c r="X85" s="100">
        <v>127</v>
      </c>
      <c r="Y85" s="100">
        <v>124.6</v>
      </c>
      <c r="Z85" s="100">
        <v>124.8</v>
      </c>
      <c r="AA85" s="100">
        <v>128</v>
      </c>
      <c r="AB85" s="73">
        <v>128.9</v>
      </c>
      <c r="AC85" s="73">
        <v>128</v>
      </c>
      <c r="AD85" s="73">
        <v>128</v>
      </c>
      <c r="AE85" s="73">
        <v>128.6</v>
      </c>
      <c r="AF85" s="73">
        <v>129.5</v>
      </c>
      <c r="AG85" s="101"/>
      <c r="AH85" s="54">
        <f t="shared" si="22"/>
        <v>129.5</v>
      </c>
      <c r="AI85" s="55">
        <f t="shared" si="23"/>
        <v>123.2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129.6</v>
      </c>
      <c r="C86" s="99">
        <v>129.80000000000001</v>
      </c>
      <c r="D86" s="99">
        <v>129.30000000000001</v>
      </c>
      <c r="E86" s="73">
        <v>129.4</v>
      </c>
      <c r="F86" s="73">
        <v>130.19999999999999</v>
      </c>
      <c r="G86" s="73">
        <v>128.80000000000001</v>
      </c>
      <c r="H86" s="73">
        <v>129.80000000000001</v>
      </c>
      <c r="I86" s="73">
        <v>131.4</v>
      </c>
      <c r="J86" s="73">
        <v>128</v>
      </c>
      <c r="K86" s="73">
        <v>126.6</v>
      </c>
      <c r="L86" s="73">
        <v>128.69999999999999</v>
      </c>
      <c r="M86" s="73">
        <v>129</v>
      </c>
      <c r="N86" s="73">
        <v>128.9</v>
      </c>
      <c r="O86" s="73">
        <v>128.9</v>
      </c>
      <c r="P86" s="73">
        <v>128.69999999999999</v>
      </c>
      <c r="Q86" s="73">
        <v>127.2</v>
      </c>
      <c r="R86" s="73">
        <v>127.7</v>
      </c>
      <c r="S86" s="73">
        <v>128.80000000000001</v>
      </c>
      <c r="T86" s="73">
        <v>128.30000000000001</v>
      </c>
      <c r="U86" s="100">
        <v>129</v>
      </c>
      <c r="V86" s="100">
        <v>129.69999999999999</v>
      </c>
      <c r="W86" s="100">
        <v>129.80000000000001</v>
      </c>
      <c r="X86" s="100">
        <v>130</v>
      </c>
      <c r="Y86" s="100">
        <v>127.8</v>
      </c>
      <c r="Z86" s="100">
        <v>127.8</v>
      </c>
      <c r="AA86" s="100">
        <v>130.4</v>
      </c>
      <c r="AB86" s="73">
        <v>131.4</v>
      </c>
      <c r="AC86" s="73">
        <v>131</v>
      </c>
      <c r="AD86" s="73">
        <v>131</v>
      </c>
      <c r="AE86" s="73">
        <v>131</v>
      </c>
      <c r="AF86" s="73">
        <v>132</v>
      </c>
      <c r="AG86" s="101"/>
      <c r="AH86" s="54">
        <f t="shared" si="22"/>
        <v>132</v>
      </c>
      <c r="AI86" s="55">
        <f t="shared" si="23"/>
        <v>126.6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132</v>
      </c>
      <c r="C87" s="99">
        <v>129.4</v>
      </c>
      <c r="D87" s="99">
        <v>130.69999999999999</v>
      </c>
      <c r="E87" s="73">
        <v>131.9</v>
      </c>
      <c r="F87" s="73">
        <v>128.80000000000001</v>
      </c>
      <c r="G87" s="73">
        <v>131.69999999999999</v>
      </c>
      <c r="H87" s="73">
        <v>130.1</v>
      </c>
      <c r="I87" s="73">
        <v>132.19999999999999</v>
      </c>
      <c r="J87" s="73">
        <v>127.1</v>
      </c>
      <c r="K87" s="73">
        <v>128.30000000000001</v>
      </c>
      <c r="L87" s="73">
        <v>128.19999999999999</v>
      </c>
      <c r="M87" s="73">
        <v>130</v>
      </c>
      <c r="N87" s="73">
        <v>131</v>
      </c>
      <c r="O87" s="73">
        <v>127.3</v>
      </c>
      <c r="P87" s="73">
        <v>127.1</v>
      </c>
      <c r="Q87" s="73">
        <v>128.19999999999999</v>
      </c>
      <c r="R87" s="73">
        <v>129.5</v>
      </c>
      <c r="S87" s="73">
        <v>129.69999999999999</v>
      </c>
      <c r="T87" s="73">
        <v>129.80000000000001</v>
      </c>
      <c r="U87" s="73">
        <v>130.6</v>
      </c>
      <c r="V87" s="73">
        <v>127.7</v>
      </c>
      <c r="W87" s="73">
        <v>128.9</v>
      </c>
      <c r="X87" s="73">
        <v>127</v>
      </c>
      <c r="Y87" s="100">
        <v>128.80000000000001</v>
      </c>
      <c r="Z87" s="100">
        <v>127.7</v>
      </c>
      <c r="AA87" s="100">
        <v>129.80000000000001</v>
      </c>
      <c r="AB87" s="73">
        <v>130</v>
      </c>
      <c r="AC87" s="73">
        <v>130</v>
      </c>
      <c r="AD87" s="73">
        <v>130</v>
      </c>
      <c r="AE87" s="73">
        <v>131</v>
      </c>
      <c r="AF87" s="73">
        <v>130.80000000000001</v>
      </c>
      <c r="AG87" s="101"/>
      <c r="AH87" s="54">
        <f t="shared" si="22"/>
        <v>132.19999999999999</v>
      </c>
      <c r="AI87" s="55">
        <f t="shared" si="23"/>
        <v>127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135.80000000000001</v>
      </c>
      <c r="C88" s="99">
        <v>133.80000000000001</v>
      </c>
      <c r="D88" s="99">
        <v>134.80000000000001</v>
      </c>
      <c r="E88" s="73">
        <v>135.9</v>
      </c>
      <c r="F88" s="73">
        <v>133.69999999999999</v>
      </c>
      <c r="G88" s="73">
        <v>135.69999999999999</v>
      </c>
      <c r="H88" s="73">
        <v>134</v>
      </c>
      <c r="I88" s="73">
        <v>134</v>
      </c>
      <c r="J88" s="73">
        <v>129</v>
      </c>
      <c r="K88" s="73">
        <v>130.9</v>
      </c>
      <c r="L88" s="73">
        <v>130.4</v>
      </c>
      <c r="M88" s="73">
        <v>131.1</v>
      </c>
      <c r="N88" s="73">
        <v>123.7</v>
      </c>
      <c r="O88" s="73">
        <v>128.5</v>
      </c>
      <c r="P88" s="73">
        <v>130.1</v>
      </c>
      <c r="Q88" s="73">
        <v>131.30000000000001</v>
      </c>
      <c r="R88" s="73">
        <v>132.80000000000001</v>
      </c>
      <c r="S88" s="73">
        <v>132</v>
      </c>
      <c r="T88" s="73">
        <v>129.1</v>
      </c>
      <c r="U88" s="73">
        <v>126.6</v>
      </c>
      <c r="V88" s="73">
        <v>129.69999999999999</v>
      </c>
      <c r="W88" s="73">
        <v>130.9</v>
      </c>
      <c r="X88" s="73">
        <v>129</v>
      </c>
      <c r="Y88" s="100">
        <v>129.6</v>
      </c>
      <c r="Z88" s="100">
        <v>130</v>
      </c>
      <c r="AA88" s="100">
        <v>133.1</v>
      </c>
      <c r="AB88" s="73">
        <v>134.9</v>
      </c>
      <c r="AC88" s="73">
        <v>134</v>
      </c>
      <c r="AD88" s="73">
        <v>134</v>
      </c>
      <c r="AE88" s="73">
        <v>136</v>
      </c>
      <c r="AF88" s="73">
        <v>134.5</v>
      </c>
      <c r="AG88" s="101"/>
      <c r="AH88" s="54">
        <f t="shared" si="22"/>
        <v>136</v>
      </c>
      <c r="AI88" s="55">
        <f t="shared" si="23"/>
        <v>123.7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130.69999999999999</v>
      </c>
      <c r="C89" s="103">
        <v>129.30000000000001</v>
      </c>
      <c r="D89" s="103">
        <v>129.5</v>
      </c>
      <c r="E89" s="104">
        <v>128</v>
      </c>
      <c r="F89" s="104">
        <v>128</v>
      </c>
      <c r="G89" s="104">
        <v>129.30000000000001</v>
      </c>
      <c r="H89" s="104">
        <v>133.80000000000001</v>
      </c>
      <c r="I89" s="104">
        <v>136.69999999999999</v>
      </c>
      <c r="J89" s="104">
        <v>145.9</v>
      </c>
      <c r="K89" s="104">
        <v>128.6</v>
      </c>
      <c r="L89" s="104">
        <v>135.30000000000001</v>
      </c>
      <c r="M89" s="104">
        <v>131.5</v>
      </c>
      <c r="N89" s="104">
        <v>135.6</v>
      </c>
      <c r="O89" s="104">
        <v>133.30000000000001</v>
      </c>
      <c r="P89" s="104">
        <v>131.9</v>
      </c>
      <c r="Q89" s="104">
        <v>132.19999999999999</v>
      </c>
      <c r="R89" s="104">
        <v>130.9</v>
      </c>
      <c r="S89" s="104">
        <v>132.30000000000001</v>
      </c>
      <c r="T89" s="104">
        <v>134.5</v>
      </c>
      <c r="U89" s="104">
        <v>135.19999999999999</v>
      </c>
      <c r="V89" s="104">
        <v>136.9</v>
      </c>
      <c r="W89" s="104">
        <v>136</v>
      </c>
      <c r="X89" s="104">
        <v>134</v>
      </c>
      <c r="Y89" s="100">
        <v>132</v>
      </c>
      <c r="Z89" s="100">
        <v>134</v>
      </c>
      <c r="AA89" s="100">
        <v>134.5</v>
      </c>
      <c r="AB89" s="104">
        <v>136.9</v>
      </c>
      <c r="AC89" s="104">
        <v>135.1</v>
      </c>
      <c r="AD89" s="104">
        <v>135.1</v>
      </c>
      <c r="AE89" s="104">
        <v>133</v>
      </c>
      <c r="AF89" s="104">
        <v>131.6</v>
      </c>
      <c r="AG89" s="105"/>
      <c r="AH89" s="54">
        <f t="shared" si="22"/>
        <v>145.9</v>
      </c>
      <c r="AI89" s="55">
        <f t="shared" si="23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138.30000000000001</v>
      </c>
      <c r="C90" s="99">
        <v>128.4</v>
      </c>
      <c r="D90" s="99">
        <v>137.9</v>
      </c>
      <c r="E90" s="73">
        <v>137.4</v>
      </c>
      <c r="F90" s="73">
        <v>137.30000000000001</v>
      </c>
      <c r="G90" s="73">
        <v>134.30000000000001</v>
      </c>
      <c r="H90" s="73">
        <v>131.30000000000001</v>
      </c>
      <c r="I90" s="73">
        <v>133.6</v>
      </c>
      <c r="J90" s="73">
        <v>126.6</v>
      </c>
      <c r="K90" s="73">
        <v>126.1</v>
      </c>
      <c r="L90" s="73">
        <v>133.4</v>
      </c>
      <c r="M90" s="73">
        <v>132.1</v>
      </c>
      <c r="N90" s="73">
        <v>129.80000000000001</v>
      </c>
      <c r="O90" s="73">
        <v>130.19999999999999</v>
      </c>
      <c r="P90" s="73">
        <v>134.5</v>
      </c>
      <c r="Q90" s="73">
        <v>132.69999999999999</v>
      </c>
      <c r="R90" s="73">
        <v>134.9</v>
      </c>
      <c r="S90" s="73">
        <v>128.30000000000001</v>
      </c>
      <c r="T90" s="73">
        <v>127</v>
      </c>
      <c r="U90" s="73">
        <v>134.80000000000001</v>
      </c>
      <c r="V90" s="73">
        <v>135.6</v>
      </c>
      <c r="W90" s="73">
        <v>136.6</v>
      </c>
      <c r="X90" s="73">
        <v>133</v>
      </c>
      <c r="Y90" s="100">
        <v>127.8</v>
      </c>
      <c r="Z90" s="100">
        <v>131</v>
      </c>
      <c r="AA90" s="100">
        <v>129.19999999999999</v>
      </c>
      <c r="AB90" s="73">
        <v>133.80000000000001</v>
      </c>
      <c r="AC90" s="73">
        <v>134.6</v>
      </c>
      <c r="AD90" s="73">
        <v>134.6</v>
      </c>
      <c r="AE90" s="73">
        <v>136</v>
      </c>
      <c r="AF90" s="73">
        <v>134.6</v>
      </c>
      <c r="AG90" s="101"/>
      <c r="AH90" s="54">
        <f t="shared" si="22"/>
        <v>138.30000000000001</v>
      </c>
      <c r="AI90" s="55">
        <f t="shared" si="23"/>
        <v>126.1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65.400000000000006</v>
      </c>
      <c r="C91" s="106">
        <v>65.400000000000006</v>
      </c>
      <c r="D91" s="106">
        <v>65.2</v>
      </c>
      <c r="E91" s="107">
        <v>64.900000000000006</v>
      </c>
      <c r="F91" s="107">
        <v>65.5</v>
      </c>
      <c r="G91" s="107">
        <v>65</v>
      </c>
      <c r="H91" s="107">
        <v>35.9</v>
      </c>
      <c r="I91" s="107">
        <v>66.400000000000006</v>
      </c>
      <c r="J91" s="107">
        <v>64.7</v>
      </c>
      <c r="K91" s="107">
        <v>64</v>
      </c>
      <c r="L91" s="107">
        <v>64.900000000000006</v>
      </c>
      <c r="M91" s="107">
        <v>65.099999999999994</v>
      </c>
      <c r="N91" s="107">
        <v>65</v>
      </c>
      <c r="O91" s="107">
        <v>64.900000000000006</v>
      </c>
      <c r="P91" s="107">
        <v>64.900000000000006</v>
      </c>
      <c r="Q91" s="107">
        <v>64.3</v>
      </c>
      <c r="R91" s="107">
        <v>64.400000000000006</v>
      </c>
      <c r="S91" s="107">
        <v>64.900000000000006</v>
      </c>
      <c r="T91" s="107">
        <v>64.900000000000006</v>
      </c>
      <c r="U91" s="107">
        <v>65.3</v>
      </c>
      <c r="V91" s="107">
        <v>65.599999999999994</v>
      </c>
      <c r="W91" s="107">
        <v>65.7</v>
      </c>
      <c r="X91" s="107">
        <v>66</v>
      </c>
      <c r="Y91" s="107">
        <v>64.400000000000006</v>
      </c>
      <c r="Z91" s="107">
        <v>64.400000000000006</v>
      </c>
      <c r="AA91" s="107">
        <v>65.900000000000006</v>
      </c>
      <c r="AB91" s="107">
        <v>66.599999999999994</v>
      </c>
      <c r="AC91" s="107">
        <v>66.400000000000006</v>
      </c>
      <c r="AD91" s="107">
        <v>66.400000000000006</v>
      </c>
      <c r="AE91" s="107">
        <v>65.7</v>
      </c>
      <c r="AF91" s="107">
        <v>66.599999999999994</v>
      </c>
      <c r="AG91" s="108"/>
      <c r="AH91" s="54">
        <f t="shared" si="22"/>
        <v>66.599999999999994</v>
      </c>
      <c r="AI91" s="55">
        <f t="shared" si="23"/>
        <v>35.9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AF93" si="36">SUM(B15,B18,B21:B22,B42,B44:B45,B47,B49,B94:B97,B103,B109,B115,B124,B126,B138,B145,B148:B149,B156,B158,B160,B164:B166,B168:B170,B175,B181:B182,B184:B186,B194,B199)</f>
        <v>171.43999999999997</v>
      </c>
      <c r="C93" s="114">
        <f t="shared" si="36"/>
        <v>162.23999999999998</v>
      </c>
      <c r="D93" s="114">
        <f t="shared" si="36"/>
        <v>160.23999999999998</v>
      </c>
      <c r="E93" s="114">
        <f t="shared" si="36"/>
        <v>155.03999999999996</v>
      </c>
      <c r="F93" s="114">
        <f t="shared" si="36"/>
        <v>161.13999999999999</v>
      </c>
      <c r="G93" s="113">
        <f t="shared" si="36"/>
        <v>185.94</v>
      </c>
      <c r="H93" s="113">
        <f t="shared" si="36"/>
        <v>210.33999999999997</v>
      </c>
      <c r="I93" s="113">
        <f t="shared" si="36"/>
        <v>246.83999999999995</v>
      </c>
      <c r="J93" s="113">
        <f t="shared" si="36"/>
        <v>291.84000000000003</v>
      </c>
      <c r="K93" s="113">
        <f t="shared" si="36"/>
        <v>301.94000000000005</v>
      </c>
      <c r="L93" s="113">
        <f t="shared" si="36"/>
        <v>343.84000000000003</v>
      </c>
      <c r="M93" s="113">
        <f t="shared" si="36"/>
        <v>343.34000000000003</v>
      </c>
      <c r="N93" s="113">
        <f t="shared" si="36"/>
        <v>321.44000000000005</v>
      </c>
      <c r="O93" s="113">
        <f t="shared" si="36"/>
        <v>307.74000000000007</v>
      </c>
      <c r="P93" s="113">
        <f t="shared" si="36"/>
        <v>294.84000000000003</v>
      </c>
      <c r="Q93" s="113">
        <f t="shared" si="36"/>
        <v>285.14000000000004</v>
      </c>
      <c r="R93" s="113">
        <f t="shared" si="36"/>
        <v>282.83999999999997</v>
      </c>
      <c r="S93" s="113">
        <f t="shared" si="36"/>
        <v>283.24</v>
      </c>
      <c r="T93" s="113">
        <f t="shared" si="36"/>
        <v>285.14000000000004</v>
      </c>
      <c r="U93" s="113">
        <f t="shared" si="36"/>
        <v>303.64</v>
      </c>
      <c r="V93" s="113">
        <f t="shared" si="36"/>
        <v>301.74</v>
      </c>
      <c r="W93" s="113">
        <f t="shared" si="36"/>
        <v>285.04000000000002</v>
      </c>
      <c r="X93" s="113">
        <f t="shared" si="36"/>
        <v>337.74</v>
      </c>
      <c r="Y93" s="113">
        <f t="shared" si="36"/>
        <v>385.94</v>
      </c>
      <c r="Z93" s="113">
        <f t="shared" si="36"/>
        <v>391.14</v>
      </c>
      <c r="AA93" s="113">
        <f t="shared" si="36"/>
        <v>368.54</v>
      </c>
      <c r="AB93" s="113">
        <f t="shared" si="36"/>
        <v>328.74</v>
      </c>
      <c r="AC93" s="113">
        <f t="shared" si="36"/>
        <v>301.94000000000005</v>
      </c>
      <c r="AD93" s="113">
        <f t="shared" si="36"/>
        <v>295.04000000000002</v>
      </c>
      <c r="AE93" s="113">
        <f t="shared" si="36"/>
        <v>214.03999999999996</v>
      </c>
      <c r="AF93" s="113">
        <f t="shared" si="36"/>
        <v>179.53999999999996</v>
      </c>
      <c r="AG93" s="115"/>
      <c r="AH93" s="54">
        <f>MAX(C93:AF93)</f>
        <v>391.14</v>
      </c>
      <c r="AI93" s="55">
        <f>MIN(C93:AF93)</f>
        <v>155.03999999999996</v>
      </c>
    </row>
    <row r="94" spans="1:88" x14ac:dyDescent="0.25">
      <c r="A94" s="116" t="s">
        <v>98</v>
      </c>
      <c r="B94" s="119">
        <v>-15.8</v>
      </c>
      <c r="C94" s="117">
        <v>-15.8</v>
      </c>
      <c r="D94" s="117">
        <v>-16</v>
      </c>
      <c r="E94" s="58">
        <v>-12.9</v>
      </c>
      <c r="F94" s="58">
        <v>-11.8</v>
      </c>
      <c r="G94" s="118">
        <v>-2.1</v>
      </c>
      <c r="H94" s="118">
        <v>10</v>
      </c>
      <c r="I94" s="118">
        <v>34.799999999999997</v>
      </c>
      <c r="J94" s="118">
        <v>23.9</v>
      </c>
      <c r="K94" s="118">
        <v>34.9</v>
      </c>
      <c r="L94" s="118">
        <v>28.2</v>
      </c>
      <c r="M94" s="119">
        <v>28.1</v>
      </c>
      <c r="N94" s="118">
        <v>26.4</v>
      </c>
      <c r="O94" s="118">
        <v>27.8</v>
      </c>
      <c r="P94" s="118">
        <v>35.799999999999997</v>
      </c>
      <c r="Q94" s="118">
        <v>22.3</v>
      </c>
      <c r="R94" s="118">
        <v>-1.9</v>
      </c>
      <c r="S94" s="118">
        <v>2</v>
      </c>
      <c r="T94" s="118">
        <v>14.2</v>
      </c>
      <c r="U94" s="119">
        <v>15.3</v>
      </c>
      <c r="V94" s="119">
        <v>42.7</v>
      </c>
      <c r="W94" s="119">
        <v>39.200000000000003</v>
      </c>
      <c r="X94" s="118">
        <v>64</v>
      </c>
      <c r="Y94" s="118">
        <v>40.700000000000003</v>
      </c>
      <c r="Z94" s="118">
        <v>28.4</v>
      </c>
      <c r="AA94" s="118">
        <v>43</v>
      </c>
      <c r="AB94" s="119">
        <v>49.8</v>
      </c>
      <c r="AC94" s="119">
        <v>36.299999999999997</v>
      </c>
      <c r="AD94" s="119">
        <v>35</v>
      </c>
      <c r="AE94" s="119">
        <v>41</v>
      </c>
      <c r="AF94" s="119">
        <v>24.5</v>
      </c>
      <c r="AG94" s="120">
        <v>75</v>
      </c>
      <c r="AH94" s="54">
        <f t="shared" ref="AH94:AH100" si="37">IF(ABS(MAX(C94:AF94))&gt;ABS(MIN(C94:AF94)),MAX(C94:AF94),MIN(C94:AF94))</f>
        <v>64</v>
      </c>
      <c r="AI94" s="121">
        <f t="shared" ref="AI94:AI100" si="38">INDEX($C$9:$AF$9,1,MATCH(AH94,C94:AF94,0))</f>
        <v>0.75</v>
      </c>
    </row>
    <row r="95" spans="1:88" x14ac:dyDescent="0.25">
      <c r="A95" s="122" t="s">
        <v>99</v>
      </c>
      <c r="B95" s="73">
        <v>-46</v>
      </c>
      <c r="C95" s="123">
        <v>-48</v>
      </c>
      <c r="D95" s="123">
        <v>-49</v>
      </c>
      <c r="E95" s="60">
        <v>-51.9</v>
      </c>
      <c r="F95" s="60">
        <v>-51.3</v>
      </c>
      <c r="G95" s="60">
        <v>-42.2</v>
      </c>
      <c r="H95" s="60">
        <v>-37.5</v>
      </c>
      <c r="I95" s="60">
        <v>-7.5</v>
      </c>
      <c r="J95" s="60">
        <v>-7.2</v>
      </c>
      <c r="K95" s="60">
        <v>-7.2</v>
      </c>
      <c r="L95" s="60">
        <v>31.7</v>
      </c>
      <c r="M95" s="60">
        <v>31.4</v>
      </c>
      <c r="N95" s="60">
        <v>29</v>
      </c>
      <c r="O95" s="60">
        <v>13</v>
      </c>
      <c r="P95" s="60">
        <v>2.6</v>
      </c>
      <c r="Q95" s="60">
        <v>11.5</v>
      </c>
      <c r="R95" s="60">
        <v>21</v>
      </c>
      <c r="S95" s="60">
        <v>15.1</v>
      </c>
      <c r="T95" s="60">
        <v>14.2</v>
      </c>
      <c r="U95" s="60">
        <v>21</v>
      </c>
      <c r="V95" s="60">
        <v>13</v>
      </c>
      <c r="W95" s="60">
        <v>18</v>
      </c>
      <c r="X95" s="60">
        <v>23</v>
      </c>
      <c r="Y95" s="60">
        <v>50.8</v>
      </c>
      <c r="Z95" s="60">
        <v>64</v>
      </c>
      <c r="AA95" s="60">
        <v>38.5</v>
      </c>
      <c r="AB95" s="73">
        <v>21</v>
      </c>
      <c r="AC95" s="73">
        <v>25</v>
      </c>
      <c r="AD95" s="73">
        <v>26</v>
      </c>
      <c r="AE95" s="73">
        <v>-8</v>
      </c>
      <c r="AF95" s="73">
        <v>-10</v>
      </c>
      <c r="AG95" s="120">
        <v>240</v>
      </c>
      <c r="AH95" s="54">
        <f t="shared" si="37"/>
        <v>64</v>
      </c>
      <c r="AI95" s="121">
        <f t="shared" si="38"/>
        <v>0.79166666666666663</v>
      </c>
    </row>
    <row r="96" spans="1:88" x14ac:dyDescent="0.25">
      <c r="A96" s="122" t="s">
        <v>100</v>
      </c>
      <c r="B96" s="73">
        <v>-9.3000000000000007</v>
      </c>
      <c r="C96" s="123">
        <v>-11</v>
      </c>
      <c r="D96" s="123">
        <v>-15.9</v>
      </c>
      <c r="E96" s="60">
        <v>-16.899999999999999</v>
      </c>
      <c r="F96" s="60">
        <v>-8.9</v>
      </c>
      <c r="G96" s="60">
        <v>-9.6999999999999993</v>
      </c>
      <c r="H96" s="60">
        <v>-9.8000000000000007</v>
      </c>
      <c r="I96" s="60">
        <v>-12.3</v>
      </c>
      <c r="J96" s="60">
        <v>9.3000000000000007</v>
      </c>
      <c r="K96" s="60">
        <v>9.3000000000000007</v>
      </c>
      <c r="L96" s="60">
        <v>35.200000000000003</v>
      </c>
      <c r="M96" s="60">
        <v>37.6</v>
      </c>
      <c r="N96" s="60">
        <v>18.8</v>
      </c>
      <c r="O96" s="60">
        <v>13.8</v>
      </c>
      <c r="P96" s="60">
        <v>8.8000000000000007</v>
      </c>
      <c r="Q96" s="60">
        <v>5.3</v>
      </c>
      <c r="R96" s="60">
        <v>15.1</v>
      </c>
      <c r="S96" s="60">
        <v>15.2</v>
      </c>
      <c r="T96" s="60">
        <v>17.3</v>
      </c>
      <c r="U96" s="60">
        <v>26.7</v>
      </c>
      <c r="V96" s="60">
        <v>30</v>
      </c>
      <c r="W96" s="60"/>
      <c r="X96" s="60">
        <v>36</v>
      </c>
      <c r="Y96" s="60">
        <v>46</v>
      </c>
      <c r="Z96" s="60">
        <v>48</v>
      </c>
      <c r="AA96" s="60">
        <v>46.6</v>
      </c>
      <c r="AB96" s="73">
        <v>39.1</v>
      </c>
      <c r="AC96" s="73">
        <v>33</v>
      </c>
      <c r="AD96" s="73">
        <v>18</v>
      </c>
      <c r="AE96" s="73">
        <v>0</v>
      </c>
      <c r="AF96" s="73">
        <v>0</v>
      </c>
      <c r="AG96" s="120">
        <v>60</v>
      </c>
      <c r="AH96" s="54">
        <f t="shared" si="37"/>
        <v>48</v>
      </c>
      <c r="AI96" s="121">
        <f t="shared" si="38"/>
        <v>0.79166666666666663</v>
      </c>
    </row>
    <row r="97" spans="1:37" x14ac:dyDescent="0.25">
      <c r="A97" s="124" t="s">
        <v>101</v>
      </c>
      <c r="B97" s="126">
        <v>84.8</v>
      </c>
      <c r="C97" s="125">
        <v>79.599999999999994</v>
      </c>
      <c r="D97" s="125">
        <v>83.5</v>
      </c>
      <c r="E97" s="63">
        <v>79</v>
      </c>
      <c r="F97" s="63">
        <v>75.5</v>
      </c>
      <c r="G97" s="63">
        <v>82.5</v>
      </c>
      <c r="H97" s="63">
        <v>88.1</v>
      </c>
      <c r="I97" s="63">
        <v>73.5</v>
      </c>
      <c r="J97" s="63">
        <v>107.5</v>
      </c>
      <c r="K97" s="63">
        <v>107.5</v>
      </c>
      <c r="L97" s="63">
        <v>93.5</v>
      </c>
      <c r="M97" s="63">
        <v>90.8</v>
      </c>
      <c r="N97" s="63">
        <v>93.7</v>
      </c>
      <c r="O97" s="63">
        <v>99.2</v>
      </c>
      <c r="P97" s="63">
        <v>92.8</v>
      </c>
      <c r="Q97" s="63">
        <v>91.5</v>
      </c>
      <c r="R97" s="63">
        <v>95.5</v>
      </c>
      <c r="S97" s="63">
        <v>97.3</v>
      </c>
      <c r="T97" s="63">
        <v>88.4</v>
      </c>
      <c r="U97" s="63">
        <v>89.6</v>
      </c>
      <c r="V97" s="63">
        <v>65</v>
      </c>
      <c r="W97" s="63">
        <v>73.400000000000006</v>
      </c>
      <c r="X97" s="63">
        <v>61</v>
      </c>
      <c r="Y97" s="63">
        <v>94.7</v>
      </c>
      <c r="Z97" s="63">
        <v>97</v>
      </c>
      <c r="AA97" s="63">
        <v>86.7</v>
      </c>
      <c r="AB97" s="126">
        <v>67.8</v>
      </c>
      <c r="AC97" s="126">
        <v>56.6</v>
      </c>
      <c r="AD97" s="126">
        <v>63</v>
      </c>
      <c r="AE97" s="126">
        <v>28</v>
      </c>
      <c r="AF97" s="126">
        <v>12</v>
      </c>
      <c r="AG97" s="127">
        <v>120</v>
      </c>
      <c r="AH97" s="54">
        <f t="shared" si="37"/>
        <v>107.5</v>
      </c>
      <c r="AI97" s="121">
        <f t="shared" si="38"/>
        <v>0.27083333333333331</v>
      </c>
    </row>
    <row r="98" spans="1:37" x14ac:dyDescent="0.25">
      <c r="A98" s="124" t="s">
        <v>102</v>
      </c>
      <c r="B98" s="126">
        <v>95.9</v>
      </c>
      <c r="C98" s="125">
        <v>90.8</v>
      </c>
      <c r="D98" s="125">
        <v>95.6</v>
      </c>
      <c r="E98" s="63">
        <v>93.5</v>
      </c>
      <c r="F98" s="63">
        <v>91.4</v>
      </c>
      <c r="G98" s="63">
        <v>92.1</v>
      </c>
      <c r="H98" s="63">
        <v>96.4</v>
      </c>
      <c r="I98" s="63">
        <v>62.7</v>
      </c>
      <c r="J98" s="63">
        <v>80.5</v>
      </c>
      <c r="K98" s="63">
        <v>80.5</v>
      </c>
      <c r="L98" s="63">
        <v>72.599999999999994</v>
      </c>
      <c r="M98" s="63">
        <v>72.599999999999994</v>
      </c>
      <c r="N98" s="63">
        <v>91.8</v>
      </c>
      <c r="O98" s="63">
        <v>83.4</v>
      </c>
      <c r="P98" s="63">
        <v>71.3</v>
      </c>
      <c r="Q98" s="63">
        <v>83.7</v>
      </c>
      <c r="R98" s="63">
        <v>90.2</v>
      </c>
      <c r="S98" s="63">
        <v>94.5</v>
      </c>
      <c r="T98" s="63">
        <v>80.8</v>
      </c>
      <c r="U98" s="63">
        <v>72</v>
      </c>
      <c r="V98" s="63">
        <v>40</v>
      </c>
      <c r="W98" s="63">
        <v>55.8</v>
      </c>
      <c r="X98" s="63">
        <v>35</v>
      </c>
      <c r="Y98" s="63">
        <v>80.8</v>
      </c>
      <c r="Z98" s="63">
        <v>103</v>
      </c>
      <c r="AA98" s="63">
        <v>62</v>
      </c>
      <c r="AB98" s="126">
        <v>43.8</v>
      </c>
      <c r="AC98" s="126">
        <v>64</v>
      </c>
      <c r="AD98" s="126">
        <v>70</v>
      </c>
      <c r="AE98" s="126">
        <v>53</v>
      </c>
      <c r="AF98" s="126">
        <v>58</v>
      </c>
      <c r="AG98" s="127"/>
      <c r="AH98" s="54">
        <f t="shared" si="37"/>
        <v>103</v>
      </c>
      <c r="AI98" s="121">
        <f t="shared" si="38"/>
        <v>0.79166666666666663</v>
      </c>
    </row>
    <row r="99" spans="1:37" x14ac:dyDescent="0.25">
      <c r="A99" s="124" t="s">
        <v>103</v>
      </c>
      <c r="B99" s="126">
        <v>56.7</v>
      </c>
      <c r="C99" s="125">
        <v>59.6</v>
      </c>
      <c r="D99" s="125">
        <v>57</v>
      </c>
      <c r="E99" s="63">
        <v>61</v>
      </c>
      <c r="F99" s="63">
        <v>59.6</v>
      </c>
      <c r="G99" s="63">
        <v>54.5</v>
      </c>
      <c r="H99" s="63">
        <v>40.4</v>
      </c>
      <c r="I99" s="63">
        <v>20.5</v>
      </c>
      <c r="J99" s="63">
        <v>46.7</v>
      </c>
      <c r="K99" s="63">
        <v>46.7</v>
      </c>
      <c r="L99" s="63">
        <v>41.7</v>
      </c>
      <c r="M99" s="63">
        <v>41.7</v>
      </c>
      <c r="N99" s="63">
        <v>38.700000000000003</v>
      </c>
      <c r="O99" s="63">
        <v>40.200000000000003</v>
      </c>
      <c r="P99" s="63">
        <v>33</v>
      </c>
      <c r="Q99" s="63">
        <v>42</v>
      </c>
      <c r="R99" s="63">
        <v>69.400000000000006</v>
      </c>
      <c r="S99" s="63">
        <v>55.7</v>
      </c>
      <c r="T99" s="63">
        <v>25.8</v>
      </c>
      <c r="U99" s="63">
        <v>30.8</v>
      </c>
      <c r="V99" s="63">
        <v>12</v>
      </c>
      <c r="W99" s="63">
        <v>14</v>
      </c>
      <c r="X99" s="63">
        <v>13</v>
      </c>
      <c r="Y99" s="63">
        <v>38.6</v>
      </c>
      <c r="Z99" s="63">
        <v>55</v>
      </c>
      <c r="AA99" s="63">
        <v>38</v>
      </c>
      <c r="AB99" s="126">
        <v>33.1</v>
      </c>
      <c r="AC99" s="126">
        <v>33</v>
      </c>
      <c r="AD99" s="126">
        <v>27</v>
      </c>
      <c r="AE99" s="126">
        <v>22</v>
      </c>
      <c r="AF99" s="126">
        <v>41</v>
      </c>
      <c r="AG99" s="128"/>
      <c r="AH99" s="54">
        <f t="shared" si="37"/>
        <v>69.400000000000006</v>
      </c>
      <c r="AI99" s="121">
        <f t="shared" si="38"/>
        <v>0.54166666666666696</v>
      </c>
    </row>
    <row r="100" spans="1:37" ht="15.75" thickBot="1" x14ac:dyDescent="0.3">
      <c r="A100" s="181" t="s">
        <v>222</v>
      </c>
      <c r="B100" s="104">
        <v>64.099999999999994</v>
      </c>
      <c r="C100" s="104">
        <v>67.599999999999994</v>
      </c>
      <c r="D100" s="104">
        <v>67.900000000000006</v>
      </c>
      <c r="E100" s="60">
        <v>62.9</v>
      </c>
      <c r="F100" s="60">
        <v>64.599999999999994</v>
      </c>
      <c r="G100" s="60">
        <v>65.900000000000006</v>
      </c>
      <c r="H100" s="60">
        <v>69.7</v>
      </c>
      <c r="I100" s="60">
        <v>35.4</v>
      </c>
      <c r="J100" s="60">
        <v>44</v>
      </c>
      <c r="K100" s="60">
        <v>44</v>
      </c>
      <c r="L100" s="60">
        <v>52.5</v>
      </c>
      <c r="M100" s="60">
        <v>52.5</v>
      </c>
      <c r="N100" s="60">
        <v>64.8</v>
      </c>
      <c r="O100" s="60">
        <v>62.8</v>
      </c>
      <c r="P100" s="60">
        <v>63.3</v>
      </c>
      <c r="Q100" s="60">
        <v>60.7</v>
      </c>
      <c r="R100" s="60">
        <v>61.1</v>
      </c>
      <c r="S100" s="60">
        <v>59.7</v>
      </c>
      <c r="T100" s="60">
        <v>61.4</v>
      </c>
      <c r="U100" s="60">
        <v>67</v>
      </c>
      <c r="V100" s="60">
        <v>52</v>
      </c>
      <c r="W100" s="60">
        <v>48.9</v>
      </c>
      <c r="X100" s="60">
        <v>59</v>
      </c>
      <c r="Y100" s="60">
        <v>61</v>
      </c>
      <c r="Z100" s="60">
        <v>61</v>
      </c>
      <c r="AA100" s="60">
        <v>60</v>
      </c>
      <c r="AB100" s="104">
        <v>56.2</v>
      </c>
      <c r="AC100" s="104">
        <v>52</v>
      </c>
      <c r="AD100" s="104">
        <v>46</v>
      </c>
      <c r="AE100" s="104">
        <v>43</v>
      </c>
      <c r="AF100" s="104">
        <v>40</v>
      </c>
      <c r="AG100" s="128"/>
      <c r="AH100" s="54">
        <f t="shared" si="37"/>
        <v>69.7</v>
      </c>
      <c r="AI100" s="121">
        <f t="shared" si="38"/>
        <v>0.22916666666666666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39">AF102</f>
        <v>9.9</v>
      </c>
      <c r="C102" s="53">
        <v>9.9</v>
      </c>
      <c r="D102" s="134">
        <f t="shared" ref="D102:S107" si="40">C102</f>
        <v>9.9</v>
      </c>
      <c r="E102" s="134">
        <f t="shared" si="40"/>
        <v>9.9</v>
      </c>
      <c r="F102" s="134">
        <f t="shared" si="40"/>
        <v>9.9</v>
      </c>
      <c r="G102" s="134">
        <f t="shared" si="40"/>
        <v>9.9</v>
      </c>
      <c r="H102" s="134">
        <f t="shared" si="40"/>
        <v>9.9</v>
      </c>
      <c r="I102" s="134">
        <f t="shared" si="40"/>
        <v>9.9</v>
      </c>
      <c r="J102" s="134">
        <f t="shared" si="40"/>
        <v>9.9</v>
      </c>
      <c r="K102" s="134">
        <f t="shared" si="40"/>
        <v>9.9</v>
      </c>
      <c r="L102" s="134">
        <f t="shared" si="40"/>
        <v>9.9</v>
      </c>
      <c r="M102" s="134">
        <f t="shared" si="40"/>
        <v>9.9</v>
      </c>
      <c r="N102" s="134">
        <f t="shared" si="40"/>
        <v>9.9</v>
      </c>
      <c r="O102" s="134">
        <f t="shared" si="40"/>
        <v>9.9</v>
      </c>
      <c r="P102" s="134">
        <f t="shared" si="40"/>
        <v>9.9</v>
      </c>
      <c r="Q102" s="134">
        <f t="shared" si="40"/>
        <v>9.9</v>
      </c>
      <c r="R102" s="134">
        <f t="shared" si="40"/>
        <v>9.9</v>
      </c>
      <c r="S102" s="134">
        <f t="shared" si="40"/>
        <v>9.9</v>
      </c>
      <c r="T102" s="134">
        <f t="shared" ref="T102:AF107" si="41">S102</f>
        <v>9.9</v>
      </c>
      <c r="U102" s="134">
        <f t="shared" si="41"/>
        <v>9.9</v>
      </c>
      <c r="V102" s="134">
        <f t="shared" si="41"/>
        <v>9.9</v>
      </c>
      <c r="W102" s="134">
        <f t="shared" si="41"/>
        <v>9.9</v>
      </c>
      <c r="X102" s="134">
        <f t="shared" si="41"/>
        <v>9.9</v>
      </c>
      <c r="Y102" s="134">
        <f t="shared" si="41"/>
        <v>9.9</v>
      </c>
      <c r="Z102" s="134">
        <f t="shared" si="41"/>
        <v>9.9</v>
      </c>
      <c r="AA102" s="134">
        <f t="shared" si="41"/>
        <v>9.9</v>
      </c>
      <c r="AB102" s="134">
        <f t="shared" si="41"/>
        <v>9.9</v>
      </c>
      <c r="AC102" s="134">
        <f t="shared" si="41"/>
        <v>9.9</v>
      </c>
      <c r="AD102" s="134">
        <f t="shared" si="41"/>
        <v>9.9</v>
      </c>
      <c r="AE102" s="134">
        <f t="shared" si="41"/>
        <v>9.9</v>
      </c>
      <c r="AF102" s="134">
        <f t="shared" si="41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39"/>
        <v>9.6</v>
      </c>
      <c r="C103" s="137">
        <v>9.6</v>
      </c>
      <c r="D103" s="136">
        <f t="shared" si="40"/>
        <v>9.6</v>
      </c>
      <c r="E103" s="136">
        <f t="shared" si="40"/>
        <v>9.6</v>
      </c>
      <c r="F103" s="136">
        <f t="shared" si="40"/>
        <v>9.6</v>
      </c>
      <c r="G103" s="136">
        <f t="shared" si="40"/>
        <v>9.6</v>
      </c>
      <c r="H103" s="136">
        <f t="shared" si="40"/>
        <v>9.6</v>
      </c>
      <c r="I103" s="136">
        <f t="shared" si="40"/>
        <v>9.6</v>
      </c>
      <c r="J103" s="136">
        <f t="shared" si="40"/>
        <v>9.6</v>
      </c>
      <c r="K103" s="136">
        <f t="shared" si="40"/>
        <v>9.6</v>
      </c>
      <c r="L103" s="136">
        <f t="shared" si="40"/>
        <v>9.6</v>
      </c>
      <c r="M103" s="136">
        <f t="shared" si="40"/>
        <v>9.6</v>
      </c>
      <c r="N103" s="136">
        <f t="shared" si="40"/>
        <v>9.6</v>
      </c>
      <c r="O103" s="136">
        <f t="shared" si="40"/>
        <v>9.6</v>
      </c>
      <c r="P103" s="136">
        <f t="shared" si="40"/>
        <v>9.6</v>
      </c>
      <c r="Q103" s="136">
        <f t="shared" si="40"/>
        <v>9.6</v>
      </c>
      <c r="R103" s="136">
        <f t="shared" si="40"/>
        <v>9.6</v>
      </c>
      <c r="S103" s="136">
        <f t="shared" si="40"/>
        <v>9.6</v>
      </c>
      <c r="T103" s="136">
        <f t="shared" si="41"/>
        <v>9.6</v>
      </c>
      <c r="U103" s="136">
        <f t="shared" si="41"/>
        <v>9.6</v>
      </c>
      <c r="V103" s="136">
        <f t="shared" si="41"/>
        <v>9.6</v>
      </c>
      <c r="W103" s="136">
        <f t="shared" si="41"/>
        <v>9.6</v>
      </c>
      <c r="X103" s="136">
        <f t="shared" si="41"/>
        <v>9.6</v>
      </c>
      <c r="Y103" s="136">
        <f t="shared" si="41"/>
        <v>9.6</v>
      </c>
      <c r="Z103" s="136">
        <f t="shared" si="41"/>
        <v>9.6</v>
      </c>
      <c r="AA103" s="136">
        <f t="shared" si="41"/>
        <v>9.6</v>
      </c>
      <c r="AB103" s="136">
        <f t="shared" si="41"/>
        <v>9.6</v>
      </c>
      <c r="AC103" s="136">
        <f t="shared" si="41"/>
        <v>9.6</v>
      </c>
      <c r="AD103" s="136">
        <f t="shared" si="41"/>
        <v>9.6</v>
      </c>
      <c r="AE103" s="136">
        <f t="shared" si="41"/>
        <v>9.6</v>
      </c>
      <c r="AF103" s="136">
        <f t="shared" si="41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39"/>
        <v>9.98</v>
      </c>
      <c r="C104" s="137">
        <v>9.98</v>
      </c>
      <c r="D104" s="136">
        <f t="shared" si="40"/>
        <v>9.98</v>
      </c>
      <c r="E104" s="136">
        <f t="shared" si="40"/>
        <v>9.98</v>
      </c>
      <c r="F104" s="136">
        <f t="shared" si="40"/>
        <v>9.98</v>
      </c>
      <c r="G104" s="136">
        <f t="shared" si="40"/>
        <v>9.98</v>
      </c>
      <c r="H104" s="136">
        <f t="shared" si="40"/>
        <v>9.98</v>
      </c>
      <c r="I104" s="136">
        <f t="shared" si="40"/>
        <v>9.98</v>
      </c>
      <c r="J104" s="136">
        <f t="shared" si="40"/>
        <v>9.98</v>
      </c>
      <c r="K104" s="136">
        <f t="shared" si="40"/>
        <v>9.98</v>
      </c>
      <c r="L104" s="136">
        <f t="shared" si="40"/>
        <v>9.98</v>
      </c>
      <c r="M104" s="136">
        <f t="shared" si="40"/>
        <v>9.98</v>
      </c>
      <c r="N104" s="136">
        <f t="shared" si="40"/>
        <v>9.98</v>
      </c>
      <c r="O104" s="136">
        <f t="shared" si="40"/>
        <v>9.98</v>
      </c>
      <c r="P104" s="136">
        <f t="shared" si="40"/>
        <v>9.98</v>
      </c>
      <c r="Q104" s="136">
        <f t="shared" si="40"/>
        <v>9.98</v>
      </c>
      <c r="R104" s="136">
        <f t="shared" si="40"/>
        <v>9.98</v>
      </c>
      <c r="S104" s="136">
        <f t="shared" si="40"/>
        <v>9.98</v>
      </c>
      <c r="T104" s="136">
        <f t="shared" si="41"/>
        <v>9.98</v>
      </c>
      <c r="U104" s="136">
        <f t="shared" si="41"/>
        <v>9.98</v>
      </c>
      <c r="V104" s="136">
        <f t="shared" si="41"/>
        <v>9.98</v>
      </c>
      <c r="W104" s="136">
        <f t="shared" si="41"/>
        <v>9.98</v>
      </c>
      <c r="X104" s="136">
        <f t="shared" si="41"/>
        <v>9.98</v>
      </c>
      <c r="Y104" s="136">
        <f t="shared" si="41"/>
        <v>9.98</v>
      </c>
      <c r="Z104" s="136">
        <f t="shared" si="41"/>
        <v>9.98</v>
      </c>
      <c r="AA104" s="136">
        <f t="shared" si="41"/>
        <v>9.98</v>
      </c>
      <c r="AB104" s="136">
        <f t="shared" si="41"/>
        <v>9.98</v>
      </c>
      <c r="AC104" s="136">
        <f t="shared" si="41"/>
        <v>9.98</v>
      </c>
      <c r="AD104" s="136">
        <f t="shared" si="41"/>
        <v>9.98</v>
      </c>
      <c r="AE104" s="136">
        <f t="shared" si="41"/>
        <v>9.98</v>
      </c>
      <c r="AF104" s="136">
        <f t="shared" si="41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39"/>
        <v>9.1</v>
      </c>
      <c r="C105" s="137">
        <v>9.1</v>
      </c>
      <c r="D105" s="136">
        <f t="shared" si="40"/>
        <v>9.1</v>
      </c>
      <c r="E105" s="136">
        <f t="shared" si="40"/>
        <v>9.1</v>
      </c>
      <c r="F105" s="136">
        <f t="shared" si="40"/>
        <v>9.1</v>
      </c>
      <c r="G105" s="136">
        <f t="shared" si="40"/>
        <v>9.1</v>
      </c>
      <c r="H105" s="136">
        <f t="shared" si="40"/>
        <v>9.1</v>
      </c>
      <c r="I105" s="136">
        <f t="shared" si="40"/>
        <v>9.1</v>
      </c>
      <c r="J105" s="136">
        <f t="shared" si="40"/>
        <v>9.1</v>
      </c>
      <c r="K105" s="136">
        <f t="shared" si="40"/>
        <v>9.1</v>
      </c>
      <c r="L105" s="136">
        <f t="shared" si="40"/>
        <v>9.1</v>
      </c>
      <c r="M105" s="136">
        <f t="shared" si="40"/>
        <v>9.1</v>
      </c>
      <c r="N105" s="136">
        <f t="shared" si="40"/>
        <v>9.1</v>
      </c>
      <c r="O105" s="136">
        <f t="shared" si="40"/>
        <v>9.1</v>
      </c>
      <c r="P105" s="136">
        <f t="shared" si="40"/>
        <v>9.1</v>
      </c>
      <c r="Q105" s="136">
        <f t="shared" si="40"/>
        <v>9.1</v>
      </c>
      <c r="R105" s="136">
        <f t="shared" si="40"/>
        <v>9.1</v>
      </c>
      <c r="S105" s="136">
        <f t="shared" si="40"/>
        <v>9.1</v>
      </c>
      <c r="T105" s="136">
        <f t="shared" si="41"/>
        <v>9.1</v>
      </c>
      <c r="U105" s="136">
        <f t="shared" si="41"/>
        <v>9.1</v>
      </c>
      <c r="V105" s="136">
        <f t="shared" si="41"/>
        <v>9.1</v>
      </c>
      <c r="W105" s="136">
        <f t="shared" si="41"/>
        <v>9.1</v>
      </c>
      <c r="X105" s="136">
        <f t="shared" si="41"/>
        <v>9.1</v>
      </c>
      <c r="Y105" s="136">
        <f t="shared" si="41"/>
        <v>9.1</v>
      </c>
      <c r="Z105" s="136">
        <f t="shared" si="41"/>
        <v>9.1</v>
      </c>
      <c r="AA105" s="136">
        <f t="shared" si="41"/>
        <v>9.1</v>
      </c>
      <c r="AB105" s="136">
        <f t="shared" si="41"/>
        <v>9.1</v>
      </c>
      <c r="AC105" s="136">
        <f t="shared" si="41"/>
        <v>9.1</v>
      </c>
      <c r="AD105" s="136">
        <f t="shared" si="41"/>
        <v>9.1</v>
      </c>
      <c r="AE105" s="136">
        <f t="shared" si="41"/>
        <v>9.1</v>
      </c>
      <c r="AF105" s="136">
        <f t="shared" si="41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39"/>
        <v>9.18</v>
      </c>
      <c r="C106" s="137">
        <v>9.18</v>
      </c>
      <c r="D106" s="136">
        <f t="shared" si="40"/>
        <v>9.18</v>
      </c>
      <c r="E106" s="136">
        <f t="shared" si="40"/>
        <v>9.18</v>
      </c>
      <c r="F106" s="136">
        <f t="shared" si="40"/>
        <v>9.18</v>
      </c>
      <c r="G106" s="136">
        <f t="shared" si="40"/>
        <v>9.18</v>
      </c>
      <c r="H106" s="136">
        <f t="shared" si="40"/>
        <v>9.18</v>
      </c>
      <c r="I106" s="136">
        <f t="shared" si="40"/>
        <v>9.18</v>
      </c>
      <c r="J106" s="136">
        <f t="shared" si="40"/>
        <v>9.18</v>
      </c>
      <c r="K106" s="136">
        <f t="shared" si="40"/>
        <v>9.18</v>
      </c>
      <c r="L106" s="136">
        <f t="shared" si="40"/>
        <v>9.18</v>
      </c>
      <c r="M106" s="136">
        <f t="shared" si="40"/>
        <v>9.18</v>
      </c>
      <c r="N106" s="136">
        <f t="shared" si="40"/>
        <v>9.18</v>
      </c>
      <c r="O106" s="136">
        <f t="shared" si="40"/>
        <v>9.18</v>
      </c>
      <c r="P106" s="136">
        <f t="shared" si="40"/>
        <v>9.18</v>
      </c>
      <c r="Q106" s="136">
        <f t="shared" si="40"/>
        <v>9.18</v>
      </c>
      <c r="R106" s="136">
        <f t="shared" si="40"/>
        <v>9.18</v>
      </c>
      <c r="S106" s="136">
        <f t="shared" si="40"/>
        <v>9.18</v>
      </c>
      <c r="T106" s="136">
        <f t="shared" si="41"/>
        <v>9.18</v>
      </c>
      <c r="U106" s="136">
        <f t="shared" si="41"/>
        <v>9.18</v>
      </c>
      <c r="V106" s="136">
        <f t="shared" si="41"/>
        <v>9.18</v>
      </c>
      <c r="W106" s="136">
        <f t="shared" si="41"/>
        <v>9.18</v>
      </c>
      <c r="X106" s="136">
        <f t="shared" si="41"/>
        <v>9.18</v>
      </c>
      <c r="Y106" s="136">
        <f t="shared" si="41"/>
        <v>9.18</v>
      </c>
      <c r="Z106" s="136">
        <f t="shared" si="41"/>
        <v>9.18</v>
      </c>
      <c r="AA106" s="136">
        <f t="shared" si="41"/>
        <v>9.18</v>
      </c>
      <c r="AB106" s="136">
        <f t="shared" si="41"/>
        <v>9.18</v>
      </c>
      <c r="AC106" s="136">
        <f t="shared" si="41"/>
        <v>9.18</v>
      </c>
      <c r="AD106" s="136">
        <f t="shared" si="41"/>
        <v>9.18</v>
      </c>
      <c r="AE106" s="136">
        <f t="shared" si="41"/>
        <v>9.18</v>
      </c>
      <c r="AF106" s="136">
        <f t="shared" si="41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39"/>
        <v>7</v>
      </c>
      <c r="C107" s="137">
        <v>7</v>
      </c>
      <c r="D107" s="136">
        <f t="shared" si="40"/>
        <v>7</v>
      </c>
      <c r="E107" s="136">
        <f t="shared" si="40"/>
        <v>7</v>
      </c>
      <c r="F107" s="136">
        <f t="shared" si="40"/>
        <v>7</v>
      </c>
      <c r="G107" s="136">
        <f t="shared" si="40"/>
        <v>7</v>
      </c>
      <c r="H107" s="136">
        <f t="shared" si="40"/>
        <v>7</v>
      </c>
      <c r="I107" s="136">
        <f t="shared" si="40"/>
        <v>7</v>
      </c>
      <c r="J107" s="136">
        <f t="shared" si="40"/>
        <v>7</v>
      </c>
      <c r="K107" s="136">
        <f t="shared" si="40"/>
        <v>7</v>
      </c>
      <c r="L107" s="136">
        <f t="shared" si="40"/>
        <v>7</v>
      </c>
      <c r="M107" s="136">
        <f t="shared" si="40"/>
        <v>7</v>
      </c>
      <c r="N107" s="136">
        <f t="shared" si="40"/>
        <v>7</v>
      </c>
      <c r="O107" s="136">
        <f t="shared" si="40"/>
        <v>7</v>
      </c>
      <c r="P107" s="136">
        <f t="shared" si="40"/>
        <v>7</v>
      </c>
      <c r="Q107" s="136">
        <f t="shared" si="40"/>
        <v>7</v>
      </c>
      <c r="R107" s="136">
        <f t="shared" si="40"/>
        <v>7</v>
      </c>
      <c r="S107" s="136">
        <f t="shared" si="40"/>
        <v>7</v>
      </c>
      <c r="T107" s="136">
        <f t="shared" si="41"/>
        <v>7</v>
      </c>
      <c r="U107" s="136">
        <f t="shared" si="41"/>
        <v>7</v>
      </c>
      <c r="V107" s="136">
        <f t="shared" si="41"/>
        <v>7</v>
      </c>
      <c r="W107" s="136">
        <f t="shared" si="41"/>
        <v>7</v>
      </c>
      <c r="X107" s="136">
        <f t="shared" si="41"/>
        <v>7</v>
      </c>
      <c r="Y107" s="136">
        <f t="shared" si="41"/>
        <v>7</v>
      </c>
      <c r="Z107" s="136">
        <f t="shared" si="41"/>
        <v>7</v>
      </c>
      <c r="AA107" s="136">
        <f t="shared" si="41"/>
        <v>7</v>
      </c>
      <c r="AB107" s="136">
        <f t="shared" si="41"/>
        <v>7</v>
      </c>
      <c r="AC107" s="136">
        <f t="shared" si="41"/>
        <v>7</v>
      </c>
      <c r="AD107" s="136">
        <f t="shared" si="41"/>
        <v>7</v>
      </c>
      <c r="AE107" s="136">
        <f t="shared" si="41"/>
        <v>7</v>
      </c>
      <c r="AF107" s="136">
        <f t="shared" si="41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42">C109</f>
        <v>2.25</v>
      </c>
      <c r="E109" s="136">
        <f t="shared" si="42"/>
        <v>2.25</v>
      </c>
      <c r="F109" s="136">
        <f t="shared" si="42"/>
        <v>2.25</v>
      </c>
      <c r="G109" s="136">
        <f t="shared" si="42"/>
        <v>2.25</v>
      </c>
      <c r="H109" s="136">
        <f t="shared" si="42"/>
        <v>2.25</v>
      </c>
      <c r="I109" s="136">
        <f t="shared" si="42"/>
        <v>2.25</v>
      </c>
      <c r="J109" s="136">
        <f t="shared" si="42"/>
        <v>2.25</v>
      </c>
      <c r="K109" s="136">
        <f t="shared" si="42"/>
        <v>2.25</v>
      </c>
      <c r="L109" s="136">
        <f t="shared" si="42"/>
        <v>2.25</v>
      </c>
      <c r="M109" s="136">
        <f t="shared" si="42"/>
        <v>2.25</v>
      </c>
      <c r="N109" s="136">
        <f t="shared" si="42"/>
        <v>2.25</v>
      </c>
      <c r="O109" s="136">
        <f t="shared" si="42"/>
        <v>2.25</v>
      </c>
      <c r="P109" s="136">
        <f t="shared" si="42"/>
        <v>2.25</v>
      </c>
      <c r="Q109" s="136">
        <f t="shared" si="42"/>
        <v>2.25</v>
      </c>
      <c r="R109" s="136">
        <f t="shared" si="42"/>
        <v>2.25</v>
      </c>
      <c r="S109" s="136">
        <f t="shared" si="42"/>
        <v>2.25</v>
      </c>
      <c r="T109" s="136">
        <f t="shared" ref="T109:AF110" si="43">S109</f>
        <v>2.25</v>
      </c>
      <c r="U109" s="136">
        <f t="shared" si="43"/>
        <v>2.25</v>
      </c>
      <c r="V109" s="136">
        <f t="shared" si="43"/>
        <v>2.25</v>
      </c>
      <c r="W109" s="136">
        <f t="shared" si="43"/>
        <v>2.25</v>
      </c>
      <c r="X109" s="136">
        <f t="shared" si="43"/>
        <v>2.25</v>
      </c>
      <c r="Y109" s="136">
        <f t="shared" si="43"/>
        <v>2.25</v>
      </c>
      <c r="Z109" s="136">
        <f t="shared" si="43"/>
        <v>2.25</v>
      </c>
      <c r="AA109" s="136">
        <f t="shared" si="43"/>
        <v>2.25</v>
      </c>
      <c r="AB109" s="136">
        <f t="shared" si="43"/>
        <v>2.25</v>
      </c>
      <c r="AC109" s="136">
        <f t="shared" si="43"/>
        <v>2.25</v>
      </c>
      <c r="AD109" s="136">
        <f t="shared" si="43"/>
        <v>2.25</v>
      </c>
      <c r="AE109" s="136">
        <f t="shared" si="43"/>
        <v>2.25</v>
      </c>
      <c r="AF109" s="136">
        <f t="shared" si="43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42"/>
        <v>1.64</v>
      </c>
      <c r="E110" s="136">
        <f t="shared" si="42"/>
        <v>1.64</v>
      </c>
      <c r="F110" s="136">
        <f t="shared" si="42"/>
        <v>1.64</v>
      </c>
      <c r="G110" s="136">
        <f t="shared" si="42"/>
        <v>1.64</v>
      </c>
      <c r="H110" s="136">
        <f t="shared" si="42"/>
        <v>1.64</v>
      </c>
      <c r="I110" s="136">
        <f t="shared" si="42"/>
        <v>1.64</v>
      </c>
      <c r="J110" s="136">
        <f t="shared" si="42"/>
        <v>1.64</v>
      </c>
      <c r="K110" s="136">
        <f t="shared" si="42"/>
        <v>1.64</v>
      </c>
      <c r="L110" s="136">
        <f t="shared" si="42"/>
        <v>1.64</v>
      </c>
      <c r="M110" s="136">
        <f t="shared" si="42"/>
        <v>1.64</v>
      </c>
      <c r="N110" s="136">
        <f t="shared" si="42"/>
        <v>1.64</v>
      </c>
      <c r="O110" s="136">
        <f t="shared" si="42"/>
        <v>1.64</v>
      </c>
      <c r="P110" s="136">
        <f t="shared" si="42"/>
        <v>1.64</v>
      </c>
      <c r="Q110" s="136">
        <f t="shared" si="42"/>
        <v>1.64</v>
      </c>
      <c r="R110" s="136">
        <f t="shared" si="42"/>
        <v>1.64</v>
      </c>
      <c r="S110" s="136">
        <f t="shared" si="42"/>
        <v>1.64</v>
      </c>
      <c r="T110" s="136">
        <f t="shared" si="43"/>
        <v>1.64</v>
      </c>
      <c r="U110" s="136">
        <f t="shared" si="43"/>
        <v>1.64</v>
      </c>
      <c r="V110" s="136">
        <f t="shared" si="43"/>
        <v>1.64</v>
      </c>
      <c r="W110" s="136">
        <f t="shared" si="43"/>
        <v>1.64</v>
      </c>
      <c r="X110" s="136">
        <f t="shared" si="43"/>
        <v>1.64</v>
      </c>
      <c r="Y110" s="136">
        <f t="shared" si="43"/>
        <v>1.64</v>
      </c>
      <c r="Z110" s="136">
        <f t="shared" si="43"/>
        <v>1.64</v>
      </c>
      <c r="AA110" s="136">
        <f t="shared" si="43"/>
        <v>1.64</v>
      </c>
      <c r="AB110" s="136">
        <f t="shared" si="43"/>
        <v>1.64</v>
      </c>
      <c r="AC110" s="136">
        <f t="shared" si="43"/>
        <v>1.64</v>
      </c>
      <c r="AD110" s="136">
        <f t="shared" si="43"/>
        <v>1.64</v>
      </c>
      <c r="AE110" s="136">
        <f t="shared" si="43"/>
        <v>1.64</v>
      </c>
      <c r="AF110" s="136">
        <f t="shared" si="43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44">AF112</f>
        <v>1.62</v>
      </c>
      <c r="C112" s="137">
        <v>1.62</v>
      </c>
      <c r="D112" s="136">
        <f t="shared" ref="D112:S119" si="45">C112</f>
        <v>1.62</v>
      </c>
      <c r="E112" s="136">
        <f t="shared" si="45"/>
        <v>1.62</v>
      </c>
      <c r="F112" s="136">
        <f t="shared" si="45"/>
        <v>1.62</v>
      </c>
      <c r="G112" s="136">
        <f t="shared" si="45"/>
        <v>1.62</v>
      </c>
      <c r="H112" s="136">
        <f t="shared" si="45"/>
        <v>1.62</v>
      </c>
      <c r="I112" s="136">
        <f t="shared" si="45"/>
        <v>1.62</v>
      </c>
      <c r="J112" s="136">
        <f t="shared" si="45"/>
        <v>1.62</v>
      </c>
      <c r="K112" s="136">
        <f t="shared" si="45"/>
        <v>1.62</v>
      </c>
      <c r="L112" s="136">
        <f t="shared" si="45"/>
        <v>1.62</v>
      </c>
      <c r="M112" s="136">
        <f t="shared" si="45"/>
        <v>1.62</v>
      </c>
      <c r="N112" s="136">
        <f t="shared" si="45"/>
        <v>1.62</v>
      </c>
      <c r="O112" s="136">
        <f t="shared" si="45"/>
        <v>1.62</v>
      </c>
      <c r="P112" s="136">
        <f t="shared" si="45"/>
        <v>1.62</v>
      </c>
      <c r="Q112" s="136">
        <f t="shared" si="45"/>
        <v>1.62</v>
      </c>
      <c r="R112" s="136">
        <f t="shared" si="45"/>
        <v>1.62</v>
      </c>
      <c r="S112" s="136">
        <f t="shared" si="45"/>
        <v>1.62</v>
      </c>
      <c r="T112" s="136">
        <f t="shared" ref="T112:AF127" si="46">S112</f>
        <v>1.62</v>
      </c>
      <c r="U112" s="136">
        <f t="shared" si="46"/>
        <v>1.62</v>
      </c>
      <c r="V112" s="136">
        <f t="shared" si="46"/>
        <v>1.62</v>
      </c>
      <c r="W112" s="136">
        <f t="shared" si="46"/>
        <v>1.62</v>
      </c>
      <c r="X112" s="136">
        <f t="shared" si="46"/>
        <v>1.62</v>
      </c>
      <c r="Y112" s="136">
        <f t="shared" si="46"/>
        <v>1.62</v>
      </c>
      <c r="Z112" s="136">
        <f t="shared" si="46"/>
        <v>1.62</v>
      </c>
      <c r="AA112" s="136">
        <f t="shared" si="46"/>
        <v>1.62</v>
      </c>
      <c r="AB112" s="136">
        <f t="shared" si="46"/>
        <v>1.62</v>
      </c>
      <c r="AC112" s="136">
        <f t="shared" si="46"/>
        <v>1.62</v>
      </c>
      <c r="AD112" s="136">
        <f t="shared" si="46"/>
        <v>1.62</v>
      </c>
      <c r="AE112" s="136">
        <f t="shared" si="46"/>
        <v>1.62</v>
      </c>
      <c r="AF112" s="136">
        <f t="shared" si="46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44"/>
        <v>8.36</v>
      </c>
      <c r="C113" s="137">
        <v>8.36</v>
      </c>
      <c r="D113" s="136">
        <f t="shared" si="45"/>
        <v>8.36</v>
      </c>
      <c r="E113" s="136">
        <f t="shared" si="45"/>
        <v>8.36</v>
      </c>
      <c r="F113" s="136">
        <f t="shared" si="45"/>
        <v>8.36</v>
      </c>
      <c r="G113" s="136">
        <f t="shared" si="45"/>
        <v>8.36</v>
      </c>
      <c r="H113" s="136">
        <f t="shared" si="45"/>
        <v>8.36</v>
      </c>
      <c r="I113" s="136">
        <f t="shared" si="45"/>
        <v>8.36</v>
      </c>
      <c r="J113" s="136">
        <f t="shared" si="45"/>
        <v>8.36</v>
      </c>
      <c r="K113" s="136">
        <f t="shared" si="45"/>
        <v>8.36</v>
      </c>
      <c r="L113" s="136">
        <f t="shared" si="45"/>
        <v>8.36</v>
      </c>
      <c r="M113" s="136">
        <f t="shared" si="45"/>
        <v>8.36</v>
      </c>
      <c r="N113" s="136">
        <f t="shared" si="45"/>
        <v>8.36</v>
      </c>
      <c r="O113" s="136">
        <f t="shared" si="45"/>
        <v>8.36</v>
      </c>
      <c r="P113" s="136">
        <f t="shared" si="45"/>
        <v>8.36</v>
      </c>
      <c r="Q113" s="136">
        <f t="shared" si="45"/>
        <v>8.36</v>
      </c>
      <c r="R113" s="136">
        <f t="shared" si="45"/>
        <v>8.36</v>
      </c>
      <c r="S113" s="136">
        <f t="shared" si="45"/>
        <v>8.36</v>
      </c>
      <c r="T113" s="136">
        <f t="shared" si="46"/>
        <v>8.36</v>
      </c>
      <c r="U113" s="136">
        <f t="shared" si="46"/>
        <v>8.36</v>
      </c>
      <c r="V113" s="136">
        <f t="shared" si="46"/>
        <v>8.36</v>
      </c>
      <c r="W113" s="136">
        <f t="shared" si="46"/>
        <v>8.36</v>
      </c>
      <c r="X113" s="136">
        <f t="shared" si="46"/>
        <v>8.36</v>
      </c>
      <c r="Y113" s="136">
        <f t="shared" si="46"/>
        <v>8.36</v>
      </c>
      <c r="Z113" s="136">
        <f t="shared" si="46"/>
        <v>8.36</v>
      </c>
      <c r="AA113" s="136">
        <f t="shared" si="46"/>
        <v>8.36</v>
      </c>
      <c r="AB113" s="136">
        <f t="shared" si="46"/>
        <v>8.36</v>
      </c>
      <c r="AC113" s="136">
        <f t="shared" si="46"/>
        <v>8.36</v>
      </c>
      <c r="AD113" s="136">
        <f t="shared" si="46"/>
        <v>8.36</v>
      </c>
      <c r="AE113" s="136">
        <f t="shared" si="46"/>
        <v>8.36</v>
      </c>
      <c r="AF113" s="136">
        <f t="shared" si="46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44"/>
        <v>5.4</v>
      </c>
      <c r="C114" s="137">
        <v>8</v>
      </c>
      <c r="D114" s="136">
        <f t="shared" si="45"/>
        <v>8</v>
      </c>
      <c r="E114" s="136">
        <f t="shared" si="45"/>
        <v>8</v>
      </c>
      <c r="F114" s="136">
        <f t="shared" si="45"/>
        <v>8</v>
      </c>
      <c r="G114" s="136">
        <f t="shared" si="45"/>
        <v>8</v>
      </c>
      <c r="H114" s="136">
        <f t="shared" si="45"/>
        <v>8</v>
      </c>
      <c r="I114" s="136">
        <f t="shared" si="45"/>
        <v>8</v>
      </c>
      <c r="J114" s="136">
        <v>5.4</v>
      </c>
      <c r="K114" s="136">
        <f t="shared" si="45"/>
        <v>5.4</v>
      </c>
      <c r="L114" s="136">
        <f t="shared" si="45"/>
        <v>5.4</v>
      </c>
      <c r="M114" s="136">
        <f t="shared" si="45"/>
        <v>5.4</v>
      </c>
      <c r="N114" s="136">
        <f t="shared" si="45"/>
        <v>5.4</v>
      </c>
      <c r="O114" s="136">
        <f t="shared" si="45"/>
        <v>5.4</v>
      </c>
      <c r="P114" s="136">
        <f t="shared" si="45"/>
        <v>5.4</v>
      </c>
      <c r="Q114" s="136">
        <f t="shared" si="45"/>
        <v>5.4</v>
      </c>
      <c r="R114" s="136">
        <f t="shared" si="45"/>
        <v>5.4</v>
      </c>
      <c r="S114" s="136">
        <f t="shared" si="45"/>
        <v>5.4</v>
      </c>
      <c r="T114" s="136">
        <f t="shared" si="46"/>
        <v>5.4</v>
      </c>
      <c r="U114" s="136">
        <f t="shared" si="46"/>
        <v>5.4</v>
      </c>
      <c r="V114" s="136">
        <f t="shared" si="46"/>
        <v>5.4</v>
      </c>
      <c r="W114" s="136">
        <f t="shared" si="46"/>
        <v>5.4</v>
      </c>
      <c r="X114" s="136">
        <f t="shared" si="46"/>
        <v>5.4</v>
      </c>
      <c r="Y114" s="136">
        <f t="shared" si="46"/>
        <v>5.4</v>
      </c>
      <c r="Z114" s="136">
        <f t="shared" si="46"/>
        <v>5.4</v>
      </c>
      <c r="AA114" s="136">
        <f t="shared" si="46"/>
        <v>5.4</v>
      </c>
      <c r="AB114" s="136">
        <f t="shared" si="46"/>
        <v>5.4</v>
      </c>
      <c r="AC114" s="136">
        <f t="shared" si="46"/>
        <v>5.4</v>
      </c>
      <c r="AD114" s="136">
        <f t="shared" si="46"/>
        <v>5.4</v>
      </c>
      <c r="AE114" s="136">
        <f t="shared" si="46"/>
        <v>5.4</v>
      </c>
      <c r="AF114" s="136">
        <f t="shared" si="46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44"/>
        <v>6.57</v>
      </c>
      <c r="C115" s="137">
        <v>6.57</v>
      </c>
      <c r="D115" s="136">
        <f t="shared" si="45"/>
        <v>6.57</v>
      </c>
      <c r="E115" s="136">
        <f t="shared" si="45"/>
        <v>6.57</v>
      </c>
      <c r="F115" s="136">
        <f t="shared" si="45"/>
        <v>6.57</v>
      </c>
      <c r="G115" s="136">
        <f t="shared" si="45"/>
        <v>6.57</v>
      </c>
      <c r="H115" s="136">
        <f t="shared" si="45"/>
        <v>6.57</v>
      </c>
      <c r="I115" s="136">
        <f t="shared" si="45"/>
        <v>6.57</v>
      </c>
      <c r="J115" s="136">
        <f t="shared" si="45"/>
        <v>6.57</v>
      </c>
      <c r="K115" s="136">
        <f t="shared" si="45"/>
        <v>6.57</v>
      </c>
      <c r="L115" s="136">
        <f t="shared" si="45"/>
        <v>6.57</v>
      </c>
      <c r="M115" s="136">
        <f t="shared" si="45"/>
        <v>6.57</v>
      </c>
      <c r="N115" s="136">
        <f t="shared" si="45"/>
        <v>6.57</v>
      </c>
      <c r="O115" s="136">
        <f t="shared" si="45"/>
        <v>6.57</v>
      </c>
      <c r="P115" s="136">
        <f t="shared" si="45"/>
        <v>6.57</v>
      </c>
      <c r="Q115" s="136">
        <f t="shared" si="45"/>
        <v>6.57</v>
      </c>
      <c r="R115" s="136">
        <f t="shared" si="45"/>
        <v>6.57</v>
      </c>
      <c r="S115" s="136">
        <f t="shared" si="45"/>
        <v>6.57</v>
      </c>
      <c r="T115" s="136">
        <f t="shared" si="46"/>
        <v>6.57</v>
      </c>
      <c r="U115" s="136">
        <f t="shared" si="46"/>
        <v>6.57</v>
      </c>
      <c r="V115" s="136">
        <f t="shared" si="46"/>
        <v>6.57</v>
      </c>
      <c r="W115" s="136">
        <f t="shared" si="46"/>
        <v>6.57</v>
      </c>
      <c r="X115" s="136">
        <f t="shared" si="46"/>
        <v>6.57</v>
      </c>
      <c r="Y115" s="136">
        <f t="shared" si="46"/>
        <v>6.57</v>
      </c>
      <c r="Z115" s="136">
        <f t="shared" si="46"/>
        <v>6.57</v>
      </c>
      <c r="AA115" s="136">
        <f t="shared" si="46"/>
        <v>6.57</v>
      </c>
      <c r="AB115" s="136">
        <f t="shared" si="46"/>
        <v>6.57</v>
      </c>
      <c r="AC115" s="136">
        <f t="shared" si="46"/>
        <v>6.57</v>
      </c>
      <c r="AD115" s="136">
        <f t="shared" si="46"/>
        <v>6.57</v>
      </c>
      <c r="AE115" s="136">
        <f t="shared" si="46"/>
        <v>6.57</v>
      </c>
      <c r="AF115" s="136">
        <f t="shared" si="46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44"/>
        <v>3.43</v>
      </c>
      <c r="C116" s="137">
        <v>3.43</v>
      </c>
      <c r="D116" s="136">
        <f t="shared" si="45"/>
        <v>3.43</v>
      </c>
      <c r="E116" s="136">
        <f t="shared" si="45"/>
        <v>3.43</v>
      </c>
      <c r="F116" s="136">
        <f t="shared" si="45"/>
        <v>3.43</v>
      </c>
      <c r="G116" s="136">
        <f t="shared" si="45"/>
        <v>3.43</v>
      </c>
      <c r="H116" s="136">
        <f t="shared" si="45"/>
        <v>3.43</v>
      </c>
      <c r="I116" s="136">
        <f t="shared" si="45"/>
        <v>3.43</v>
      </c>
      <c r="J116" s="136">
        <f t="shared" si="45"/>
        <v>3.43</v>
      </c>
      <c r="K116" s="136">
        <f t="shared" si="45"/>
        <v>3.43</v>
      </c>
      <c r="L116" s="136">
        <f t="shared" si="45"/>
        <v>3.43</v>
      </c>
      <c r="M116" s="136">
        <f t="shared" si="45"/>
        <v>3.43</v>
      </c>
      <c r="N116" s="136">
        <f t="shared" si="45"/>
        <v>3.43</v>
      </c>
      <c r="O116" s="136">
        <f t="shared" si="45"/>
        <v>3.43</v>
      </c>
      <c r="P116" s="136">
        <f t="shared" si="45"/>
        <v>3.43</v>
      </c>
      <c r="Q116" s="136">
        <f t="shared" si="45"/>
        <v>3.43</v>
      </c>
      <c r="R116" s="136">
        <f t="shared" si="45"/>
        <v>3.43</v>
      </c>
      <c r="S116" s="136">
        <f t="shared" si="45"/>
        <v>3.43</v>
      </c>
      <c r="T116" s="136">
        <f t="shared" si="46"/>
        <v>3.43</v>
      </c>
      <c r="U116" s="136">
        <f t="shared" si="46"/>
        <v>3.43</v>
      </c>
      <c r="V116" s="136">
        <f t="shared" si="46"/>
        <v>3.43</v>
      </c>
      <c r="W116" s="136">
        <f t="shared" si="46"/>
        <v>3.43</v>
      </c>
      <c r="X116" s="136">
        <f t="shared" si="46"/>
        <v>3.43</v>
      </c>
      <c r="Y116" s="136">
        <f t="shared" si="46"/>
        <v>3.43</v>
      </c>
      <c r="Z116" s="136">
        <f t="shared" si="46"/>
        <v>3.43</v>
      </c>
      <c r="AA116" s="136">
        <f t="shared" si="46"/>
        <v>3.43</v>
      </c>
      <c r="AB116" s="136">
        <f t="shared" si="46"/>
        <v>3.43</v>
      </c>
      <c r="AC116" s="136">
        <f t="shared" si="46"/>
        <v>3.43</v>
      </c>
      <c r="AD116" s="136">
        <f t="shared" si="46"/>
        <v>3.43</v>
      </c>
      <c r="AE116" s="136">
        <f t="shared" si="46"/>
        <v>3.43</v>
      </c>
      <c r="AF116" s="136">
        <f t="shared" si="46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44"/>
        <v>2.96</v>
      </c>
      <c r="C117" s="137">
        <v>2.96</v>
      </c>
      <c r="D117" s="136">
        <f t="shared" si="45"/>
        <v>2.96</v>
      </c>
      <c r="E117" s="136">
        <f t="shared" si="45"/>
        <v>2.96</v>
      </c>
      <c r="F117" s="136">
        <f t="shared" si="45"/>
        <v>2.96</v>
      </c>
      <c r="G117" s="136">
        <f t="shared" si="45"/>
        <v>2.96</v>
      </c>
      <c r="H117" s="136">
        <f t="shared" si="45"/>
        <v>2.96</v>
      </c>
      <c r="I117" s="136">
        <f t="shared" si="45"/>
        <v>2.96</v>
      </c>
      <c r="J117" s="136">
        <f t="shared" si="45"/>
        <v>2.96</v>
      </c>
      <c r="K117" s="136">
        <f t="shared" si="45"/>
        <v>2.96</v>
      </c>
      <c r="L117" s="136">
        <f t="shared" si="45"/>
        <v>2.96</v>
      </c>
      <c r="M117" s="136">
        <f t="shared" si="45"/>
        <v>2.96</v>
      </c>
      <c r="N117" s="136">
        <f t="shared" si="45"/>
        <v>2.96</v>
      </c>
      <c r="O117" s="136">
        <f t="shared" si="45"/>
        <v>2.96</v>
      </c>
      <c r="P117" s="136">
        <f t="shared" si="45"/>
        <v>2.96</v>
      </c>
      <c r="Q117" s="136">
        <f t="shared" si="45"/>
        <v>2.96</v>
      </c>
      <c r="R117" s="136">
        <f t="shared" si="45"/>
        <v>2.96</v>
      </c>
      <c r="S117" s="136">
        <f t="shared" si="45"/>
        <v>2.96</v>
      </c>
      <c r="T117" s="136">
        <f t="shared" si="46"/>
        <v>2.96</v>
      </c>
      <c r="U117" s="136">
        <f t="shared" si="46"/>
        <v>2.96</v>
      </c>
      <c r="V117" s="136">
        <f t="shared" si="46"/>
        <v>2.96</v>
      </c>
      <c r="W117" s="136">
        <f t="shared" si="46"/>
        <v>2.96</v>
      </c>
      <c r="X117" s="136">
        <f t="shared" si="46"/>
        <v>2.96</v>
      </c>
      <c r="Y117" s="136">
        <f t="shared" si="46"/>
        <v>2.96</v>
      </c>
      <c r="Z117" s="136">
        <f t="shared" si="46"/>
        <v>2.96</v>
      </c>
      <c r="AA117" s="136">
        <f t="shared" si="46"/>
        <v>2.96</v>
      </c>
      <c r="AB117" s="136">
        <f t="shared" si="46"/>
        <v>2.96</v>
      </c>
      <c r="AC117" s="136">
        <f t="shared" si="46"/>
        <v>2.96</v>
      </c>
      <c r="AD117" s="136">
        <f t="shared" si="46"/>
        <v>2.96</v>
      </c>
      <c r="AE117" s="136">
        <f t="shared" si="46"/>
        <v>2.96</v>
      </c>
      <c r="AF117" s="136">
        <f t="shared" si="46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44"/>
        <v>8</v>
      </c>
      <c r="C118" s="137">
        <v>8</v>
      </c>
      <c r="D118" s="136">
        <f t="shared" si="45"/>
        <v>8</v>
      </c>
      <c r="E118" s="136">
        <f t="shared" si="45"/>
        <v>8</v>
      </c>
      <c r="F118" s="136">
        <f t="shared" si="45"/>
        <v>8</v>
      </c>
      <c r="G118" s="136">
        <f t="shared" si="45"/>
        <v>8</v>
      </c>
      <c r="H118" s="136">
        <f t="shared" si="45"/>
        <v>8</v>
      </c>
      <c r="I118" s="136">
        <f t="shared" si="45"/>
        <v>8</v>
      </c>
      <c r="J118" s="136">
        <f t="shared" si="45"/>
        <v>8</v>
      </c>
      <c r="K118" s="136">
        <f t="shared" si="45"/>
        <v>8</v>
      </c>
      <c r="L118" s="136">
        <f t="shared" si="45"/>
        <v>8</v>
      </c>
      <c r="M118" s="136">
        <f t="shared" si="45"/>
        <v>8</v>
      </c>
      <c r="N118" s="136">
        <f t="shared" si="45"/>
        <v>8</v>
      </c>
      <c r="O118" s="136">
        <f t="shared" si="45"/>
        <v>8</v>
      </c>
      <c r="P118" s="136">
        <f t="shared" si="45"/>
        <v>8</v>
      </c>
      <c r="Q118" s="136">
        <f t="shared" si="45"/>
        <v>8</v>
      </c>
      <c r="R118" s="136">
        <f t="shared" si="45"/>
        <v>8</v>
      </c>
      <c r="S118" s="136">
        <f t="shared" si="45"/>
        <v>8</v>
      </c>
      <c r="T118" s="136">
        <f t="shared" si="46"/>
        <v>8</v>
      </c>
      <c r="U118" s="136">
        <f t="shared" si="46"/>
        <v>8</v>
      </c>
      <c r="V118" s="136">
        <f t="shared" si="46"/>
        <v>8</v>
      </c>
      <c r="W118" s="136">
        <f t="shared" si="46"/>
        <v>8</v>
      </c>
      <c r="X118" s="136">
        <f t="shared" si="46"/>
        <v>8</v>
      </c>
      <c r="Y118" s="136">
        <f t="shared" si="46"/>
        <v>8</v>
      </c>
      <c r="Z118" s="136">
        <f t="shared" si="46"/>
        <v>8</v>
      </c>
      <c r="AA118" s="136">
        <f t="shared" si="46"/>
        <v>8</v>
      </c>
      <c r="AB118" s="136">
        <f t="shared" si="46"/>
        <v>8</v>
      </c>
      <c r="AC118" s="136">
        <f t="shared" si="46"/>
        <v>8</v>
      </c>
      <c r="AD118" s="136">
        <f t="shared" si="46"/>
        <v>8</v>
      </c>
      <c r="AE118" s="136">
        <f t="shared" si="46"/>
        <v>8</v>
      </c>
      <c r="AF118" s="136">
        <f t="shared" si="46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44"/>
        <v>7</v>
      </c>
      <c r="C119" s="137">
        <v>7</v>
      </c>
      <c r="D119" s="136">
        <f>C119</f>
        <v>7</v>
      </c>
      <c r="E119" s="136">
        <f t="shared" si="45"/>
        <v>7</v>
      </c>
      <c r="F119" s="136">
        <f t="shared" si="45"/>
        <v>7</v>
      </c>
      <c r="G119" s="136">
        <f t="shared" si="45"/>
        <v>7</v>
      </c>
      <c r="H119" s="136">
        <f t="shared" si="45"/>
        <v>7</v>
      </c>
      <c r="I119" s="136">
        <f t="shared" si="45"/>
        <v>7</v>
      </c>
      <c r="J119" s="136">
        <f t="shared" si="45"/>
        <v>7</v>
      </c>
      <c r="K119" s="136">
        <f t="shared" si="45"/>
        <v>7</v>
      </c>
      <c r="L119" s="136">
        <f t="shared" si="45"/>
        <v>7</v>
      </c>
      <c r="M119" s="136">
        <f t="shared" si="45"/>
        <v>7</v>
      </c>
      <c r="N119" s="136">
        <f t="shared" si="45"/>
        <v>7</v>
      </c>
      <c r="O119" s="136">
        <f t="shared" si="45"/>
        <v>7</v>
      </c>
      <c r="P119" s="136">
        <f t="shared" si="45"/>
        <v>7</v>
      </c>
      <c r="Q119" s="136">
        <f t="shared" si="45"/>
        <v>7</v>
      </c>
      <c r="R119" s="136">
        <f t="shared" si="45"/>
        <v>7</v>
      </c>
      <c r="S119" s="136">
        <f t="shared" si="45"/>
        <v>7</v>
      </c>
      <c r="T119" s="136">
        <f t="shared" si="46"/>
        <v>7</v>
      </c>
      <c r="U119" s="136">
        <f t="shared" si="46"/>
        <v>7</v>
      </c>
      <c r="V119" s="136">
        <f t="shared" si="46"/>
        <v>7</v>
      </c>
      <c r="W119" s="136">
        <f t="shared" si="46"/>
        <v>7</v>
      </c>
      <c r="X119" s="136">
        <f t="shared" si="46"/>
        <v>7</v>
      </c>
      <c r="Y119" s="136">
        <f t="shared" si="46"/>
        <v>7</v>
      </c>
      <c r="Z119" s="136">
        <f t="shared" si="46"/>
        <v>7</v>
      </c>
      <c r="AA119" s="136">
        <f t="shared" si="46"/>
        <v>7</v>
      </c>
      <c r="AB119" s="136">
        <f t="shared" si="46"/>
        <v>7</v>
      </c>
      <c r="AC119" s="136">
        <f t="shared" si="46"/>
        <v>7</v>
      </c>
      <c r="AD119" s="136">
        <f t="shared" si="46"/>
        <v>7</v>
      </c>
      <c r="AE119" s="136">
        <f t="shared" si="46"/>
        <v>7</v>
      </c>
      <c r="AF119" s="136">
        <f t="shared" si="46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44"/>
        <v>3.47</v>
      </c>
      <c r="C120" s="137">
        <v>3.47</v>
      </c>
      <c r="D120" s="136">
        <f t="shared" ref="D120:S129" si="47">C120</f>
        <v>3.47</v>
      </c>
      <c r="E120" s="136">
        <f t="shared" si="47"/>
        <v>3.47</v>
      </c>
      <c r="F120" s="136">
        <f t="shared" si="47"/>
        <v>3.47</v>
      </c>
      <c r="G120" s="136">
        <f t="shared" si="47"/>
        <v>3.47</v>
      </c>
      <c r="H120" s="136">
        <f t="shared" si="47"/>
        <v>3.47</v>
      </c>
      <c r="I120" s="136">
        <f t="shared" si="47"/>
        <v>3.47</v>
      </c>
      <c r="J120" s="136">
        <f t="shared" si="47"/>
        <v>3.47</v>
      </c>
      <c r="K120" s="136">
        <f t="shared" si="47"/>
        <v>3.47</v>
      </c>
      <c r="L120" s="136">
        <f t="shared" si="47"/>
        <v>3.47</v>
      </c>
      <c r="M120" s="136">
        <f t="shared" si="47"/>
        <v>3.47</v>
      </c>
      <c r="N120" s="136">
        <f t="shared" si="47"/>
        <v>3.47</v>
      </c>
      <c r="O120" s="136">
        <f t="shared" si="47"/>
        <v>3.47</v>
      </c>
      <c r="P120" s="136">
        <f t="shared" si="47"/>
        <v>3.47</v>
      </c>
      <c r="Q120" s="136">
        <f t="shared" si="47"/>
        <v>3.47</v>
      </c>
      <c r="R120" s="136">
        <f t="shared" si="47"/>
        <v>3.47</v>
      </c>
      <c r="S120" s="136">
        <f t="shared" si="47"/>
        <v>3.47</v>
      </c>
      <c r="T120" s="136">
        <f t="shared" si="46"/>
        <v>3.47</v>
      </c>
      <c r="U120" s="136">
        <f t="shared" si="46"/>
        <v>3.47</v>
      </c>
      <c r="V120" s="136">
        <f t="shared" si="46"/>
        <v>3.47</v>
      </c>
      <c r="W120" s="136">
        <f t="shared" si="46"/>
        <v>3.47</v>
      </c>
      <c r="X120" s="136">
        <f t="shared" si="46"/>
        <v>3.47</v>
      </c>
      <c r="Y120" s="136">
        <f t="shared" si="46"/>
        <v>3.47</v>
      </c>
      <c r="Z120" s="136">
        <f t="shared" si="46"/>
        <v>3.47</v>
      </c>
      <c r="AA120" s="136">
        <f t="shared" si="46"/>
        <v>3.47</v>
      </c>
      <c r="AB120" s="136">
        <f t="shared" si="46"/>
        <v>3.47</v>
      </c>
      <c r="AC120" s="136">
        <f t="shared" si="46"/>
        <v>3.47</v>
      </c>
      <c r="AD120" s="136">
        <f t="shared" si="46"/>
        <v>3.47</v>
      </c>
      <c r="AE120" s="136">
        <f t="shared" si="46"/>
        <v>3.47</v>
      </c>
      <c r="AF120" s="136">
        <f t="shared" si="46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44"/>
        <v>2.1</v>
      </c>
      <c r="C121" s="137">
        <v>2.1</v>
      </c>
      <c r="D121" s="136">
        <f t="shared" si="47"/>
        <v>2.1</v>
      </c>
      <c r="E121" s="136">
        <f t="shared" si="47"/>
        <v>2.1</v>
      </c>
      <c r="F121" s="136">
        <f t="shared" si="47"/>
        <v>2.1</v>
      </c>
      <c r="G121" s="136">
        <f t="shared" si="47"/>
        <v>2.1</v>
      </c>
      <c r="H121" s="136">
        <f t="shared" si="47"/>
        <v>2.1</v>
      </c>
      <c r="I121" s="136">
        <f t="shared" si="47"/>
        <v>2.1</v>
      </c>
      <c r="J121" s="136">
        <f t="shared" si="47"/>
        <v>2.1</v>
      </c>
      <c r="K121" s="136">
        <f t="shared" si="47"/>
        <v>2.1</v>
      </c>
      <c r="L121" s="136">
        <f t="shared" si="47"/>
        <v>2.1</v>
      </c>
      <c r="M121" s="136">
        <f t="shared" si="47"/>
        <v>2.1</v>
      </c>
      <c r="N121" s="136">
        <f t="shared" si="47"/>
        <v>2.1</v>
      </c>
      <c r="O121" s="136">
        <f t="shared" si="47"/>
        <v>2.1</v>
      </c>
      <c r="P121" s="136">
        <f t="shared" si="47"/>
        <v>2.1</v>
      </c>
      <c r="Q121" s="136">
        <f t="shared" si="47"/>
        <v>2.1</v>
      </c>
      <c r="R121" s="136">
        <f t="shared" si="47"/>
        <v>2.1</v>
      </c>
      <c r="S121" s="136">
        <f t="shared" si="47"/>
        <v>2.1</v>
      </c>
      <c r="T121" s="136">
        <f t="shared" si="46"/>
        <v>2.1</v>
      </c>
      <c r="U121" s="136">
        <f t="shared" si="46"/>
        <v>2.1</v>
      </c>
      <c r="V121" s="136">
        <f t="shared" si="46"/>
        <v>2.1</v>
      </c>
      <c r="W121" s="136">
        <f t="shared" si="46"/>
        <v>2.1</v>
      </c>
      <c r="X121" s="136">
        <f t="shared" si="46"/>
        <v>2.1</v>
      </c>
      <c r="Y121" s="136">
        <f t="shared" si="46"/>
        <v>2.1</v>
      </c>
      <c r="Z121" s="136">
        <f t="shared" si="46"/>
        <v>2.1</v>
      </c>
      <c r="AA121" s="136">
        <f t="shared" si="46"/>
        <v>2.1</v>
      </c>
      <c r="AB121" s="136">
        <f t="shared" si="46"/>
        <v>2.1</v>
      </c>
      <c r="AC121" s="136">
        <f t="shared" si="46"/>
        <v>2.1</v>
      </c>
      <c r="AD121" s="136">
        <f t="shared" si="46"/>
        <v>2.1</v>
      </c>
      <c r="AE121" s="136">
        <f t="shared" si="46"/>
        <v>2.1</v>
      </c>
      <c r="AF121" s="136">
        <f t="shared" si="46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44"/>
        <v>9.3000000000000007</v>
      </c>
      <c r="C122" s="137">
        <v>9.3000000000000007</v>
      </c>
      <c r="D122" s="136">
        <f t="shared" si="47"/>
        <v>9.3000000000000007</v>
      </c>
      <c r="E122" s="136">
        <f t="shared" si="47"/>
        <v>9.3000000000000007</v>
      </c>
      <c r="F122" s="136">
        <f t="shared" si="47"/>
        <v>9.3000000000000007</v>
      </c>
      <c r="G122" s="136">
        <f t="shared" si="47"/>
        <v>9.3000000000000007</v>
      </c>
      <c r="H122" s="136">
        <f t="shared" si="47"/>
        <v>9.3000000000000007</v>
      </c>
      <c r="I122" s="136">
        <f t="shared" si="47"/>
        <v>9.3000000000000007</v>
      </c>
      <c r="J122" s="136">
        <f t="shared" si="47"/>
        <v>9.3000000000000007</v>
      </c>
      <c r="K122" s="136">
        <f t="shared" si="47"/>
        <v>9.3000000000000007</v>
      </c>
      <c r="L122" s="136">
        <f t="shared" si="47"/>
        <v>9.3000000000000007</v>
      </c>
      <c r="M122" s="136">
        <f t="shared" si="47"/>
        <v>9.3000000000000007</v>
      </c>
      <c r="N122" s="136">
        <f t="shared" si="47"/>
        <v>9.3000000000000007</v>
      </c>
      <c r="O122" s="136">
        <f t="shared" si="47"/>
        <v>9.3000000000000007</v>
      </c>
      <c r="P122" s="136">
        <f t="shared" si="47"/>
        <v>9.3000000000000007</v>
      </c>
      <c r="Q122" s="136">
        <f t="shared" si="47"/>
        <v>9.3000000000000007</v>
      </c>
      <c r="R122" s="136">
        <f t="shared" si="47"/>
        <v>9.3000000000000007</v>
      </c>
      <c r="S122" s="136">
        <f t="shared" si="47"/>
        <v>9.3000000000000007</v>
      </c>
      <c r="T122" s="136">
        <f t="shared" si="46"/>
        <v>9.3000000000000007</v>
      </c>
      <c r="U122" s="136">
        <f t="shared" si="46"/>
        <v>9.3000000000000007</v>
      </c>
      <c r="V122" s="136">
        <f t="shared" si="46"/>
        <v>9.3000000000000007</v>
      </c>
      <c r="W122" s="136">
        <f t="shared" si="46"/>
        <v>9.3000000000000007</v>
      </c>
      <c r="X122" s="136">
        <f t="shared" si="46"/>
        <v>9.3000000000000007</v>
      </c>
      <c r="Y122" s="136">
        <f t="shared" si="46"/>
        <v>9.3000000000000007</v>
      </c>
      <c r="Z122" s="136">
        <f t="shared" si="46"/>
        <v>9.3000000000000007</v>
      </c>
      <c r="AA122" s="136">
        <f t="shared" si="46"/>
        <v>9.3000000000000007</v>
      </c>
      <c r="AB122" s="136">
        <f t="shared" si="46"/>
        <v>9.3000000000000007</v>
      </c>
      <c r="AC122" s="136">
        <f t="shared" si="46"/>
        <v>9.3000000000000007</v>
      </c>
      <c r="AD122" s="136">
        <f t="shared" si="46"/>
        <v>9.3000000000000007</v>
      </c>
      <c r="AE122" s="136">
        <f t="shared" si="46"/>
        <v>9.3000000000000007</v>
      </c>
      <c r="AF122" s="136">
        <f t="shared" si="46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44"/>
        <v>0</v>
      </c>
      <c r="C123" s="137">
        <v>0</v>
      </c>
      <c r="D123" s="136">
        <f t="shared" si="47"/>
        <v>0</v>
      </c>
      <c r="E123" s="136">
        <f t="shared" si="47"/>
        <v>0</v>
      </c>
      <c r="F123" s="136">
        <f t="shared" si="47"/>
        <v>0</v>
      </c>
      <c r="G123" s="136">
        <f t="shared" si="47"/>
        <v>0</v>
      </c>
      <c r="H123" s="136">
        <f t="shared" si="47"/>
        <v>0</v>
      </c>
      <c r="I123" s="136">
        <f t="shared" si="47"/>
        <v>0</v>
      </c>
      <c r="J123" s="136">
        <f t="shared" si="47"/>
        <v>0</v>
      </c>
      <c r="K123" s="136">
        <f t="shared" si="47"/>
        <v>0</v>
      </c>
      <c r="L123" s="136">
        <f t="shared" si="47"/>
        <v>0</v>
      </c>
      <c r="M123" s="136">
        <f t="shared" si="47"/>
        <v>0</v>
      </c>
      <c r="N123" s="136">
        <f t="shared" si="47"/>
        <v>0</v>
      </c>
      <c r="O123" s="136">
        <f t="shared" si="47"/>
        <v>0</v>
      </c>
      <c r="P123" s="136">
        <f t="shared" si="47"/>
        <v>0</v>
      </c>
      <c r="Q123" s="136">
        <f t="shared" si="47"/>
        <v>0</v>
      </c>
      <c r="R123" s="136">
        <f t="shared" si="47"/>
        <v>0</v>
      </c>
      <c r="S123" s="136">
        <f t="shared" si="47"/>
        <v>0</v>
      </c>
      <c r="T123" s="136">
        <f t="shared" si="46"/>
        <v>0</v>
      </c>
      <c r="U123" s="136">
        <f t="shared" si="46"/>
        <v>0</v>
      </c>
      <c r="V123" s="136">
        <f t="shared" si="46"/>
        <v>0</v>
      </c>
      <c r="W123" s="136">
        <f t="shared" si="46"/>
        <v>0</v>
      </c>
      <c r="X123" s="136">
        <f t="shared" si="46"/>
        <v>0</v>
      </c>
      <c r="Y123" s="136">
        <f t="shared" si="46"/>
        <v>0</v>
      </c>
      <c r="Z123" s="136">
        <f t="shared" si="46"/>
        <v>0</v>
      </c>
      <c r="AA123" s="136">
        <f t="shared" si="46"/>
        <v>0</v>
      </c>
      <c r="AB123" s="136">
        <f t="shared" si="46"/>
        <v>0</v>
      </c>
      <c r="AC123" s="136">
        <f t="shared" si="46"/>
        <v>0</v>
      </c>
      <c r="AD123" s="136">
        <f t="shared" si="46"/>
        <v>0</v>
      </c>
      <c r="AE123" s="136">
        <f t="shared" si="46"/>
        <v>0</v>
      </c>
      <c r="AF123" s="136">
        <f t="shared" si="46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44"/>
        <v>0</v>
      </c>
      <c r="C124" s="137">
        <v>0</v>
      </c>
      <c r="D124" s="136">
        <f t="shared" si="47"/>
        <v>0</v>
      </c>
      <c r="E124" s="136">
        <f t="shared" si="47"/>
        <v>0</v>
      </c>
      <c r="F124" s="136">
        <f t="shared" si="47"/>
        <v>0</v>
      </c>
      <c r="G124" s="136">
        <f t="shared" si="47"/>
        <v>0</v>
      </c>
      <c r="H124" s="136">
        <f t="shared" si="47"/>
        <v>0</v>
      </c>
      <c r="I124" s="136">
        <f t="shared" si="47"/>
        <v>0</v>
      </c>
      <c r="J124" s="136">
        <f t="shared" si="47"/>
        <v>0</v>
      </c>
      <c r="K124" s="136">
        <f t="shared" si="47"/>
        <v>0</v>
      </c>
      <c r="L124" s="136">
        <f t="shared" si="47"/>
        <v>0</v>
      </c>
      <c r="M124" s="136">
        <f t="shared" si="47"/>
        <v>0</v>
      </c>
      <c r="N124" s="136">
        <f t="shared" si="47"/>
        <v>0</v>
      </c>
      <c r="O124" s="136">
        <f t="shared" si="47"/>
        <v>0</v>
      </c>
      <c r="P124" s="136">
        <f t="shared" si="47"/>
        <v>0</v>
      </c>
      <c r="Q124" s="136">
        <f t="shared" si="47"/>
        <v>0</v>
      </c>
      <c r="R124" s="136">
        <f t="shared" si="47"/>
        <v>0</v>
      </c>
      <c r="S124" s="136">
        <f t="shared" si="47"/>
        <v>0</v>
      </c>
      <c r="T124" s="136">
        <f t="shared" si="46"/>
        <v>0</v>
      </c>
      <c r="U124" s="136">
        <f t="shared" si="46"/>
        <v>0</v>
      </c>
      <c r="V124" s="136">
        <f t="shared" si="46"/>
        <v>0</v>
      </c>
      <c r="W124" s="136">
        <f t="shared" si="46"/>
        <v>0</v>
      </c>
      <c r="X124" s="136">
        <f t="shared" si="46"/>
        <v>0</v>
      </c>
      <c r="Y124" s="136">
        <f t="shared" si="46"/>
        <v>0</v>
      </c>
      <c r="Z124" s="136">
        <f t="shared" si="46"/>
        <v>0</v>
      </c>
      <c r="AA124" s="136">
        <f t="shared" si="46"/>
        <v>0</v>
      </c>
      <c r="AB124" s="136">
        <f t="shared" si="46"/>
        <v>0</v>
      </c>
      <c r="AC124" s="136">
        <f t="shared" si="46"/>
        <v>0</v>
      </c>
      <c r="AD124" s="136">
        <f t="shared" si="46"/>
        <v>0</v>
      </c>
      <c r="AE124" s="136">
        <f t="shared" si="46"/>
        <v>0</v>
      </c>
      <c r="AF124" s="136">
        <f t="shared" si="46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44"/>
        <v>5</v>
      </c>
      <c r="C125" s="137">
        <v>5</v>
      </c>
      <c r="D125" s="136">
        <f t="shared" si="47"/>
        <v>5</v>
      </c>
      <c r="E125" s="136">
        <f t="shared" si="47"/>
        <v>5</v>
      </c>
      <c r="F125" s="136">
        <f t="shared" si="47"/>
        <v>5</v>
      </c>
      <c r="G125" s="136">
        <f t="shared" si="47"/>
        <v>5</v>
      </c>
      <c r="H125" s="136">
        <f t="shared" si="47"/>
        <v>5</v>
      </c>
      <c r="I125" s="136">
        <f t="shared" si="47"/>
        <v>5</v>
      </c>
      <c r="J125" s="136">
        <f t="shared" si="47"/>
        <v>5</v>
      </c>
      <c r="K125" s="136">
        <f t="shared" si="47"/>
        <v>5</v>
      </c>
      <c r="L125" s="136">
        <f t="shared" si="47"/>
        <v>5</v>
      </c>
      <c r="M125" s="136">
        <f t="shared" si="47"/>
        <v>5</v>
      </c>
      <c r="N125" s="136">
        <f t="shared" si="47"/>
        <v>5</v>
      </c>
      <c r="O125" s="136">
        <f t="shared" si="47"/>
        <v>5</v>
      </c>
      <c r="P125" s="136">
        <f t="shared" si="47"/>
        <v>5</v>
      </c>
      <c r="Q125" s="136">
        <f t="shared" si="47"/>
        <v>5</v>
      </c>
      <c r="R125" s="136">
        <f t="shared" si="47"/>
        <v>5</v>
      </c>
      <c r="S125" s="136">
        <f t="shared" si="47"/>
        <v>5</v>
      </c>
      <c r="T125" s="136">
        <f t="shared" si="46"/>
        <v>5</v>
      </c>
      <c r="U125" s="136">
        <f t="shared" si="46"/>
        <v>5</v>
      </c>
      <c r="V125" s="136">
        <f t="shared" si="46"/>
        <v>5</v>
      </c>
      <c r="W125" s="136">
        <f t="shared" si="46"/>
        <v>5</v>
      </c>
      <c r="X125" s="136">
        <f t="shared" si="46"/>
        <v>5</v>
      </c>
      <c r="Y125" s="136">
        <f t="shared" si="46"/>
        <v>5</v>
      </c>
      <c r="Z125" s="136">
        <f t="shared" si="46"/>
        <v>5</v>
      </c>
      <c r="AA125" s="136">
        <f t="shared" si="46"/>
        <v>5</v>
      </c>
      <c r="AB125" s="136">
        <f t="shared" si="46"/>
        <v>5</v>
      </c>
      <c r="AC125" s="136">
        <f t="shared" si="46"/>
        <v>5</v>
      </c>
      <c r="AD125" s="136">
        <f t="shared" si="46"/>
        <v>5</v>
      </c>
      <c r="AE125" s="136">
        <f t="shared" si="46"/>
        <v>5</v>
      </c>
      <c r="AF125" s="136">
        <f t="shared" si="46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44"/>
        <v>1</v>
      </c>
      <c r="C126" s="137">
        <v>1</v>
      </c>
      <c r="D126" s="136">
        <f t="shared" si="47"/>
        <v>1</v>
      </c>
      <c r="E126" s="136">
        <f t="shared" si="47"/>
        <v>1</v>
      </c>
      <c r="F126" s="136">
        <f t="shared" si="47"/>
        <v>1</v>
      </c>
      <c r="G126" s="136">
        <f t="shared" si="47"/>
        <v>1</v>
      </c>
      <c r="H126" s="136">
        <f t="shared" si="47"/>
        <v>1</v>
      </c>
      <c r="I126" s="136">
        <f t="shared" si="47"/>
        <v>1</v>
      </c>
      <c r="J126" s="136">
        <f t="shared" si="47"/>
        <v>1</v>
      </c>
      <c r="K126" s="136">
        <f t="shared" si="47"/>
        <v>1</v>
      </c>
      <c r="L126" s="136">
        <f t="shared" si="47"/>
        <v>1</v>
      </c>
      <c r="M126" s="136">
        <f t="shared" si="47"/>
        <v>1</v>
      </c>
      <c r="N126" s="136">
        <f t="shared" si="47"/>
        <v>1</v>
      </c>
      <c r="O126" s="136">
        <f t="shared" si="47"/>
        <v>1</v>
      </c>
      <c r="P126" s="136">
        <f t="shared" si="47"/>
        <v>1</v>
      </c>
      <c r="Q126" s="136">
        <f t="shared" si="47"/>
        <v>1</v>
      </c>
      <c r="R126" s="136">
        <f t="shared" si="47"/>
        <v>1</v>
      </c>
      <c r="S126" s="136">
        <f t="shared" si="47"/>
        <v>1</v>
      </c>
      <c r="T126" s="136">
        <f t="shared" si="46"/>
        <v>1</v>
      </c>
      <c r="U126" s="136">
        <f t="shared" si="46"/>
        <v>1</v>
      </c>
      <c r="V126" s="136">
        <f t="shared" si="46"/>
        <v>1</v>
      </c>
      <c r="W126" s="136">
        <f t="shared" si="46"/>
        <v>1</v>
      </c>
      <c r="X126" s="136">
        <f t="shared" si="46"/>
        <v>1</v>
      </c>
      <c r="Y126" s="136">
        <f t="shared" si="46"/>
        <v>1</v>
      </c>
      <c r="Z126" s="136">
        <f t="shared" si="46"/>
        <v>1</v>
      </c>
      <c r="AA126" s="136">
        <f t="shared" si="46"/>
        <v>1</v>
      </c>
      <c r="AB126" s="136">
        <f t="shared" si="46"/>
        <v>1</v>
      </c>
      <c r="AC126" s="136">
        <f t="shared" si="46"/>
        <v>1</v>
      </c>
      <c r="AD126" s="136">
        <f t="shared" si="46"/>
        <v>1</v>
      </c>
      <c r="AE126" s="136">
        <f t="shared" si="46"/>
        <v>1</v>
      </c>
      <c r="AF126" s="136">
        <f t="shared" si="46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44"/>
        <v>1.58</v>
      </c>
      <c r="C127" s="137">
        <v>1.58</v>
      </c>
      <c r="D127" s="136">
        <f t="shared" si="47"/>
        <v>1.58</v>
      </c>
      <c r="E127" s="136">
        <f t="shared" si="47"/>
        <v>1.58</v>
      </c>
      <c r="F127" s="136">
        <f t="shared" si="47"/>
        <v>1.58</v>
      </c>
      <c r="G127" s="136">
        <f t="shared" si="47"/>
        <v>1.58</v>
      </c>
      <c r="H127" s="136">
        <f t="shared" si="47"/>
        <v>1.58</v>
      </c>
      <c r="I127" s="136">
        <f t="shared" si="47"/>
        <v>1.58</v>
      </c>
      <c r="J127" s="136">
        <f t="shared" si="47"/>
        <v>1.58</v>
      </c>
      <c r="K127" s="136">
        <f t="shared" si="47"/>
        <v>1.58</v>
      </c>
      <c r="L127" s="136">
        <f t="shared" si="47"/>
        <v>1.58</v>
      </c>
      <c r="M127" s="136">
        <f t="shared" si="47"/>
        <v>1.58</v>
      </c>
      <c r="N127" s="136">
        <f t="shared" si="47"/>
        <v>1.58</v>
      </c>
      <c r="O127" s="136">
        <f t="shared" si="47"/>
        <v>1.58</v>
      </c>
      <c r="P127" s="136">
        <f t="shared" si="47"/>
        <v>1.58</v>
      </c>
      <c r="Q127" s="136">
        <f t="shared" si="47"/>
        <v>1.58</v>
      </c>
      <c r="R127" s="136">
        <f t="shared" si="47"/>
        <v>1.58</v>
      </c>
      <c r="S127" s="136">
        <f t="shared" si="47"/>
        <v>1.58</v>
      </c>
      <c r="T127" s="136">
        <f t="shared" si="46"/>
        <v>1.58</v>
      </c>
      <c r="U127" s="136">
        <f t="shared" si="46"/>
        <v>1.58</v>
      </c>
      <c r="V127" s="136">
        <f t="shared" si="46"/>
        <v>1.58</v>
      </c>
      <c r="W127" s="136">
        <f t="shared" si="46"/>
        <v>1.58</v>
      </c>
      <c r="X127" s="136">
        <f t="shared" si="46"/>
        <v>1.58</v>
      </c>
      <c r="Y127" s="136">
        <f t="shared" si="46"/>
        <v>1.58</v>
      </c>
      <c r="Z127" s="136">
        <f t="shared" si="46"/>
        <v>1.58</v>
      </c>
      <c r="AA127" s="136">
        <f t="shared" si="46"/>
        <v>1.58</v>
      </c>
      <c r="AB127" s="136">
        <f t="shared" si="46"/>
        <v>1.58</v>
      </c>
      <c r="AC127" s="136">
        <f t="shared" si="46"/>
        <v>1.58</v>
      </c>
      <c r="AD127" s="136">
        <f t="shared" si="46"/>
        <v>1.58</v>
      </c>
      <c r="AE127" s="136">
        <f t="shared" si="46"/>
        <v>1.58</v>
      </c>
      <c r="AF127" s="136">
        <f t="shared" si="46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44"/>
        <v>1.46</v>
      </c>
      <c r="C128" s="137">
        <v>1.46</v>
      </c>
      <c r="D128" s="136">
        <f t="shared" si="47"/>
        <v>1.46</v>
      </c>
      <c r="E128" s="136">
        <f t="shared" si="47"/>
        <v>1.46</v>
      </c>
      <c r="F128" s="136">
        <f t="shared" si="47"/>
        <v>1.46</v>
      </c>
      <c r="G128" s="136">
        <f t="shared" si="47"/>
        <v>1.46</v>
      </c>
      <c r="H128" s="136">
        <f t="shared" si="47"/>
        <v>1.46</v>
      </c>
      <c r="I128" s="136">
        <f t="shared" si="47"/>
        <v>1.46</v>
      </c>
      <c r="J128" s="136">
        <f t="shared" si="47"/>
        <v>1.46</v>
      </c>
      <c r="K128" s="136">
        <f t="shared" si="47"/>
        <v>1.46</v>
      </c>
      <c r="L128" s="136">
        <f t="shared" si="47"/>
        <v>1.46</v>
      </c>
      <c r="M128" s="136">
        <f t="shared" si="47"/>
        <v>1.46</v>
      </c>
      <c r="N128" s="136">
        <f t="shared" si="47"/>
        <v>1.46</v>
      </c>
      <c r="O128" s="136">
        <f t="shared" si="47"/>
        <v>1.46</v>
      </c>
      <c r="P128" s="136">
        <f t="shared" si="47"/>
        <v>1.46</v>
      </c>
      <c r="Q128" s="136">
        <f t="shared" si="47"/>
        <v>1.46</v>
      </c>
      <c r="R128" s="136">
        <f t="shared" si="47"/>
        <v>1.46</v>
      </c>
      <c r="S128" s="136">
        <f t="shared" si="47"/>
        <v>1.46</v>
      </c>
      <c r="T128" s="136">
        <f t="shared" ref="T128:AF129" si="48">S128</f>
        <v>1.46</v>
      </c>
      <c r="U128" s="136">
        <f t="shared" si="48"/>
        <v>1.46</v>
      </c>
      <c r="V128" s="136">
        <f t="shared" si="48"/>
        <v>1.46</v>
      </c>
      <c r="W128" s="136">
        <f t="shared" si="48"/>
        <v>1.46</v>
      </c>
      <c r="X128" s="136">
        <f t="shared" si="48"/>
        <v>1.46</v>
      </c>
      <c r="Y128" s="136">
        <f t="shared" si="48"/>
        <v>1.46</v>
      </c>
      <c r="Z128" s="136">
        <f t="shared" si="48"/>
        <v>1.46</v>
      </c>
      <c r="AA128" s="136">
        <f t="shared" si="48"/>
        <v>1.46</v>
      </c>
      <c r="AB128" s="136">
        <f t="shared" si="48"/>
        <v>1.46</v>
      </c>
      <c r="AC128" s="136">
        <f t="shared" si="48"/>
        <v>1.46</v>
      </c>
      <c r="AD128" s="136">
        <f t="shared" si="48"/>
        <v>1.46</v>
      </c>
      <c r="AE128" s="136">
        <f t="shared" si="48"/>
        <v>1.46</v>
      </c>
      <c r="AF128" s="136">
        <f t="shared" si="48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44"/>
        <v>1.48</v>
      </c>
      <c r="C129" s="137">
        <v>1.48</v>
      </c>
      <c r="D129" s="136">
        <f t="shared" si="47"/>
        <v>1.48</v>
      </c>
      <c r="E129" s="136">
        <f t="shared" si="47"/>
        <v>1.48</v>
      </c>
      <c r="F129" s="136">
        <f t="shared" si="47"/>
        <v>1.48</v>
      </c>
      <c r="G129" s="136">
        <f t="shared" si="47"/>
        <v>1.48</v>
      </c>
      <c r="H129" s="136">
        <f t="shared" si="47"/>
        <v>1.48</v>
      </c>
      <c r="I129" s="136">
        <f t="shared" si="47"/>
        <v>1.48</v>
      </c>
      <c r="J129" s="136">
        <f t="shared" si="47"/>
        <v>1.48</v>
      </c>
      <c r="K129" s="136">
        <f t="shared" si="47"/>
        <v>1.48</v>
      </c>
      <c r="L129" s="136">
        <f t="shared" si="47"/>
        <v>1.48</v>
      </c>
      <c r="M129" s="136">
        <f t="shared" si="47"/>
        <v>1.48</v>
      </c>
      <c r="N129" s="136">
        <f t="shared" si="47"/>
        <v>1.48</v>
      </c>
      <c r="O129" s="136">
        <f t="shared" si="47"/>
        <v>1.48</v>
      </c>
      <c r="P129" s="136">
        <f t="shared" si="47"/>
        <v>1.48</v>
      </c>
      <c r="Q129" s="136">
        <f t="shared" si="47"/>
        <v>1.48</v>
      </c>
      <c r="R129" s="136">
        <f t="shared" si="47"/>
        <v>1.48</v>
      </c>
      <c r="S129" s="136">
        <f t="shared" si="47"/>
        <v>1.48</v>
      </c>
      <c r="T129" s="136">
        <f t="shared" si="48"/>
        <v>1.48</v>
      </c>
      <c r="U129" s="136">
        <f t="shared" si="48"/>
        <v>1.48</v>
      </c>
      <c r="V129" s="136">
        <f t="shared" si="48"/>
        <v>1.48</v>
      </c>
      <c r="W129" s="136">
        <f t="shared" si="48"/>
        <v>1.48</v>
      </c>
      <c r="X129" s="136">
        <f t="shared" si="48"/>
        <v>1.48</v>
      </c>
      <c r="Y129" s="136">
        <f t="shared" si="48"/>
        <v>1.48</v>
      </c>
      <c r="Z129" s="136">
        <f t="shared" si="48"/>
        <v>1.48</v>
      </c>
      <c r="AA129" s="136">
        <f t="shared" si="48"/>
        <v>1.48</v>
      </c>
      <c r="AB129" s="136">
        <f t="shared" si="48"/>
        <v>1.48</v>
      </c>
      <c r="AC129" s="136">
        <f t="shared" si="48"/>
        <v>1.48</v>
      </c>
      <c r="AD129" s="136">
        <f t="shared" si="48"/>
        <v>1.48</v>
      </c>
      <c r="AE129" s="136">
        <f t="shared" si="48"/>
        <v>1.48</v>
      </c>
      <c r="AF129" s="136">
        <f t="shared" si="48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49">AF131</f>
        <v>2.2000000000000002</v>
      </c>
      <c r="C131" s="137">
        <v>2.2000000000000002</v>
      </c>
      <c r="D131" s="136">
        <f t="shared" ref="D131:S138" si="50">C131</f>
        <v>2.2000000000000002</v>
      </c>
      <c r="E131" s="136">
        <f t="shared" si="50"/>
        <v>2.2000000000000002</v>
      </c>
      <c r="F131" s="136">
        <f t="shared" si="50"/>
        <v>2.2000000000000002</v>
      </c>
      <c r="G131" s="136">
        <f t="shared" si="50"/>
        <v>2.2000000000000002</v>
      </c>
      <c r="H131" s="136">
        <f t="shared" si="50"/>
        <v>2.2000000000000002</v>
      </c>
      <c r="I131" s="136">
        <f t="shared" si="50"/>
        <v>2.2000000000000002</v>
      </c>
      <c r="J131" s="136">
        <f t="shared" si="50"/>
        <v>2.2000000000000002</v>
      </c>
      <c r="K131" s="136">
        <f t="shared" si="50"/>
        <v>2.2000000000000002</v>
      </c>
      <c r="L131" s="136">
        <f t="shared" si="50"/>
        <v>2.2000000000000002</v>
      </c>
      <c r="M131" s="136">
        <f t="shared" si="50"/>
        <v>2.2000000000000002</v>
      </c>
      <c r="N131" s="136">
        <f t="shared" si="50"/>
        <v>2.2000000000000002</v>
      </c>
      <c r="O131" s="136">
        <f t="shared" si="50"/>
        <v>2.2000000000000002</v>
      </c>
      <c r="P131" s="136">
        <f t="shared" si="50"/>
        <v>2.2000000000000002</v>
      </c>
      <c r="Q131" s="136">
        <f t="shared" si="50"/>
        <v>2.2000000000000002</v>
      </c>
      <c r="R131" s="136">
        <f t="shared" si="50"/>
        <v>2.2000000000000002</v>
      </c>
      <c r="S131" s="136">
        <f t="shared" si="50"/>
        <v>2.2000000000000002</v>
      </c>
      <c r="T131" s="136">
        <f t="shared" ref="T131:AF138" si="51">S131</f>
        <v>2.2000000000000002</v>
      </c>
      <c r="U131" s="136">
        <f t="shared" si="51"/>
        <v>2.2000000000000002</v>
      </c>
      <c r="V131" s="136">
        <f t="shared" si="51"/>
        <v>2.2000000000000002</v>
      </c>
      <c r="W131" s="136">
        <f t="shared" si="51"/>
        <v>2.2000000000000002</v>
      </c>
      <c r="X131" s="136">
        <f t="shared" si="51"/>
        <v>2.2000000000000002</v>
      </c>
      <c r="Y131" s="136">
        <f t="shared" si="51"/>
        <v>2.2000000000000002</v>
      </c>
      <c r="Z131" s="136">
        <f t="shared" si="51"/>
        <v>2.2000000000000002</v>
      </c>
      <c r="AA131" s="136">
        <f t="shared" si="51"/>
        <v>2.2000000000000002</v>
      </c>
      <c r="AB131" s="136">
        <f t="shared" si="51"/>
        <v>2.2000000000000002</v>
      </c>
      <c r="AC131" s="136">
        <f t="shared" si="51"/>
        <v>2.2000000000000002</v>
      </c>
      <c r="AD131" s="136">
        <f t="shared" si="51"/>
        <v>2.2000000000000002</v>
      </c>
      <c r="AE131" s="136">
        <f t="shared" si="51"/>
        <v>2.2000000000000002</v>
      </c>
      <c r="AF131" s="136">
        <f t="shared" si="51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49"/>
        <v>2</v>
      </c>
      <c r="C132" s="137">
        <v>2</v>
      </c>
      <c r="D132" s="136">
        <f t="shared" si="50"/>
        <v>2</v>
      </c>
      <c r="E132" s="136">
        <f t="shared" si="50"/>
        <v>2</v>
      </c>
      <c r="F132" s="136">
        <f t="shared" si="50"/>
        <v>2</v>
      </c>
      <c r="G132" s="136">
        <f t="shared" si="50"/>
        <v>2</v>
      </c>
      <c r="H132" s="136">
        <f t="shared" si="50"/>
        <v>2</v>
      </c>
      <c r="I132" s="136">
        <f t="shared" si="50"/>
        <v>2</v>
      </c>
      <c r="J132" s="136">
        <f t="shared" si="50"/>
        <v>2</v>
      </c>
      <c r="K132" s="136">
        <f t="shared" si="50"/>
        <v>2</v>
      </c>
      <c r="L132" s="136">
        <f t="shared" si="50"/>
        <v>2</v>
      </c>
      <c r="M132" s="136">
        <f t="shared" si="50"/>
        <v>2</v>
      </c>
      <c r="N132" s="136">
        <f t="shared" si="50"/>
        <v>2</v>
      </c>
      <c r="O132" s="136">
        <f t="shared" si="50"/>
        <v>2</v>
      </c>
      <c r="P132" s="136">
        <f t="shared" si="50"/>
        <v>2</v>
      </c>
      <c r="Q132" s="136">
        <f t="shared" si="50"/>
        <v>2</v>
      </c>
      <c r="R132" s="136">
        <f t="shared" si="50"/>
        <v>2</v>
      </c>
      <c r="S132" s="136">
        <f t="shared" si="50"/>
        <v>2</v>
      </c>
      <c r="T132" s="136">
        <f t="shared" si="51"/>
        <v>2</v>
      </c>
      <c r="U132" s="136">
        <f t="shared" si="51"/>
        <v>2</v>
      </c>
      <c r="V132" s="136">
        <f t="shared" si="51"/>
        <v>2</v>
      </c>
      <c r="W132" s="136">
        <f t="shared" si="51"/>
        <v>2</v>
      </c>
      <c r="X132" s="136">
        <f t="shared" si="51"/>
        <v>2</v>
      </c>
      <c r="Y132" s="136">
        <f t="shared" si="51"/>
        <v>2</v>
      </c>
      <c r="Z132" s="136">
        <f t="shared" si="51"/>
        <v>2</v>
      </c>
      <c r="AA132" s="136">
        <f t="shared" si="51"/>
        <v>2</v>
      </c>
      <c r="AB132" s="136">
        <f t="shared" si="51"/>
        <v>2</v>
      </c>
      <c r="AC132" s="136">
        <f t="shared" si="51"/>
        <v>2</v>
      </c>
      <c r="AD132" s="136">
        <f t="shared" si="51"/>
        <v>2</v>
      </c>
      <c r="AE132" s="136">
        <f t="shared" si="51"/>
        <v>2</v>
      </c>
      <c r="AF132" s="136">
        <f t="shared" si="51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49"/>
        <v>1.25</v>
      </c>
      <c r="C133" s="137">
        <v>1.25</v>
      </c>
      <c r="D133" s="136">
        <f t="shared" si="50"/>
        <v>1.25</v>
      </c>
      <c r="E133" s="136">
        <f t="shared" si="50"/>
        <v>1.25</v>
      </c>
      <c r="F133" s="136">
        <f t="shared" si="50"/>
        <v>1.25</v>
      </c>
      <c r="G133" s="136">
        <f t="shared" si="50"/>
        <v>1.25</v>
      </c>
      <c r="H133" s="136">
        <f t="shared" si="50"/>
        <v>1.25</v>
      </c>
      <c r="I133" s="136">
        <f t="shared" si="50"/>
        <v>1.25</v>
      </c>
      <c r="J133" s="136">
        <f t="shared" si="50"/>
        <v>1.25</v>
      </c>
      <c r="K133" s="136">
        <f t="shared" si="50"/>
        <v>1.25</v>
      </c>
      <c r="L133" s="136">
        <f t="shared" si="50"/>
        <v>1.25</v>
      </c>
      <c r="M133" s="136">
        <f t="shared" si="50"/>
        <v>1.25</v>
      </c>
      <c r="N133" s="136">
        <f t="shared" si="50"/>
        <v>1.25</v>
      </c>
      <c r="O133" s="136">
        <f t="shared" si="50"/>
        <v>1.25</v>
      </c>
      <c r="P133" s="136">
        <f t="shared" si="50"/>
        <v>1.25</v>
      </c>
      <c r="Q133" s="136">
        <f t="shared" si="50"/>
        <v>1.25</v>
      </c>
      <c r="R133" s="136">
        <f t="shared" si="50"/>
        <v>1.25</v>
      </c>
      <c r="S133" s="136">
        <f t="shared" si="50"/>
        <v>1.25</v>
      </c>
      <c r="T133" s="136">
        <f t="shared" si="51"/>
        <v>1.25</v>
      </c>
      <c r="U133" s="136">
        <f t="shared" si="51"/>
        <v>1.25</v>
      </c>
      <c r="V133" s="136">
        <f t="shared" si="51"/>
        <v>1.25</v>
      </c>
      <c r="W133" s="136">
        <f t="shared" si="51"/>
        <v>1.25</v>
      </c>
      <c r="X133" s="136">
        <f t="shared" si="51"/>
        <v>1.25</v>
      </c>
      <c r="Y133" s="136">
        <f t="shared" si="51"/>
        <v>1.25</v>
      </c>
      <c r="Z133" s="136">
        <f t="shared" si="51"/>
        <v>1.25</v>
      </c>
      <c r="AA133" s="136">
        <f t="shared" si="51"/>
        <v>1.25</v>
      </c>
      <c r="AB133" s="136">
        <f t="shared" si="51"/>
        <v>1.25</v>
      </c>
      <c r="AC133" s="136">
        <f t="shared" si="51"/>
        <v>1.25</v>
      </c>
      <c r="AD133" s="136">
        <f t="shared" si="51"/>
        <v>1.25</v>
      </c>
      <c r="AE133" s="136">
        <f t="shared" si="51"/>
        <v>1.25</v>
      </c>
      <c r="AF133" s="136">
        <f t="shared" si="51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49"/>
        <v>1.1499999999999999</v>
      </c>
      <c r="C134" s="137">
        <v>1.1499999999999999</v>
      </c>
      <c r="D134" s="136">
        <f t="shared" si="50"/>
        <v>1.1499999999999999</v>
      </c>
      <c r="E134" s="136">
        <f t="shared" si="50"/>
        <v>1.1499999999999999</v>
      </c>
      <c r="F134" s="136">
        <f t="shared" si="50"/>
        <v>1.1499999999999999</v>
      </c>
      <c r="G134" s="136">
        <f t="shared" si="50"/>
        <v>1.1499999999999999</v>
      </c>
      <c r="H134" s="136">
        <f t="shared" si="50"/>
        <v>1.1499999999999999</v>
      </c>
      <c r="I134" s="136">
        <f t="shared" si="50"/>
        <v>1.1499999999999999</v>
      </c>
      <c r="J134" s="136">
        <f t="shared" si="50"/>
        <v>1.1499999999999999</v>
      </c>
      <c r="K134" s="136">
        <f t="shared" si="50"/>
        <v>1.1499999999999999</v>
      </c>
      <c r="L134" s="136">
        <f t="shared" si="50"/>
        <v>1.1499999999999999</v>
      </c>
      <c r="M134" s="136">
        <f t="shared" si="50"/>
        <v>1.1499999999999999</v>
      </c>
      <c r="N134" s="136">
        <f t="shared" si="50"/>
        <v>1.1499999999999999</v>
      </c>
      <c r="O134" s="136">
        <f t="shared" si="50"/>
        <v>1.1499999999999999</v>
      </c>
      <c r="P134" s="136">
        <f t="shared" si="50"/>
        <v>1.1499999999999999</v>
      </c>
      <c r="Q134" s="136">
        <f t="shared" si="50"/>
        <v>1.1499999999999999</v>
      </c>
      <c r="R134" s="136">
        <f t="shared" si="50"/>
        <v>1.1499999999999999</v>
      </c>
      <c r="S134" s="136">
        <f t="shared" si="50"/>
        <v>1.1499999999999999</v>
      </c>
      <c r="T134" s="136">
        <f t="shared" si="51"/>
        <v>1.1499999999999999</v>
      </c>
      <c r="U134" s="136">
        <f t="shared" si="51"/>
        <v>1.1499999999999999</v>
      </c>
      <c r="V134" s="136">
        <f t="shared" si="51"/>
        <v>1.1499999999999999</v>
      </c>
      <c r="W134" s="136">
        <f t="shared" si="51"/>
        <v>1.1499999999999999</v>
      </c>
      <c r="X134" s="136">
        <f t="shared" si="51"/>
        <v>1.1499999999999999</v>
      </c>
      <c r="Y134" s="136">
        <f t="shared" si="51"/>
        <v>1.1499999999999999</v>
      </c>
      <c r="Z134" s="136">
        <f t="shared" si="51"/>
        <v>1.1499999999999999</v>
      </c>
      <c r="AA134" s="136">
        <f t="shared" si="51"/>
        <v>1.1499999999999999</v>
      </c>
      <c r="AB134" s="136">
        <f t="shared" si="51"/>
        <v>1.1499999999999999</v>
      </c>
      <c r="AC134" s="136">
        <f t="shared" si="51"/>
        <v>1.1499999999999999</v>
      </c>
      <c r="AD134" s="136">
        <f t="shared" si="51"/>
        <v>1.1499999999999999</v>
      </c>
      <c r="AE134" s="136">
        <f t="shared" si="51"/>
        <v>1.1499999999999999</v>
      </c>
      <c r="AF134" s="136">
        <f t="shared" si="51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49"/>
        <v>2.133</v>
      </c>
      <c r="C135" s="137">
        <v>2.133</v>
      </c>
      <c r="D135" s="136">
        <f t="shared" si="50"/>
        <v>2.133</v>
      </c>
      <c r="E135" s="136">
        <f t="shared" si="50"/>
        <v>2.133</v>
      </c>
      <c r="F135" s="136">
        <f t="shared" si="50"/>
        <v>2.133</v>
      </c>
      <c r="G135" s="136">
        <f t="shared" si="50"/>
        <v>2.133</v>
      </c>
      <c r="H135" s="136">
        <f t="shared" si="50"/>
        <v>2.133</v>
      </c>
      <c r="I135" s="136">
        <f t="shared" si="50"/>
        <v>2.133</v>
      </c>
      <c r="J135" s="136">
        <f t="shared" si="50"/>
        <v>2.133</v>
      </c>
      <c r="K135" s="136">
        <f t="shared" si="50"/>
        <v>2.133</v>
      </c>
      <c r="L135" s="136">
        <f t="shared" si="50"/>
        <v>2.133</v>
      </c>
      <c r="M135" s="136">
        <f t="shared" si="50"/>
        <v>2.133</v>
      </c>
      <c r="N135" s="136">
        <f t="shared" si="50"/>
        <v>2.133</v>
      </c>
      <c r="O135" s="136">
        <f t="shared" si="50"/>
        <v>2.133</v>
      </c>
      <c r="P135" s="136">
        <f t="shared" si="50"/>
        <v>2.133</v>
      </c>
      <c r="Q135" s="136">
        <f t="shared" si="50"/>
        <v>2.133</v>
      </c>
      <c r="R135" s="136">
        <f t="shared" si="50"/>
        <v>2.133</v>
      </c>
      <c r="S135" s="136">
        <f t="shared" si="50"/>
        <v>2.133</v>
      </c>
      <c r="T135" s="136">
        <f t="shared" si="51"/>
        <v>2.133</v>
      </c>
      <c r="U135" s="136">
        <f t="shared" si="51"/>
        <v>2.133</v>
      </c>
      <c r="V135" s="136">
        <f t="shared" si="51"/>
        <v>2.133</v>
      </c>
      <c r="W135" s="136">
        <f t="shared" si="51"/>
        <v>2.133</v>
      </c>
      <c r="X135" s="136">
        <f t="shared" si="51"/>
        <v>2.133</v>
      </c>
      <c r="Y135" s="136">
        <f t="shared" si="51"/>
        <v>2.133</v>
      </c>
      <c r="Z135" s="136">
        <f t="shared" si="51"/>
        <v>2.133</v>
      </c>
      <c r="AA135" s="136">
        <f t="shared" si="51"/>
        <v>2.133</v>
      </c>
      <c r="AB135" s="136">
        <f t="shared" si="51"/>
        <v>2.133</v>
      </c>
      <c r="AC135" s="136">
        <f t="shared" si="51"/>
        <v>2.133</v>
      </c>
      <c r="AD135" s="136">
        <f t="shared" si="51"/>
        <v>2.133</v>
      </c>
      <c r="AE135" s="136">
        <f t="shared" si="51"/>
        <v>2.133</v>
      </c>
      <c r="AF135" s="136">
        <f t="shared" si="51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49"/>
        <v>2.09</v>
      </c>
      <c r="C136" s="137">
        <v>2.09</v>
      </c>
      <c r="D136" s="136">
        <f t="shared" si="50"/>
        <v>2.09</v>
      </c>
      <c r="E136" s="136">
        <f t="shared" si="50"/>
        <v>2.09</v>
      </c>
      <c r="F136" s="136">
        <f t="shared" si="50"/>
        <v>2.09</v>
      </c>
      <c r="G136" s="136">
        <f t="shared" si="50"/>
        <v>2.09</v>
      </c>
      <c r="H136" s="136">
        <f t="shared" si="50"/>
        <v>2.09</v>
      </c>
      <c r="I136" s="136">
        <f t="shared" si="50"/>
        <v>2.09</v>
      </c>
      <c r="J136" s="136">
        <f t="shared" si="50"/>
        <v>2.09</v>
      </c>
      <c r="K136" s="136">
        <f t="shared" si="50"/>
        <v>2.09</v>
      </c>
      <c r="L136" s="136">
        <f t="shared" si="50"/>
        <v>2.09</v>
      </c>
      <c r="M136" s="136">
        <f t="shared" si="50"/>
        <v>2.09</v>
      </c>
      <c r="N136" s="136">
        <f t="shared" si="50"/>
        <v>2.09</v>
      </c>
      <c r="O136" s="136">
        <f t="shared" si="50"/>
        <v>2.09</v>
      </c>
      <c r="P136" s="136">
        <f t="shared" si="50"/>
        <v>2.09</v>
      </c>
      <c r="Q136" s="136">
        <f t="shared" si="50"/>
        <v>2.09</v>
      </c>
      <c r="R136" s="136">
        <f t="shared" si="50"/>
        <v>2.09</v>
      </c>
      <c r="S136" s="136">
        <f t="shared" si="50"/>
        <v>2.09</v>
      </c>
      <c r="T136" s="136">
        <f t="shared" si="51"/>
        <v>2.09</v>
      </c>
      <c r="U136" s="136">
        <f t="shared" si="51"/>
        <v>2.09</v>
      </c>
      <c r="V136" s="136">
        <f t="shared" si="51"/>
        <v>2.09</v>
      </c>
      <c r="W136" s="136">
        <f t="shared" si="51"/>
        <v>2.09</v>
      </c>
      <c r="X136" s="136">
        <f t="shared" si="51"/>
        <v>2.09</v>
      </c>
      <c r="Y136" s="136">
        <f t="shared" si="51"/>
        <v>2.09</v>
      </c>
      <c r="Z136" s="136">
        <f t="shared" si="51"/>
        <v>2.09</v>
      </c>
      <c r="AA136" s="136">
        <f t="shared" si="51"/>
        <v>2.09</v>
      </c>
      <c r="AB136" s="136">
        <f t="shared" si="51"/>
        <v>2.09</v>
      </c>
      <c r="AC136" s="136">
        <f t="shared" si="51"/>
        <v>2.09</v>
      </c>
      <c r="AD136" s="136">
        <f t="shared" si="51"/>
        <v>2.09</v>
      </c>
      <c r="AE136" s="136">
        <f t="shared" si="51"/>
        <v>2.09</v>
      </c>
      <c r="AF136" s="136">
        <f t="shared" si="51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49"/>
        <v>1.1399999999999999</v>
      </c>
      <c r="C137" s="137">
        <v>1.1399999999999999</v>
      </c>
      <c r="D137" s="136">
        <f t="shared" si="50"/>
        <v>1.1399999999999999</v>
      </c>
      <c r="E137" s="136">
        <f t="shared" si="50"/>
        <v>1.1399999999999999</v>
      </c>
      <c r="F137" s="136">
        <f t="shared" si="50"/>
        <v>1.1399999999999999</v>
      </c>
      <c r="G137" s="136">
        <f t="shared" si="50"/>
        <v>1.1399999999999999</v>
      </c>
      <c r="H137" s="136">
        <f t="shared" si="50"/>
        <v>1.1399999999999999</v>
      </c>
      <c r="I137" s="136">
        <f t="shared" si="50"/>
        <v>1.1399999999999999</v>
      </c>
      <c r="J137" s="136">
        <f t="shared" si="50"/>
        <v>1.1399999999999999</v>
      </c>
      <c r="K137" s="136">
        <f t="shared" si="50"/>
        <v>1.1399999999999999</v>
      </c>
      <c r="L137" s="136">
        <f t="shared" si="50"/>
        <v>1.1399999999999999</v>
      </c>
      <c r="M137" s="136">
        <f t="shared" si="50"/>
        <v>1.1399999999999999</v>
      </c>
      <c r="N137" s="136">
        <f t="shared" si="50"/>
        <v>1.1399999999999999</v>
      </c>
      <c r="O137" s="136">
        <f t="shared" si="50"/>
        <v>1.1399999999999999</v>
      </c>
      <c r="P137" s="136">
        <f t="shared" si="50"/>
        <v>1.1399999999999999</v>
      </c>
      <c r="Q137" s="136">
        <f t="shared" si="50"/>
        <v>1.1399999999999999</v>
      </c>
      <c r="R137" s="136">
        <f t="shared" si="50"/>
        <v>1.1399999999999999</v>
      </c>
      <c r="S137" s="136">
        <f t="shared" si="50"/>
        <v>1.1399999999999999</v>
      </c>
      <c r="T137" s="136">
        <f t="shared" si="51"/>
        <v>1.1399999999999999</v>
      </c>
      <c r="U137" s="136">
        <f t="shared" si="51"/>
        <v>1.1399999999999999</v>
      </c>
      <c r="V137" s="136">
        <f t="shared" si="51"/>
        <v>1.1399999999999999</v>
      </c>
      <c r="W137" s="136">
        <f t="shared" si="51"/>
        <v>1.1399999999999999</v>
      </c>
      <c r="X137" s="136">
        <f t="shared" si="51"/>
        <v>1.1399999999999999</v>
      </c>
      <c r="Y137" s="136">
        <f t="shared" si="51"/>
        <v>1.1399999999999999</v>
      </c>
      <c r="Z137" s="136">
        <f t="shared" si="51"/>
        <v>1.1399999999999999</v>
      </c>
      <c r="AA137" s="136">
        <f t="shared" si="51"/>
        <v>1.1399999999999999</v>
      </c>
      <c r="AB137" s="136">
        <f t="shared" si="51"/>
        <v>1.1399999999999999</v>
      </c>
      <c r="AC137" s="136">
        <f t="shared" si="51"/>
        <v>1.1399999999999999</v>
      </c>
      <c r="AD137" s="136">
        <f t="shared" si="51"/>
        <v>1.1399999999999999</v>
      </c>
      <c r="AE137" s="136">
        <f t="shared" si="51"/>
        <v>1.1399999999999999</v>
      </c>
      <c r="AF137" s="136">
        <f t="shared" si="51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49"/>
        <v>0.82</v>
      </c>
      <c r="C138" s="137">
        <v>0.82</v>
      </c>
      <c r="D138" s="136">
        <f t="shared" si="50"/>
        <v>0.82</v>
      </c>
      <c r="E138" s="136">
        <f t="shared" si="50"/>
        <v>0.82</v>
      </c>
      <c r="F138" s="136">
        <f t="shared" si="50"/>
        <v>0.82</v>
      </c>
      <c r="G138" s="136">
        <f t="shared" si="50"/>
        <v>0.82</v>
      </c>
      <c r="H138" s="136">
        <f t="shared" si="50"/>
        <v>0.82</v>
      </c>
      <c r="I138" s="136">
        <f t="shared" si="50"/>
        <v>0.82</v>
      </c>
      <c r="J138" s="136">
        <f t="shared" si="50"/>
        <v>0.82</v>
      </c>
      <c r="K138" s="136">
        <f t="shared" si="50"/>
        <v>0.82</v>
      </c>
      <c r="L138" s="136">
        <f t="shared" si="50"/>
        <v>0.82</v>
      </c>
      <c r="M138" s="136">
        <f t="shared" si="50"/>
        <v>0.82</v>
      </c>
      <c r="N138" s="136">
        <f t="shared" si="50"/>
        <v>0.82</v>
      </c>
      <c r="O138" s="136">
        <f t="shared" si="50"/>
        <v>0.82</v>
      </c>
      <c r="P138" s="136">
        <f t="shared" si="50"/>
        <v>0.82</v>
      </c>
      <c r="Q138" s="136">
        <f t="shared" si="50"/>
        <v>0.82</v>
      </c>
      <c r="R138" s="136">
        <f t="shared" si="50"/>
        <v>0.82</v>
      </c>
      <c r="S138" s="136">
        <f t="shared" si="50"/>
        <v>0.82</v>
      </c>
      <c r="T138" s="136">
        <f t="shared" si="51"/>
        <v>0.82</v>
      </c>
      <c r="U138" s="136">
        <f t="shared" si="51"/>
        <v>0.82</v>
      </c>
      <c r="V138" s="136">
        <f t="shared" si="51"/>
        <v>0.82</v>
      </c>
      <c r="W138" s="136">
        <f t="shared" si="51"/>
        <v>0.82</v>
      </c>
      <c r="X138" s="136">
        <f t="shared" si="51"/>
        <v>0.82</v>
      </c>
      <c r="Y138" s="136">
        <f t="shared" si="51"/>
        <v>0.82</v>
      </c>
      <c r="Z138" s="136">
        <f t="shared" si="51"/>
        <v>0.82</v>
      </c>
      <c r="AA138" s="136">
        <f t="shared" si="51"/>
        <v>0.82</v>
      </c>
      <c r="AB138" s="136">
        <f t="shared" si="51"/>
        <v>0.82</v>
      </c>
      <c r="AC138" s="136">
        <f t="shared" si="51"/>
        <v>0.82</v>
      </c>
      <c r="AD138" s="136">
        <f t="shared" si="51"/>
        <v>0.82</v>
      </c>
      <c r="AE138" s="136">
        <f t="shared" si="51"/>
        <v>0.82</v>
      </c>
      <c r="AF138" s="136">
        <f t="shared" si="51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52">AF140</f>
        <v>2</v>
      </c>
      <c r="C140" s="137">
        <v>2</v>
      </c>
      <c r="D140" s="136">
        <f t="shared" ref="D140:S146" si="53">C140</f>
        <v>2</v>
      </c>
      <c r="E140" s="136">
        <f t="shared" si="53"/>
        <v>2</v>
      </c>
      <c r="F140" s="136">
        <f t="shared" si="53"/>
        <v>2</v>
      </c>
      <c r="G140" s="136">
        <f t="shared" si="53"/>
        <v>2</v>
      </c>
      <c r="H140" s="136">
        <f t="shared" si="53"/>
        <v>2</v>
      </c>
      <c r="I140" s="136">
        <f t="shared" si="53"/>
        <v>2</v>
      </c>
      <c r="J140" s="136">
        <f t="shared" si="53"/>
        <v>2</v>
      </c>
      <c r="K140" s="136">
        <f t="shared" si="53"/>
        <v>2</v>
      </c>
      <c r="L140" s="136">
        <f t="shared" si="53"/>
        <v>2</v>
      </c>
      <c r="M140" s="136">
        <f t="shared" si="53"/>
        <v>2</v>
      </c>
      <c r="N140" s="136">
        <f t="shared" si="53"/>
        <v>2</v>
      </c>
      <c r="O140" s="136">
        <f t="shared" si="53"/>
        <v>2</v>
      </c>
      <c r="P140" s="136">
        <f t="shared" si="53"/>
        <v>2</v>
      </c>
      <c r="Q140" s="136">
        <f t="shared" si="53"/>
        <v>2</v>
      </c>
      <c r="R140" s="136">
        <f t="shared" si="53"/>
        <v>2</v>
      </c>
      <c r="S140" s="136">
        <f t="shared" si="53"/>
        <v>2</v>
      </c>
      <c r="T140" s="136">
        <f t="shared" ref="T140:AF146" si="54">S140</f>
        <v>2</v>
      </c>
      <c r="U140" s="136">
        <f t="shared" si="54"/>
        <v>2</v>
      </c>
      <c r="V140" s="136">
        <f t="shared" si="54"/>
        <v>2</v>
      </c>
      <c r="W140" s="136">
        <f t="shared" si="54"/>
        <v>2</v>
      </c>
      <c r="X140" s="136">
        <f t="shared" si="54"/>
        <v>2</v>
      </c>
      <c r="Y140" s="136">
        <f t="shared" si="54"/>
        <v>2</v>
      </c>
      <c r="Z140" s="136">
        <f t="shared" si="54"/>
        <v>2</v>
      </c>
      <c r="AA140" s="136">
        <f t="shared" si="54"/>
        <v>2</v>
      </c>
      <c r="AB140" s="136">
        <f t="shared" si="54"/>
        <v>2</v>
      </c>
      <c r="AC140" s="136">
        <f t="shared" si="54"/>
        <v>2</v>
      </c>
      <c r="AD140" s="136">
        <f t="shared" si="54"/>
        <v>2</v>
      </c>
      <c r="AE140" s="136">
        <f t="shared" si="54"/>
        <v>2</v>
      </c>
      <c r="AF140" s="136">
        <f t="shared" si="54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52"/>
        <v>5.61</v>
      </c>
      <c r="C141" s="137">
        <v>5.61</v>
      </c>
      <c r="D141" s="136">
        <f t="shared" si="53"/>
        <v>5.61</v>
      </c>
      <c r="E141" s="136">
        <f t="shared" si="53"/>
        <v>5.61</v>
      </c>
      <c r="F141" s="136">
        <f t="shared" si="53"/>
        <v>5.61</v>
      </c>
      <c r="G141" s="136">
        <f t="shared" si="53"/>
        <v>5.61</v>
      </c>
      <c r="H141" s="136">
        <f t="shared" si="53"/>
        <v>5.61</v>
      </c>
      <c r="I141" s="136">
        <f t="shared" si="53"/>
        <v>5.61</v>
      </c>
      <c r="J141" s="136">
        <f t="shared" si="53"/>
        <v>5.61</v>
      </c>
      <c r="K141" s="136">
        <f t="shared" si="53"/>
        <v>5.61</v>
      </c>
      <c r="L141" s="136">
        <f t="shared" si="53"/>
        <v>5.61</v>
      </c>
      <c r="M141" s="136">
        <f t="shared" si="53"/>
        <v>5.61</v>
      </c>
      <c r="N141" s="136">
        <f t="shared" si="53"/>
        <v>5.61</v>
      </c>
      <c r="O141" s="136">
        <f t="shared" si="53"/>
        <v>5.61</v>
      </c>
      <c r="P141" s="136">
        <f t="shared" si="53"/>
        <v>5.61</v>
      </c>
      <c r="Q141" s="136">
        <f t="shared" si="53"/>
        <v>5.61</v>
      </c>
      <c r="R141" s="136">
        <f t="shared" si="53"/>
        <v>5.61</v>
      </c>
      <c r="S141" s="136">
        <f t="shared" si="53"/>
        <v>5.61</v>
      </c>
      <c r="T141" s="136">
        <f t="shared" si="54"/>
        <v>5.61</v>
      </c>
      <c r="U141" s="136">
        <f t="shared" si="54"/>
        <v>5.61</v>
      </c>
      <c r="V141" s="136">
        <f t="shared" si="54"/>
        <v>5.61</v>
      </c>
      <c r="W141" s="136">
        <f t="shared" si="54"/>
        <v>5.61</v>
      </c>
      <c r="X141" s="136">
        <f t="shared" si="54"/>
        <v>5.61</v>
      </c>
      <c r="Y141" s="136">
        <f t="shared" si="54"/>
        <v>5.61</v>
      </c>
      <c r="Z141" s="136">
        <f t="shared" si="54"/>
        <v>5.61</v>
      </c>
      <c r="AA141" s="136">
        <f t="shared" si="54"/>
        <v>5.61</v>
      </c>
      <c r="AB141" s="136">
        <f t="shared" si="54"/>
        <v>5.61</v>
      </c>
      <c r="AC141" s="136">
        <f t="shared" si="54"/>
        <v>5.61</v>
      </c>
      <c r="AD141" s="136">
        <f t="shared" si="54"/>
        <v>5.61</v>
      </c>
      <c r="AE141" s="136">
        <f t="shared" si="54"/>
        <v>5.61</v>
      </c>
      <c r="AF141" s="136">
        <f t="shared" si="54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52"/>
        <v>1.25</v>
      </c>
      <c r="C142" s="137">
        <v>1.25</v>
      </c>
      <c r="D142" s="136">
        <f t="shared" si="53"/>
        <v>1.25</v>
      </c>
      <c r="E142" s="136">
        <f t="shared" si="53"/>
        <v>1.25</v>
      </c>
      <c r="F142" s="136">
        <f t="shared" si="53"/>
        <v>1.25</v>
      </c>
      <c r="G142" s="136">
        <f t="shared" si="53"/>
        <v>1.25</v>
      </c>
      <c r="H142" s="136">
        <f t="shared" si="53"/>
        <v>1.25</v>
      </c>
      <c r="I142" s="136">
        <f t="shared" si="53"/>
        <v>1.25</v>
      </c>
      <c r="J142" s="136">
        <f t="shared" si="53"/>
        <v>1.25</v>
      </c>
      <c r="K142" s="136">
        <f t="shared" si="53"/>
        <v>1.25</v>
      </c>
      <c r="L142" s="136">
        <f t="shared" si="53"/>
        <v>1.25</v>
      </c>
      <c r="M142" s="136">
        <f t="shared" si="53"/>
        <v>1.25</v>
      </c>
      <c r="N142" s="136">
        <f t="shared" si="53"/>
        <v>1.25</v>
      </c>
      <c r="O142" s="136">
        <f t="shared" si="53"/>
        <v>1.25</v>
      </c>
      <c r="P142" s="136">
        <f t="shared" si="53"/>
        <v>1.25</v>
      </c>
      <c r="Q142" s="136">
        <f t="shared" si="53"/>
        <v>1.25</v>
      </c>
      <c r="R142" s="136">
        <f t="shared" si="53"/>
        <v>1.25</v>
      </c>
      <c r="S142" s="136">
        <f t="shared" si="53"/>
        <v>1.25</v>
      </c>
      <c r="T142" s="136">
        <f t="shared" si="54"/>
        <v>1.25</v>
      </c>
      <c r="U142" s="136">
        <f t="shared" si="54"/>
        <v>1.25</v>
      </c>
      <c r="V142" s="136">
        <f t="shared" si="54"/>
        <v>1.25</v>
      </c>
      <c r="W142" s="136">
        <f t="shared" si="54"/>
        <v>1.25</v>
      </c>
      <c r="X142" s="136">
        <f t="shared" si="54"/>
        <v>1.25</v>
      </c>
      <c r="Y142" s="136">
        <f t="shared" si="54"/>
        <v>1.25</v>
      </c>
      <c r="Z142" s="136">
        <f t="shared" si="54"/>
        <v>1.25</v>
      </c>
      <c r="AA142" s="136">
        <f t="shared" si="54"/>
        <v>1.25</v>
      </c>
      <c r="AB142" s="136">
        <f t="shared" si="54"/>
        <v>1.25</v>
      </c>
      <c r="AC142" s="136">
        <f t="shared" si="54"/>
        <v>1.25</v>
      </c>
      <c r="AD142" s="136">
        <f t="shared" si="54"/>
        <v>1.25</v>
      </c>
      <c r="AE142" s="136">
        <f t="shared" si="54"/>
        <v>1.25</v>
      </c>
      <c r="AF142" s="136">
        <f t="shared" si="54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52"/>
        <v>1.25</v>
      </c>
      <c r="C143" s="137">
        <v>1.25</v>
      </c>
      <c r="D143" s="136">
        <f t="shared" si="53"/>
        <v>1.25</v>
      </c>
      <c r="E143" s="136">
        <f t="shared" si="53"/>
        <v>1.25</v>
      </c>
      <c r="F143" s="136">
        <f t="shared" si="53"/>
        <v>1.25</v>
      </c>
      <c r="G143" s="136">
        <f t="shared" si="53"/>
        <v>1.25</v>
      </c>
      <c r="H143" s="136">
        <f t="shared" si="53"/>
        <v>1.25</v>
      </c>
      <c r="I143" s="136">
        <f t="shared" si="53"/>
        <v>1.25</v>
      </c>
      <c r="J143" s="136">
        <f t="shared" si="53"/>
        <v>1.25</v>
      </c>
      <c r="K143" s="136">
        <f t="shared" si="53"/>
        <v>1.25</v>
      </c>
      <c r="L143" s="136">
        <f t="shared" si="53"/>
        <v>1.25</v>
      </c>
      <c r="M143" s="136">
        <f t="shared" si="53"/>
        <v>1.25</v>
      </c>
      <c r="N143" s="136">
        <f t="shared" si="53"/>
        <v>1.25</v>
      </c>
      <c r="O143" s="136">
        <f t="shared" si="53"/>
        <v>1.25</v>
      </c>
      <c r="P143" s="136">
        <f t="shared" si="53"/>
        <v>1.25</v>
      </c>
      <c r="Q143" s="136">
        <f t="shared" si="53"/>
        <v>1.25</v>
      </c>
      <c r="R143" s="136">
        <f t="shared" si="53"/>
        <v>1.25</v>
      </c>
      <c r="S143" s="136">
        <f t="shared" si="53"/>
        <v>1.25</v>
      </c>
      <c r="T143" s="136">
        <f t="shared" si="54"/>
        <v>1.25</v>
      </c>
      <c r="U143" s="136">
        <f t="shared" si="54"/>
        <v>1.25</v>
      </c>
      <c r="V143" s="136">
        <f t="shared" si="54"/>
        <v>1.25</v>
      </c>
      <c r="W143" s="136">
        <f t="shared" si="54"/>
        <v>1.25</v>
      </c>
      <c r="X143" s="136">
        <f t="shared" si="54"/>
        <v>1.25</v>
      </c>
      <c r="Y143" s="136">
        <f t="shared" si="54"/>
        <v>1.25</v>
      </c>
      <c r="Z143" s="136">
        <f t="shared" si="54"/>
        <v>1.25</v>
      </c>
      <c r="AA143" s="136">
        <f t="shared" si="54"/>
        <v>1.25</v>
      </c>
      <c r="AB143" s="136">
        <f t="shared" si="54"/>
        <v>1.25</v>
      </c>
      <c r="AC143" s="136">
        <f t="shared" si="54"/>
        <v>1.25</v>
      </c>
      <c r="AD143" s="136">
        <f t="shared" si="54"/>
        <v>1.25</v>
      </c>
      <c r="AE143" s="136">
        <f t="shared" si="54"/>
        <v>1.25</v>
      </c>
      <c r="AF143" s="136">
        <f t="shared" si="54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52"/>
        <v>1.46</v>
      </c>
      <c r="C144" s="137">
        <v>1.46</v>
      </c>
      <c r="D144" s="136">
        <f t="shared" si="53"/>
        <v>1.46</v>
      </c>
      <c r="E144" s="136">
        <f t="shared" si="53"/>
        <v>1.46</v>
      </c>
      <c r="F144" s="136">
        <f t="shared" si="53"/>
        <v>1.46</v>
      </c>
      <c r="G144" s="136">
        <f t="shared" si="53"/>
        <v>1.46</v>
      </c>
      <c r="H144" s="136">
        <f t="shared" si="53"/>
        <v>1.46</v>
      </c>
      <c r="I144" s="136">
        <f t="shared" si="53"/>
        <v>1.46</v>
      </c>
      <c r="J144" s="136">
        <f t="shared" si="53"/>
        <v>1.46</v>
      </c>
      <c r="K144" s="136">
        <f t="shared" si="53"/>
        <v>1.46</v>
      </c>
      <c r="L144" s="136">
        <f t="shared" si="53"/>
        <v>1.46</v>
      </c>
      <c r="M144" s="136">
        <f t="shared" si="53"/>
        <v>1.46</v>
      </c>
      <c r="N144" s="136">
        <f t="shared" si="53"/>
        <v>1.46</v>
      </c>
      <c r="O144" s="136">
        <f t="shared" si="53"/>
        <v>1.46</v>
      </c>
      <c r="P144" s="136">
        <f t="shared" si="53"/>
        <v>1.46</v>
      </c>
      <c r="Q144" s="136">
        <f t="shared" si="53"/>
        <v>1.46</v>
      </c>
      <c r="R144" s="136">
        <f t="shared" si="53"/>
        <v>1.46</v>
      </c>
      <c r="S144" s="136">
        <f t="shared" si="53"/>
        <v>1.46</v>
      </c>
      <c r="T144" s="136">
        <f t="shared" si="54"/>
        <v>1.46</v>
      </c>
      <c r="U144" s="136">
        <f t="shared" si="54"/>
        <v>1.46</v>
      </c>
      <c r="V144" s="136">
        <f t="shared" si="54"/>
        <v>1.46</v>
      </c>
      <c r="W144" s="136">
        <f t="shared" si="54"/>
        <v>1.46</v>
      </c>
      <c r="X144" s="136">
        <f t="shared" si="54"/>
        <v>1.46</v>
      </c>
      <c r="Y144" s="136">
        <f t="shared" si="54"/>
        <v>1.46</v>
      </c>
      <c r="Z144" s="136">
        <f t="shared" si="54"/>
        <v>1.46</v>
      </c>
      <c r="AA144" s="136">
        <f t="shared" si="54"/>
        <v>1.46</v>
      </c>
      <c r="AB144" s="136">
        <f t="shared" si="54"/>
        <v>1.46</v>
      </c>
      <c r="AC144" s="136">
        <f t="shared" si="54"/>
        <v>1.46</v>
      </c>
      <c r="AD144" s="136">
        <f t="shared" si="54"/>
        <v>1.46</v>
      </c>
      <c r="AE144" s="136">
        <f t="shared" si="54"/>
        <v>1.46</v>
      </c>
      <c r="AF144" s="136">
        <f t="shared" si="54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52"/>
        <v>3</v>
      </c>
      <c r="C145" s="137">
        <v>3</v>
      </c>
      <c r="D145" s="136">
        <f t="shared" si="53"/>
        <v>3</v>
      </c>
      <c r="E145" s="136">
        <f t="shared" si="53"/>
        <v>3</v>
      </c>
      <c r="F145" s="136">
        <f t="shared" si="53"/>
        <v>3</v>
      </c>
      <c r="G145" s="136">
        <f t="shared" si="53"/>
        <v>3</v>
      </c>
      <c r="H145" s="136">
        <f t="shared" si="53"/>
        <v>3</v>
      </c>
      <c r="I145" s="136">
        <f t="shared" si="53"/>
        <v>3</v>
      </c>
      <c r="J145" s="136">
        <f t="shared" si="53"/>
        <v>3</v>
      </c>
      <c r="K145" s="136">
        <f t="shared" si="53"/>
        <v>3</v>
      </c>
      <c r="L145" s="136">
        <f t="shared" si="53"/>
        <v>3</v>
      </c>
      <c r="M145" s="136">
        <f t="shared" si="53"/>
        <v>3</v>
      </c>
      <c r="N145" s="136">
        <f t="shared" si="53"/>
        <v>3</v>
      </c>
      <c r="O145" s="136">
        <f t="shared" si="53"/>
        <v>3</v>
      </c>
      <c r="P145" s="136">
        <f t="shared" si="53"/>
        <v>3</v>
      </c>
      <c r="Q145" s="136">
        <f t="shared" si="53"/>
        <v>3</v>
      </c>
      <c r="R145" s="136">
        <f t="shared" si="53"/>
        <v>3</v>
      </c>
      <c r="S145" s="136">
        <f t="shared" si="53"/>
        <v>3</v>
      </c>
      <c r="T145" s="136">
        <f t="shared" si="54"/>
        <v>3</v>
      </c>
      <c r="U145" s="136">
        <f t="shared" si="54"/>
        <v>3</v>
      </c>
      <c r="V145" s="136">
        <f t="shared" si="54"/>
        <v>3</v>
      </c>
      <c r="W145" s="136">
        <f t="shared" si="54"/>
        <v>3</v>
      </c>
      <c r="X145" s="136">
        <f t="shared" si="54"/>
        <v>3</v>
      </c>
      <c r="Y145" s="136">
        <f t="shared" si="54"/>
        <v>3</v>
      </c>
      <c r="Z145" s="136">
        <f t="shared" si="54"/>
        <v>3</v>
      </c>
      <c r="AA145" s="136">
        <f t="shared" si="54"/>
        <v>3</v>
      </c>
      <c r="AB145" s="136">
        <f t="shared" si="54"/>
        <v>3</v>
      </c>
      <c r="AC145" s="136">
        <f t="shared" si="54"/>
        <v>3</v>
      </c>
      <c r="AD145" s="136">
        <f t="shared" si="54"/>
        <v>3</v>
      </c>
      <c r="AE145" s="136">
        <f t="shared" si="54"/>
        <v>3</v>
      </c>
      <c r="AF145" s="136">
        <f t="shared" si="54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52"/>
        <v>3.3</v>
      </c>
      <c r="C146" s="137">
        <v>3.3</v>
      </c>
      <c r="D146" s="136">
        <f t="shared" si="53"/>
        <v>3.3</v>
      </c>
      <c r="E146" s="136">
        <f t="shared" si="53"/>
        <v>3.3</v>
      </c>
      <c r="F146" s="136">
        <f t="shared" si="53"/>
        <v>3.3</v>
      </c>
      <c r="G146" s="136">
        <f t="shared" si="53"/>
        <v>3.3</v>
      </c>
      <c r="H146" s="136">
        <f t="shared" si="53"/>
        <v>3.3</v>
      </c>
      <c r="I146" s="136">
        <f t="shared" si="53"/>
        <v>3.3</v>
      </c>
      <c r="J146" s="136">
        <f t="shared" si="53"/>
        <v>3.3</v>
      </c>
      <c r="K146" s="136">
        <f t="shared" si="53"/>
        <v>3.3</v>
      </c>
      <c r="L146" s="136">
        <f t="shared" si="53"/>
        <v>3.3</v>
      </c>
      <c r="M146" s="136">
        <f t="shared" si="53"/>
        <v>3.3</v>
      </c>
      <c r="N146" s="136">
        <f t="shared" si="53"/>
        <v>3.3</v>
      </c>
      <c r="O146" s="136">
        <f t="shared" si="53"/>
        <v>3.3</v>
      </c>
      <c r="P146" s="136">
        <f t="shared" si="53"/>
        <v>3.3</v>
      </c>
      <c r="Q146" s="136">
        <f t="shared" si="53"/>
        <v>3.3</v>
      </c>
      <c r="R146" s="136">
        <f t="shared" si="53"/>
        <v>3.3</v>
      </c>
      <c r="S146" s="136">
        <f t="shared" si="53"/>
        <v>3.3</v>
      </c>
      <c r="T146" s="136">
        <f t="shared" si="54"/>
        <v>3.3</v>
      </c>
      <c r="U146" s="136">
        <f t="shared" si="54"/>
        <v>3.3</v>
      </c>
      <c r="V146" s="136">
        <f t="shared" si="54"/>
        <v>3.3</v>
      </c>
      <c r="W146" s="136">
        <f t="shared" si="54"/>
        <v>3.3</v>
      </c>
      <c r="X146" s="136">
        <f t="shared" si="54"/>
        <v>3.3</v>
      </c>
      <c r="Y146" s="136">
        <f t="shared" si="54"/>
        <v>3.3</v>
      </c>
      <c r="Z146" s="136">
        <f t="shared" si="54"/>
        <v>3.3</v>
      </c>
      <c r="AA146" s="136">
        <f t="shared" si="54"/>
        <v>3.3</v>
      </c>
      <c r="AB146" s="136">
        <f t="shared" si="54"/>
        <v>3.3</v>
      </c>
      <c r="AC146" s="136">
        <f t="shared" si="54"/>
        <v>3.3</v>
      </c>
      <c r="AD146" s="136">
        <f t="shared" si="54"/>
        <v>3.3</v>
      </c>
      <c r="AE146" s="136">
        <f t="shared" si="54"/>
        <v>3.3</v>
      </c>
      <c r="AF146" s="136">
        <f t="shared" si="54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55">C148</f>
        <v>1.76</v>
      </c>
      <c r="E148" s="136">
        <f t="shared" si="55"/>
        <v>1.76</v>
      </c>
      <c r="F148" s="136">
        <f t="shared" si="55"/>
        <v>1.76</v>
      </c>
      <c r="G148" s="136">
        <f t="shared" si="55"/>
        <v>1.76</v>
      </c>
      <c r="H148" s="136">
        <f t="shared" si="55"/>
        <v>1.76</v>
      </c>
      <c r="I148" s="136">
        <f t="shared" si="55"/>
        <v>1.76</v>
      </c>
      <c r="J148" s="136">
        <f t="shared" si="55"/>
        <v>1.76</v>
      </c>
      <c r="K148" s="136">
        <f t="shared" si="55"/>
        <v>1.76</v>
      </c>
      <c r="L148" s="136">
        <f t="shared" si="55"/>
        <v>1.76</v>
      </c>
      <c r="M148" s="136">
        <f t="shared" si="55"/>
        <v>1.76</v>
      </c>
      <c r="N148" s="136">
        <f t="shared" si="55"/>
        <v>1.76</v>
      </c>
      <c r="O148" s="136">
        <f t="shared" si="55"/>
        <v>1.76</v>
      </c>
      <c r="P148" s="136">
        <f t="shared" si="55"/>
        <v>1.76</v>
      </c>
      <c r="Q148" s="136">
        <f t="shared" si="55"/>
        <v>1.76</v>
      </c>
      <c r="R148" s="136">
        <f t="shared" si="55"/>
        <v>1.76</v>
      </c>
      <c r="S148" s="136">
        <f t="shared" si="55"/>
        <v>1.76</v>
      </c>
      <c r="T148" s="136">
        <f t="shared" ref="T148:AF149" si="56">S148</f>
        <v>1.76</v>
      </c>
      <c r="U148" s="136">
        <f t="shared" si="56"/>
        <v>1.76</v>
      </c>
      <c r="V148" s="136">
        <f t="shared" si="56"/>
        <v>1.76</v>
      </c>
      <c r="W148" s="136">
        <f t="shared" si="56"/>
        <v>1.76</v>
      </c>
      <c r="X148" s="136">
        <f t="shared" si="56"/>
        <v>1.76</v>
      </c>
      <c r="Y148" s="136">
        <f t="shared" si="56"/>
        <v>1.76</v>
      </c>
      <c r="Z148" s="136">
        <f t="shared" si="56"/>
        <v>1.76</v>
      </c>
      <c r="AA148" s="136">
        <f t="shared" si="56"/>
        <v>1.76</v>
      </c>
      <c r="AB148" s="136">
        <f t="shared" si="56"/>
        <v>1.76</v>
      </c>
      <c r="AC148" s="136">
        <f t="shared" si="56"/>
        <v>1.76</v>
      </c>
      <c r="AD148" s="136">
        <f t="shared" si="56"/>
        <v>1.76</v>
      </c>
      <c r="AE148" s="136">
        <f t="shared" si="56"/>
        <v>1.76</v>
      </c>
      <c r="AF148" s="136">
        <f t="shared" si="56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55"/>
        <v>0</v>
      </c>
      <c r="E149" s="136">
        <f t="shared" si="55"/>
        <v>0</v>
      </c>
      <c r="F149" s="136">
        <f t="shared" si="55"/>
        <v>0</v>
      </c>
      <c r="G149" s="136">
        <f t="shared" si="55"/>
        <v>0</v>
      </c>
      <c r="H149" s="136">
        <f t="shared" si="55"/>
        <v>0</v>
      </c>
      <c r="I149" s="136">
        <f t="shared" si="55"/>
        <v>0</v>
      </c>
      <c r="J149" s="136">
        <f t="shared" si="55"/>
        <v>0</v>
      </c>
      <c r="K149" s="136">
        <f t="shared" si="55"/>
        <v>0</v>
      </c>
      <c r="L149" s="136">
        <f t="shared" si="55"/>
        <v>0</v>
      </c>
      <c r="M149" s="136">
        <f t="shared" si="55"/>
        <v>0</v>
      </c>
      <c r="N149" s="136">
        <f t="shared" si="55"/>
        <v>0</v>
      </c>
      <c r="O149" s="136">
        <f t="shared" si="55"/>
        <v>0</v>
      </c>
      <c r="P149" s="136">
        <f t="shared" si="55"/>
        <v>0</v>
      </c>
      <c r="Q149" s="136">
        <f t="shared" si="55"/>
        <v>0</v>
      </c>
      <c r="R149" s="136">
        <f t="shared" si="55"/>
        <v>0</v>
      </c>
      <c r="S149" s="136">
        <f t="shared" si="55"/>
        <v>0</v>
      </c>
      <c r="T149" s="136">
        <f t="shared" si="56"/>
        <v>0</v>
      </c>
      <c r="U149" s="136">
        <f t="shared" si="56"/>
        <v>0</v>
      </c>
      <c r="V149" s="136">
        <f t="shared" si="56"/>
        <v>0</v>
      </c>
      <c r="W149" s="136">
        <f t="shared" si="56"/>
        <v>0</v>
      </c>
      <c r="X149" s="136">
        <f t="shared" si="56"/>
        <v>0</v>
      </c>
      <c r="Y149" s="136">
        <f t="shared" si="56"/>
        <v>0</v>
      </c>
      <c r="Z149" s="136">
        <f t="shared" si="56"/>
        <v>0</v>
      </c>
      <c r="AA149" s="136">
        <f t="shared" si="56"/>
        <v>0</v>
      </c>
      <c r="AB149" s="136">
        <f t="shared" si="56"/>
        <v>0</v>
      </c>
      <c r="AC149" s="136">
        <f t="shared" si="56"/>
        <v>0</v>
      </c>
      <c r="AD149" s="136">
        <f t="shared" si="56"/>
        <v>0</v>
      </c>
      <c r="AE149" s="136">
        <f t="shared" si="56"/>
        <v>0</v>
      </c>
      <c r="AF149" s="136">
        <f t="shared" si="56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57">C151</f>
        <v>0.1</v>
      </c>
      <c r="E151" s="136">
        <f t="shared" si="57"/>
        <v>0.1</v>
      </c>
      <c r="F151" s="136">
        <f t="shared" si="57"/>
        <v>0.1</v>
      </c>
      <c r="G151" s="136">
        <f t="shared" si="57"/>
        <v>0.1</v>
      </c>
      <c r="H151" s="136">
        <f t="shared" si="57"/>
        <v>0.1</v>
      </c>
      <c r="I151" s="136">
        <f t="shared" si="57"/>
        <v>0.1</v>
      </c>
      <c r="J151" s="136">
        <f t="shared" si="57"/>
        <v>0.1</v>
      </c>
      <c r="K151" s="136">
        <f t="shared" si="57"/>
        <v>0.1</v>
      </c>
      <c r="L151" s="136">
        <f t="shared" si="57"/>
        <v>0.1</v>
      </c>
      <c r="M151" s="136">
        <f t="shared" si="57"/>
        <v>0.1</v>
      </c>
      <c r="N151" s="136">
        <f t="shared" si="57"/>
        <v>0.1</v>
      </c>
      <c r="O151" s="136">
        <f t="shared" si="57"/>
        <v>0.1</v>
      </c>
      <c r="P151" s="136">
        <f t="shared" si="57"/>
        <v>0.1</v>
      </c>
      <c r="Q151" s="136">
        <f t="shared" si="57"/>
        <v>0.1</v>
      </c>
      <c r="R151" s="136">
        <f t="shared" si="57"/>
        <v>0.1</v>
      </c>
      <c r="S151" s="136">
        <f t="shared" si="57"/>
        <v>0.1</v>
      </c>
      <c r="T151" s="136">
        <f t="shared" ref="T151:AF154" si="58">S151</f>
        <v>0.1</v>
      </c>
      <c r="U151" s="136">
        <f t="shared" si="58"/>
        <v>0.1</v>
      </c>
      <c r="V151" s="136">
        <f t="shared" si="58"/>
        <v>0.1</v>
      </c>
      <c r="W151" s="136">
        <f t="shared" si="58"/>
        <v>0.1</v>
      </c>
      <c r="X151" s="136">
        <f t="shared" si="58"/>
        <v>0.1</v>
      </c>
      <c r="Y151" s="136">
        <f t="shared" si="58"/>
        <v>0.1</v>
      </c>
      <c r="Z151" s="136">
        <f t="shared" si="58"/>
        <v>0.1</v>
      </c>
      <c r="AA151" s="136">
        <f t="shared" si="58"/>
        <v>0.1</v>
      </c>
      <c r="AB151" s="136">
        <f t="shared" si="58"/>
        <v>0.1</v>
      </c>
      <c r="AC151" s="136">
        <f t="shared" si="58"/>
        <v>0.1</v>
      </c>
      <c r="AD151" s="136">
        <f t="shared" si="58"/>
        <v>0.1</v>
      </c>
      <c r="AE151" s="136">
        <f t="shared" si="58"/>
        <v>0.1</v>
      </c>
      <c r="AF151" s="136">
        <f t="shared" si="58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57"/>
        <v>2.0499999999999998</v>
      </c>
      <c r="E152" s="136">
        <f t="shared" si="57"/>
        <v>2.0499999999999998</v>
      </c>
      <c r="F152" s="136">
        <f t="shared" si="57"/>
        <v>2.0499999999999998</v>
      </c>
      <c r="G152" s="136">
        <f t="shared" si="57"/>
        <v>2.0499999999999998</v>
      </c>
      <c r="H152" s="136">
        <f t="shared" si="57"/>
        <v>2.0499999999999998</v>
      </c>
      <c r="I152" s="136">
        <f t="shared" si="57"/>
        <v>2.0499999999999998</v>
      </c>
      <c r="J152" s="136">
        <f t="shared" si="57"/>
        <v>2.0499999999999998</v>
      </c>
      <c r="K152" s="136">
        <f t="shared" si="57"/>
        <v>2.0499999999999998</v>
      </c>
      <c r="L152" s="136">
        <f t="shared" si="57"/>
        <v>2.0499999999999998</v>
      </c>
      <c r="M152" s="136">
        <f t="shared" si="57"/>
        <v>2.0499999999999998</v>
      </c>
      <c r="N152" s="136">
        <f t="shared" si="57"/>
        <v>2.0499999999999998</v>
      </c>
      <c r="O152" s="136">
        <f t="shared" si="57"/>
        <v>2.0499999999999998</v>
      </c>
      <c r="P152" s="136">
        <f t="shared" si="57"/>
        <v>2.0499999999999998</v>
      </c>
      <c r="Q152" s="136">
        <f t="shared" si="57"/>
        <v>2.0499999999999998</v>
      </c>
      <c r="R152" s="136">
        <f t="shared" si="57"/>
        <v>2.0499999999999998</v>
      </c>
      <c r="S152" s="136">
        <f t="shared" si="57"/>
        <v>2.0499999999999998</v>
      </c>
      <c r="T152" s="136">
        <f t="shared" si="58"/>
        <v>2.0499999999999998</v>
      </c>
      <c r="U152" s="136">
        <f t="shared" si="58"/>
        <v>2.0499999999999998</v>
      </c>
      <c r="V152" s="136">
        <f t="shared" si="58"/>
        <v>2.0499999999999998</v>
      </c>
      <c r="W152" s="136">
        <f t="shared" si="58"/>
        <v>2.0499999999999998</v>
      </c>
      <c r="X152" s="136">
        <f t="shared" si="58"/>
        <v>2.0499999999999998</v>
      </c>
      <c r="Y152" s="136">
        <f t="shared" si="58"/>
        <v>2.0499999999999998</v>
      </c>
      <c r="Z152" s="136">
        <f t="shared" si="58"/>
        <v>2.0499999999999998</v>
      </c>
      <c r="AA152" s="136">
        <f t="shared" si="58"/>
        <v>2.0499999999999998</v>
      </c>
      <c r="AB152" s="136">
        <f t="shared" si="58"/>
        <v>2.0499999999999998</v>
      </c>
      <c r="AC152" s="136">
        <f t="shared" si="58"/>
        <v>2.0499999999999998</v>
      </c>
      <c r="AD152" s="136">
        <f t="shared" si="58"/>
        <v>2.0499999999999998</v>
      </c>
      <c r="AE152" s="136">
        <f t="shared" si="58"/>
        <v>2.0499999999999998</v>
      </c>
      <c r="AF152" s="136">
        <f t="shared" si="58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57"/>
        <v>2.7</v>
      </c>
      <c r="E153" s="136">
        <f t="shared" si="57"/>
        <v>2.7</v>
      </c>
      <c r="F153" s="136">
        <f t="shared" si="57"/>
        <v>2.7</v>
      </c>
      <c r="G153" s="136">
        <f t="shared" si="57"/>
        <v>2.7</v>
      </c>
      <c r="H153" s="136">
        <f t="shared" si="57"/>
        <v>2.7</v>
      </c>
      <c r="I153" s="136">
        <f t="shared" si="57"/>
        <v>2.7</v>
      </c>
      <c r="J153" s="136">
        <f t="shared" si="57"/>
        <v>2.7</v>
      </c>
      <c r="K153" s="136">
        <f t="shared" si="57"/>
        <v>2.7</v>
      </c>
      <c r="L153" s="136">
        <f t="shared" si="57"/>
        <v>2.7</v>
      </c>
      <c r="M153" s="136">
        <f t="shared" si="57"/>
        <v>2.7</v>
      </c>
      <c r="N153" s="136">
        <f t="shared" si="57"/>
        <v>2.7</v>
      </c>
      <c r="O153" s="136">
        <f t="shared" si="57"/>
        <v>2.7</v>
      </c>
      <c r="P153" s="136">
        <f t="shared" si="57"/>
        <v>2.7</v>
      </c>
      <c r="Q153" s="136">
        <f t="shared" si="57"/>
        <v>2.7</v>
      </c>
      <c r="R153" s="136">
        <f t="shared" si="57"/>
        <v>2.7</v>
      </c>
      <c r="S153" s="136">
        <f t="shared" si="57"/>
        <v>2.7</v>
      </c>
      <c r="T153" s="136">
        <f t="shared" si="58"/>
        <v>2.7</v>
      </c>
      <c r="U153" s="136">
        <f t="shared" si="58"/>
        <v>2.7</v>
      </c>
      <c r="V153" s="136">
        <f t="shared" si="58"/>
        <v>2.7</v>
      </c>
      <c r="W153" s="136">
        <f t="shared" si="58"/>
        <v>2.7</v>
      </c>
      <c r="X153" s="136">
        <f t="shared" si="58"/>
        <v>2.7</v>
      </c>
      <c r="Y153" s="136">
        <f t="shared" si="58"/>
        <v>2.7</v>
      </c>
      <c r="Z153" s="136">
        <f t="shared" si="58"/>
        <v>2.7</v>
      </c>
      <c r="AA153" s="136">
        <f t="shared" si="58"/>
        <v>2.7</v>
      </c>
      <c r="AB153" s="136">
        <f t="shared" si="58"/>
        <v>2.7</v>
      </c>
      <c r="AC153" s="136">
        <f t="shared" si="58"/>
        <v>2.7</v>
      </c>
      <c r="AD153" s="136">
        <f t="shared" si="58"/>
        <v>2.7</v>
      </c>
      <c r="AE153" s="136">
        <f t="shared" si="58"/>
        <v>2.7</v>
      </c>
      <c r="AF153" s="136">
        <f t="shared" si="58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57"/>
        <v>2.15</v>
      </c>
      <c r="E154" s="136">
        <f t="shared" si="57"/>
        <v>2.15</v>
      </c>
      <c r="F154" s="136">
        <f t="shared" si="57"/>
        <v>2.15</v>
      </c>
      <c r="G154" s="136">
        <f t="shared" si="57"/>
        <v>2.15</v>
      </c>
      <c r="H154" s="136">
        <f t="shared" si="57"/>
        <v>2.15</v>
      </c>
      <c r="I154" s="136">
        <f t="shared" si="57"/>
        <v>2.15</v>
      </c>
      <c r="J154" s="136">
        <f t="shared" si="57"/>
        <v>2.15</v>
      </c>
      <c r="K154" s="136">
        <f t="shared" si="57"/>
        <v>2.15</v>
      </c>
      <c r="L154" s="136">
        <f t="shared" si="57"/>
        <v>2.15</v>
      </c>
      <c r="M154" s="136">
        <f t="shared" si="57"/>
        <v>2.15</v>
      </c>
      <c r="N154" s="136">
        <f t="shared" si="57"/>
        <v>2.15</v>
      </c>
      <c r="O154" s="136">
        <f t="shared" si="57"/>
        <v>2.15</v>
      </c>
      <c r="P154" s="136">
        <f t="shared" si="57"/>
        <v>2.15</v>
      </c>
      <c r="Q154" s="136">
        <f t="shared" si="57"/>
        <v>2.15</v>
      </c>
      <c r="R154" s="136">
        <f t="shared" si="57"/>
        <v>2.15</v>
      </c>
      <c r="S154" s="136">
        <f t="shared" si="57"/>
        <v>2.15</v>
      </c>
      <c r="T154" s="136">
        <f t="shared" si="58"/>
        <v>2.15</v>
      </c>
      <c r="U154" s="136">
        <f t="shared" si="58"/>
        <v>2.15</v>
      </c>
      <c r="V154" s="136">
        <f t="shared" si="58"/>
        <v>2.15</v>
      </c>
      <c r="W154" s="136">
        <f t="shared" si="58"/>
        <v>2.15</v>
      </c>
      <c r="X154" s="136">
        <f t="shared" si="58"/>
        <v>2.15</v>
      </c>
      <c r="Y154" s="136">
        <f t="shared" si="58"/>
        <v>2.15</v>
      </c>
      <c r="Z154" s="136">
        <f t="shared" si="58"/>
        <v>2.15</v>
      </c>
      <c r="AA154" s="136">
        <f t="shared" si="58"/>
        <v>2.15</v>
      </c>
      <c r="AB154" s="136">
        <f t="shared" si="58"/>
        <v>2.15</v>
      </c>
      <c r="AC154" s="136">
        <f t="shared" si="58"/>
        <v>2.15</v>
      </c>
      <c r="AD154" s="136">
        <f t="shared" si="58"/>
        <v>2.15</v>
      </c>
      <c r="AE154" s="136">
        <f t="shared" si="58"/>
        <v>2.15</v>
      </c>
      <c r="AF154" s="136">
        <f t="shared" si="58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59">AF156</f>
        <v>0.9</v>
      </c>
      <c r="C156" s="137">
        <v>0.9</v>
      </c>
      <c r="D156" s="136">
        <f t="shared" ref="D156:S168" si="60">C156</f>
        <v>0.9</v>
      </c>
      <c r="E156" s="136">
        <f t="shared" si="60"/>
        <v>0.9</v>
      </c>
      <c r="F156" s="136">
        <f t="shared" si="60"/>
        <v>0.9</v>
      </c>
      <c r="G156" s="136">
        <f t="shared" si="60"/>
        <v>0.9</v>
      </c>
      <c r="H156" s="136">
        <f t="shared" si="60"/>
        <v>0.9</v>
      </c>
      <c r="I156" s="136">
        <f t="shared" si="60"/>
        <v>0.9</v>
      </c>
      <c r="J156" s="136">
        <f t="shared" si="60"/>
        <v>0.9</v>
      </c>
      <c r="K156" s="136">
        <f t="shared" si="60"/>
        <v>0.9</v>
      </c>
      <c r="L156" s="136">
        <f t="shared" si="60"/>
        <v>0.9</v>
      </c>
      <c r="M156" s="136">
        <f t="shared" si="60"/>
        <v>0.9</v>
      </c>
      <c r="N156" s="136">
        <f t="shared" si="60"/>
        <v>0.9</v>
      </c>
      <c r="O156" s="136">
        <f t="shared" si="60"/>
        <v>0.9</v>
      </c>
      <c r="P156" s="136">
        <f t="shared" si="60"/>
        <v>0.9</v>
      </c>
      <c r="Q156" s="136">
        <f t="shared" si="60"/>
        <v>0.9</v>
      </c>
      <c r="R156" s="136">
        <f t="shared" si="60"/>
        <v>0.9</v>
      </c>
      <c r="S156" s="136">
        <f t="shared" si="60"/>
        <v>0.9</v>
      </c>
      <c r="T156" s="136">
        <f t="shared" ref="S156:AF168" si="61">S156</f>
        <v>0.9</v>
      </c>
      <c r="U156" s="136">
        <f t="shared" si="61"/>
        <v>0.9</v>
      </c>
      <c r="V156" s="136">
        <f t="shared" si="61"/>
        <v>0.9</v>
      </c>
      <c r="W156" s="136">
        <f t="shared" si="61"/>
        <v>0.9</v>
      </c>
      <c r="X156" s="136">
        <f t="shared" si="61"/>
        <v>0.9</v>
      </c>
      <c r="Y156" s="136">
        <f t="shared" si="61"/>
        <v>0.9</v>
      </c>
      <c r="Z156" s="136">
        <f t="shared" si="61"/>
        <v>0.9</v>
      </c>
      <c r="AA156" s="136">
        <f t="shared" si="61"/>
        <v>0.9</v>
      </c>
      <c r="AB156" s="136">
        <f t="shared" si="61"/>
        <v>0.9</v>
      </c>
      <c r="AC156" s="136">
        <f t="shared" si="61"/>
        <v>0.9</v>
      </c>
      <c r="AD156" s="136">
        <f t="shared" si="61"/>
        <v>0.9</v>
      </c>
      <c r="AE156" s="136">
        <f t="shared" si="61"/>
        <v>0.9</v>
      </c>
      <c r="AF156" s="136">
        <f t="shared" si="61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59"/>
        <v>1.08</v>
      </c>
      <c r="C157" s="137">
        <v>1.08</v>
      </c>
      <c r="D157" s="136">
        <f t="shared" si="60"/>
        <v>1.08</v>
      </c>
      <c r="E157" s="136">
        <f t="shared" si="60"/>
        <v>1.08</v>
      </c>
      <c r="F157" s="136">
        <f t="shared" si="60"/>
        <v>1.08</v>
      </c>
      <c r="G157" s="136">
        <f t="shared" si="60"/>
        <v>1.08</v>
      </c>
      <c r="H157" s="136">
        <f t="shared" si="60"/>
        <v>1.08</v>
      </c>
      <c r="I157" s="136">
        <f t="shared" si="60"/>
        <v>1.08</v>
      </c>
      <c r="J157" s="136">
        <f t="shared" si="60"/>
        <v>1.08</v>
      </c>
      <c r="K157" s="136">
        <f t="shared" si="60"/>
        <v>1.08</v>
      </c>
      <c r="L157" s="136">
        <f t="shared" si="60"/>
        <v>1.08</v>
      </c>
      <c r="M157" s="136">
        <f t="shared" si="60"/>
        <v>1.08</v>
      </c>
      <c r="N157" s="136">
        <f t="shared" si="60"/>
        <v>1.08</v>
      </c>
      <c r="O157" s="136">
        <f t="shared" si="60"/>
        <v>1.08</v>
      </c>
      <c r="P157" s="136">
        <f t="shared" si="60"/>
        <v>1.08</v>
      </c>
      <c r="Q157" s="136">
        <f t="shared" si="60"/>
        <v>1.08</v>
      </c>
      <c r="R157" s="136">
        <f t="shared" si="60"/>
        <v>1.08</v>
      </c>
      <c r="S157" s="136">
        <f t="shared" si="60"/>
        <v>1.08</v>
      </c>
      <c r="T157" s="136">
        <f t="shared" si="61"/>
        <v>1.08</v>
      </c>
      <c r="U157" s="136">
        <f t="shared" si="61"/>
        <v>1.08</v>
      </c>
      <c r="V157" s="136">
        <f t="shared" si="61"/>
        <v>1.08</v>
      </c>
      <c r="W157" s="136">
        <f t="shared" si="61"/>
        <v>1.08</v>
      </c>
      <c r="X157" s="136">
        <f t="shared" si="61"/>
        <v>1.08</v>
      </c>
      <c r="Y157" s="136">
        <f t="shared" si="61"/>
        <v>1.08</v>
      </c>
      <c r="Z157" s="136">
        <f t="shared" si="61"/>
        <v>1.08</v>
      </c>
      <c r="AA157" s="136">
        <f t="shared" si="61"/>
        <v>1.08</v>
      </c>
      <c r="AB157" s="136">
        <f t="shared" si="61"/>
        <v>1.08</v>
      </c>
      <c r="AC157" s="136">
        <f t="shared" si="61"/>
        <v>1.08</v>
      </c>
      <c r="AD157" s="136">
        <f t="shared" si="61"/>
        <v>1.08</v>
      </c>
      <c r="AE157" s="136">
        <f t="shared" si="61"/>
        <v>1.08</v>
      </c>
      <c r="AF157" s="136">
        <f t="shared" si="61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59"/>
        <v>2.37</v>
      </c>
      <c r="C158" s="137">
        <v>2.37</v>
      </c>
      <c r="D158" s="136">
        <f t="shared" si="60"/>
        <v>2.37</v>
      </c>
      <c r="E158" s="136">
        <f t="shared" si="60"/>
        <v>2.37</v>
      </c>
      <c r="F158" s="136">
        <f t="shared" si="60"/>
        <v>2.37</v>
      </c>
      <c r="G158" s="136">
        <f t="shared" si="60"/>
        <v>2.37</v>
      </c>
      <c r="H158" s="136">
        <f t="shared" si="60"/>
        <v>2.37</v>
      </c>
      <c r="I158" s="136">
        <f t="shared" si="60"/>
        <v>2.37</v>
      </c>
      <c r="J158" s="136">
        <f t="shared" si="60"/>
        <v>2.37</v>
      </c>
      <c r="K158" s="136">
        <f t="shared" si="60"/>
        <v>2.37</v>
      </c>
      <c r="L158" s="136">
        <f t="shared" si="60"/>
        <v>2.37</v>
      </c>
      <c r="M158" s="136">
        <f t="shared" si="60"/>
        <v>2.37</v>
      </c>
      <c r="N158" s="136">
        <f t="shared" si="60"/>
        <v>2.37</v>
      </c>
      <c r="O158" s="136">
        <f t="shared" si="60"/>
        <v>2.37</v>
      </c>
      <c r="P158" s="136">
        <f t="shared" si="60"/>
        <v>2.37</v>
      </c>
      <c r="Q158" s="136">
        <f t="shared" si="60"/>
        <v>2.37</v>
      </c>
      <c r="R158" s="136">
        <f t="shared" si="60"/>
        <v>2.37</v>
      </c>
      <c r="S158" s="136">
        <f t="shared" si="60"/>
        <v>2.37</v>
      </c>
      <c r="T158" s="136">
        <f t="shared" si="61"/>
        <v>2.37</v>
      </c>
      <c r="U158" s="136">
        <f t="shared" si="61"/>
        <v>2.37</v>
      </c>
      <c r="V158" s="136">
        <f t="shared" si="61"/>
        <v>2.37</v>
      </c>
      <c r="W158" s="136">
        <f t="shared" si="61"/>
        <v>2.37</v>
      </c>
      <c r="X158" s="136">
        <f t="shared" si="61"/>
        <v>2.37</v>
      </c>
      <c r="Y158" s="136">
        <f t="shared" si="61"/>
        <v>2.37</v>
      </c>
      <c r="Z158" s="136">
        <f t="shared" si="61"/>
        <v>2.37</v>
      </c>
      <c r="AA158" s="136">
        <f t="shared" si="61"/>
        <v>2.37</v>
      </c>
      <c r="AB158" s="136">
        <f t="shared" si="61"/>
        <v>2.37</v>
      </c>
      <c r="AC158" s="136">
        <f t="shared" si="61"/>
        <v>2.37</v>
      </c>
      <c r="AD158" s="136">
        <f t="shared" si="61"/>
        <v>2.37</v>
      </c>
      <c r="AE158" s="136">
        <f t="shared" si="61"/>
        <v>2.37</v>
      </c>
      <c r="AF158" s="136">
        <f t="shared" si="61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59"/>
        <v>1.81</v>
      </c>
      <c r="C159" s="137">
        <v>1.81</v>
      </c>
      <c r="D159" s="136">
        <f t="shared" si="60"/>
        <v>1.81</v>
      </c>
      <c r="E159" s="136">
        <f t="shared" si="60"/>
        <v>1.81</v>
      </c>
      <c r="F159" s="136">
        <f t="shared" si="60"/>
        <v>1.81</v>
      </c>
      <c r="G159" s="136">
        <f t="shared" si="60"/>
        <v>1.81</v>
      </c>
      <c r="H159" s="136">
        <f t="shared" si="60"/>
        <v>1.81</v>
      </c>
      <c r="I159" s="136">
        <f t="shared" si="60"/>
        <v>1.81</v>
      </c>
      <c r="J159" s="136">
        <f t="shared" si="60"/>
        <v>1.81</v>
      </c>
      <c r="K159" s="136">
        <f t="shared" si="60"/>
        <v>1.81</v>
      </c>
      <c r="L159" s="136">
        <f t="shared" si="60"/>
        <v>1.81</v>
      </c>
      <c r="M159" s="136">
        <f t="shared" si="60"/>
        <v>1.81</v>
      </c>
      <c r="N159" s="136">
        <f t="shared" si="60"/>
        <v>1.81</v>
      </c>
      <c r="O159" s="136">
        <f t="shared" si="60"/>
        <v>1.81</v>
      </c>
      <c r="P159" s="136">
        <f t="shared" si="60"/>
        <v>1.81</v>
      </c>
      <c r="Q159" s="136">
        <f t="shared" si="60"/>
        <v>1.81</v>
      </c>
      <c r="R159" s="136">
        <f t="shared" si="60"/>
        <v>1.81</v>
      </c>
      <c r="S159" s="136">
        <f t="shared" si="60"/>
        <v>1.81</v>
      </c>
      <c r="T159" s="136">
        <f t="shared" si="61"/>
        <v>1.81</v>
      </c>
      <c r="U159" s="136">
        <f t="shared" si="61"/>
        <v>1.81</v>
      </c>
      <c r="V159" s="136">
        <f t="shared" si="61"/>
        <v>1.81</v>
      </c>
      <c r="W159" s="136">
        <f t="shared" si="61"/>
        <v>1.81</v>
      </c>
      <c r="X159" s="136">
        <f t="shared" si="61"/>
        <v>1.81</v>
      </c>
      <c r="Y159" s="136">
        <f t="shared" si="61"/>
        <v>1.81</v>
      </c>
      <c r="Z159" s="136">
        <f t="shared" si="61"/>
        <v>1.81</v>
      </c>
      <c r="AA159" s="136">
        <f t="shared" si="61"/>
        <v>1.81</v>
      </c>
      <c r="AB159" s="136">
        <f t="shared" si="61"/>
        <v>1.81</v>
      </c>
      <c r="AC159" s="136">
        <f t="shared" si="61"/>
        <v>1.81</v>
      </c>
      <c r="AD159" s="136">
        <f t="shared" si="61"/>
        <v>1.81</v>
      </c>
      <c r="AE159" s="136">
        <f t="shared" si="61"/>
        <v>1.81</v>
      </c>
      <c r="AF159" s="136">
        <f t="shared" si="61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59"/>
        <v>1.0900000000000001</v>
      </c>
      <c r="C160" s="137">
        <v>1.0900000000000001</v>
      </c>
      <c r="D160" s="136">
        <f t="shared" si="60"/>
        <v>1.0900000000000001</v>
      </c>
      <c r="E160" s="136">
        <f t="shared" si="60"/>
        <v>1.0900000000000001</v>
      </c>
      <c r="F160" s="136">
        <f t="shared" si="60"/>
        <v>1.0900000000000001</v>
      </c>
      <c r="G160" s="136">
        <f t="shared" si="60"/>
        <v>1.0900000000000001</v>
      </c>
      <c r="H160" s="136">
        <f t="shared" si="60"/>
        <v>1.0900000000000001</v>
      </c>
      <c r="I160" s="136">
        <f t="shared" si="60"/>
        <v>1.0900000000000001</v>
      </c>
      <c r="J160" s="136">
        <f t="shared" si="60"/>
        <v>1.0900000000000001</v>
      </c>
      <c r="K160" s="136">
        <f t="shared" si="60"/>
        <v>1.0900000000000001</v>
      </c>
      <c r="L160" s="136">
        <f t="shared" si="60"/>
        <v>1.0900000000000001</v>
      </c>
      <c r="M160" s="136">
        <f t="shared" si="60"/>
        <v>1.0900000000000001</v>
      </c>
      <c r="N160" s="136">
        <f t="shared" si="60"/>
        <v>1.0900000000000001</v>
      </c>
      <c r="O160" s="136">
        <f t="shared" si="60"/>
        <v>1.0900000000000001</v>
      </c>
      <c r="P160" s="136">
        <f t="shared" si="60"/>
        <v>1.0900000000000001</v>
      </c>
      <c r="Q160" s="136">
        <f t="shared" si="60"/>
        <v>1.0900000000000001</v>
      </c>
      <c r="R160" s="136">
        <f t="shared" si="60"/>
        <v>1.0900000000000001</v>
      </c>
      <c r="S160" s="136">
        <f t="shared" si="60"/>
        <v>1.0900000000000001</v>
      </c>
      <c r="T160" s="136">
        <f t="shared" si="61"/>
        <v>1.0900000000000001</v>
      </c>
      <c r="U160" s="136">
        <f t="shared" si="61"/>
        <v>1.0900000000000001</v>
      </c>
      <c r="V160" s="136">
        <f t="shared" si="61"/>
        <v>1.0900000000000001</v>
      </c>
      <c r="W160" s="136">
        <f t="shared" si="61"/>
        <v>1.0900000000000001</v>
      </c>
      <c r="X160" s="136">
        <f t="shared" si="61"/>
        <v>1.0900000000000001</v>
      </c>
      <c r="Y160" s="136">
        <f t="shared" si="61"/>
        <v>1.0900000000000001</v>
      </c>
      <c r="Z160" s="136">
        <f t="shared" si="61"/>
        <v>1.0900000000000001</v>
      </c>
      <c r="AA160" s="136">
        <f t="shared" si="61"/>
        <v>1.0900000000000001</v>
      </c>
      <c r="AB160" s="136">
        <f t="shared" si="61"/>
        <v>1.0900000000000001</v>
      </c>
      <c r="AC160" s="136">
        <f t="shared" si="61"/>
        <v>1.0900000000000001</v>
      </c>
      <c r="AD160" s="136">
        <f t="shared" si="61"/>
        <v>1.0900000000000001</v>
      </c>
      <c r="AE160" s="136">
        <f t="shared" si="61"/>
        <v>1.0900000000000001</v>
      </c>
      <c r="AF160" s="136">
        <f t="shared" si="61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59"/>
        <v>1.58</v>
      </c>
      <c r="C161" s="137">
        <v>1.58</v>
      </c>
      <c r="D161" s="136">
        <f t="shared" si="60"/>
        <v>1.58</v>
      </c>
      <c r="E161" s="136">
        <f t="shared" si="60"/>
        <v>1.58</v>
      </c>
      <c r="F161" s="136">
        <f t="shared" si="60"/>
        <v>1.58</v>
      </c>
      <c r="G161" s="136">
        <f t="shared" si="60"/>
        <v>1.58</v>
      </c>
      <c r="H161" s="136">
        <f t="shared" si="60"/>
        <v>1.58</v>
      </c>
      <c r="I161" s="136">
        <f t="shared" si="60"/>
        <v>1.58</v>
      </c>
      <c r="J161" s="136">
        <f t="shared" si="60"/>
        <v>1.58</v>
      </c>
      <c r="K161" s="136">
        <f t="shared" si="60"/>
        <v>1.58</v>
      </c>
      <c r="L161" s="136">
        <f t="shared" si="60"/>
        <v>1.58</v>
      </c>
      <c r="M161" s="136">
        <f t="shared" si="60"/>
        <v>1.58</v>
      </c>
      <c r="N161" s="136">
        <f t="shared" si="60"/>
        <v>1.58</v>
      </c>
      <c r="O161" s="136">
        <f t="shared" si="60"/>
        <v>1.58</v>
      </c>
      <c r="P161" s="136">
        <f t="shared" si="60"/>
        <v>1.58</v>
      </c>
      <c r="Q161" s="136">
        <f t="shared" si="60"/>
        <v>1.58</v>
      </c>
      <c r="R161" s="136">
        <f t="shared" si="60"/>
        <v>1.58</v>
      </c>
      <c r="S161" s="136">
        <f t="shared" si="60"/>
        <v>1.58</v>
      </c>
      <c r="T161" s="136">
        <f t="shared" si="61"/>
        <v>1.58</v>
      </c>
      <c r="U161" s="136">
        <f t="shared" si="61"/>
        <v>1.58</v>
      </c>
      <c r="V161" s="136">
        <f t="shared" si="61"/>
        <v>1.58</v>
      </c>
      <c r="W161" s="136">
        <f t="shared" si="61"/>
        <v>1.58</v>
      </c>
      <c r="X161" s="136">
        <f t="shared" si="61"/>
        <v>1.58</v>
      </c>
      <c r="Y161" s="136">
        <f t="shared" si="61"/>
        <v>1.58</v>
      </c>
      <c r="Z161" s="136">
        <f t="shared" si="61"/>
        <v>1.58</v>
      </c>
      <c r="AA161" s="136">
        <f t="shared" si="61"/>
        <v>1.58</v>
      </c>
      <c r="AB161" s="136">
        <f t="shared" si="61"/>
        <v>1.58</v>
      </c>
      <c r="AC161" s="136">
        <f t="shared" si="61"/>
        <v>1.58</v>
      </c>
      <c r="AD161" s="136">
        <f t="shared" si="61"/>
        <v>1.58</v>
      </c>
      <c r="AE161" s="136">
        <f t="shared" si="61"/>
        <v>1.58</v>
      </c>
      <c r="AF161" s="136">
        <f t="shared" si="61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59"/>
        <v>2</v>
      </c>
      <c r="C162" s="137">
        <v>2</v>
      </c>
      <c r="D162" s="136">
        <f t="shared" si="60"/>
        <v>2</v>
      </c>
      <c r="E162" s="136">
        <f t="shared" si="60"/>
        <v>2</v>
      </c>
      <c r="F162" s="136">
        <f t="shared" si="60"/>
        <v>2</v>
      </c>
      <c r="G162" s="136">
        <f t="shared" si="60"/>
        <v>2</v>
      </c>
      <c r="H162" s="136">
        <f t="shared" si="60"/>
        <v>2</v>
      </c>
      <c r="I162" s="136">
        <f t="shared" si="60"/>
        <v>2</v>
      </c>
      <c r="J162" s="136">
        <f t="shared" si="60"/>
        <v>2</v>
      </c>
      <c r="K162" s="136">
        <f t="shared" si="60"/>
        <v>2</v>
      </c>
      <c r="L162" s="136">
        <f t="shared" si="60"/>
        <v>2</v>
      </c>
      <c r="M162" s="136">
        <f t="shared" si="60"/>
        <v>2</v>
      </c>
      <c r="N162" s="136">
        <f t="shared" si="60"/>
        <v>2</v>
      </c>
      <c r="O162" s="136">
        <f t="shared" si="60"/>
        <v>2</v>
      </c>
      <c r="P162" s="136">
        <f t="shared" si="60"/>
        <v>2</v>
      </c>
      <c r="Q162" s="136">
        <f t="shared" si="60"/>
        <v>2</v>
      </c>
      <c r="R162" s="136">
        <f t="shared" si="60"/>
        <v>2</v>
      </c>
      <c r="S162" s="136">
        <f t="shared" si="60"/>
        <v>2</v>
      </c>
      <c r="T162" s="136">
        <f t="shared" si="61"/>
        <v>2</v>
      </c>
      <c r="U162" s="136">
        <f t="shared" si="61"/>
        <v>2</v>
      </c>
      <c r="V162" s="136">
        <f t="shared" si="61"/>
        <v>2</v>
      </c>
      <c r="W162" s="136">
        <f t="shared" si="61"/>
        <v>2</v>
      </c>
      <c r="X162" s="136">
        <f t="shared" si="61"/>
        <v>2</v>
      </c>
      <c r="Y162" s="136">
        <f t="shared" si="61"/>
        <v>2</v>
      </c>
      <c r="Z162" s="136">
        <f t="shared" si="61"/>
        <v>2</v>
      </c>
      <c r="AA162" s="136">
        <f t="shared" si="61"/>
        <v>2</v>
      </c>
      <c r="AB162" s="136">
        <f t="shared" si="61"/>
        <v>2</v>
      </c>
      <c r="AC162" s="136">
        <f t="shared" si="61"/>
        <v>2</v>
      </c>
      <c r="AD162" s="136">
        <f t="shared" si="61"/>
        <v>2</v>
      </c>
      <c r="AE162" s="136">
        <f t="shared" si="61"/>
        <v>2</v>
      </c>
      <c r="AF162" s="136">
        <f t="shared" si="61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59"/>
        <v>0.47</v>
      </c>
      <c r="C163" s="137">
        <v>0.47</v>
      </c>
      <c r="D163" s="136">
        <f t="shared" si="60"/>
        <v>0.47</v>
      </c>
      <c r="E163" s="136">
        <f t="shared" si="60"/>
        <v>0.47</v>
      </c>
      <c r="F163" s="136">
        <f t="shared" si="60"/>
        <v>0.47</v>
      </c>
      <c r="G163" s="136">
        <f t="shared" si="60"/>
        <v>0.47</v>
      </c>
      <c r="H163" s="136">
        <f t="shared" si="60"/>
        <v>0.47</v>
      </c>
      <c r="I163" s="136">
        <f t="shared" si="60"/>
        <v>0.47</v>
      </c>
      <c r="J163" s="136">
        <f t="shared" si="60"/>
        <v>0.47</v>
      </c>
      <c r="K163" s="136">
        <f t="shared" si="60"/>
        <v>0.47</v>
      </c>
      <c r="L163" s="136">
        <f t="shared" si="60"/>
        <v>0.47</v>
      </c>
      <c r="M163" s="136">
        <f t="shared" si="60"/>
        <v>0.47</v>
      </c>
      <c r="N163" s="136">
        <f t="shared" si="60"/>
        <v>0.47</v>
      </c>
      <c r="O163" s="136">
        <f t="shared" si="60"/>
        <v>0.47</v>
      </c>
      <c r="P163" s="136">
        <f t="shared" si="60"/>
        <v>0.47</v>
      </c>
      <c r="Q163" s="136">
        <f t="shared" si="60"/>
        <v>0.47</v>
      </c>
      <c r="R163" s="136">
        <f t="shared" si="60"/>
        <v>0.47</v>
      </c>
      <c r="S163" s="136">
        <f t="shared" si="60"/>
        <v>0.47</v>
      </c>
      <c r="T163" s="136">
        <f t="shared" si="61"/>
        <v>0.47</v>
      </c>
      <c r="U163" s="136">
        <f t="shared" si="61"/>
        <v>0.47</v>
      </c>
      <c r="V163" s="136">
        <f t="shared" si="61"/>
        <v>0.47</v>
      </c>
      <c r="W163" s="136">
        <f t="shared" si="61"/>
        <v>0.47</v>
      </c>
      <c r="X163" s="136">
        <f t="shared" si="61"/>
        <v>0.47</v>
      </c>
      <c r="Y163" s="136">
        <f t="shared" si="61"/>
        <v>0.47</v>
      </c>
      <c r="Z163" s="136">
        <f t="shared" si="61"/>
        <v>0.47</v>
      </c>
      <c r="AA163" s="136">
        <f t="shared" si="61"/>
        <v>0.47</v>
      </c>
      <c r="AB163" s="136">
        <f t="shared" si="61"/>
        <v>0.47</v>
      </c>
      <c r="AC163" s="136">
        <f t="shared" si="61"/>
        <v>0.47</v>
      </c>
      <c r="AD163" s="136">
        <f t="shared" si="61"/>
        <v>0.47</v>
      </c>
      <c r="AE163" s="136">
        <f t="shared" si="61"/>
        <v>0.47</v>
      </c>
      <c r="AF163" s="136">
        <f t="shared" si="61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59"/>
        <v>0</v>
      </c>
      <c r="C164" s="137">
        <v>0</v>
      </c>
      <c r="D164" s="136">
        <f t="shared" si="60"/>
        <v>0</v>
      </c>
      <c r="E164" s="136">
        <f t="shared" si="60"/>
        <v>0</v>
      </c>
      <c r="F164" s="136">
        <f t="shared" si="60"/>
        <v>0</v>
      </c>
      <c r="G164" s="136">
        <f t="shared" si="60"/>
        <v>0</v>
      </c>
      <c r="H164" s="136">
        <f t="shared" si="60"/>
        <v>0</v>
      </c>
      <c r="I164" s="136">
        <f t="shared" si="60"/>
        <v>0</v>
      </c>
      <c r="J164" s="136">
        <f t="shared" si="60"/>
        <v>0</v>
      </c>
      <c r="K164" s="136">
        <f t="shared" si="60"/>
        <v>0</v>
      </c>
      <c r="L164" s="136">
        <f t="shared" si="60"/>
        <v>0</v>
      </c>
      <c r="M164" s="136">
        <f t="shared" si="60"/>
        <v>0</v>
      </c>
      <c r="N164" s="136">
        <f t="shared" si="60"/>
        <v>0</v>
      </c>
      <c r="O164" s="136">
        <f t="shared" si="60"/>
        <v>0</v>
      </c>
      <c r="P164" s="136">
        <f t="shared" si="60"/>
        <v>0</v>
      </c>
      <c r="Q164" s="136">
        <f t="shared" si="60"/>
        <v>0</v>
      </c>
      <c r="R164" s="136">
        <f t="shared" si="60"/>
        <v>0</v>
      </c>
      <c r="S164" s="136">
        <f t="shared" si="60"/>
        <v>0</v>
      </c>
      <c r="T164" s="136">
        <f t="shared" si="61"/>
        <v>0</v>
      </c>
      <c r="U164" s="136">
        <f t="shared" si="61"/>
        <v>0</v>
      </c>
      <c r="V164" s="136">
        <f t="shared" si="61"/>
        <v>0</v>
      </c>
      <c r="W164" s="136">
        <f t="shared" si="61"/>
        <v>0</v>
      </c>
      <c r="X164" s="136">
        <f t="shared" si="61"/>
        <v>0</v>
      </c>
      <c r="Y164" s="136">
        <f t="shared" si="61"/>
        <v>0</v>
      </c>
      <c r="Z164" s="136">
        <f t="shared" si="61"/>
        <v>0</v>
      </c>
      <c r="AA164" s="136">
        <f t="shared" si="61"/>
        <v>0</v>
      </c>
      <c r="AB164" s="136">
        <f t="shared" si="61"/>
        <v>0</v>
      </c>
      <c r="AC164" s="136">
        <f t="shared" si="61"/>
        <v>0</v>
      </c>
      <c r="AD164" s="136">
        <f t="shared" si="61"/>
        <v>0</v>
      </c>
      <c r="AE164" s="136">
        <f t="shared" si="61"/>
        <v>0</v>
      </c>
      <c r="AF164" s="136">
        <f t="shared" si="61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59"/>
        <v>0</v>
      </c>
      <c r="C165" s="137">
        <v>0</v>
      </c>
      <c r="D165" s="136">
        <f t="shared" si="60"/>
        <v>0</v>
      </c>
      <c r="E165" s="136">
        <f t="shared" si="60"/>
        <v>0</v>
      </c>
      <c r="F165" s="136">
        <f t="shared" si="60"/>
        <v>0</v>
      </c>
      <c r="G165" s="136">
        <f t="shared" si="60"/>
        <v>0</v>
      </c>
      <c r="H165" s="136">
        <f t="shared" si="60"/>
        <v>0</v>
      </c>
      <c r="I165" s="136">
        <f t="shared" si="60"/>
        <v>0</v>
      </c>
      <c r="J165" s="136">
        <f t="shared" si="60"/>
        <v>0</v>
      </c>
      <c r="K165" s="136">
        <f t="shared" si="60"/>
        <v>0</v>
      </c>
      <c r="L165" s="136">
        <f t="shared" si="60"/>
        <v>0</v>
      </c>
      <c r="M165" s="136">
        <f t="shared" si="60"/>
        <v>0</v>
      </c>
      <c r="N165" s="136">
        <f t="shared" si="60"/>
        <v>0</v>
      </c>
      <c r="O165" s="136">
        <f t="shared" si="60"/>
        <v>0</v>
      </c>
      <c r="P165" s="136">
        <f t="shared" si="60"/>
        <v>0</v>
      </c>
      <c r="Q165" s="136">
        <f t="shared" si="60"/>
        <v>0</v>
      </c>
      <c r="R165" s="136">
        <f t="shared" si="60"/>
        <v>0</v>
      </c>
      <c r="S165" s="136">
        <f t="shared" si="61"/>
        <v>0</v>
      </c>
      <c r="T165" s="136">
        <f t="shared" si="61"/>
        <v>0</v>
      </c>
      <c r="U165" s="136">
        <f t="shared" si="61"/>
        <v>0</v>
      </c>
      <c r="V165" s="136">
        <f t="shared" si="61"/>
        <v>0</v>
      </c>
      <c r="W165" s="136">
        <f t="shared" si="61"/>
        <v>0</v>
      </c>
      <c r="X165" s="136">
        <f t="shared" si="61"/>
        <v>0</v>
      </c>
      <c r="Y165" s="136">
        <f t="shared" si="61"/>
        <v>0</v>
      </c>
      <c r="Z165" s="136">
        <f t="shared" si="61"/>
        <v>0</v>
      </c>
      <c r="AA165" s="136">
        <f t="shared" si="61"/>
        <v>0</v>
      </c>
      <c r="AB165" s="136">
        <f t="shared" si="61"/>
        <v>0</v>
      </c>
      <c r="AC165" s="136">
        <f t="shared" si="61"/>
        <v>0</v>
      </c>
      <c r="AD165" s="136">
        <f t="shared" si="61"/>
        <v>0</v>
      </c>
      <c r="AE165" s="136">
        <f t="shared" si="61"/>
        <v>0</v>
      </c>
      <c r="AF165" s="136">
        <f t="shared" si="61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59"/>
        <v>0.8</v>
      </c>
      <c r="C166" s="137">
        <v>0.8</v>
      </c>
      <c r="D166" s="136">
        <f t="shared" si="60"/>
        <v>0.8</v>
      </c>
      <c r="E166" s="136">
        <f t="shared" si="60"/>
        <v>0.8</v>
      </c>
      <c r="F166" s="136">
        <f t="shared" si="60"/>
        <v>0.8</v>
      </c>
      <c r="G166" s="136">
        <f t="shared" si="60"/>
        <v>0.8</v>
      </c>
      <c r="H166" s="136">
        <f t="shared" si="60"/>
        <v>0.8</v>
      </c>
      <c r="I166" s="136">
        <f t="shared" si="60"/>
        <v>0.8</v>
      </c>
      <c r="J166" s="136">
        <f t="shared" si="60"/>
        <v>0.8</v>
      </c>
      <c r="K166" s="136">
        <f t="shared" si="60"/>
        <v>0.8</v>
      </c>
      <c r="L166" s="136">
        <f t="shared" si="60"/>
        <v>0.8</v>
      </c>
      <c r="M166" s="136">
        <f t="shared" si="60"/>
        <v>0.8</v>
      </c>
      <c r="N166" s="136">
        <f t="shared" si="60"/>
        <v>0.8</v>
      </c>
      <c r="O166" s="136">
        <f t="shared" si="60"/>
        <v>0.8</v>
      </c>
      <c r="P166" s="136">
        <f t="shared" si="60"/>
        <v>0.8</v>
      </c>
      <c r="Q166" s="136">
        <f t="shared" si="60"/>
        <v>0.8</v>
      </c>
      <c r="R166" s="136">
        <f t="shared" si="60"/>
        <v>0.8</v>
      </c>
      <c r="S166" s="136">
        <f t="shared" si="61"/>
        <v>0.8</v>
      </c>
      <c r="T166" s="136">
        <f t="shared" si="61"/>
        <v>0.8</v>
      </c>
      <c r="U166" s="136">
        <f t="shared" si="61"/>
        <v>0.8</v>
      </c>
      <c r="V166" s="136">
        <f t="shared" si="61"/>
        <v>0.8</v>
      </c>
      <c r="W166" s="136">
        <f t="shared" si="61"/>
        <v>0.8</v>
      </c>
      <c r="X166" s="136">
        <f t="shared" si="61"/>
        <v>0.8</v>
      </c>
      <c r="Y166" s="136">
        <f t="shared" si="61"/>
        <v>0.8</v>
      </c>
      <c r="Z166" s="136">
        <f t="shared" si="61"/>
        <v>0.8</v>
      </c>
      <c r="AA166" s="136">
        <f t="shared" si="61"/>
        <v>0.8</v>
      </c>
      <c r="AB166" s="136">
        <f t="shared" si="61"/>
        <v>0.8</v>
      </c>
      <c r="AC166" s="136">
        <f t="shared" si="61"/>
        <v>0.8</v>
      </c>
      <c r="AD166" s="136">
        <f t="shared" si="61"/>
        <v>0.8</v>
      </c>
      <c r="AE166" s="136">
        <f t="shared" si="61"/>
        <v>0.8</v>
      </c>
      <c r="AF166" s="136">
        <f t="shared" si="61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59"/>
        <v>1.5</v>
      </c>
      <c r="C167" s="137">
        <v>1.5</v>
      </c>
      <c r="D167" s="136">
        <f t="shared" si="60"/>
        <v>1.5</v>
      </c>
      <c r="E167" s="136">
        <f t="shared" si="60"/>
        <v>1.5</v>
      </c>
      <c r="F167" s="136">
        <f t="shared" si="60"/>
        <v>1.5</v>
      </c>
      <c r="G167" s="136">
        <f t="shared" si="60"/>
        <v>1.5</v>
      </c>
      <c r="H167" s="136">
        <f t="shared" si="60"/>
        <v>1.5</v>
      </c>
      <c r="I167" s="136">
        <f t="shared" si="60"/>
        <v>1.5</v>
      </c>
      <c r="J167" s="136">
        <f t="shared" si="60"/>
        <v>1.5</v>
      </c>
      <c r="K167" s="136">
        <f t="shared" si="60"/>
        <v>1.5</v>
      </c>
      <c r="L167" s="136">
        <f t="shared" si="60"/>
        <v>1.5</v>
      </c>
      <c r="M167" s="136">
        <f t="shared" si="60"/>
        <v>1.5</v>
      </c>
      <c r="N167" s="136">
        <f t="shared" si="60"/>
        <v>1.5</v>
      </c>
      <c r="O167" s="136">
        <f t="shared" si="60"/>
        <v>1.5</v>
      </c>
      <c r="P167" s="136">
        <f t="shared" si="60"/>
        <v>1.5</v>
      </c>
      <c r="Q167" s="136">
        <f t="shared" si="60"/>
        <v>1.5</v>
      </c>
      <c r="R167" s="136">
        <f t="shared" si="60"/>
        <v>1.5</v>
      </c>
      <c r="S167" s="136">
        <f t="shared" si="61"/>
        <v>1.5</v>
      </c>
      <c r="T167" s="136">
        <f t="shared" si="61"/>
        <v>1.5</v>
      </c>
      <c r="U167" s="136">
        <f t="shared" si="61"/>
        <v>1.5</v>
      </c>
      <c r="V167" s="136">
        <f t="shared" si="61"/>
        <v>1.5</v>
      </c>
      <c r="W167" s="136">
        <f t="shared" si="61"/>
        <v>1.5</v>
      </c>
      <c r="X167" s="136">
        <f t="shared" si="61"/>
        <v>1.5</v>
      </c>
      <c r="Y167" s="136">
        <f t="shared" si="61"/>
        <v>1.5</v>
      </c>
      <c r="Z167" s="136">
        <f t="shared" si="61"/>
        <v>1.5</v>
      </c>
      <c r="AA167" s="136">
        <f t="shared" si="61"/>
        <v>1.5</v>
      </c>
      <c r="AB167" s="136">
        <f t="shared" si="61"/>
        <v>1.5</v>
      </c>
      <c r="AC167" s="136">
        <f t="shared" si="61"/>
        <v>1.5</v>
      </c>
      <c r="AD167" s="136">
        <f t="shared" si="61"/>
        <v>1.5</v>
      </c>
      <c r="AE167" s="136">
        <f t="shared" si="61"/>
        <v>1.5</v>
      </c>
      <c r="AF167" s="136">
        <f t="shared" si="61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59"/>
        <v>1</v>
      </c>
      <c r="C168" s="137">
        <v>1</v>
      </c>
      <c r="D168" s="136">
        <f t="shared" si="60"/>
        <v>1</v>
      </c>
      <c r="E168" s="136">
        <f t="shared" si="60"/>
        <v>1</v>
      </c>
      <c r="F168" s="136">
        <f t="shared" si="60"/>
        <v>1</v>
      </c>
      <c r="G168" s="136">
        <f t="shared" si="60"/>
        <v>1</v>
      </c>
      <c r="H168" s="136">
        <f t="shared" si="60"/>
        <v>1</v>
      </c>
      <c r="I168" s="136">
        <f t="shared" si="60"/>
        <v>1</v>
      </c>
      <c r="J168" s="136">
        <f t="shared" si="60"/>
        <v>1</v>
      </c>
      <c r="K168" s="136">
        <f t="shared" si="60"/>
        <v>1</v>
      </c>
      <c r="L168" s="136">
        <f t="shared" si="60"/>
        <v>1</v>
      </c>
      <c r="M168" s="136">
        <f t="shared" si="60"/>
        <v>1</v>
      </c>
      <c r="N168" s="136">
        <f t="shared" si="60"/>
        <v>1</v>
      </c>
      <c r="O168" s="136">
        <f t="shared" si="60"/>
        <v>1</v>
      </c>
      <c r="P168" s="136">
        <f t="shared" si="60"/>
        <v>1</v>
      </c>
      <c r="Q168" s="136">
        <f t="shared" si="60"/>
        <v>1</v>
      </c>
      <c r="R168" s="136">
        <f t="shared" si="60"/>
        <v>1</v>
      </c>
      <c r="S168" s="136">
        <f t="shared" si="61"/>
        <v>1</v>
      </c>
      <c r="T168" s="136">
        <f t="shared" si="61"/>
        <v>1</v>
      </c>
      <c r="U168" s="136">
        <f t="shared" si="61"/>
        <v>1</v>
      </c>
      <c r="V168" s="136">
        <f t="shared" si="61"/>
        <v>1</v>
      </c>
      <c r="W168" s="136">
        <f t="shared" si="61"/>
        <v>1</v>
      </c>
      <c r="X168" s="136">
        <f t="shared" si="61"/>
        <v>1</v>
      </c>
      <c r="Y168" s="136">
        <f t="shared" si="61"/>
        <v>1</v>
      </c>
      <c r="Z168" s="136">
        <f t="shared" si="61"/>
        <v>1</v>
      </c>
      <c r="AA168" s="136">
        <f t="shared" si="61"/>
        <v>1</v>
      </c>
      <c r="AB168" s="136">
        <f t="shared" si="61"/>
        <v>1</v>
      </c>
      <c r="AC168" s="136">
        <f t="shared" si="61"/>
        <v>1</v>
      </c>
      <c r="AD168" s="136">
        <f t="shared" si="61"/>
        <v>1</v>
      </c>
      <c r="AE168" s="136">
        <f t="shared" si="61"/>
        <v>1</v>
      </c>
      <c r="AF168" s="136">
        <f t="shared" si="61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62">AF170</f>
        <v>1</v>
      </c>
      <c r="C170" s="137">
        <v>1</v>
      </c>
      <c r="D170" s="136">
        <f t="shared" ref="D170:S177" si="63">C170</f>
        <v>1</v>
      </c>
      <c r="E170" s="136">
        <f t="shared" si="63"/>
        <v>1</v>
      </c>
      <c r="F170" s="136">
        <f t="shared" si="63"/>
        <v>1</v>
      </c>
      <c r="G170" s="136">
        <f t="shared" si="63"/>
        <v>1</v>
      </c>
      <c r="H170" s="136">
        <f t="shared" si="63"/>
        <v>1</v>
      </c>
      <c r="I170" s="136">
        <f t="shared" si="63"/>
        <v>1</v>
      </c>
      <c r="J170" s="136">
        <f t="shared" si="63"/>
        <v>1</v>
      </c>
      <c r="K170" s="136">
        <f t="shared" si="63"/>
        <v>1</v>
      </c>
      <c r="L170" s="136">
        <f t="shared" si="63"/>
        <v>1</v>
      </c>
      <c r="M170" s="136">
        <f t="shared" si="63"/>
        <v>1</v>
      </c>
      <c r="N170" s="136">
        <f t="shared" si="63"/>
        <v>1</v>
      </c>
      <c r="O170" s="136">
        <f t="shared" si="63"/>
        <v>1</v>
      </c>
      <c r="P170" s="136">
        <f t="shared" si="63"/>
        <v>1</v>
      </c>
      <c r="Q170" s="136">
        <f t="shared" si="63"/>
        <v>1</v>
      </c>
      <c r="R170" s="136">
        <f t="shared" si="63"/>
        <v>1</v>
      </c>
      <c r="S170" s="136">
        <f t="shared" si="63"/>
        <v>1</v>
      </c>
      <c r="T170" s="136">
        <f t="shared" ref="S170:AF177" si="64">S170</f>
        <v>1</v>
      </c>
      <c r="U170" s="136">
        <f t="shared" si="64"/>
        <v>1</v>
      </c>
      <c r="V170" s="136">
        <f t="shared" si="64"/>
        <v>1</v>
      </c>
      <c r="W170" s="136">
        <f t="shared" si="64"/>
        <v>1</v>
      </c>
      <c r="X170" s="136">
        <f t="shared" si="64"/>
        <v>1</v>
      </c>
      <c r="Y170" s="136">
        <f t="shared" si="64"/>
        <v>1</v>
      </c>
      <c r="Z170" s="136">
        <f t="shared" si="64"/>
        <v>1</v>
      </c>
      <c r="AA170" s="136">
        <f t="shared" si="64"/>
        <v>1</v>
      </c>
      <c r="AB170" s="136">
        <f t="shared" si="64"/>
        <v>1</v>
      </c>
      <c r="AC170" s="136">
        <f t="shared" si="64"/>
        <v>1</v>
      </c>
      <c r="AD170" s="136">
        <f t="shared" si="64"/>
        <v>1</v>
      </c>
      <c r="AE170" s="136">
        <f t="shared" si="64"/>
        <v>1</v>
      </c>
      <c r="AF170" s="136">
        <f t="shared" si="64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62"/>
        <v>0.42</v>
      </c>
      <c r="C171" s="137">
        <v>0.42</v>
      </c>
      <c r="D171" s="136">
        <f t="shared" si="63"/>
        <v>0.42</v>
      </c>
      <c r="E171" s="136">
        <f t="shared" si="63"/>
        <v>0.42</v>
      </c>
      <c r="F171" s="136">
        <f t="shared" si="63"/>
        <v>0.42</v>
      </c>
      <c r="G171" s="136">
        <f t="shared" si="63"/>
        <v>0.42</v>
      </c>
      <c r="H171" s="136">
        <f t="shared" si="63"/>
        <v>0.42</v>
      </c>
      <c r="I171" s="136">
        <f t="shared" si="63"/>
        <v>0.42</v>
      </c>
      <c r="J171" s="136">
        <f t="shared" si="63"/>
        <v>0.42</v>
      </c>
      <c r="K171" s="136">
        <f t="shared" si="63"/>
        <v>0.42</v>
      </c>
      <c r="L171" s="136">
        <f t="shared" si="63"/>
        <v>0.42</v>
      </c>
      <c r="M171" s="136">
        <f t="shared" si="63"/>
        <v>0.42</v>
      </c>
      <c r="N171" s="136">
        <f t="shared" si="63"/>
        <v>0.42</v>
      </c>
      <c r="O171" s="136">
        <f t="shared" si="63"/>
        <v>0.42</v>
      </c>
      <c r="P171" s="136">
        <f t="shared" si="63"/>
        <v>0.42</v>
      </c>
      <c r="Q171" s="136">
        <f t="shared" si="63"/>
        <v>0.42</v>
      </c>
      <c r="R171" s="136">
        <f t="shared" si="63"/>
        <v>0.42</v>
      </c>
      <c r="S171" s="136">
        <f t="shared" si="64"/>
        <v>0.42</v>
      </c>
      <c r="T171" s="136">
        <f t="shared" si="64"/>
        <v>0.42</v>
      </c>
      <c r="U171" s="136">
        <f t="shared" si="64"/>
        <v>0.42</v>
      </c>
      <c r="V171" s="136">
        <f t="shared" si="64"/>
        <v>0.42</v>
      </c>
      <c r="W171" s="136">
        <f t="shared" si="64"/>
        <v>0.42</v>
      </c>
      <c r="X171" s="136">
        <f t="shared" si="64"/>
        <v>0.42</v>
      </c>
      <c r="Y171" s="136">
        <f t="shared" si="64"/>
        <v>0.42</v>
      </c>
      <c r="Z171" s="136">
        <f t="shared" si="64"/>
        <v>0.42</v>
      </c>
      <c r="AA171" s="136">
        <f t="shared" si="64"/>
        <v>0.42</v>
      </c>
      <c r="AB171" s="136">
        <f t="shared" si="64"/>
        <v>0.42</v>
      </c>
      <c r="AC171" s="136">
        <f t="shared" si="64"/>
        <v>0.42</v>
      </c>
      <c r="AD171" s="136">
        <f t="shared" si="64"/>
        <v>0.42</v>
      </c>
      <c r="AE171" s="136">
        <f t="shared" si="64"/>
        <v>0.42</v>
      </c>
      <c r="AF171" s="136">
        <f t="shared" si="64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62"/>
        <v>0.46</v>
      </c>
      <c r="C172" s="137">
        <v>0.46</v>
      </c>
      <c r="D172" s="136">
        <f t="shared" si="63"/>
        <v>0.46</v>
      </c>
      <c r="E172" s="136">
        <f t="shared" si="63"/>
        <v>0.46</v>
      </c>
      <c r="F172" s="136">
        <f t="shared" si="63"/>
        <v>0.46</v>
      </c>
      <c r="G172" s="136">
        <f t="shared" si="63"/>
        <v>0.46</v>
      </c>
      <c r="H172" s="136">
        <f t="shared" si="63"/>
        <v>0.46</v>
      </c>
      <c r="I172" s="136">
        <f t="shared" si="63"/>
        <v>0.46</v>
      </c>
      <c r="J172" s="136">
        <f t="shared" si="63"/>
        <v>0.46</v>
      </c>
      <c r="K172" s="136">
        <f t="shared" si="63"/>
        <v>0.46</v>
      </c>
      <c r="L172" s="136">
        <f t="shared" si="63"/>
        <v>0.46</v>
      </c>
      <c r="M172" s="136">
        <f t="shared" si="63"/>
        <v>0.46</v>
      </c>
      <c r="N172" s="136">
        <f t="shared" si="63"/>
        <v>0.46</v>
      </c>
      <c r="O172" s="136">
        <f t="shared" si="63"/>
        <v>0.46</v>
      </c>
      <c r="P172" s="136">
        <f t="shared" si="63"/>
        <v>0.46</v>
      </c>
      <c r="Q172" s="136">
        <f t="shared" si="63"/>
        <v>0.46</v>
      </c>
      <c r="R172" s="136">
        <f t="shared" si="63"/>
        <v>0.46</v>
      </c>
      <c r="S172" s="136">
        <f t="shared" si="64"/>
        <v>0.46</v>
      </c>
      <c r="T172" s="136">
        <f t="shared" si="64"/>
        <v>0.46</v>
      </c>
      <c r="U172" s="136">
        <f t="shared" si="64"/>
        <v>0.46</v>
      </c>
      <c r="V172" s="136">
        <f t="shared" si="64"/>
        <v>0.46</v>
      </c>
      <c r="W172" s="136">
        <f t="shared" si="64"/>
        <v>0.46</v>
      </c>
      <c r="X172" s="136">
        <f t="shared" si="64"/>
        <v>0.46</v>
      </c>
      <c r="Y172" s="136">
        <f t="shared" si="64"/>
        <v>0.46</v>
      </c>
      <c r="Z172" s="136">
        <f t="shared" si="64"/>
        <v>0.46</v>
      </c>
      <c r="AA172" s="136">
        <f t="shared" si="64"/>
        <v>0.46</v>
      </c>
      <c r="AB172" s="136">
        <f t="shared" si="64"/>
        <v>0.46</v>
      </c>
      <c r="AC172" s="136">
        <f t="shared" si="64"/>
        <v>0.46</v>
      </c>
      <c r="AD172" s="136">
        <f t="shared" si="64"/>
        <v>0.46</v>
      </c>
      <c r="AE172" s="136">
        <f t="shared" si="64"/>
        <v>0.46</v>
      </c>
      <c r="AF172" s="136">
        <f t="shared" si="64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62"/>
        <v>0.85</v>
      </c>
      <c r="C173" s="137">
        <v>0.85</v>
      </c>
      <c r="D173" s="136">
        <f t="shared" si="63"/>
        <v>0.85</v>
      </c>
      <c r="E173" s="136">
        <f t="shared" si="63"/>
        <v>0.85</v>
      </c>
      <c r="F173" s="136">
        <f t="shared" si="63"/>
        <v>0.85</v>
      </c>
      <c r="G173" s="136">
        <f t="shared" si="63"/>
        <v>0.85</v>
      </c>
      <c r="H173" s="136">
        <f t="shared" si="63"/>
        <v>0.85</v>
      </c>
      <c r="I173" s="136">
        <f t="shared" si="63"/>
        <v>0.85</v>
      </c>
      <c r="J173" s="136">
        <f t="shared" si="63"/>
        <v>0.85</v>
      </c>
      <c r="K173" s="136">
        <f t="shared" si="63"/>
        <v>0.85</v>
      </c>
      <c r="L173" s="136">
        <f t="shared" si="63"/>
        <v>0.85</v>
      </c>
      <c r="M173" s="136">
        <f t="shared" si="63"/>
        <v>0.85</v>
      </c>
      <c r="N173" s="136">
        <f t="shared" si="63"/>
        <v>0.85</v>
      </c>
      <c r="O173" s="136">
        <f t="shared" si="63"/>
        <v>0.85</v>
      </c>
      <c r="P173" s="136">
        <f t="shared" si="63"/>
        <v>0.85</v>
      </c>
      <c r="Q173" s="136">
        <f t="shared" si="63"/>
        <v>0.85</v>
      </c>
      <c r="R173" s="136">
        <f t="shared" si="63"/>
        <v>0.85</v>
      </c>
      <c r="S173" s="136">
        <f t="shared" si="64"/>
        <v>0.85</v>
      </c>
      <c r="T173" s="136">
        <f t="shared" si="64"/>
        <v>0.85</v>
      </c>
      <c r="U173" s="136">
        <f t="shared" si="64"/>
        <v>0.85</v>
      </c>
      <c r="V173" s="136">
        <f t="shared" si="64"/>
        <v>0.85</v>
      </c>
      <c r="W173" s="136">
        <f t="shared" si="64"/>
        <v>0.85</v>
      </c>
      <c r="X173" s="136">
        <f t="shared" si="64"/>
        <v>0.85</v>
      </c>
      <c r="Y173" s="136">
        <f t="shared" si="64"/>
        <v>0.85</v>
      </c>
      <c r="Z173" s="136">
        <f t="shared" si="64"/>
        <v>0.85</v>
      </c>
      <c r="AA173" s="136">
        <f t="shared" si="64"/>
        <v>0.85</v>
      </c>
      <c r="AB173" s="136">
        <f t="shared" si="64"/>
        <v>0.85</v>
      </c>
      <c r="AC173" s="136">
        <f t="shared" si="64"/>
        <v>0.85</v>
      </c>
      <c r="AD173" s="136">
        <f t="shared" si="64"/>
        <v>0.85</v>
      </c>
      <c r="AE173" s="136">
        <f t="shared" si="64"/>
        <v>0.85</v>
      </c>
      <c r="AF173" s="136">
        <f t="shared" si="64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62"/>
        <v>0.9</v>
      </c>
      <c r="C174" s="137">
        <v>0.9</v>
      </c>
      <c r="D174" s="136">
        <f t="shared" si="63"/>
        <v>0.9</v>
      </c>
      <c r="E174" s="136">
        <f t="shared" si="63"/>
        <v>0.9</v>
      </c>
      <c r="F174" s="136">
        <f t="shared" si="63"/>
        <v>0.9</v>
      </c>
      <c r="G174" s="136">
        <f t="shared" si="63"/>
        <v>0.9</v>
      </c>
      <c r="H174" s="136">
        <f t="shared" si="63"/>
        <v>0.9</v>
      </c>
      <c r="I174" s="136">
        <f t="shared" si="63"/>
        <v>0.9</v>
      </c>
      <c r="J174" s="136">
        <f t="shared" si="63"/>
        <v>0.9</v>
      </c>
      <c r="K174" s="136">
        <f t="shared" si="63"/>
        <v>0.9</v>
      </c>
      <c r="L174" s="136">
        <f t="shared" si="63"/>
        <v>0.9</v>
      </c>
      <c r="M174" s="136">
        <f t="shared" si="63"/>
        <v>0.9</v>
      </c>
      <c r="N174" s="136">
        <f t="shared" si="63"/>
        <v>0.9</v>
      </c>
      <c r="O174" s="136">
        <f t="shared" si="63"/>
        <v>0.9</v>
      </c>
      <c r="P174" s="136">
        <f t="shared" si="63"/>
        <v>0.9</v>
      </c>
      <c r="Q174" s="136">
        <f t="shared" si="63"/>
        <v>0.9</v>
      </c>
      <c r="R174" s="136">
        <f t="shared" si="63"/>
        <v>0.9</v>
      </c>
      <c r="S174" s="136">
        <f t="shared" si="64"/>
        <v>0.9</v>
      </c>
      <c r="T174" s="136">
        <f t="shared" si="64"/>
        <v>0.9</v>
      </c>
      <c r="U174" s="136">
        <f t="shared" si="64"/>
        <v>0.9</v>
      </c>
      <c r="V174" s="136">
        <f t="shared" si="64"/>
        <v>0.9</v>
      </c>
      <c r="W174" s="136">
        <f t="shared" si="64"/>
        <v>0.9</v>
      </c>
      <c r="X174" s="136">
        <f t="shared" si="64"/>
        <v>0.9</v>
      </c>
      <c r="Y174" s="136">
        <f t="shared" si="64"/>
        <v>0.9</v>
      </c>
      <c r="Z174" s="136">
        <f t="shared" si="64"/>
        <v>0.9</v>
      </c>
      <c r="AA174" s="136">
        <f t="shared" si="64"/>
        <v>0.9</v>
      </c>
      <c r="AB174" s="136">
        <f t="shared" si="64"/>
        <v>0.9</v>
      </c>
      <c r="AC174" s="136">
        <f t="shared" si="64"/>
        <v>0.9</v>
      </c>
      <c r="AD174" s="136">
        <f t="shared" si="64"/>
        <v>0.9</v>
      </c>
      <c r="AE174" s="136">
        <f t="shared" si="64"/>
        <v>0.9</v>
      </c>
      <c r="AF174" s="136">
        <f t="shared" si="64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62"/>
        <v>0.44</v>
      </c>
      <c r="C175" s="137">
        <v>0.44</v>
      </c>
      <c r="D175" s="136">
        <f t="shared" si="63"/>
        <v>0.44</v>
      </c>
      <c r="E175" s="136">
        <f t="shared" si="63"/>
        <v>0.44</v>
      </c>
      <c r="F175" s="136">
        <f t="shared" si="63"/>
        <v>0.44</v>
      </c>
      <c r="G175" s="136">
        <f t="shared" si="63"/>
        <v>0.44</v>
      </c>
      <c r="H175" s="136">
        <f t="shared" si="63"/>
        <v>0.44</v>
      </c>
      <c r="I175" s="136">
        <f t="shared" si="63"/>
        <v>0.44</v>
      </c>
      <c r="J175" s="136">
        <f t="shared" si="63"/>
        <v>0.44</v>
      </c>
      <c r="K175" s="136">
        <f t="shared" si="63"/>
        <v>0.44</v>
      </c>
      <c r="L175" s="136">
        <f t="shared" si="63"/>
        <v>0.44</v>
      </c>
      <c r="M175" s="136">
        <f t="shared" si="63"/>
        <v>0.44</v>
      </c>
      <c r="N175" s="136">
        <f t="shared" si="63"/>
        <v>0.44</v>
      </c>
      <c r="O175" s="136">
        <f t="shared" si="63"/>
        <v>0.44</v>
      </c>
      <c r="P175" s="136">
        <f t="shared" si="63"/>
        <v>0.44</v>
      </c>
      <c r="Q175" s="136">
        <f t="shared" si="63"/>
        <v>0.44</v>
      </c>
      <c r="R175" s="136">
        <f t="shared" si="63"/>
        <v>0.44</v>
      </c>
      <c r="S175" s="136">
        <f t="shared" si="64"/>
        <v>0.44</v>
      </c>
      <c r="T175" s="136">
        <f t="shared" si="64"/>
        <v>0.44</v>
      </c>
      <c r="U175" s="136">
        <f t="shared" si="64"/>
        <v>0.44</v>
      </c>
      <c r="V175" s="136">
        <f t="shared" si="64"/>
        <v>0.44</v>
      </c>
      <c r="W175" s="136">
        <f t="shared" si="64"/>
        <v>0.44</v>
      </c>
      <c r="X175" s="136">
        <f t="shared" si="64"/>
        <v>0.44</v>
      </c>
      <c r="Y175" s="136">
        <f t="shared" si="64"/>
        <v>0.44</v>
      </c>
      <c r="Z175" s="136">
        <f t="shared" si="64"/>
        <v>0.44</v>
      </c>
      <c r="AA175" s="136">
        <f t="shared" si="64"/>
        <v>0.44</v>
      </c>
      <c r="AB175" s="136">
        <f t="shared" si="64"/>
        <v>0.44</v>
      </c>
      <c r="AC175" s="136">
        <f t="shared" si="64"/>
        <v>0.44</v>
      </c>
      <c r="AD175" s="136">
        <f t="shared" si="64"/>
        <v>0.44</v>
      </c>
      <c r="AE175" s="136">
        <f t="shared" si="64"/>
        <v>0.44</v>
      </c>
      <c r="AF175" s="136">
        <f t="shared" si="64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62"/>
        <v>2.1</v>
      </c>
      <c r="C176" s="137">
        <v>2.1</v>
      </c>
      <c r="D176" s="136">
        <f t="shared" si="63"/>
        <v>2.1</v>
      </c>
      <c r="E176" s="136">
        <f t="shared" si="63"/>
        <v>2.1</v>
      </c>
      <c r="F176" s="136">
        <f t="shared" si="63"/>
        <v>2.1</v>
      </c>
      <c r="G176" s="136">
        <f t="shared" si="63"/>
        <v>2.1</v>
      </c>
      <c r="H176" s="136">
        <f t="shared" si="63"/>
        <v>2.1</v>
      </c>
      <c r="I176" s="136">
        <f t="shared" si="63"/>
        <v>2.1</v>
      </c>
      <c r="J176" s="136">
        <f t="shared" si="63"/>
        <v>2.1</v>
      </c>
      <c r="K176" s="136">
        <f t="shared" si="63"/>
        <v>2.1</v>
      </c>
      <c r="L176" s="136">
        <f t="shared" si="63"/>
        <v>2.1</v>
      </c>
      <c r="M176" s="136">
        <f t="shared" si="63"/>
        <v>2.1</v>
      </c>
      <c r="N176" s="136">
        <f t="shared" si="63"/>
        <v>2.1</v>
      </c>
      <c r="O176" s="136">
        <f t="shared" si="63"/>
        <v>2.1</v>
      </c>
      <c r="P176" s="136">
        <f t="shared" si="63"/>
        <v>2.1</v>
      </c>
      <c r="Q176" s="136">
        <f t="shared" si="63"/>
        <v>2.1</v>
      </c>
      <c r="R176" s="136">
        <f t="shared" si="63"/>
        <v>2.1</v>
      </c>
      <c r="S176" s="136">
        <f t="shared" si="64"/>
        <v>2.1</v>
      </c>
      <c r="T176" s="136">
        <f t="shared" si="64"/>
        <v>2.1</v>
      </c>
      <c r="U176" s="136">
        <f t="shared" si="64"/>
        <v>2.1</v>
      </c>
      <c r="V176" s="136">
        <f t="shared" si="64"/>
        <v>2.1</v>
      </c>
      <c r="W176" s="136">
        <f t="shared" si="64"/>
        <v>2.1</v>
      </c>
      <c r="X176" s="136">
        <f t="shared" si="64"/>
        <v>2.1</v>
      </c>
      <c r="Y176" s="136">
        <f t="shared" si="64"/>
        <v>2.1</v>
      </c>
      <c r="Z176" s="136">
        <f t="shared" si="64"/>
        <v>2.1</v>
      </c>
      <c r="AA176" s="136">
        <f t="shared" si="64"/>
        <v>2.1</v>
      </c>
      <c r="AB176" s="136">
        <f t="shared" si="64"/>
        <v>2.1</v>
      </c>
      <c r="AC176" s="136">
        <f t="shared" si="64"/>
        <v>2.1</v>
      </c>
      <c r="AD176" s="136">
        <f t="shared" si="64"/>
        <v>2.1</v>
      </c>
      <c r="AE176" s="136">
        <f t="shared" si="64"/>
        <v>2.1</v>
      </c>
      <c r="AF176" s="136">
        <f t="shared" si="64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62"/>
        <v>0.9</v>
      </c>
      <c r="C177" s="137">
        <v>0.9</v>
      </c>
      <c r="D177" s="136">
        <f t="shared" si="63"/>
        <v>0.9</v>
      </c>
      <c r="E177" s="136">
        <f t="shared" si="63"/>
        <v>0.9</v>
      </c>
      <c r="F177" s="136">
        <f t="shared" si="63"/>
        <v>0.9</v>
      </c>
      <c r="G177" s="136">
        <f t="shared" si="63"/>
        <v>0.9</v>
      </c>
      <c r="H177" s="136">
        <f t="shared" si="63"/>
        <v>0.9</v>
      </c>
      <c r="I177" s="136">
        <f t="shared" si="63"/>
        <v>0.9</v>
      </c>
      <c r="J177" s="136">
        <f t="shared" si="63"/>
        <v>0.9</v>
      </c>
      <c r="K177" s="136">
        <f t="shared" si="63"/>
        <v>0.9</v>
      </c>
      <c r="L177" s="136">
        <f t="shared" si="63"/>
        <v>0.9</v>
      </c>
      <c r="M177" s="136">
        <f t="shared" si="63"/>
        <v>0.9</v>
      </c>
      <c r="N177" s="136">
        <f t="shared" si="63"/>
        <v>0.9</v>
      </c>
      <c r="O177" s="136">
        <f t="shared" si="63"/>
        <v>0.9</v>
      </c>
      <c r="P177" s="136">
        <f t="shared" si="63"/>
        <v>0.9</v>
      </c>
      <c r="Q177" s="136">
        <f t="shared" si="63"/>
        <v>0.9</v>
      </c>
      <c r="R177" s="136">
        <f t="shared" si="63"/>
        <v>0.9</v>
      </c>
      <c r="S177" s="136">
        <f t="shared" si="64"/>
        <v>0.9</v>
      </c>
      <c r="T177" s="136">
        <f t="shared" si="64"/>
        <v>0.9</v>
      </c>
      <c r="U177" s="136">
        <f t="shared" si="64"/>
        <v>0.9</v>
      </c>
      <c r="V177" s="136">
        <f t="shared" si="64"/>
        <v>0.9</v>
      </c>
      <c r="W177" s="136">
        <f t="shared" si="64"/>
        <v>0.9</v>
      </c>
      <c r="X177" s="136">
        <f t="shared" si="64"/>
        <v>0.9</v>
      </c>
      <c r="Y177" s="136">
        <f t="shared" si="64"/>
        <v>0.9</v>
      </c>
      <c r="Z177" s="136">
        <f t="shared" si="64"/>
        <v>0.9</v>
      </c>
      <c r="AA177" s="136">
        <f t="shared" si="64"/>
        <v>0.9</v>
      </c>
      <c r="AB177" s="136">
        <f t="shared" si="64"/>
        <v>0.9</v>
      </c>
      <c r="AC177" s="136">
        <f t="shared" si="64"/>
        <v>0.9</v>
      </c>
      <c r="AD177" s="136">
        <f t="shared" si="64"/>
        <v>0.9</v>
      </c>
      <c r="AE177" s="136">
        <f t="shared" si="64"/>
        <v>0.9</v>
      </c>
      <c r="AF177" s="136">
        <f t="shared" si="64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65">AF179</f>
        <v>0.57999999999999996</v>
      </c>
      <c r="C179" s="137">
        <v>0.57999999999999996</v>
      </c>
      <c r="D179" s="136">
        <f t="shared" ref="D179:S191" si="66">C179</f>
        <v>0.57999999999999996</v>
      </c>
      <c r="E179" s="136">
        <f t="shared" si="66"/>
        <v>0.57999999999999996</v>
      </c>
      <c r="F179" s="136">
        <f t="shared" si="66"/>
        <v>0.57999999999999996</v>
      </c>
      <c r="G179" s="136">
        <f t="shared" si="66"/>
        <v>0.57999999999999996</v>
      </c>
      <c r="H179" s="136">
        <f t="shared" si="66"/>
        <v>0.57999999999999996</v>
      </c>
      <c r="I179" s="136">
        <f t="shared" si="66"/>
        <v>0.57999999999999996</v>
      </c>
      <c r="J179" s="136">
        <f t="shared" si="66"/>
        <v>0.57999999999999996</v>
      </c>
      <c r="K179" s="136">
        <f t="shared" si="66"/>
        <v>0.57999999999999996</v>
      </c>
      <c r="L179" s="136">
        <f t="shared" si="66"/>
        <v>0.57999999999999996</v>
      </c>
      <c r="M179" s="136">
        <f t="shared" si="66"/>
        <v>0.57999999999999996</v>
      </c>
      <c r="N179" s="136">
        <f t="shared" si="66"/>
        <v>0.57999999999999996</v>
      </c>
      <c r="O179" s="136">
        <f t="shared" si="66"/>
        <v>0.57999999999999996</v>
      </c>
      <c r="P179" s="136">
        <f t="shared" si="66"/>
        <v>0.57999999999999996</v>
      </c>
      <c r="Q179" s="136">
        <f t="shared" si="66"/>
        <v>0.57999999999999996</v>
      </c>
      <c r="R179" s="136">
        <f t="shared" si="66"/>
        <v>0.57999999999999996</v>
      </c>
      <c r="S179" s="136">
        <f t="shared" si="66"/>
        <v>0.57999999999999996</v>
      </c>
      <c r="T179" s="136">
        <f t="shared" ref="S179:AF191" si="67">S179</f>
        <v>0.57999999999999996</v>
      </c>
      <c r="U179" s="136">
        <f t="shared" si="67"/>
        <v>0.57999999999999996</v>
      </c>
      <c r="V179" s="136">
        <f t="shared" si="67"/>
        <v>0.57999999999999996</v>
      </c>
      <c r="W179" s="136">
        <f t="shared" si="67"/>
        <v>0.57999999999999996</v>
      </c>
      <c r="X179" s="136">
        <f t="shared" si="67"/>
        <v>0.57999999999999996</v>
      </c>
      <c r="Y179" s="136">
        <f t="shared" si="67"/>
        <v>0.57999999999999996</v>
      </c>
      <c r="Z179" s="136">
        <f t="shared" si="67"/>
        <v>0.57999999999999996</v>
      </c>
      <c r="AA179" s="136">
        <f t="shared" si="67"/>
        <v>0.57999999999999996</v>
      </c>
      <c r="AB179" s="136">
        <f t="shared" si="67"/>
        <v>0.57999999999999996</v>
      </c>
      <c r="AC179" s="136">
        <f t="shared" si="67"/>
        <v>0.57999999999999996</v>
      </c>
      <c r="AD179" s="136">
        <f t="shared" si="67"/>
        <v>0.57999999999999996</v>
      </c>
      <c r="AE179" s="136">
        <f t="shared" si="67"/>
        <v>0.57999999999999996</v>
      </c>
      <c r="AF179" s="136">
        <f t="shared" si="67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65"/>
        <v>0.8</v>
      </c>
      <c r="C180" s="137">
        <v>0.8</v>
      </c>
      <c r="D180" s="136">
        <f t="shared" si="66"/>
        <v>0.8</v>
      </c>
      <c r="E180" s="136">
        <f t="shared" si="66"/>
        <v>0.8</v>
      </c>
      <c r="F180" s="136">
        <f t="shared" si="66"/>
        <v>0.8</v>
      </c>
      <c r="G180" s="136">
        <f t="shared" si="66"/>
        <v>0.8</v>
      </c>
      <c r="H180" s="136">
        <f t="shared" si="66"/>
        <v>0.8</v>
      </c>
      <c r="I180" s="136">
        <f t="shared" si="66"/>
        <v>0.8</v>
      </c>
      <c r="J180" s="136">
        <f t="shared" si="66"/>
        <v>0.8</v>
      </c>
      <c r="K180" s="136">
        <f t="shared" si="66"/>
        <v>0.8</v>
      </c>
      <c r="L180" s="136">
        <f t="shared" si="66"/>
        <v>0.8</v>
      </c>
      <c r="M180" s="136">
        <f t="shared" si="66"/>
        <v>0.8</v>
      </c>
      <c r="N180" s="136">
        <f t="shared" si="66"/>
        <v>0.8</v>
      </c>
      <c r="O180" s="136">
        <f t="shared" si="66"/>
        <v>0.8</v>
      </c>
      <c r="P180" s="136">
        <f t="shared" si="66"/>
        <v>0.8</v>
      </c>
      <c r="Q180" s="136">
        <f t="shared" si="66"/>
        <v>0.8</v>
      </c>
      <c r="R180" s="136">
        <f t="shared" si="66"/>
        <v>0.8</v>
      </c>
      <c r="S180" s="136">
        <f t="shared" si="66"/>
        <v>0.8</v>
      </c>
      <c r="T180" s="136">
        <f t="shared" si="67"/>
        <v>0.8</v>
      </c>
      <c r="U180" s="136">
        <f t="shared" si="67"/>
        <v>0.8</v>
      </c>
      <c r="V180" s="136">
        <f t="shared" si="67"/>
        <v>0.8</v>
      </c>
      <c r="W180" s="136">
        <f t="shared" si="67"/>
        <v>0.8</v>
      </c>
      <c r="X180" s="136">
        <f t="shared" si="67"/>
        <v>0.8</v>
      </c>
      <c r="Y180" s="136">
        <f t="shared" si="67"/>
        <v>0.8</v>
      </c>
      <c r="Z180" s="136">
        <f t="shared" si="67"/>
        <v>0.8</v>
      </c>
      <c r="AA180" s="136">
        <f t="shared" si="67"/>
        <v>0.8</v>
      </c>
      <c r="AB180" s="136">
        <f t="shared" si="67"/>
        <v>0.8</v>
      </c>
      <c r="AC180" s="136">
        <f t="shared" si="67"/>
        <v>0.8</v>
      </c>
      <c r="AD180" s="136">
        <f t="shared" si="67"/>
        <v>0.8</v>
      </c>
      <c r="AE180" s="136">
        <f t="shared" si="67"/>
        <v>0.8</v>
      </c>
      <c r="AF180" s="136">
        <f t="shared" si="67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65"/>
        <v>0</v>
      </c>
      <c r="C181" s="137">
        <v>0</v>
      </c>
      <c r="D181" s="136">
        <f t="shared" si="66"/>
        <v>0</v>
      </c>
      <c r="E181" s="136">
        <f t="shared" si="66"/>
        <v>0</v>
      </c>
      <c r="F181" s="136">
        <f t="shared" si="66"/>
        <v>0</v>
      </c>
      <c r="G181" s="136">
        <f t="shared" si="66"/>
        <v>0</v>
      </c>
      <c r="H181" s="136">
        <f t="shared" si="66"/>
        <v>0</v>
      </c>
      <c r="I181" s="136">
        <f t="shared" si="66"/>
        <v>0</v>
      </c>
      <c r="J181" s="136">
        <f t="shared" si="66"/>
        <v>0</v>
      </c>
      <c r="K181" s="136">
        <f t="shared" si="66"/>
        <v>0</v>
      </c>
      <c r="L181" s="136">
        <f t="shared" si="66"/>
        <v>0</v>
      </c>
      <c r="M181" s="136">
        <f t="shared" si="66"/>
        <v>0</v>
      </c>
      <c r="N181" s="136">
        <f t="shared" si="66"/>
        <v>0</v>
      </c>
      <c r="O181" s="136">
        <f t="shared" si="66"/>
        <v>0</v>
      </c>
      <c r="P181" s="136">
        <f t="shared" si="66"/>
        <v>0</v>
      </c>
      <c r="Q181" s="136">
        <f t="shared" si="66"/>
        <v>0</v>
      </c>
      <c r="R181" s="136">
        <f t="shared" si="66"/>
        <v>0</v>
      </c>
      <c r="S181" s="136">
        <f t="shared" si="66"/>
        <v>0</v>
      </c>
      <c r="T181" s="136">
        <f t="shared" si="67"/>
        <v>0</v>
      </c>
      <c r="U181" s="136">
        <f t="shared" si="67"/>
        <v>0</v>
      </c>
      <c r="V181" s="136">
        <f t="shared" si="67"/>
        <v>0</v>
      </c>
      <c r="W181" s="136">
        <f t="shared" si="67"/>
        <v>0</v>
      </c>
      <c r="X181" s="136">
        <f t="shared" si="67"/>
        <v>0</v>
      </c>
      <c r="Y181" s="136">
        <f t="shared" si="67"/>
        <v>0</v>
      </c>
      <c r="Z181" s="136">
        <f t="shared" si="67"/>
        <v>0</v>
      </c>
      <c r="AA181" s="136">
        <f t="shared" si="67"/>
        <v>0</v>
      </c>
      <c r="AB181" s="136">
        <f t="shared" si="67"/>
        <v>0</v>
      </c>
      <c r="AC181" s="136">
        <f t="shared" si="67"/>
        <v>0</v>
      </c>
      <c r="AD181" s="136">
        <f t="shared" si="67"/>
        <v>0</v>
      </c>
      <c r="AE181" s="136">
        <f t="shared" si="67"/>
        <v>0</v>
      </c>
      <c r="AF181" s="136">
        <f t="shared" si="67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65"/>
        <v>0.6</v>
      </c>
      <c r="C182" s="137">
        <v>0.6</v>
      </c>
      <c r="D182" s="136">
        <f t="shared" si="66"/>
        <v>0.6</v>
      </c>
      <c r="E182" s="136">
        <f t="shared" si="66"/>
        <v>0.6</v>
      </c>
      <c r="F182" s="136">
        <f t="shared" si="66"/>
        <v>0.6</v>
      </c>
      <c r="G182" s="136">
        <f t="shared" si="66"/>
        <v>0.6</v>
      </c>
      <c r="H182" s="136">
        <f t="shared" si="66"/>
        <v>0.6</v>
      </c>
      <c r="I182" s="136">
        <f t="shared" si="66"/>
        <v>0.6</v>
      </c>
      <c r="J182" s="136">
        <f t="shared" si="66"/>
        <v>0.6</v>
      </c>
      <c r="K182" s="136">
        <f t="shared" si="66"/>
        <v>0.6</v>
      </c>
      <c r="L182" s="136">
        <f t="shared" si="66"/>
        <v>0.6</v>
      </c>
      <c r="M182" s="136">
        <f t="shared" si="66"/>
        <v>0.6</v>
      </c>
      <c r="N182" s="136">
        <f t="shared" si="66"/>
        <v>0.6</v>
      </c>
      <c r="O182" s="136">
        <f t="shared" si="66"/>
        <v>0.6</v>
      </c>
      <c r="P182" s="136">
        <f t="shared" si="66"/>
        <v>0.6</v>
      </c>
      <c r="Q182" s="136">
        <f t="shared" si="66"/>
        <v>0.6</v>
      </c>
      <c r="R182" s="136">
        <f t="shared" si="66"/>
        <v>0.6</v>
      </c>
      <c r="S182" s="136">
        <f t="shared" si="66"/>
        <v>0.6</v>
      </c>
      <c r="T182" s="136">
        <f t="shared" si="67"/>
        <v>0.6</v>
      </c>
      <c r="U182" s="136">
        <f t="shared" si="67"/>
        <v>0.6</v>
      </c>
      <c r="V182" s="136">
        <f t="shared" si="67"/>
        <v>0.6</v>
      </c>
      <c r="W182" s="136">
        <f t="shared" si="67"/>
        <v>0.6</v>
      </c>
      <c r="X182" s="136">
        <f t="shared" si="67"/>
        <v>0.6</v>
      </c>
      <c r="Y182" s="136">
        <f t="shared" si="67"/>
        <v>0.6</v>
      </c>
      <c r="Z182" s="136">
        <f t="shared" si="67"/>
        <v>0.6</v>
      </c>
      <c r="AA182" s="136">
        <f t="shared" si="67"/>
        <v>0.6</v>
      </c>
      <c r="AB182" s="136">
        <f t="shared" si="67"/>
        <v>0.6</v>
      </c>
      <c r="AC182" s="136">
        <f t="shared" si="67"/>
        <v>0.6</v>
      </c>
      <c r="AD182" s="136">
        <f t="shared" si="67"/>
        <v>0.6</v>
      </c>
      <c r="AE182" s="136">
        <f t="shared" si="67"/>
        <v>0.6</v>
      </c>
      <c r="AF182" s="136">
        <f t="shared" si="67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65"/>
        <v>0.6</v>
      </c>
      <c r="C183" s="137">
        <v>0.6</v>
      </c>
      <c r="D183" s="136">
        <f t="shared" si="66"/>
        <v>0.6</v>
      </c>
      <c r="E183" s="136">
        <f t="shared" si="66"/>
        <v>0.6</v>
      </c>
      <c r="F183" s="136">
        <f t="shared" si="66"/>
        <v>0.6</v>
      </c>
      <c r="G183" s="136">
        <f t="shared" si="66"/>
        <v>0.6</v>
      </c>
      <c r="H183" s="136">
        <f t="shared" si="66"/>
        <v>0.6</v>
      </c>
      <c r="I183" s="136">
        <f t="shared" si="66"/>
        <v>0.6</v>
      </c>
      <c r="J183" s="136">
        <f t="shared" si="66"/>
        <v>0.6</v>
      </c>
      <c r="K183" s="136">
        <f t="shared" si="66"/>
        <v>0.6</v>
      </c>
      <c r="L183" s="136">
        <f t="shared" si="66"/>
        <v>0.6</v>
      </c>
      <c r="M183" s="136">
        <f t="shared" si="66"/>
        <v>0.6</v>
      </c>
      <c r="N183" s="136">
        <f t="shared" si="66"/>
        <v>0.6</v>
      </c>
      <c r="O183" s="136">
        <f t="shared" si="66"/>
        <v>0.6</v>
      </c>
      <c r="P183" s="136">
        <f t="shared" si="66"/>
        <v>0.6</v>
      </c>
      <c r="Q183" s="136">
        <f t="shared" si="66"/>
        <v>0.6</v>
      </c>
      <c r="R183" s="136">
        <f t="shared" si="66"/>
        <v>0.6</v>
      </c>
      <c r="S183" s="136">
        <f t="shared" si="66"/>
        <v>0.6</v>
      </c>
      <c r="T183" s="136">
        <f t="shared" si="67"/>
        <v>0.6</v>
      </c>
      <c r="U183" s="136">
        <f t="shared" si="67"/>
        <v>0.6</v>
      </c>
      <c r="V183" s="136">
        <f t="shared" si="67"/>
        <v>0.6</v>
      </c>
      <c r="W183" s="136">
        <f t="shared" si="67"/>
        <v>0.6</v>
      </c>
      <c r="X183" s="136">
        <f t="shared" si="67"/>
        <v>0.6</v>
      </c>
      <c r="Y183" s="136">
        <f t="shared" si="67"/>
        <v>0.6</v>
      </c>
      <c r="Z183" s="136">
        <f t="shared" si="67"/>
        <v>0.6</v>
      </c>
      <c r="AA183" s="136">
        <f t="shared" si="67"/>
        <v>0.6</v>
      </c>
      <c r="AB183" s="136">
        <f t="shared" si="67"/>
        <v>0.6</v>
      </c>
      <c r="AC183" s="136">
        <f t="shared" si="67"/>
        <v>0.6</v>
      </c>
      <c r="AD183" s="136">
        <f t="shared" si="67"/>
        <v>0.6</v>
      </c>
      <c r="AE183" s="136">
        <f t="shared" si="67"/>
        <v>0.6</v>
      </c>
      <c r="AF183" s="136">
        <f t="shared" si="67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65"/>
        <v>0.35</v>
      </c>
      <c r="C184" s="137">
        <v>0.35</v>
      </c>
      <c r="D184" s="136">
        <f t="shared" si="66"/>
        <v>0.35</v>
      </c>
      <c r="E184" s="136">
        <f t="shared" si="66"/>
        <v>0.35</v>
      </c>
      <c r="F184" s="136">
        <f t="shared" si="66"/>
        <v>0.35</v>
      </c>
      <c r="G184" s="136">
        <f t="shared" si="66"/>
        <v>0.35</v>
      </c>
      <c r="H184" s="136">
        <f t="shared" si="66"/>
        <v>0.35</v>
      </c>
      <c r="I184" s="136">
        <f t="shared" si="66"/>
        <v>0.35</v>
      </c>
      <c r="J184" s="136">
        <f t="shared" si="66"/>
        <v>0.35</v>
      </c>
      <c r="K184" s="136">
        <f t="shared" si="66"/>
        <v>0.35</v>
      </c>
      <c r="L184" s="136">
        <f t="shared" si="66"/>
        <v>0.35</v>
      </c>
      <c r="M184" s="136">
        <f t="shared" si="66"/>
        <v>0.35</v>
      </c>
      <c r="N184" s="136">
        <f t="shared" si="66"/>
        <v>0.35</v>
      </c>
      <c r="O184" s="136">
        <f t="shared" si="66"/>
        <v>0.35</v>
      </c>
      <c r="P184" s="136">
        <f t="shared" si="66"/>
        <v>0.35</v>
      </c>
      <c r="Q184" s="136">
        <f t="shared" si="66"/>
        <v>0.35</v>
      </c>
      <c r="R184" s="136">
        <f t="shared" si="66"/>
        <v>0.35</v>
      </c>
      <c r="S184" s="136">
        <f t="shared" si="66"/>
        <v>0.35</v>
      </c>
      <c r="T184" s="136">
        <f t="shared" si="67"/>
        <v>0.35</v>
      </c>
      <c r="U184" s="136">
        <f t="shared" si="67"/>
        <v>0.35</v>
      </c>
      <c r="V184" s="136">
        <f t="shared" si="67"/>
        <v>0.35</v>
      </c>
      <c r="W184" s="136">
        <f t="shared" si="67"/>
        <v>0.35</v>
      </c>
      <c r="X184" s="136">
        <f t="shared" si="67"/>
        <v>0.35</v>
      </c>
      <c r="Y184" s="136">
        <f t="shared" si="67"/>
        <v>0.35</v>
      </c>
      <c r="Z184" s="136">
        <f t="shared" si="67"/>
        <v>0.35</v>
      </c>
      <c r="AA184" s="136">
        <f t="shared" si="67"/>
        <v>0.35</v>
      </c>
      <c r="AB184" s="136">
        <f t="shared" si="67"/>
        <v>0.35</v>
      </c>
      <c r="AC184" s="136">
        <f t="shared" si="67"/>
        <v>0.35</v>
      </c>
      <c r="AD184" s="136">
        <f t="shared" si="67"/>
        <v>0.35</v>
      </c>
      <c r="AE184" s="136">
        <f t="shared" si="67"/>
        <v>0.35</v>
      </c>
      <c r="AF184" s="136">
        <f t="shared" si="67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65"/>
        <v>0.28999999999999998</v>
      </c>
      <c r="C185" s="137">
        <v>0.28999999999999998</v>
      </c>
      <c r="D185" s="136">
        <f t="shared" si="66"/>
        <v>0.28999999999999998</v>
      </c>
      <c r="E185" s="136">
        <f t="shared" si="66"/>
        <v>0.28999999999999998</v>
      </c>
      <c r="F185" s="136">
        <f t="shared" si="66"/>
        <v>0.28999999999999998</v>
      </c>
      <c r="G185" s="136">
        <f t="shared" si="66"/>
        <v>0.28999999999999998</v>
      </c>
      <c r="H185" s="136">
        <f t="shared" si="66"/>
        <v>0.28999999999999998</v>
      </c>
      <c r="I185" s="136">
        <f t="shared" si="66"/>
        <v>0.28999999999999998</v>
      </c>
      <c r="J185" s="136">
        <f t="shared" si="66"/>
        <v>0.28999999999999998</v>
      </c>
      <c r="K185" s="136">
        <f t="shared" si="66"/>
        <v>0.28999999999999998</v>
      </c>
      <c r="L185" s="136">
        <f t="shared" si="66"/>
        <v>0.28999999999999998</v>
      </c>
      <c r="M185" s="136">
        <f t="shared" si="66"/>
        <v>0.28999999999999998</v>
      </c>
      <c r="N185" s="136">
        <f t="shared" si="66"/>
        <v>0.28999999999999998</v>
      </c>
      <c r="O185" s="136">
        <f t="shared" si="66"/>
        <v>0.28999999999999998</v>
      </c>
      <c r="P185" s="136">
        <f t="shared" si="66"/>
        <v>0.28999999999999998</v>
      </c>
      <c r="Q185" s="136">
        <f t="shared" si="66"/>
        <v>0.28999999999999998</v>
      </c>
      <c r="R185" s="136">
        <f t="shared" si="66"/>
        <v>0.28999999999999998</v>
      </c>
      <c r="S185" s="136">
        <f t="shared" si="66"/>
        <v>0.28999999999999998</v>
      </c>
      <c r="T185" s="136">
        <f t="shared" si="67"/>
        <v>0.28999999999999998</v>
      </c>
      <c r="U185" s="136">
        <f t="shared" si="67"/>
        <v>0.28999999999999998</v>
      </c>
      <c r="V185" s="136">
        <f t="shared" si="67"/>
        <v>0.28999999999999998</v>
      </c>
      <c r="W185" s="136">
        <f t="shared" si="67"/>
        <v>0.28999999999999998</v>
      </c>
      <c r="X185" s="136">
        <f t="shared" si="67"/>
        <v>0.28999999999999998</v>
      </c>
      <c r="Y185" s="136">
        <f t="shared" si="67"/>
        <v>0.28999999999999998</v>
      </c>
      <c r="Z185" s="136">
        <f t="shared" si="67"/>
        <v>0.28999999999999998</v>
      </c>
      <c r="AA185" s="136">
        <f t="shared" si="67"/>
        <v>0.28999999999999998</v>
      </c>
      <c r="AB185" s="136">
        <f t="shared" si="67"/>
        <v>0.28999999999999998</v>
      </c>
      <c r="AC185" s="136">
        <f t="shared" si="67"/>
        <v>0.28999999999999998</v>
      </c>
      <c r="AD185" s="136">
        <f t="shared" si="67"/>
        <v>0.28999999999999998</v>
      </c>
      <c r="AE185" s="136">
        <f t="shared" si="67"/>
        <v>0.28999999999999998</v>
      </c>
      <c r="AF185" s="136">
        <f t="shared" si="67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65"/>
        <v>0.06</v>
      </c>
      <c r="C186" s="137">
        <v>0.06</v>
      </c>
      <c r="D186" s="136">
        <f t="shared" si="66"/>
        <v>0.06</v>
      </c>
      <c r="E186" s="136">
        <f t="shared" si="66"/>
        <v>0.06</v>
      </c>
      <c r="F186" s="136">
        <f t="shared" si="66"/>
        <v>0.06</v>
      </c>
      <c r="G186" s="136">
        <f t="shared" si="66"/>
        <v>0.06</v>
      </c>
      <c r="H186" s="136">
        <f t="shared" si="66"/>
        <v>0.06</v>
      </c>
      <c r="I186" s="136">
        <f t="shared" si="66"/>
        <v>0.06</v>
      </c>
      <c r="J186" s="136">
        <f t="shared" si="66"/>
        <v>0.06</v>
      </c>
      <c r="K186" s="136">
        <f t="shared" si="66"/>
        <v>0.06</v>
      </c>
      <c r="L186" s="136">
        <f t="shared" si="66"/>
        <v>0.06</v>
      </c>
      <c r="M186" s="136">
        <f t="shared" si="66"/>
        <v>0.06</v>
      </c>
      <c r="N186" s="136">
        <f t="shared" si="66"/>
        <v>0.06</v>
      </c>
      <c r="O186" s="136">
        <f t="shared" si="66"/>
        <v>0.06</v>
      </c>
      <c r="P186" s="136">
        <f t="shared" si="66"/>
        <v>0.06</v>
      </c>
      <c r="Q186" s="136">
        <f t="shared" si="66"/>
        <v>0.06</v>
      </c>
      <c r="R186" s="136">
        <f t="shared" si="66"/>
        <v>0.06</v>
      </c>
      <c r="S186" s="136">
        <f t="shared" si="66"/>
        <v>0.06</v>
      </c>
      <c r="T186" s="136">
        <f t="shared" si="67"/>
        <v>0.06</v>
      </c>
      <c r="U186" s="136">
        <f t="shared" si="67"/>
        <v>0.06</v>
      </c>
      <c r="V186" s="136">
        <f t="shared" si="67"/>
        <v>0.06</v>
      </c>
      <c r="W186" s="136">
        <f t="shared" si="67"/>
        <v>0.06</v>
      </c>
      <c r="X186" s="136">
        <f t="shared" si="67"/>
        <v>0.06</v>
      </c>
      <c r="Y186" s="136">
        <f t="shared" si="67"/>
        <v>0.06</v>
      </c>
      <c r="Z186" s="136">
        <f t="shared" si="67"/>
        <v>0.06</v>
      </c>
      <c r="AA186" s="136">
        <f t="shared" si="67"/>
        <v>0.06</v>
      </c>
      <c r="AB186" s="136">
        <f t="shared" si="67"/>
        <v>0.06</v>
      </c>
      <c r="AC186" s="136">
        <f t="shared" si="67"/>
        <v>0.06</v>
      </c>
      <c r="AD186" s="136">
        <f t="shared" si="67"/>
        <v>0.06</v>
      </c>
      <c r="AE186" s="136">
        <f t="shared" si="67"/>
        <v>0.06</v>
      </c>
      <c r="AF186" s="136">
        <f t="shared" si="67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65"/>
        <v>0.11</v>
      </c>
      <c r="C187" s="137">
        <v>0.11</v>
      </c>
      <c r="D187" s="136">
        <f t="shared" si="66"/>
        <v>0.11</v>
      </c>
      <c r="E187" s="136">
        <f t="shared" si="66"/>
        <v>0.11</v>
      </c>
      <c r="F187" s="136">
        <f t="shared" si="66"/>
        <v>0.11</v>
      </c>
      <c r="G187" s="136">
        <f t="shared" si="66"/>
        <v>0.11</v>
      </c>
      <c r="H187" s="136">
        <f t="shared" si="66"/>
        <v>0.11</v>
      </c>
      <c r="I187" s="136">
        <f t="shared" si="66"/>
        <v>0.11</v>
      </c>
      <c r="J187" s="136">
        <f t="shared" si="66"/>
        <v>0.11</v>
      </c>
      <c r="K187" s="136">
        <f t="shared" si="66"/>
        <v>0.11</v>
      </c>
      <c r="L187" s="136">
        <f t="shared" si="66"/>
        <v>0.11</v>
      </c>
      <c r="M187" s="136">
        <f t="shared" si="66"/>
        <v>0.11</v>
      </c>
      <c r="N187" s="136">
        <f t="shared" si="66"/>
        <v>0.11</v>
      </c>
      <c r="O187" s="136">
        <f t="shared" si="66"/>
        <v>0.11</v>
      </c>
      <c r="P187" s="136">
        <f t="shared" si="66"/>
        <v>0.11</v>
      </c>
      <c r="Q187" s="136">
        <f t="shared" si="66"/>
        <v>0.11</v>
      </c>
      <c r="R187" s="136">
        <f t="shared" si="66"/>
        <v>0.11</v>
      </c>
      <c r="S187" s="136">
        <f t="shared" si="66"/>
        <v>0.11</v>
      </c>
      <c r="T187" s="136">
        <f t="shared" si="67"/>
        <v>0.11</v>
      </c>
      <c r="U187" s="136">
        <f t="shared" si="67"/>
        <v>0.11</v>
      </c>
      <c r="V187" s="136">
        <f t="shared" si="67"/>
        <v>0.11</v>
      </c>
      <c r="W187" s="136">
        <f t="shared" si="67"/>
        <v>0.11</v>
      </c>
      <c r="X187" s="136">
        <f t="shared" si="67"/>
        <v>0.11</v>
      </c>
      <c r="Y187" s="136">
        <f t="shared" si="67"/>
        <v>0.11</v>
      </c>
      <c r="Z187" s="136">
        <f t="shared" si="67"/>
        <v>0.11</v>
      </c>
      <c r="AA187" s="136">
        <f t="shared" si="67"/>
        <v>0.11</v>
      </c>
      <c r="AB187" s="136">
        <f t="shared" si="67"/>
        <v>0.11</v>
      </c>
      <c r="AC187" s="136">
        <f t="shared" si="67"/>
        <v>0.11</v>
      </c>
      <c r="AD187" s="136">
        <f t="shared" si="67"/>
        <v>0.11</v>
      </c>
      <c r="AE187" s="136">
        <f t="shared" si="67"/>
        <v>0.11</v>
      </c>
      <c r="AF187" s="136">
        <f t="shared" si="67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65"/>
        <v>0.1</v>
      </c>
      <c r="C188" s="137">
        <v>0.1</v>
      </c>
      <c r="D188" s="136">
        <f t="shared" si="66"/>
        <v>0.1</v>
      </c>
      <c r="E188" s="136">
        <f t="shared" si="66"/>
        <v>0.1</v>
      </c>
      <c r="F188" s="136">
        <f t="shared" si="66"/>
        <v>0.1</v>
      </c>
      <c r="G188" s="136">
        <f t="shared" si="66"/>
        <v>0.1</v>
      </c>
      <c r="H188" s="136">
        <f t="shared" si="66"/>
        <v>0.1</v>
      </c>
      <c r="I188" s="136">
        <f t="shared" si="66"/>
        <v>0.1</v>
      </c>
      <c r="J188" s="136">
        <f t="shared" si="66"/>
        <v>0.1</v>
      </c>
      <c r="K188" s="136">
        <f t="shared" si="66"/>
        <v>0.1</v>
      </c>
      <c r="L188" s="136">
        <f t="shared" si="66"/>
        <v>0.1</v>
      </c>
      <c r="M188" s="136">
        <f t="shared" si="66"/>
        <v>0.1</v>
      </c>
      <c r="N188" s="136">
        <f t="shared" si="66"/>
        <v>0.1</v>
      </c>
      <c r="O188" s="136">
        <f t="shared" si="66"/>
        <v>0.1</v>
      </c>
      <c r="P188" s="136">
        <f t="shared" si="66"/>
        <v>0.1</v>
      </c>
      <c r="Q188" s="136">
        <f t="shared" si="66"/>
        <v>0.1</v>
      </c>
      <c r="R188" s="136">
        <f t="shared" si="66"/>
        <v>0.1</v>
      </c>
      <c r="S188" s="136">
        <f t="shared" si="67"/>
        <v>0.1</v>
      </c>
      <c r="T188" s="136">
        <f t="shared" si="67"/>
        <v>0.1</v>
      </c>
      <c r="U188" s="136">
        <f t="shared" si="67"/>
        <v>0.1</v>
      </c>
      <c r="V188" s="136">
        <f t="shared" si="67"/>
        <v>0.1</v>
      </c>
      <c r="W188" s="136">
        <f t="shared" si="67"/>
        <v>0.1</v>
      </c>
      <c r="X188" s="136">
        <f t="shared" si="67"/>
        <v>0.1</v>
      </c>
      <c r="Y188" s="136">
        <f t="shared" si="67"/>
        <v>0.1</v>
      </c>
      <c r="Z188" s="136">
        <f t="shared" si="67"/>
        <v>0.1</v>
      </c>
      <c r="AA188" s="136">
        <f t="shared" si="67"/>
        <v>0.1</v>
      </c>
      <c r="AB188" s="136">
        <f t="shared" si="67"/>
        <v>0.1</v>
      </c>
      <c r="AC188" s="136">
        <f t="shared" si="67"/>
        <v>0.1</v>
      </c>
      <c r="AD188" s="136">
        <f t="shared" si="67"/>
        <v>0.1</v>
      </c>
      <c r="AE188" s="136">
        <f t="shared" si="67"/>
        <v>0.1</v>
      </c>
      <c r="AF188" s="136">
        <f t="shared" si="67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65"/>
        <v>0.09</v>
      </c>
      <c r="C189" s="137">
        <v>0.09</v>
      </c>
      <c r="D189" s="136">
        <f t="shared" si="66"/>
        <v>0.09</v>
      </c>
      <c r="E189" s="136">
        <f t="shared" si="66"/>
        <v>0.09</v>
      </c>
      <c r="F189" s="136">
        <f t="shared" si="66"/>
        <v>0.09</v>
      </c>
      <c r="G189" s="136">
        <f t="shared" si="66"/>
        <v>0.09</v>
      </c>
      <c r="H189" s="136">
        <f t="shared" si="66"/>
        <v>0.09</v>
      </c>
      <c r="I189" s="136">
        <f t="shared" si="66"/>
        <v>0.09</v>
      </c>
      <c r="J189" s="136">
        <f t="shared" si="66"/>
        <v>0.09</v>
      </c>
      <c r="K189" s="136">
        <f t="shared" si="66"/>
        <v>0.09</v>
      </c>
      <c r="L189" s="136">
        <f t="shared" si="66"/>
        <v>0.09</v>
      </c>
      <c r="M189" s="136">
        <f t="shared" si="66"/>
        <v>0.09</v>
      </c>
      <c r="N189" s="136">
        <f t="shared" si="66"/>
        <v>0.09</v>
      </c>
      <c r="O189" s="136">
        <f t="shared" si="66"/>
        <v>0.09</v>
      </c>
      <c r="P189" s="136">
        <f t="shared" si="66"/>
        <v>0.09</v>
      </c>
      <c r="Q189" s="136">
        <f t="shared" si="66"/>
        <v>0.09</v>
      </c>
      <c r="R189" s="136">
        <f t="shared" si="66"/>
        <v>0.09</v>
      </c>
      <c r="S189" s="136">
        <f t="shared" si="67"/>
        <v>0.09</v>
      </c>
      <c r="T189" s="136">
        <f t="shared" si="67"/>
        <v>0.09</v>
      </c>
      <c r="U189" s="136">
        <f t="shared" si="67"/>
        <v>0.09</v>
      </c>
      <c r="V189" s="136">
        <f t="shared" si="67"/>
        <v>0.09</v>
      </c>
      <c r="W189" s="136">
        <f t="shared" si="67"/>
        <v>0.09</v>
      </c>
      <c r="X189" s="136">
        <f t="shared" si="67"/>
        <v>0.09</v>
      </c>
      <c r="Y189" s="136">
        <f t="shared" si="67"/>
        <v>0.09</v>
      </c>
      <c r="Z189" s="136">
        <f t="shared" si="67"/>
        <v>0.09</v>
      </c>
      <c r="AA189" s="136">
        <f t="shared" si="67"/>
        <v>0.09</v>
      </c>
      <c r="AB189" s="136">
        <f t="shared" si="67"/>
        <v>0.09</v>
      </c>
      <c r="AC189" s="136">
        <f t="shared" si="67"/>
        <v>0.09</v>
      </c>
      <c r="AD189" s="136">
        <f t="shared" si="67"/>
        <v>0.09</v>
      </c>
      <c r="AE189" s="136">
        <f t="shared" si="67"/>
        <v>0.09</v>
      </c>
      <c r="AF189" s="136">
        <f t="shared" si="67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65"/>
        <v>0.04</v>
      </c>
      <c r="C190" s="53">
        <v>0.04</v>
      </c>
      <c r="D190" s="136">
        <f t="shared" si="66"/>
        <v>0.04</v>
      </c>
      <c r="E190" s="136">
        <f t="shared" si="66"/>
        <v>0.04</v>
      </c>
      <c r="F190" s="136">
        <f t="shared" si="66"/>
        <v>0.04</v>
      </c>
      <c r="G190" s="136">
        <f t="shared" si="66"/>
        <v>0.04</v>
      </c>
      <c r="H190" s="136">
        <f t="shared" si="66"/>
        <v>0.04</v>
      </c>
      <c r="I190" s="136">
        <f t="shared" si="66"/>
        <v>0.04</v>
      </c>
      <c r="J190" s="136">
        <f t="shared" si="66"/>
        <v>0.04</v>
      </c>
      <c r="K190" s="136">
        <f t="shared" si="66"/>
        <v>0.04</v>
      </c>
      <c r="L190" s="136">
        <f t="shared" si="66"/>
        <v>0.04</v>
      </c>
      <c r="M190" s="136">
        <f t="shared" si="66"/>
        <v>0.04</v>
      </c>
      <c r="N190" s="136">
        <f t="shared" si="66"/>
        <v>0.04</v>
      </c>
      <c r="O190" s="136">
        <f t="shared" si="66"/>
        <v>0.04</v>
      </c>
      <c r="P190" s="136">
        <f t="shared" si="66"/>
        <v>0.04</v>
      </c>
      <c r="Q190" s="136">
        <f t="shared" si="66"/>
        <v>0.04</v>
      </c>
      <c r="R190" s="136">
        <f t="shared" si="66"/>
        <v>0.04</v>
      </c>
      <c r="S190" s="136">
        <f t="shared" si="67"/>
        <v>0.04</v>
      </c>
      <c r="T190" s="136">
        <f t="shared" si="67"/>
        <v>0.04</v>
      </c>
      <c r="U190" s="136">
        <f t="shared" si="67"/>
        <v>0.04</v>
      </c>
      <c r="V190" s="136">
        <f t="shared" si="67"/>
        <v>0.04</v>
      </c>
      <c r="W190" s="136">
        <f t="shared" si="67"/>
        <v>0.04</v>
      </c>
      <c r="X190" s="136">
        <f t="shared" si="67"/>
        <v>0.04</v>
      </c>
      <c r="Y190" s="136">
        <f t="shared" si="67"/>
        <v>0.04</v>
      </c>
      <c r="Z190" s="136">
        <f t="shared" si="67"/>
        <v>0.04</v>
      </c>
      <c r="AA190" s="136">
        <f t="shared" si="67"/>
        <v>0.04</v>
      </c>
      <c r="AB190" s="136">
        <f t="shared" si="67"/>
        <v>0.04</v>
      </c>
      <c r="AC190" s="136">
        <f t="shared" si="67"/>
        <v>0.04</v>
      </c>
      <c r="AD190" s="136">
        <f t="shared" si="67"/>
        <v>0.04</v>
      </c>
      <c r="AE190" s="136">
        <f t="shared" si="67"/>
        <v>0.04</v>
      </c>
      <c r="AF190" s="136">
        <f t="shared" si="67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65"/>
        <v>2.3E-2</v>
      </c>
      <c r="C191" s="53">
        <v>2.3E-2</v>
      </c>
      <c r="D191" s="136">
        <f>C191</f>
        <v>2.3E-2</v>
      </c>
      <c r="E191" s="136">
        <f t="shared" si="66"/>
        <v>2.3E-2</v>
      </c>
      <c r="F191" s="136">
        <f t="shared" si="66"/>
        <v>2.3E-2</v>
      </c>
      <c r="G191" s="136">
        <f t="shared" si="66"/>
        <v>2.3E-2</v>
      </c>
      <c r="H191" s="136">
        <f t="shared" si="66"/>
        <v>2.3E-2</v>
      </c>
      <c r="I191" s="136">
        <f t="shared" si="66"/>
        <v>2.3E-2</v>
      </c>
      <c r="J191" s="136">
        <f t="shared" si="66"/>
        <v>2.3E-2</v>
      </c>
      <c r="K191" s="136">
        <f t="shared" si="66"/>
        <v>2.3E-2</v>
      </c>
      <c r="L191" s="136">
        <f t="shared" si="66"/>
        <v>2.3E-2</v>
      </c>
      <c r="M191" s="136">
        <f t="shared" si="66"/>
        <v>2.3E-2</v>
      </c>
      <c r="N191" s="136">
        <f t="shared" si="66"/>
        <v>2.3E-2</v>
      </c>
      <c r="O191" s="136">
        <f t="shared" si="66"/>
        <v>2.3E-2</v>
      </c>
      <c r="P191" s="136">
        <f t="shared" si="66"/>
        <v>2.3E-2</v>
      </c>
      <c r="Q191" s="136">
        <f t="shared" si="66"/>
        <v>2.3E-2</v>
      </c>
      <c r="R191" s="136">
        <f t="shared" si="66"/>
        <v>2.3E-2</v>
      </c>
      <c r="S191" s="136">
        <f t="shared" si="67"/>
        <v>2.3E-2</v>
      </c>
      <c r="T191" s="136">
        <f t="shared" si="67"/>
        <v>2.3E-2</v>
      </c>
      <c r="U191" s="136">
        <f t="shared" si="67"/>
        <v>2.3E-2</v>
      </c>
      <c r="V191" s="136">
        <f t="shared" si="67"/>
        <v>2.3E-2</v>
      </c>
      <c r="W191" s="136">
        <f t="shared" si="67"/>
        <v>2.3E-2</v>
      </c>
      <c r="X191" s="136">
        <f t="shared" si="67"/>
        <v>2.3E-2</v>
      </c>
      <c r="Y191" s="136">
        <f t="shared" si="67"/>
        <v>2.3E-2</v>
      </c>
      <c r="Z191" s="136">
        <f t="shared" si="67"/>
        <v>2.3E-2</v>
      </c>
      <c r="AA191" s="136">
        <f t="shared" si="67"/>
        <v>2.3E-2</v>
      </c>
      <c r="AB191" s="136">
        <f t="shared" si="67"/>
        <v>2.3E-2</v>
      </c>
      <c r="AC191" s="136">
        <f t="shared" si="67"/>
        <v>2.3E-2</v>
      </c>
      <c r="AD191" s="136">
        <f t="shared" si="67"/>
        <v>2.3E-2</v>
      </c>
      <c r="AE191" s="136">
        <f t="shared" si="67"/>
        <v>2.3E-2</v>
      </c>
      <c r="AF191" s="136">
        <f t="shared" si="67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68">SUM(C102:C191)</f>
        <v>194.70600000000002</v>
      </c>
      <c r="D192" s="141">
        <f t="shared" si="68"/>
        <v>194.70600000000002</v>
      </c>
      <c r="E192" s="141">
        <f t="shared" si="68"/>
        <v>194.70600000000002</v>
      </c>
      <c r="F192" s="141">
        <f t="shared" si="68"/>
        <v>194.70600000000002</v>
      </c>
      <c r="G192" s="141">
        <f t="shared" si="68"/>
        <v>194.70600000000002</v>
      </c>
      <c r="H192" s="141">
        <f t="shared" si="68"/>
        <v>194.70600000000002</v>
      </c>
      <c r="I192" s="141">
        <f t="shared" si="68"/>
        <v>194.70600000000002</v>
      </c>
      <c r="J192" s="141">
        <f t="shared" si="68"/>
        <v>192.10600000000005</v>
      </c>
      <c r="K192" s="141">
        <f t="shared" si="68"/>
        <v>192.10600000000005</v>
      </c>
      <c r="L192" s="141">
        <f t="shared" si="68"/>
        <v>192.10600000000005</v>
      </c>
      <c r="M192" s="141">
        <f t="shared" si="68"/>
        <v>192.10600000000005</v>
      </c>
      <c r="N192" s="141">
        <f t="shared" si="68"/>
        <v>192.10600000000005</v>
      </c>
      <c r="O192" s="141">
        <f t="shared" si="68"/>
        <v>192.10600000000005</v>
      </c>
      <c r="P192" s="141">
        <f t="shared" si="68"/>
        <v>192.10600000000005</v>
      </c>
      <c r="Q192" s="141">
        <f t="shared" si="68"/>
        <v>192.10600000000005</v>
      </c>
      <c r="R192" s="141">
        <f t="shared" si="68"/>
        <v>192.10600000000005</v>
      </c>
      <c r="S192" s="141">
        <f t="shared" si="68"/>
        <v>192.10600000000005</v>
      </c>
      <c r="T192" s="141">
        <f t="shared" si="68"/>
        <v>192.10600000000005</v>
      </c>
      <c r="U192" s="141">
        <f t="shared" si="68"/>
        <v>192.10600000000005</v>
      </c>
      <c r="V192" s="141">
        <f t="shared" si="68"/>
        <v>192.10600000000005</v>
      </c>
      <c r="W192" s="141">
        <f t="shared" si="68"/>
        <v>192.10600000000005</v>
      </c>
      <c r="X192" s="141">
        <f t="shared" si="68"/>
        <v>192.10600000000005</v>
      </c>
      <c r="Y192" s="141">
        <f t="shared" si="68"/>
        <v>192.10600000000005</v>
      </c>
      <c r="Z192" s="141">
        <f t="shared" si="68"/>
        <v>192.10600000000005</v>
      </c>
      <c r="AA192" s="141">
        <f t="shared" si="68"/>
        <v>192.10600000000005</v>
      </c>
      <c r="AB192" s="141">
        <f t="shared" si="68"/>
        <v>192.10600000000005</v>
      </c>
      <c r="AC192" s="141">
        <f t="shared" si="68"/>
        <v>192.10600000000005</v>
      </c>
      <c r="AD192" s="141">
        <f t="shared" si="68"/>
        <v>192.10600000000005</v>
      </c>
      <c r="AE192" s="141">
        <f t="shared" si="68"/>
        <v>192.10600000000005</v>
      </c>
      <c r="AF192" s="141">
        <f t="shared" si="68"/>
        <v>192.10600000000005</v>
      </c>
      <c r="AG192" s="142">
        <f t="shared" si="6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69">AF194</f>
        <v>0.3</v>
      </c>
      <c r="C194" s="143">
        <v>0.3</v>
      </c>
      <c r="D194" s="143">
        <f t="shared" ref="D194:S199" si="70">C194</f>
        <v>0.3</v>
      </c>
      <c r="E194" s="143">
        <f t="shared" si="70"/>
        <v>0.3</v>
      </c>
      <c r="F194" s="143">
        <f t="shared" si="70"/>
        <v>0.3</v>
      </c>
      <c r="G194" s="143">
        <f t="shared" si="70"/>
        <v>0.3</v>
      </c>
      <c r="H194" s="143">
        <f t="shared" si="70"/>
        <v>0.3</v>
      </c>
      <c r="I194" s="143">
        <f t="shared" si="70"/>
        <v>0.3</v>
      </c>
      <c r="J194" s="143">
        <f t="shared" si="70"/>
        <v>0.3</v>
      </c>
      <c r="K194" s="143">
        <f t="shared" si="70"/>
        <v>0.3</v>
      </c>
      <c r="L194" s="143">
        <f t="shared" si="70"/>
        <v>0.3</v>
      </c>
      <c r="M194" s="143">
        <f t="shared" si="70"/>
        <v>0.3</v>
      </c>
      <c r="N194" s="143">
        <f t="shared" si="70"/>
        <v>0.3</v>
      </c>
      <c r="O194" s="143">
        <f t="shared" si="70"/>
        <v>0.3</v>
      </c>
      <c r="P194" s="143">
        <f t="shared" si="70"/>
        <v>0.3</v>
      </c>
      <c r="Q194" s="143">
        <f t="shared" si="70"/>
        <v>0.3</v>
      </c>
      <c r="R194" s="143">
        <f t="shared" si="70"/>
        <v>0.3</v>
      </c>
      <c r="S194" s="143">
        <f t="shared" si="70"/>
        <v>0.3</v>
      </c>
      <c r="T194" s="143">
        <f t="shared" ref="T194:AF199" si="71">S194</f>
        <v>0.3</v>
      </c>
      <c r="U194" s="143">
        <f t="shared" si="71"/>
        <v>0.3</v>
      </c>
      <c r="V194" s="143">
        <f t="shared" si="71"/>
        <v>0.3</v>
      </c>
      <c r="W194" s="143">
        <f t="shared" si="71"/>
        <v>0.3</v>
      </c>
      <c r="X194" s="143">
        <f t="shared" si="71"/>
        <v>0.3</v>
      </c>
      <c r="Y194" s="143">
        <f t="shared" si="71"/>
        <v>0.3</v>
      </c>
      <c r="Z194" s="143">
        <f t="shared" si="71"/>
        <v>0.3</v>
      </c>
      <c r="AA194" s="143">
        <f t="shared" si="71"/>
        <v>0.3</v>
      </c>
      <c r="AB194" s="143">
        <f t="shared" si="71"/>
        <v>0.3</v>
      </c>
      <c r="AC194" s="143">
        <f t="shared" si="71"/>
        <v>0.3</v>
      </c>
      <c r="AD194" s="143">
        <f t="shared" si="71"/>
        <v>0.3</v>
      </c>
      <c r="AE194" s="143">
        <f t="shared" si="71"/>
        <v>0.3</v>
      </c>
      <c r="AF194" s="143">
        <f t="shared" si="71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69"/>
        <v>0.4</v>
      </c>
      <c r="C195" s="136">
        <v>0.4</v>
      </c>
      <c r="D195" s="136">
        <f t="shared" si="70"/>
        <v>0.4</v>
      </c>
      <c r="E195" s="136">
        <f t="shared" si="70"/>
        <v>0.4</v>
      </c>
      <c r="F195" s="136">
        <f t="shared" si="70"/>
        <v>0.4</v>
      </c>
      <c r="G195" s="136">
        <f t="shared" si="70"/>
        <v>0.4</v>
      </c>
      <c r="H195" s="136">
        <f t="shared" si="70"/>
        <v>0.4</v>
      </c>
      <c r="I195" s="136">
        <f t="shared" si="70"/>
        <v>0.4</v>
      </c>
      <c r="J195" s="136">
        <f t="shared" si="70"/>
        <v>0.4</v>
      </c>
      <c r="K195" s="136">
        <f t="shared" si="70"/>
        <v>0.4</v>
      </c>
      <c r="L195" s="136">
        <f t="shared" si="70"/>
        <v>0.4</v>
      </c>
      <c r="M195" s="136">
        <f t="shared" si="70"/>
        <v>0.4</v>
      </c>
      <c r="N195" s="136">
        <f t="shared" si="70"/>
        <v>0.4</v>
      </c>
      <c r="O195" s="136">
        <f t="shared" si="70"/>
        <v>0.4</v>
      </c>
      <c r="P195" s="136">
        <f t="shared" si="70"/>
        <v>0.4</v>
      </c>
      <c r="Q195" s="136">
        <f t="shared" si="70"/>
        <v>0.4</v>
      </c>
      <c r="R195" s="136">
        <f t="shared" si="70"/>
        <v>0.4</v>
      </c>
      <c r="S195" s="136">
        <f t="shared" si="70"/>
        <v>0.4</v>
      </c>
      <c r="T195" s="136">
        <f t="shared" si="71"/>
        <v>0.4</v>
      </c>
      <c r="U195" s="136">
        <f t="shared" si="71"/>
        <v>0.4</v>
      </c>
      <c r="V195" s="136">
        <f t="shared" si="71"/>
        <v>0.4</v>
      </c>
      <c r="W195" s="136">
        <f>V195</f>
        <v>0.4</v>
      </c>
      <c r="X195" s="136">
        <f>W195</f>
        <v>0.4</v>
      </c>
      <c r="Y195" s="136">
        <f t="shared" si="71"/>
        <v>0.4</v>
      </c>
      <c r="Z195" s="136">
        <f t="shared" si="71"/>
        <v>0.4</v>
      </c>
      <c r="AA195" s="136">
        <f t="shared" si="71"/>
        <v>0.4</v>
      </c>
      <c r="AB195" s="136">
        <f t="shared" si="71"/>
        <v>0.4</v>
      </c>
      <c r="AC195" s="136">
        <f t="shared" si="71"/>
        <v>0.4</v>
      </c>
      <c r="AD195" s="136">
        <f t="shared" si="71"/>
        <v>0.4</v>
      </c>
      <c r="AE195" s="136">
        <f t="shared" si="71"/>
        <v>0.4</v>
      </c>
      <c r="AF195" s="136">
        <f t="shared" si="71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69"/>
        <v>1.5</v>
      </c>
      <c r="C196" s="136">
        <v>1.5</v>
      </c>
      <c r="D196" s="136">
        <f t="shared" si="70"/>
        <v>1.5</v>
      </c>
      <c r="E196" s="136">
        <f t="shared" si="70"/>
        <v>1.5</v>
      </c>
      <c r="F196" s="136">
        <f t="shared" si="70"/>
        <v>1.5</v>
      </c>
      <c r="G196" s="136">
        <f t="shared" si="70"/>
        <v>1.5</v>
      </c>
      <c r="H196" s="136">
        <f t="shared" si="70"/>
        <v>1.5</v>
      </c>
      <c r="I196" s="136">
        <f t="shared" si="70"/>
        <v>1.5</v>
      </c>
      <c r="J196" s="136">
        <f t="shared" si="70"/>
        <v>1.5</v>
      </c>
      <c r="K196" s="136">
        <f t="shared" si="70"/>
        <v>1.5</v>
      </c>
      <c r="L196" s="136">
        <f t="shared" si="70"/>
        <v>1.5</v>
      </c>
      <c r="M196" s="136">
        <f t="shared" si="70"/>
        <v>1.5</v>
      </c>
      <c r="N196" s="136">
        <f t="shared" si="70"/>
        <v>1.5</v>
      </c>
      <c r="O196" s="136">
        <f t="shared" si="70"/>
        <v>1.5</v>
      </c>
      <c r="P196" s="136">
        <f t="shared" si="70"/>
        <v>1.5</v>
      </c>
      <c r="Q196" s="136">
        <f t="shared" si="70"/>
        <v>1.5</v>
      </c>
      <c r="R196" s="136">
        <f t="shared" si="70"/>
        <v>1.5</v>
      </c>
      <c r="S196" s="136">
        <f t="shared" si="70"/>
        <v>1.5</v>
      </c>
      <c r="T196" s="136">
        <f t="shared" si="71"/>
        <v>1.5</v>
      </c>
      <c r="U196" s="136">
        <f t="shared" si="71"/>
        <v>1.5</v>
      </c>
      <c r="V196" s="136">
        <f t="shared" si="71"/>
        <v>1.5</v>
      </c>
      <c r="W196" s="136">
        <f t="shared" si="71"/>
        <v>1.5</v>
      </c>
      <c r="X196" s="136">
        <f t="shared" si="71"/>
        <v>1.5</v>
      </c>
      <c r="Y196" s="136">
        <f t="shared" si="71"/>
        <v>1.5</v>
      </c>
      <c r="Z196" s="136">
        <f t="shared" si="71"/>
        <v>1.5</v>
      </c>
      <c r="AA196" s="136">
        <f t="shared" si="71"/>
        <v>1.5</v>
      </c>
      <c r="AB196" s="136">
        <f t="shared" si="71"/>
        <v>1.5</v>
      </c>
      <c r="AC196" s="136">
        <f t="shared" si="71"/>
        <v>1.5</v>
      </c>
      <c r="AD196" s="136">
        <f t="shared" si="71"/>
        <v>1.5</v>
      </c>
      <c r="AE196" s="136">
        <f t="shared" si="71"/>
        <v>1.5</v>
      </c>
      <c r="AF196" s="136">
        <f t="shared" si="71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69"/>
        <v>0.3</v>
      </c>
      <c r="C197" s="136">
        <v>0.3</v>
      </c>
      <c r="D197" s="136">
        <f t="shared" si="70"/>
        <v>0.3</v>
      </c>
      <c r="E197" s="136">
        <f t="shared" si="70"/>
        <v>0.3</v>
      </c>
      <c r="F197" s="136">
        <f t="shared" si="70"/>
        <v>0.3</v>
      </c>
      <c r="G197" s="136">
        <f t="shared" si="70"/>
        <v>0.3</v>
      </c>
      <c r="H197" s="136">
        <f t="shared" si="70"/>
        <v>0.3</v>
      </c>
      <c r="I197" s="136">
        <f t="shared" si="70"/>
        <v>0.3</v>
      </c>
      <c r="J197" s="136">
        <f t="shared" si="70"/>
        <v>0.3</v>
      </c>
      <c r="K197" s="136">
        <f t="shared" si="70"/>
        <v>0.3</v>
      </c>
      <c r="L197" s="136">
        <f t="shared" si="70"/>
        <v>0.3</v>
      </c>
      <c r="M197" s="136">
        <f t="shared" si="70"/>
        <v>0.3</v>
      </c>
      <c r="N197" s="136">
        <f t="shared" si="70"/>
        <v>0.3</v>
      </c>
      <c r="O197" s="136">
        <f t="shared" si="70"/>
        <v>0.3</v>
      </c>
      <c r="P197" s="136">
        <f t="shared" si="70"/>
        <v>0.3</v>
      </c>
      <c r="Q197" s="136">
        <f t="shared" si="70"/>
        <v>0.3</v>
      </c>
      <c r="R197" s="136">
        <f t="shared" si="70"/>
        <v>0.3</v>
      </c>
      <c r="S197" s="136">
        <f t="shared" si="70"/>
        <v>0.3</v>
      </c>
      <c r="T197" s="136">
        <f t="shared" si="71"/>
        <v>0.3</v>
      </c>
      <c r="U197" s="136">
        <f t="shared" si="71"/>
        <v>0.3</v>
      </c>
      <c r="V197" s="136">
        <f t="shared" si="71"/>
        <v>0.3</v>
      </c>
      <c r="W197" s="136">
        <f t="shared" si="71"/>
        <v>0.3</v>
      </c>
      <c r="X197" s="136">
        <f t="shared" si="71"/>
        <v>0.3</v>
      </c>
      <c r="Y197" s="136">
        <f t="shared" si="71"/>
        <v>0.3</v>
      </c>
      <c r="Z197" s="136">
        <f t="shared" si="71"/>
        <v>0.3</v>
      </c>
      <c r="AA197" s="136">
        <f t="shared" si="71"/>
        <v>0.3</v>
      </c>
      <c r="AB197" s="136">
        <f t="shared" si="71"/>
        <v>0.3</v>
      </c>
      <c r="AC197" s="136">
        <f t="shared" si="71"/>
        <v>0.3</v>
      </c>
      <c r="AD197" s="136">
        <f t="shared" si="71"/>
        <v>0.3</v>
      </c>
      <c r="AE197" s="136">
        <f t="shared" si="71"/>
        <v>0.3</v>
      </c>
      <c r="AF197" s="136">
        <f t="shared" si="71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69"/>
        <v>0.4</v>
      </c>
      <c r="C198" s="136">
        <v>0.4</v>
      </c>
      <c r="D198" s="136">
        <f t="shared" si="70"/>
        <v>0.4</v>
      </c>
      <c r="E198" s="136">
        <f t="shared" si="70"/>
        <v>0.4</v>
      </c>
      <c r="F198" s="136">
        <f t="shared" si="70"/>
        <v>0.4</v>
      </c>
      <c r="G198" s="136">
        <f t="shared" si="70"/>
        <v>0.4</v>
      </c>
      <c r="H198" s="136">
        <f t="shared" si="70"/>
        <v>0.4</v>
      </c>
      <c r="I198" s="136">
        <f t="shared" si="70"/>
        <v>0.4</v>
      </c>
      <c r="J198" s="136">
        <f t="shared" si="70"/>
        <v>0.4</v>
      </c>
      <c r="K198" s="136">
        <f t="shared" si="70"/>
        <v>0.4</v>
      </c>
      <c r="L198" s="136">
        <f t="shared" si="70"/>
        <v>0.4</v>
      </c>
      <c r="M198" s="136">
        <f t="shared" si="70"/>
        <v>0.4</v>
      </c>
      <c r="N198" s="136">
        <f t="shared" si="70"/>
        <v>0.4</v>
      </c>
      <c r="O198" s="136">
        <f t="shared" si="70"/>
        <v>0.4</v>
      </c>
      <c r="P198" s="136">
        <f t="shared" si="70"/>
        <v>0.4</v>
      </c>
      <c r="Q198" s="136">
        <f t="shared" si="70"/>
        <v>0.4</v>
      </c>
      <c r="R198" s="136">
        <f t="shared" si="70"/>
        <v>0.4</v>
      </c>
      <c r="S198" s="136">
        <f t="shared" si="70"/>
        <v>0.4</v>
      </c>
      <c r="T198" s="136">
        <f t="shared" si="71"/>
        <v>0.4</v>
      </c>
      <c r="U198" s="136">
        <f t="shared" si="71"/>
        <v>0.4</v>
      </c>
      <c r="V198" s="136">
        <f t="shared" si="71"/>
        <v>0.4</v>
      </c>
      <c r="W198" s="136">
        <f t="shared" si="71"/>
        <v>0.4</v>
      </c>
      <c r="X198" s="136">
        <f t="shared" si="71"/>
        <v>0.4</v>
      </c>
      <c r="Y198" s="136">
        <f t="shared" si="71"/>
        <v>0.4</v>
      </c>
      <c r="Z198" s="136">
        <f t="shared" si="71"/>
        <v>0.4</v>
      </c>
      <c r="AA198" s="136">
        <f t="shared" si="71"/>
        <v>0.4</v>
      </c>
      <c r="AB198" s="136">
        <f t="shared" si="71"/>
        <v>0.4</v>
      </c>
      <c r="AC198" s="136">
        <f t="shared" si="71"/>
        <v>0.4</v>
      </c>
      <c r="AD198" s="136">
        <f t="shared" si="71"/>
        <v>0.4</v>
      </c>
      <c r="AE198" s="136">
        <f t="shared" si="71"/>
        <v>0.4</v>
      </c>
      <c r="AF198" s="136">
        <f t="shared" si="71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69"/>
        <v>0.64</v>
      </c>
      <c r="C199" s="146">
        <v>0.64</v>
      </c>
      <c r="D199" s="146">
        <f t="shared" si="70"/>
        <v>0.64</v>
      </c>
      <c r="E199" s="146">
        <f t="shared" si="70"/>
        <v>0.64</v>
      </c>
      <c r="F199" s="146">
        <f t="shared" si="70"/>
        <v>0.64</v>
      </c>
      <c r="G199" s="146">
        <f t="shared" si="70"/>
        <v>0.64</v>
      </c>
      <c r="H199" s="146">
        <f t="shared" si="70"/>
        <v>0.64</v>
      </c>
      <c r="I199" s="146">
        <f t="shared" si="70"/>
        <v>0.64</v>
      </c>
      <c r="J199" s="146">
        <f t="shared" si="70"/>
        <v>0.64</v>
      </c>
      <c r="K199" s="146">
        <f t="shared" si="70"/>
        <v>0.64</v>
      </c>
      <c r="L199" s="146">
        <f t="shared" si="70"/>
        <v>0.64</v>
      </c>
      <c r="M199" s="146">
        <f t="shared" si="70"/>
        <v>0.64</v>
      </c>
      <c r="N199" s="146">
        <f t="shared" si="70"/>
        <v>0.64</v>
      </c>
      <c r="O199" s="146">
        <f t="shared" si="70"/>
        <v>0.64</v>
      </c>
      <c r="P199" s="146">
        <f t="shared" si="70"/>
        <v>0.64</v>
      </c>
      <c r="Q199" s="146">
        <f t="shared" si="70"/>
        <v>0.64</v>
      </c>
      <c r="R199" s="146">
        <f t="shared" si="70"/>
        <v>0.64</v>
      </c>
      <c r="S199" s="146">
        <f t="shared" si="70"/>
        <v>0.64</v>
      </c>
      <c r="T199" s="146">
        <f t="shared" si="71"/>
        <v>0.64</v>
      </c>
      <c r="U199" s="146">
        <f t="shared" si="71"/>
        <v>0.64</v>
      </c>
      <c r="V199" s="146">
        <f t="shared" si="71"/>
        <v>0.64</v>
      </c>
      <c r="W199" s="146">
        <f t="shared" si="71"/>
        <v>0.64</v>
      </c>
      <c r="X199" s="146">
        <f t="shared" si="71"/>
        <v>0.64</v>
      </c>
      <c r="Y199" s="146">
        <f t="shared" si="71"/>
        <v>0.64</v>
      </c>
      <c r="Z199" s="146">
        <f t="shared" si="71"/>
        <v>0.64</v>
      </c>
      <c r="AA199" s="146">
        <f t="shared" si="71"/>
        <v>0.64</v>
      </c>
      <c r="AB199" s="146">
        <f t="shared" si="71"/>
        <v>0.64</v>
      </c>
      <c r="AC199" s="146">
        <f t="shared" si="71"/>
        <v>0.64</v>
      </c>
      <c r="AD199" s="146">
        <f t="shared" si="71"/>
        <v>0.64</v>
      </c>
      <c r="AE199" s="146">
        <f t="shared" si="71"/>
        <v>0.64</v>
      </c>
      <c r="AF199" s="146">
        <f t="shared" si="71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72">SUM(D194:D199)</f>
        <v>3.54</v>
      </c>
      <c r="E200" s="149">
        <f t="shared" si="72"/>
        <v>3.54</v>
      </c>
      <c r="F200" s="149">
        <f t="shared" si="72"/>
        <v>3.54</v>
      </c>
      <c r="G200" s="149">
        <f t="shared" si="72"/>
        <v>3.54</v>
      </c>
      <c r="H200" s="149">
        <f t="shared" si="72"/>
        <v>3.54</v>
      </c>
      <c r="I200" s="149">
        <f t="shared" si="72"/>
        <v>3.54</v>
      </c>
      <c r="J200" s="149">
        <f t="shared" si="72"/>
        <v>3.54</v>
      </c>
      <c r="K200" s="149">
        <f t="shared" si="72"/>
        <v>3.54</v>
      </c>
      <c r="L200" s="149">
        <f t="shared" si="72"/>
        <v>3.54</v>
      </c>
      <c r="M200" s="149">
        <f>SUM(M194:M199)</f>
        <v>3.54</v>
      </c>
      <c r="N200" s="149">
        <f t="shared" ref="N200:S200" si="73">SUM(N194:N199)</f>
        <v>3.54</v>
      </c>
      <c r="O200" s="149">
        <f t="shared" si="73"/>
        <v>3.54</v>
      </c>
      <c r="P200" s="149">
        <f t="shared" si="73"/>
        <v>3.54</v>
      </c>
      <c r="Q200" s="149">
        <f t="shared" si="73"/>
        <v>3.54</v>
      </c>
      <c r="R200" s="149">
        <f t="shared" si="73"/>
        <v>3.54</v>
      </c>
      <c r="S200" s="149">
        <f t="shared" si="73"/>
        <v>3.54</v>
      </c>
      <c r="T200" s="149">
        <f>SUM(T194:T199)</f>
        <v>3.54</v>
      </c>
      <c r="U200" s="149">
        <f t="shared" ref="U200:AG200" si="74">SUM(U194:U199)</f>
        <v>3.54</v>
      </c>
      <c r="V200" s="149">
        <f t="shared" si="74"/>
        <v>3.54</v>
      </c>
      <c r="W200" s="149">
        <f t="shared" si="74"/>
        <v>3.54</v>
      </c>
      <c r="X200" s="149">
        <f t="shared" si="74"/>
        <v>3.54</v>
      </c>
      <c r="Y200" s="149">
        <f t="shared" si="74"/>
        <v>3.54</v>
      </c>
      <c r="Z200" s="149">
        <f t="shared" si="74"/>
        <v>3.54</v>
      </c>
      <c r="AA200" s="149">
        <f t="shared" si="74"/>
        <v>3.54</v>
      </c>
      <c r="AB200" s="149">
        <f t="shared" si="74"/>
        <v>3.54</v>
      </c>
      <c r="AC200" s="149">
        <f t="shared" si="74"/>
        <v>3.54</v>
      </c>
      <c r="AD200" s="149">
        <f t="shared" si="74"/>
        <v>3.54</v>
      </c>
      <c r="AE200" s="149">
        <f t="shared" si="74"/>
        <v>3.54</v>
      </c>
      <c r="AF200" s="149">
        <f t="shared" si="74"/>
        <v>3.54</v>
      </c>
      <c r="AG200" s="150">
        <f t="shared" si="7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1445.94</v>
      </c>
      <c r="C209" s="164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2078/11/26)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75">B75</f>
        <v>973.44</v>
      </c>
      <c r="U214" s="174">
        <f t="shared" si="75"/>
        <v>970.54</v>
      </c>
      <c r="V214" s="174">
        <f t="shared" si="75"/>
        <v>984.64</v>
      </c>
      <c r="W214" s="174">
        <f t="shared" si="75"/>
        <v>982.84</v>
      </c>
      <c r="X214" s="174">
        <f t="shared" si="75"/>
        <v>975.94</v>
      </c>
      <c r="Y214" s="174">
        <f t="shared" si="75"/>
        <v>962.93999999999994</v>
      </c>
      <c r="Z214" s="174">
        <f t="shared" si="75"/>
        <v>1063.04</v>
      </c>
      <c r="AA214" s="174">
        <f t="shared" si="75"/>
        <v>1157.3400000000001</v>
      </c>
      <c r="AB214" s="174">
        <f t="shared" si="75"/>
        <v>1241.6400000000001</v>
      </c>
      <c r="AC214" s="174">
        <f t="shared" si="75"/>
        <v>1404.04</v>
      </c>
      <c r="AD214" s="174">
        <f t="shared" si="75"/>
        <v>1445.94</v>
      </c>
      <c r="AE214" s="174">
        <f t="shared" si="75"/>
        <v>1359.94</v>
      </c>
      <c r="AF214" s="174">
        <f t="shared" si="75"/>
        <v>1339.44</v>
      </c>
      <c r="AG214" s="174">
        <f t="shared" si="75"/>
        <v>1301.44</v>
      </c>
      <c r="AH214" s="174">
        <f t="shared" si="75"/>
        <v>1277.74</v>
      </c>
      <c r="AI214" s="174">
        <f t="shared" si="75"/>
        <v>1331.9399999999998</v>
      </c>
      <c r="AJ214" s="174">
        <f t="shared" si="75"/>
        <v>1235.3400000000001</v>
      </c>
      <c r="AK214" s="174">
        <f t="shared" si="75"/>
        <v>1238.24</v>
      </c>
      <c r="AL214" s="174">
        <f t="shared" si="75"/>
        <v>1252.74</v>
      </c>
      <c r="AM214" s="174">
        <f t="shared" si="75"/>
        <v>1314.54</v>
      </c>
      <c r="AN214" s="174">
        <f t="shared" si="75"/>
        <v>1177.04</v>
      </c>
      <c r="AO214" s="174">
        <f t="shared" si="75"/>
        <v>1243.7400000000002</v>
      </c>
      <c r="AP214" s="174">
        <f t="shared" si="75"/>
        <v>1316.8400000000001</v>
      </c>
      <c r="AQ214" s="174">
        <f t="shared" si="75"/>
        <v>1516.94</v>
      </c>
      <c r="AR214" s="174">
        <f t="shared" si="75"/>
        <v>1533.0400000000002</v>
      </c>
      <c r="AS214" s="174">
        <f t="shared" si="75"/>
        <v>1436.94</v>
      </c>
      <c r="AT214" s="174">
        <f t="shared" si="75"/>
        <v>1329.14</v>
      </c>
      <c r="AU214" s="174">
        <f t="shared" si="75"/>
        <v>1273.94</v>
      </c>
      <c r="AV214" s="174">
        <f t="shared" si="75"/>
        <v>1237.8400000000001</v>
      </c>
      <c r="AW214" s="174">
        <f t="shared" si="75"/>
        <v>1085.94</v>
      </c>
      <c r="AX214" s="174">
        <f t="shared" si="75"/>
        <v>1012.3399999999999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76">C199</f>
        <v>0.64</v>
      </c>
      <c r="C235" s="177">
        <f t="shared" si="76"/>
        <v>0.64</v>
      </c>
      <c r="D235" s="177">
        <f t="shared" si="76"/>
        <v>0.64</v>
      </c>
      <c r="E235" s="177">
        <f t="shared" si="76"/>
        <v>0.64</v>
      </c>
      <c r="F235" s="177">
        <f t="shared" si="76"/>
        <v>0.64</v>
      </c>
      <c r="G235" s="177">
        <f t="shared" si="76"/>
        <v>0.64</v>
      </c>
      <c r="H235" s="177">
        <f t="shared" si="76"/>
        <v>0.64</v>
      </c>
      <c r="I235" s="177">
        <f t="shared" si="76"/>
        <v>0.64</v>
      </c>
      <c r="J235" s="177">
        <f t="shared" si="76"/>
        <v>0.64</v>
      </c>
      <c r="K235" s="177">
        <f t="shared" si="76"/>
        <v>0.64</v>
      </c>
      <c r="L235" s="177">
        <f t="shared" si="76"/>
        <v>0.64</v>
      </c>
      <c r="M235" s="177">
        <f t="shared" si="76"/>
        <v>0.64</v>
      </c>
      <c r="N235" s="177">
        <f t="shared" si="76"/>
        <v>0.64</v>
      </c>
      <c r="O235" s="177">
        <f t="shared" si="76"/>
        <v>0.64</v>
      </c>
      <c r="P235" s="177">
        <f t="shared" si="76"/>
        <v>0.64</v>
      </c>
      <c r="Q235" s="177">
        <f t="shared" si="76"/>
        <v>0.64</v>
      </c>
      <c r="R235" s="177">
        <f t="shared" si="76"/>
        <v>0.64</v>
      </c>
      <c r="S235" s="177">
        <f t="shared" si="76"/>
        <v>0.64</v>
      </c>
      <c r="T235" s="177">
        <f t="shared" si="76"/>
        <v>0.64</v>
      </c>
      <c r="U235" s="177">
        <f t="shared" si="76"/>
        <v>0.64</v>
      </c>
      <c r="V235" s="177">
        <f t="shared" si="76"/>
        <v>0.64</v>
      </c>
      <c r="W235" s="177">
        <f t="shared" si="76"/>
        <v>0.64</v>
      </c>
      <c r="X235" s="177">
        <f t="shared" si="76"/>
        <v>0.64</v>
      </c>
      <c r="Y235" s="177">
        <f t="shared" si="76"/>
        <v>0.64</v>
      </c>
      <c r="Z235" s="177">
        <f t="shared" si="76"/>
        <v>0.64</v>
      </c>
      <c r="AA235" s="177">
        <f t="shared" si="76"/>
        <v>0.64</v>
      </c>
      <c r="AB235" s="177">
        <f t="shared" si="76"/>
        <v>0.64</v>
      </c>
      <c r="AC235" s="177">
        <f t="shared" si="76"/>
        <v>0.64</v>
      </c>
      <c r="AD235" s="177">
        <f t="shared" si="76"/>
        <v>0.64</v>
      </c>
      <c r="AE235" s="177">
        <f t="shared" si="76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77">IF(C203&lt;100,"",C203-520)</f>
        <v/>
      </c>
      <c r="D236" s="120" t="str">
        <f t="shared" si="77"/>
        <v/>
      </c>
      <c r="E236" s="120" t="str">
        <f t="shared" si="77"/>
        <v/>
      </c>
      <c r="F236" s="120" t="str">
        <f t="shared" si="77"/>
        <v/>
      </c>
      <c r="G236" s="120" t="str">
        <f t="shared" si="77"/>
        <v/>
      </c>
      <c r="H236" s="120" t="str">
        <f t="shared" si="77"/>
        <v/>
      </c>
      <c r="I236" s="120" t="str">
        <f t="shared" si="77"/>
        <v/>
      </c>
      <c r="J236" s="120" t="str">
        <f t="shared" si="77"/>
        <v/>
      </c>
      <c r="K236" s="120" t="str">
        <f t="shared" si="77"/>
        <v/>
      </c>
      <c r="L236" s="120" t="str">
        <f t="shared" si="77"/>
        <v/>
      </c>
      <c r="M236" s="120" t="str">
        <f t="shared" si="77"/>
        <v/>
      </c>
      <c r="N236" s="120" t="str">
        <f t="shared" si="77"/>
        <v/>
      </c>
      <c r="O236" s="120" t="str">
        <f t="shared" si="77"/>
        <v/>
      </c>
      <c r="P236" s="120" t="str">
        <f t="shared" si="77"/>
        <v/>
      </c>
      <c r="Q236" s="120" t="str">
        <f t="shared" si="77"/>
        <v/>
      </c>
      <c r="R236" s="120" t="str">
        <f t="shared" si="77"/>
        <v/>
      </c>
      <c r="S236" s="120" t="str">
        <f t="shared" si="77"/>
        <v/>
      </c>
      <c r="T236" s="120" t="str">
        <f t="shared" si="77"/>
        <v/>
      </c>
      <c r="U236" s="120" t="str">
        <f t="shared" si="77"/>
        <v/>
      </c>
      <c r="V236" s="120" t="str">
        <f t="shared" si="77"/>
        <v/>
      </c>
      <c r="W236" s="120" t="str">
        <f t="shared" si="77"/>
        <v/>
      </c>
      <c r="X236" s="120" t="str">
        <f t="shared" si="77"/>
        <v/>
      </c>
      <c r="Y236" s="120" t="str">
        <f t="shared" si="77"/>
        <v/>
      </c>
      <c r="Z236" s="120" t="str">
        <f t="shared" si="77"/>
        <v/>
      </c>
      <c r="AA236" s="120" t="str">
        <f t="shared" si="77"/>
        <v/>
      </c>
      <c r="AB236" s="120" t="str">
        <f t="shared" si="77"/>
        <v/>
      </c>
      <c r="AC236" s="120" t="str">
        <f t="shared" si="77"/>
        <v/>
      </c>
      <c r="AD236" s="120" t="str">
        <f t="shared" si="77"/>
        <v/>
      </c>
      <c r="AE236" s="120" t="str">
        <f t="shared" si="77"/>
        <v/>
      </c>
      <c r="AF236" s="120" t="str">
        <f t="shared" si="77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78">IF(B204&lt;100,"",B204-620)</f>
        <v/>
      </c>
      <c r="C237" s="120" t="str">
        <f t="shared" si="78"/>
        <v/>
      </c>
      <c r="D237" s="120" t="str">
        <f t="shared" si="78"/>
        <v/>
      </c>
      <c r="E237" s="120" t="str">
        <f t="shared" si="78"/>
        <v/>
      </c>
      <c r="F237" s="120" t="str">
        <f t="shared" si="78"/>
        <v/>
      </c>
      <c r="G237" s="120" t="str">
        <f t="shared" si="78"/>
        <v/>
      </c>
      <c r="H237" s="120" t="str">
        <f t="shared" si="78"/>
        <v/>
      </c>
      <c r="I237" s="120" t="str">
        <f t="shared" si="78"/>
        <v/>
      </c>
      <c r="J237" s="120" t="str">
        <f t="shared" si="78"/>
        <v/>
      </c>
      <c r="K237" s="120" t="str">
        <f t="shared" si="78"/>
        <v/>
      </c>
      <c r="L237" s="120" t="str">
        <f t="shared" si="78"/>
        <v/>
      </c>
      <c r="M237" s="120" t="str">
        <f t="shared" si="78"/>
        <v/>
      </c>
      <c r="N237" s="120" t="str">
        <f t="shared" si="78"/>
        <v/>
      </c>
      <c r="O237" s="120" t="str">
        <f t="shared" si="78"/>
        <v/>
      </c>
      <c r="P237" s="120" t="str">
        <f t="shared" si="78"/>
        <v/>
      </c>
      <c r="Q237" s="120" t="str">
        <f t="shared" si="78"/>
        <v/>
      </c>
      <c r="R237" s="120" t="str">
        <f t="shared" si="78"/>
        <v/>
      </c>
      <c r="S237" s="120" t="str">
        <f t="shared" si="78"/>
        <v/>
      </c>
      <c r="T237" s="120" t="str">
        <f t="shared" si="78"/>
        <v/>
      </c>
      <c r="U237" s="120" t="str">
        <f t="shared" si="78"/>
        <v/>
      </c>
      <c r="V237" s="120" t="str">
        <f t="shared" si="78"/>
        <v/>
      </c>
      <c r="W237" s="120" t="str">
        <f t="shared" si="78"/>
        <v/>
      </c>
      <c r="X237" s="120" t="str">
        <f t="shared" si="78"/>
        <v/>
      </c>
      <c r="Y237" s="120" t="str">
        <f t="shared" si="78"/>
        <v/>
      </c>
      <c r="Z237" s="120" t="str">
        <f t="shared" si="78"/>
        <v/>
      </c>
      <c r="AA237" s="120" t="str">
        <f t="shared" si="78"/>
        <v/>
      </c>
      <c r="AB237" s="120" t="str">
        <f t="shared" si="78"/>
        <v/>
      </c>
      <c r="AC237" s="120" t="str">
        <f t="shared" si="78"/>
        <v/>
      </c>
      <c r="AD237" s="120" t="str">
        <f t="shared" si="78"/>
        <v/>
      </c>
      <c r="AE237" s="120" t="str">
        <f t="shared" si="78"/>
        <v/>
      </c>
      <c r="AF237" s="120" t="str">
        <f t="shared" si="78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79">IF(B205&lt;100,"",B205-330)</f>
        <v/>
      </c>
      <c r="C238" s="120" t="str">
        <f t="shared" si="79"/>
        <v/>
      </c>
      <c r="D238" s="120" t="str">
        <f t="shared" si="79"/>
        <v/>
      </c>
      <c r="E238" s="120" t="str">
        <f t="shared" si="79"/>
        <v/>
      </c>
      <c r="F238" s="120" t="str">
        <f t="shared" si="79"/>
        <v/>
      </c>
      <c r="G238" s="120" t="str">
        <f t="shared" si="79"/>
        <v/>
      </c>
      <c r="H238" s="120" t="str">
        <f t="shared" si="79"/>
        <v/>
      </c>
      <c r="I238" s="120" t="str">
        <f t="shared" si="79"/>
        <v/>
      </c>
      <c r="J238" s="120" t="str">
        <f t="shared" si="79"/>
        <v/>
      </c>
      <c r="K238" s="120" t="str">
        <f t="shared" si="79"/>
        <v/>
      </c>
      <c r="L238" s="120" t="str">
        <f t="shared" si="79"/>
        <v/>
      </c>
      <c r="M238" s="120" t="str">
        <f t="shared" si="79"/>
        <v/>
      </c>
      <c r="N238" s="120" t="str">
        <f t="shared" si="79"/>
        <v/>
      </c>
      <c r="O238" s="120" t="str">
        <f t="shared" si="79"/>
        <v/>
      </c>
      <c r="P238" s="120" t="str">
        <f t="shared" si="79"/>
        <v/>
      </c>
      <c r="Q238" s="120" t="str">
        <f t="shared" si="79"/>
        <v/>
      </c>
      <c r="R238" s="120" t="str">
        <f t="shared" si="79"/>
        <v/>
      </c>
      <c r="S238" s="120" t="str">
        <f t="shared" si="79"/>
        <v/>
      </c>
      <c r="T238" s="120" t="str">
        <f t="shared" si="79"/>
        <v/>
      </c>
      <c r="U238" s="120" t="str">
        <f t="shared" si="79"/>
        <v/>
      </c>
      <c r="V238" s="120" t="str">
        <f t="shared" si="79"/>
        <v/>
      </c>
      <c r="W238" s="120" t="str">
        <f t="shared" si="79"/>
        <v/>
      </c>
      <c r="X238" s="120" t="str">
        <f t="shared" si="79"/>
        <v/>
      </c>
      <c r="Y238" s="120" t="str">
        <f t="shared" si="79"/>
        <v/>
      </c>
      <c r="Z238" s="120" t="str">
        <f t="shared" si="79"/>
        <v/>
      </c>
      <c r="AA238" s="120" t="str">
        <f t="shared" si="79"/>
        <v/>
      </c>
      <c r="AB238" s="120" t="str">
        <f t="shared" si="79"/>
        <v/>
      </c>
      <c r="AC238" s="120" t="str">
        <f t="shared" si="79"/>
        <v/>
      </c>
      <c r="AD238" s="120" t="str">
        <f t="shared" si="79"/>
        <v/>
      </c>
      <c r="AE238" s="120" t="str">
        <f t="shared" si="79"/>
        <v/>
      </c>
      <c r="AF238" s="120" t="str">
        <f t="shared" si="79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80">IF(C206&lt;100,"",C206-1500)</f>
        <v/>
      </c>
      <c r="D239" s="120" t="str">
        <f t="shared" si="80"/>
        <v/>
      </c>
      <c r="E239" s="120" t="str">
        <f t="shared" si="80"/>
        <v/>
      </c>
      <c r="F239" s="120" t="str">
        <f t="shared" si="80"/>
        <v/>
      </c>
      <c r="G239" s="120" t="str">
        <f t="shared" si="80"/>
        <v/>
      </c>
      <c r="H239" s="120" t="str">
        <f t="shared" si="80"/>
        <v/>
      </c>
      <c r="I239" s="120" t="str">
        <f t="shared" si="80"/>
        <v/>
      </c>
      <c r="J239" s="120" t="str">
        <f t="shared" si="80"/>
        <v/>
      </c>
      <c r="K239" s="120" t="str">
        <f t="shared" si="80"/>
        <v/>
      </c>
      <c r="L239" s="120" t="str">
        <f t="shared" si="80"/>
        <v/>
      </c>
      <c r="M239" s="120" t="str">
        <f t="shared" si="80"/>
        <v/>
      </c>
      <c r="N239" s="120" t="str">
        <f t="shared" si="80"/>
        <v/>
      </c>
      <c r="O239" s="120" t="str">
        <f t="shared" si="80"/>
        <v/>
      </c>
      <c r="P239" s="120" t="str">
        <f t="shared" si="80"/>
        <v/>
      </c>
      <c r="Q239" s="120" t="str">
        <f t="shared" si="80"/>
        <v/>
      </c>
      <c r="R239" s="120" t="str">
        <f t="shared" si="80"/>
        <v/>
      </c>
      <c r="S239" s="120" t="str">
        <f t="shared" si="80"/>
        <v/>
      </c>
      <c r="T239" s="120" t="str">
        <f t="shared" si="80"/>
        <v/>
      </c>
      <c r="U239" s="120" t="str">
        <f t="shared" si="80"/>
        <v/>
      </c>
      <c r="V239" s="120" t="str">
        <f t="shared" si="80"/>
        <v/>
      </c>
      <c r="W239" s="120" t="str">
        <f t="shared" si="80"/>
        <v/>
      </c>
      <c r="X239" s="120" t="str">
        <f t="shared" si="80"/>
        <v/>
      </c>
      <c r="Y239" s="120" t="str">
        <f t="shared" si="80"/>
        <v/>
      </c>
      <c r="Z239" s="120" t="str">
        <f t="shared" si="80"/>
        <v/>
      </c>
      <c r="AA239" s="120" t="str">
        <f t="shared" si="80"/>
        <v/>
      </c>
      <c r="AB239" s="120" t="str">
        <f t="shared" si="80"/>
        <v/>
      </c>
      <c r="AC239" s="120" t="str">
        <f t="shared" si="80"/>
        <v/>
      </c>
      <c r="AD239" s="120" t="str">
        <f t="shared" si="80"/>
        <v/>
      </c>
      <c r="AE239" s="120" t="str">
        <f t="shared" si="80"/>
        <v/>
      </c>
      <c r="AF239" s="120" t="str">
        <f t="shared" si="8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7">
      <iconSet iconSet="3TrafficLights2" reverse="1">
        <cfvo type="percent" val="0"/>
        <cfvo type="num" val="1"/>
        <cfvo type="num" val="1"/>
      </iconSet>
    </cfRule>
  </conditionalFormatting>
  <conditionalFormatting sqref="E57:L59 N62:N67 F60:O60 P39:R39 M39:O42 O61:O67 P40:Q42 R42 Y85:AA91 AB81:AF81 C81:R81 C56:AF56 C82:AF83 D194:AF200 B194:B200 B9:M10 B192:AF192 AF57:AF61 AG73 AB94:AF100 U213:AF213 C68:AF80 C57:D61 C84:D91 C94:D100 E60:E61 F61:N61 O9:AF10 M11:T11 M37:Y37 P60:R67 S12:T14 M58:W59 R40:V41 S16:Y32 W40:Y42 N45:Y45 AB84:AF91 Z40:AE43 Z16:AF31 U11:AF14 S36:AF36 M53:AF55 S65:AF67">
    <cfRule type="expression" dxfId="1819" priority="353">
      <formula>B$9&gt;=20/24</formula>
    </cfRule>
    <cfRule type="expression" dxfId="1818" priority="354">
      <formula>AND(B$9&gt;=14/24,B$9&lt;20/24)</formula>
    </cfRule>
    <cfRule type="expression" dxfId="1817" priority="355">
      <formula>AND(B$9&gt;=8/24,B$9&lt;14/24)</formula>
    </cfRule>
    <cfRule type="expression" dxfId="1816" priority="356">
      <formula>B$9&lt;8/24</formula>
    </cfRule>
  </conditionalFormatting>
  <conditionalFormatting sqref="AL4:AL6">
    <cfRule type="iconSet" priority="352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815" priority="348">
      <formula>M$9&gt;=20/24</formula>
    </cfRule>
    <cfRule type="expression" dxfId="1814" priority="349">
      <formula>AND(M$9&gt;=14/24,M$9&lt;20/24)</formula>
    </cfRule>
    <cfRule type="expression" dxfId="1813" priority="350">
      <formula>AND(M$9&gt;=8/24,M$9&lt;14/24)</formula>
    </cfRule>
    <cfRule type="expression" dxfId="1812" priority="351">
      <formula>M$9&lt;8/24</formula>
    </cfRule>
  </conditionalFormatting>
  <conditionalFormatting sqref="M43:R43">
    <cfRule type="expression" dxfId="1811" priority="344">
      <formula>M$9&gt;=20/24</formula>
    </cfRule>
    <cfRule type="expression" dxfId="1810" priority="345">
      <formula>AND(M$9&gt;=14/24,M$9&lt;20/24)</formula>
    </cfRule>
    <cfRule type="expression" dxfId="1809" priority="346">
      <formula>AND(M$9&gt;=8/24,M$9&lt;14/24)</formula>
    </cfRule>
    <cfRule type="expression" dxfId="1808" priority="347">
      <formula>M$9&lt;8/24</formula>
    </cfRule>
  </conditionalFormatting>
  <conditionalFormatting sqref="Z32:AF32">
    <cfRule type="expression" dxfId="1807" priority="340">
      <formula>Z$9&gt;=20/24</formula>
    </cfRule>
    <cfRule type="expression" dxfId="1806" priority="341">
      <formula>AND(Z$9&gt;=14/24,Z$9&lt;20/24)</formula>
    </cfRule>
    <cfRule type="expression" dxfId="1805" priority="342">
      <formula>AND(Z$9&gt;=8/24,Z$9&lt;14/24)</formula>
    </cfRule>
    <cfRule type="expression" dxfId="1804" priority="343">
      <formula>Z$9&lt;8/24</formula>
    </cfRule>
  </conditionalFormatting>
  <conditionalFormatting sqref="S39:AE39">
    <cfRule type="expression" dxfId="1803" priority="336">
      <formula>S$9&gt;=20/24</formula>
    </cfRule>
    <cfRule type="expression" dxfId="1802" priority="337">
      <formula>AND(S$9&gt;=14/24,S$9&lt;20/24)</formula>
    </cfRule>
    <cfRule type="expression" dxfId="1801" priority="338">
      <formula>AND(S$9&gt;=8/24,S$9&lt;14/24)</formula>
    </cfRule>
    <cfRule type="expression" dxfId="1800" priority="339">
      <formula>S$9&lt;8/24</formula>
    </cfRule>
  </conditionalFormatting>
  <conditionalFormatting sqref="S57:AE57">
    <cfRule type="expression" dxfId="1799" priority="332">
      <formula>S$9&gt;=20/24</formula>
    </cfRule>
    <cfRule type="expression" dxfId="1798" priority="333">
      <formula>AND(S$9&gt;=14/24,S$9&lt;20/24)</formula>
    </cfRule>
    <cfRule type="expression" dxfId="1797" priority="334">
      <formula>AND(S$9&gt;=8/24,S$9&lt;14/24)</formula>
    </cfRule>
    <cfRule type="expression" dxfId="1796" priority="335">
      <formula>S$9&lt;8/24</formula>
    </cfRule>
  </conditionalFormatting>
  <conditionalFormatting sqref="S81:AA81">
    <cfRule type="expression" dxfId="1795" priority="328">
      <formula>S$9&gt;=20/24</formula>
    </cfRule>
    <cfRule type="expression" dxfId="1794" priority="329">
      <formula>AND(S$9&gt;=14/24,S$9&lt;20/24)</formula>
    </cfRule>
    <cfRule type="expression" dxfId="1793" priority="330">
      <formula>AND(S$9&gt;=8/24,S$9&lt;14/24)</formula>
    </cfRule>
    <cfRule type="expression" dxfId="1792" priority="331">
      <formula>S$9&lt;8/24</formula>
    </cfRule>
  </conditionalFormatting>
  <conditionalFormatting sqref="U84:AA84">
    <cfRule type="expression" dxfId="1791" priority="324">
      <formula>U$9&gt;=20/24</formula>
    </cfRule>
    <cfRule type="expression" dxfId="1790" priority="325">
      <formula>AND(U$9&gt;=14/24,U$9&lt;20/24)</formula>
    </cfRule>
    <cfRule type="expression" dxfId="1789" priority="326">
      <formula>AND(U$9&gt;=8/24,U$9&lt;14/24)</formula>
    </cfRule>
    <cfRule type="expression" dxfId="1788" priority="327">
      <formula>U$9&lt;8/24</formula>
    </cfRule>
  </conditionalFormatting>
  <conditionalFormatting sqref="S35:Y35">
    <cfRule type="expression" dxfId="1787" priority="320">
      <formula>S$9&gt;=20/24</formula>
    </cfRule>
    <cfRule type="expression" dxfId="1786" priority="321">
      <formula>AND(S$9&gt;=14/24,S$9&lt;20/24)</formula>
    </cfRule>
    <cfRule type="expression" dxfId="1785" priority="322">
      <formula>AND(S$9&gt;=8/24,S$9&lt;14/24)</formula>
    </cfRule>
    <cfRule type="expression" dxfId="1784" priority="323">
      <formula>S$9&lt;8/24</formula>
    </cfRule>
  </conditionalFormatting>
  <conditionalFormatting sqref="N45:Y45">
    <cfRule type="expression" dxfId="1783" priority="308">
      <formula>N$9&gt;=20/24</formula>
    </cfRule>
    <cfRule type="expression" dxfId="1782" priority="309">
      <formula>AND(N$9&gt;=14/24,N$9&lt;20/24)</formula>
    </cfRule>
    <cfRule type="expression" dxfId="1781" priority="310">
      <formula>AND(N$9&gt;=8/24,N$9&lt;14/24)</formula>
    </cfRule>
    <cfRule type="expression" dxfId="1780" priority="311">
      <formula>N$9&lt;8/24</formula>
    </cfRule>
  </conditionalFormatting>
  <conditionalFormatting sqref="Z37:AF37">
    <cfRule type="expression" dxfId="1779" priority="304">
      <formula>Z$9&gt;=20/24</formula>
    </cfRule>
    <cfRule type="expression" dxfId="1778" priority="305">
      <formula>AND(Z$9&gt;=14/24,Z$9&lt;20/24)</formula>
    </cfRule>
    <cfRule type="expression" dxfId="1777" priority="306">
      <formula>AND(Z$9&gt;=8/24,Z$9&lt;14/24)</formula>
    </cfRule>
    <cfRule type="expression" dxfId="1776" priority="307">
      <formula>Z$9&lt;8/24</formula>
    </cfRule>
  </conditionalFormatting>
  <conditionalFormatting sqref="Z35:AF35">
    <cfRule type="expression" dxfId="1775" priority="300">
      <formula>Z$9&gt;=20/24</formula>
    </cfRule>
    <cfRule type="expression" dxfId="1774" priority="301">
      <formula>AND(Z$9&gt;=14/24,Z$9&lt;20/24)</formula>
    </cfRule>
    <cfRule type="expression" dxfId="1773" priority="302">
      <formula>AND(Z$9&gt;=8/24,Z$9&lt;14/24)</formula>
    </cfRule>
    <cfRule type="expression" dxfId="1772" priority="303">
      <formula>Z$9&lt;8/24</formula>
    </cfRule>
  </conditionalFormatting>
  <conditionalFormatting sqref="S42:V43 W43:Y43 Z45:AF48">
    <cfRule type="expression" dxfId="1771" priority="296">
      <formula>S$9&gt;=20/24</formula>
    </cfRule>
    <cfRule type="expression" dxfId="1770" priority="297">
      <formula>AND(S$9&gt;=14/24,S$9&lt;20/24)</formula>
    </cfRule>
    <cfRule type="expression" dxfId="1769" priority="298">
      <formula>AND(S$9&gt;=8/24,S$9&lt;14/24)</formula>
    </cfRule>
    <cfRule type="expression" dxfId="1768" priority="299">
      <formula>S$9&lt;8/24</formula>
    </cfRule>
  </conditionalFormatting>
  <conditionalFormatting sqref="Z49:AF49">
    <cfRule type="expression" dxfId="1767" priority="292">
      <formula>Z$9&gt;=20/24</formula>
    </cfRule>
    <cfRule type="expression" dxfId="1766" priority="293">
      <formula>AND(Z$9&gt;=14/24,Z$9&lt;20/24)</formula>
    </cfRule>
    <cfRule type="expression" dxfId="1765" priority="294">
      <formula>AND(Z$9&gt;=8/24,Z$9&lt;14/24)</formula>
    </cfRule>
    <cfRule type="expression" dxfId="1764" priority="295">
      <formula>Z$9&lt;8/24</formula>
    </cfRule>
  </conditionalFormatting>
  <conditionalFormatting sqref="Z50:AF50">
    <cfRule type="expression" dxfId="1763" priority="288">
      <formula>Z$9&gt;=20/24</formula>
    </cfRule>
    <cfRule type="expression" dxfId="1762" priority="289">
      <formula>AND(Z$9&gt;=14/24,Z$9&lt;20/24)</formula>
    </cfRule>
    <cfRule type="expression" dxfId="1761" priority="290">
      <formula>AND(Z$9&gt;=8/24,Z$9&lt;14/24)</formula>
    </cfRule>
    <cfRule type="expression" dxfId="1760" priority="291">
      <formula>Z$9&lt;8/24</formula>
    </cfRule>
  </conditionalFormatting>
  <conditionalFormatting sqref="X60:Z61 V62:Z64 S60:U64 AA60:AE64 AF62:AF64">
    <cfRule type="expression" dxfId="1759" priority="284">
      <formula>S$9&gt;=20/24</formula>
    </cfRule>
    <cfRule type="expression" dxfId="1758" priority="285">
      <formula>AND(S$9&gt;=14/24,S$9&lt;20/24)</formula>
    </cfRule>
    <cfRule type="expression" dxfId="1757" priority="286">
      <formula>AND(S$9&gt;=8/24,S$9&lt;14/24)</formula>
    </cfRule>
    <cfRule type="expression" dxfId="1756" priority="287">
      <formula>S$9&lt;8/24</formula>
    </cfRule>
  </conditionalFormatting>
  <conditionalFormatting sqref="M62:M67">
    <cfRule type="expression" dxfId="1755" priority="280">
      <formula>M$9&gt;=20/24</formula>
    </cfRule>
    <cfRule type="expression" dxfId="1754" priority="281">
      <formula>AND(M$9&gt;=14/24,M$9&lt;20/24)</formula>
    </cfRule>
    <cfRule type="expression" dxfId="1753" priority="282">
      <formula>AND(M$9&gt;=8/24,M$9&lt;14/24)</formula>
    </cfRule>
    <cfRule type="expression" dxfId="1752" priority="283">
      <formula>M$9&lt;8/24</formula>
    </cfRule>
  </conditionalFormatting>
  <conditionalFormatting sqref="U94:AA97">
    <cfRule type="expression" dxfId="1751" priority="276">
      <formula>U$9&gt;=20/24</formula>
    </cfRule>
    <cfRule type="expression" dxfId="1750" priority="277">
      <formula>AND(U$9&gt;=14/24,U$9&lt;20/24)</formula>
    </cfRule>
    <cfRule type="expression" dxfId="1749" priority="278">
      <formula>AND(U$9&gt;=8/24,U$9&lt;14/24)</formula>
    </cfRule>
    <cfRule type="expression" dxfId="1748" priority="279">
      <formula>U$9&lt;8/24</formula>
    </cfRule>
  </conditionalFormatting>
  <conditionalFormatting sqref="AG51 C19:L19 C13:L15 C22:L22 C24:L24 C44:M44 C11:T11 C38:AF38 N44:Q45 C43:Q43 R43:S45 S12:T14 C39:S42 U11:W14 X12:Y14 S16:Y32 T39:Y45 X11:AF11 S34:AB36 C37:AB37 Z12:AF32 AC34:AF37 Z39:AF50 C51:AF56">
    <cfRule type="expression" dxfId="1747" priority="275">
      <formula>C11&gt;$AG11</formula>
    </cfRule>
  </conditionalFormatting>
  <conditionalFormatting sqref="A101:A157 A84:A97 A11:A14 A16:A32 A45:A72 A80:A82 A74:A78 A35:A43 A170:A200">
    <cfRule type="expression" dxfId="1746" priority="274">
      <formula>$AH11=0</formula>
    </cfRule>
  </conditionalFormatting>
  <conditionalFormatting sqref="U98:AA98">
    <cfRule type="expression" dxfId="1745" priority="270">
      <formula>U$9&gt;=20/24</formula>
    </cfRule>
    <cfRule type="expression" dxfId="1744" priority="271">
      <formula>AND(U$9&gt;=14/24,U$9&lt;20/24)</formula>
    </cfRule>
    <cfRule type="expression" dxfId="1743" priority="272">
      <formula>AND(U$9&gt;=8/24,U$9&lt;14/24)</formula>
    </cfRule>
    <cfRule type="expression" dxfId="1742" priority="273">
      <formula>U$9&lt;8/24</formula>
    </cfRule>
  </conditionalFormatting>
  <conditionalFormatting sqref="A98">
    <cfRule type="expression" dxfId="1741" priority="269">
      <formula>$AH98=0</formula>
    </cfRule>
  </conditionalFormatting>
  <conditionalFormatting sqref="AL32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1740" priority="264">
      <formula>Z$9&gt;=20/24</formula>
    </cfRule>
    <cfRule type="expression" dxfId="1739" priority="265">
      <formula>AND(Z$9&gt;=14/24,Z$9&lt;20/24)</formula>
    </cfRule>
    <cfRule type="expression" dxfId="1738" priority="266">
      <formula>AND(Z$9&gt;=8/24,Z$9&lt;14/24)</formula>
    </cfRule>
    <cfRule type="expression" dxfId="1737" priority="267">
      <formula>Z$9&lt;8/24</formula>
    </cfRule>
  </conditionalFormatting>
  <conditionalFormatting sqref="S34:Y34">
    <cfRule type="expression" dxfId="1736" priority="260">
      <formula>S$9&gt;=20/24</formula>
    </cfRule>
    <cfRule type="expression" dxfId="1735" priority="261">
      <formula>AND(S$9&gt;=14/24,S$9&lt;20/24)</formula>
    </cfRule>
    <cfRule type="expression" dxfId="1734" priority="262">
      <formula>AND(S$9&gt;=8/24,S$9&lt;14/24)</formula>
    </cfRule>
    <cfRule type="expression" dxfId="1733" priority="263">
      <formula>S$9&lt;8/24</formula>
    </cfRule>
  </conditionalFormatting>
  <conditionalFormatting sqref="A34">
    <cfRule type="expression" dxfId="1732" priority="259">
      <formula>$AH34=0</formula>
    </cfRule>
  </conditionalFormatting>
  <conditionalFormatting sqref="A83">
    <cfRule type="expression" dxfId="1731" priority="258">
      <formula>$AH83=0</formula>
    </cfRule>
  </conditionalFormatting>
  <conditionalFormatting sqref="Z15:AF15">
    <cfRule type="expression" dxfId="1730" priority="254">
      <formula>Z$9&gt;=20/24</formula>
    </cfRule>
    <cfRule type="expression" dxfId="1729" priority="255">
      <formula>AND(Z$9&gt;=14/24,Z$9&lt;20/24)</formula>
    </cfRule>
    <cfRule type="expression" dxfId="1728" priority="256">
      <formula>AND(Z$9&gt;=8/24,Z$9&lt;14/24)</formula>
    </cfRule>
    <cfRule type="expression" dxfId="1727" priority="257">
      <formula>Z$9&lt;8/24</formula>
    </cfRule>
  </conditionalFormatting>
  <conditionalFormatting sqref="S15:Y15">
    <cfRule type="expression" dxfId="1726" priority="250">
      <formula>S$9&gt;=20/24</formula>
    </cfRule>
    <cfRule type="expression" dxfId="1725" priority="251">
      <formula>AND(S$9&gt;=14/24,S$9&lt;20/24)</formula>
    </cfRule>
    <cfRule type="expression" dxfId="1724" priority="252">
      <formula>AND(S$9&gt;=8/24,S$9&lt;14/24)</formula>
    </cfRule>
    <cfRule type="expression" dxfId="1723" priority="253">
      <formula>S$9&lt;8/24</formula>
    </cfRule>
  </conditionalFormatting>
  <conditionalFormatting sqref="S15:Y15">
    <cfRule type="expression" dxfId="1722" priority="249">
      <formula>S15&gt;$AG15</formula>
    </cfRule>
  </conditionalFormatting>
  <conditionalFormatting sqref="A15">
    <cfRule type="expression" dxfId="1721" priority="248">
      <formula>$AH15=0</formula>
    </cfRule>
  </conditionalFormatting>
  <conditionalFormatting sqref="A164:A169">
    <cfRule type="expression" dxfId="1720" priority="247">
      <formula>$AH164=0</formula>
    </cfRule>
  </conditionalFormatting>
  <conditionalFormatting sqref="A158:A163">
    <cfRule type="expression" dxfId="1719" priority="246">
      <formula>$AH158=0</formula>
    </cfRule>
  </conditionalFormatting>
  <conditionalFormatting sqref="Z44:AF44">
    <cfRule type="expression" dxfId="1718" priority="242">
      <formula>Z$9&gt;=20/24</formula>
    </cfRule>
    <cfRule type="expression" dxfId="1717" priority="243">
      <formula>AND(Z$9&gt;=14/24,Z$9&lt;20/24)</formula>
    </cfRule>
    <cfRule type="expression" dxfId="1716" priority="244">
      <formula>AND(Z$9&gt;=8/24,Z$9&lt;14/24)</formula>
    </cfRule>
    <cfRule type="expression" dxfId="1715" priority="245">
      <formula>Z$9&lt;8/24</formula>
    </cfRule>
  </conditionalFormatting>
  <conditionalFormatting sqref="N44:R44">
    <cfRule type="expression" dxfId="1714" priority="238">
      <formula>N$9&gt;=20/24</formula>
    </cfRule>
    <cfRule type="expression" dxfId="1713" priority="239">
      <formula>AND(N$9&gt;=14/24,N$9&lt;20/24)</formula>
    </cfRule>
    <cfRule type="expression" dxfId="1712" priority="240">
      <formula>AND(N$9&gt;=8/24,N$9&lt;14/24)</formula>
    </cfRule>
    <cfRule type="expression" dxfId="1711" priority="241">
      <formula>N$9&lt;8/24</formula>
    </cfRule>
  </conditionalFormatting>
  <conditionalFormatting sqref="S44:Y44">
    <cfRule type="expression" dxfId="1710" priority="234">
      <formula>S$9&gt;=20/24</formula>
    </cfRule>
    <cfRule type="expression" dxfId="1709" priority="235">
      <formula>AND(S$9&gt;=14/24,S$9&lt;20/24)</formula>
    </cfRule>
    <cfRule type="expression" dxfId="1708" priority="236">
      <formula>AND(S$9&gt;=8/24,S$9&lt;14/24)</formula>
    </cfRule>
    <cfRule type="expression" dxfId="1707" priority="237">
      <formula>S$9&lt;8/24</formula>
    </cfRule>
  </conditionalFormatting>
  <conditionalFormatting sqref="A44">
    <cfRule type="expression" dxfId="1706" priority="233">
      <formula>$AH44=0</formula>
    </cfRule>
  </conditionalFormatting>
  <conditionalFormatting sqref="A79">
    <cfRule type="expression" dxfId="1705" priority="232">
      <formula>$AH79=0</formula>
    </cfRule>
  </conditionalFormatting>
  <conditionalFormatting sqref="A73">
    <cfRule type="expression" dxfId="1704" priority="231">
      <formula>$AH73=0</formula>
    </cfRule>
  </conditionalFormatting>
  <conditionalFormatting sqref="AL34:AL35 AL7:AL31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V60:W61">
    <cfRule type="expression" dxfId="1703" priority="227">
      <formula>V$9&gt;=20/24</formula>
    </cfRule>
    <cfRule type="expression" dxfId="1702" priority="228">
      <formula>AND(V$9&gt;=14/24,V$9&lt;20/24)</formula>
    </cfRule>
    <cfRule type="expression" dxfId="1701" priority="229">
      <formula>AND(V$9&gt;=8/24,V$9&lt;14/24)</formula>
    </cfRule>
    <cfRule type="expression" dxfId="1700" priority="230">
      <formula>V$9&lt;8/24</formula>
    </cfRule>
  </conditionalFormatting>
  <conditionalFormatting sqref="U85:X91">
    <cfRule type="expression" dxfId="1699" priority="223">
      <formula>U$9&gt;=20/24</formula>
    </cfRule>
    <cfRule type="expression" dxfId="1698" priority="224">
      <formula>AND(U$9&gt;=14/24,U$9&lt;20/24)</formula>
    </cfRule>
    <cfRule type="expression" dxfId="1697" priority="225">
      <formula>AND(U$9&gt;=8/24,U$9&lt;14/24)</formula>
    </cfRule>
    <cfRule type="expression" dxfId="1696" priority="226">
      <formula>U$9&lt;8/24</formula>
    </cfRule>
  </conditionalFormatting>
  <conditionalFormatting sqref="S85:T91 E84:R91">
    <cfRule type="expression" dxfId="1695" priority="219">
      <formula>E$9&gt;=20/24</formula>
    </cfRule>
    <cfRule type="expression" dxfId="1694" priority="220">
      <formula>AND(E$9&gt;=14/24,E$9&lt;20/24)</formula>
    </cfRule>
    <cfRule type="expression" dxfId="1693" priority="221">
      <formula>AND(E$9&gt;=8/24,E$9&lt;14/24)</formula>
    </cfRule>
    <cfRule type="expression" dxfId="1692" priority="222">
      <formula>E$9&lt;8/24</formula>
    </cfRule>
  </conditionalFormatting>
  <conditionalFormatting sqref="S84:T84">
    <cfRule type="expression" dxfId="1691" priority="215">
      <formula>S$9&gt;=20/24</formula>
    </cfRule>
    <cfRule type="expression" dxfId="1690" priority="216">
      <formula>AND(S$9&gt;=14/24,S$9&lt;20/24)</formula>
    </cfRule>
    <cfRule type="expression" dxfId="1689" priority="217">
      <formula>AND(S$9&gt;=8/24,S$9&lt;14/24)</formula>
    </cfRule>
    <cfRule type="expression" dxfId="1688" priority="218">
      <formula>S$9&lt;8/24</formula>
    </cfRule>
  </conditionalFormatting>
  <conditionalFormatting sqref="E94:F94 E95:M97">
    <cfRule type="expression" dxfId="1687" priority="211">
      <formula>E$9&gt;=20/24</formula>
    </cfRule>
    <cfRule type="expression" dxfId="1686" priority="212">
      <formula>AND(E$9&gt;=14/24,E$9&lt;20/24)</formula>
    </cfRule>
    <cfRule type="expression" dxfId="1685" priority="213">
      <formula>AND(E$9&gt;=8/24,E$9&lt;14/24)</formula>
    </cfRule>
    <cfRule type="expression" dxfId="1684" priority="214">
      <formula>E$9&lt;8/24</formula>
    </cfRule>
  </conditionalFormatting>
  <conditionalFormatting sqref="N95:R97 O94:R94">
    <cfRule type="expression" dxfId="1683" priority="207">
      <formula>N$9&gt;=20/24</formula>
    </cfRule>
    <cfRule type="expression" dxfId="1682" priority="208">
      <formula>AND(N$9&gt;=14/24,N$9&lt;20/24)</formula>
    </cfRule>
    <cfRule type="expression" dxfId="1681" priority="209">
      <formula>AND(N$9&gt;=8/24,N$9&lt;14/24)</formula>
    </cfRule>
    <cfRule type="expression" dxfId="1680" priority="210">
      <formula>N$9&lt;8/24</formula>
    </cfRule>
  </conditionalFormatting>
  <conditionalFormatting sqref="S94:T97">
    <cfRule type="expression" dxfId="1679" priority="203">
      <formula>S$9&gt;=20/24</formula>
    </cfRule>
    <cfRule type="expression" dxfId="1678" priority="204">
      <formula>AND(S$9&gt;=14/24,S$9&lt;20/24)</formula>
    </cfRule>
    <cfRule type="expression" dxfId="1677" priority="205">
      <formula>AND(S$9&gt;=8/24,S$9&lt;14/24)</formula>
    </cfRule>
    <cfRule type="expression" dxfId="1676" priority="206">
      <formula>S$9&lt;8/24</formula>
    </cfRule>
  </conditionalFormatting>
  <conditionalFormatting sqref="E98:M98">
    <cfRule type="expression" dxfId="1675" priority="199">
      <formula>E$9&gt;=20/24</formula>
    </cfRule>
    <cfRule type="expression" dxfId="1674" priority="200">
      <formula>AND(E$9&gt;=14/24,E$9&lt;20/24)</formula>
    </cfRule>
    <cfRule type="expression" dxfId="1673" priority="201">
      <formula>AND(E$9&gt;=8/24,E$9&lt;14/24)</formula>
    </cfRule>
    <cfRule type="expression" dxfId="1672" priority="202">
      <formula>E$9&lt;8/24</formula>
    </cfRule>
  </conditionalFormatting>
  <conditionalFormatting sqref="N98:R98">
    <cfRule type="expression" dxfId="1671" priority="195">
      <formula>N$9&gt;=20/24</formula>
    </cfRule>
    <cfRule type="expression" dxfId="1670" priority="196">
      <formula>AND(N$9&gt;=14/24,N$9&lt;20/24)</formula>
    </cfRule>
    <cfRule type="expression" dxfId="1669" priority="197">
      <formula>AND(N$9&gt;=8/24,N$9&lt;14/24)</formula>
    </cfRule>
    <cfRule type="expression" dxfId="1668" priority="198">
      <formula>N$9&lt;8/24</formula>
    </cfRule>
  </conditionalFormatting>
  <conditionalFormatting sqref="S98:T98">
    <cfRule type="expression" dxfId="1667" priority="191">
      <formula>S$9&gt;=20/24</formula>
    </cfRule>
    <cfRule type="expression" dxfId="1666" priority="192">
      <formula>AND(S$9&gt;=14/24,S$9&lt;20/24)</formula>
    </cfRule>
    <cfRule type="expression" dxfId="1665" priority="193">
      <formula>AND(S$9&gt;=8/24,S$9&lt;14/24)</formula>
    </cfRule>
    <cfRule type="expression" dxfId="1664" priority="194">
      <formula>S$9&lt;8/24</formula>
    </cfRule>
  </conditionalFormatting>
  <conditionalFormatting sqref="M94:N94">
    <cfRule type="expression" dxfId="1663" priority="187">
      <formula>M$9&gt;=20/24</formula>
    </cfRule>
    <cfRule type="expression" dxfId="1662" priority="188">
      <formula>AND(M$9&gt;=14/24,M$9&lt;20/24)</formula>
    </cfRule>
    <cfRule type="expression" dxfId="1661" priority="189">
      <formula>AND(M$9&gt;=8/24,M$9&lt;14/24)</formula>
    </cfRule>
    <cfRule type="expression" dxfId="1660" priority="190">
      <formula>M$9&lt;8/24</formula>
    </cfRule>
  </conditionalFormatting>
  <conditionalFormatting sqref="G94:L94">
    <cfRule type="expression" dxfId="1659" priority="183">
      <formula>G$9&gt;=20/24</formula>
    </cfRule>
    <cfRule type="expression" dxfId="1658" priority="184">
      <formula>AND(G$9&gt;=14/24,G$9&lt;20/24)</formula>
    </cfRule>
    <cfRule type="expression" dxfId="1657" priority="185">
      <formula>AND(G$9&gt;=8/24,G$9&lt;14/24)</formula>
    </cfRule>
    <cfRule type="expression" dxfId="1656" priority="186">
      <formula>G$9&lt;8/24</formula>
    </cfRule>
  </conditionalFormatting>
  <conditionalFormatting sqref="U94:W94">
    <cfRule type="expression" dxfId="1655" priority="179">
      <formula>U$9&gt;=20/24</formula>
    </cfRule>
    <cfRule type="expression" dxfId="1654" priority="180">
      <formula>AND(U$9&gt;=14/24,U$9&lt;20/24)</formula>
    </cfRule>
    <cfRule type="expression" dxfId="1653" priority="181">
      <formula>AND(U$9&gt;=8/24,U$9&lt;14/24)</formula>
    </cfRule>
    <cfRule type="expression" dxfId="1652" priority="182">
      <formula>U$9&lt;8/24</formula>
    </cfRule>
  </conditionalFormatting>
  <conditionalFormatting sqref="N94:T94">
    <cfRule type="expression" dxfId="1651" priority="175">
      <formula>N$9&gt;=20/24</formula>
    </cfRule>
    <cfRule type="expression" dxfId="1650" priority="176">
      <formula>AND(N$9&gt;=14/24,N$9&lt;20/24)</formula>
    </cfRule>
    <cfRule type="expression" dxfId="1649" priority="177">
      <formula>AND(N$9&gt;=8/24,N$9&lt;14/24)</formula>
    </cfRule>
    <cfRule type="expression" dxfId="1648" priority="178">
      <formula>N$9&lt;8/24</formula>
    </cfRule>
  </conditionalFormatting>
  <conditionalFormatting sqref="U99:AA100">
    <cfRule type="expression" dxfId="1647" priority="171">
      <formula>U$9&gt;=20/24</formula>
    </cfRule>
    <cfRule type="expression" dxfId="1646" priority="172">
      <formula>AND(U$9&gt;=14/24,U$9&lt;20/24)</formula>
    </cfRule>
    <cfRule type="expression" dxfId="1645" priority="173">
      <formula>AND(U$9&gt;=8/24,U$9&lt;14/24)</formula>
    </cfRule>
    <cfRule type="expression" dxfId="1644" priority="174">
      <formula>U$9&lt;8/24</formula>
    </cfRule>
  </conditionalFormatting>
  <conditionalFormatting sqref="E99:M100">
    <cfRule type="expression" dxfId="1643" priority="167">
      <formula>E$9&gt;=20/24</formula>
    </cfRule>
    <cfRule type="expression" dxfId="1642" priority="168">
      <formula>AND(E$9&gt;=14/24,E$9&lt;20/24)</formula>
    </cfRule>
    <cfRule type="expression" dxfId="1641" priority="169">
      <formula>AND(E$9&gt;=8/24,E$9&lt;14/24)</formula>
    </cfRule>
    <cfRule type="expression" dxfId="1640" priority="170">
      <formula>E$9&lt;8/24</formula>
    </cfRule>
  </conditionalFormatting>
  <conditionalFormatting sqref="N99:R100">
    <cfRule type="expression" dxfId="1639" priority="163">
      <formula>N$9&gt;=20/24</formula>
    </cfRule>
    <cfRule type="expression" dxfId="1638" priority="164">
      <formula>AND(N$9&gt;=14/24,N$9&lt;20/24)</formula>
    </cfRule>
    <cfRule type="expression" dxfId="1637" priority="165">
      <formula>AND(N$9&gt;=8/24,N$9&lt;14/24)</formula>
    </cfRule>
    <cfRule type="expression" dxfId="1636" priority="166">
      <formula>N$9&lt;8/24</formula>
    </cfRule>
  </conditionalFormatting>
  <conditionalFormatting sqref="S99:T100">
    <cfRule type="expression" dxfId="1635" priority="159">
      <formula>S$9&gt;=20/24</formula>
    </cfRule>
    <cfRule type="expression" dxfId="1634" priority="160">
      <formula>AND(S$9&gt;=14/24,S$9&lt;20/24)</formula>
    </cfRule>
    <cfRule type="expression" dxfId="1633" priority="161">
      <formula>AND(S$9&gt;=8/24,S$9&lt;14/24)</formula>
    </cfRule>
    <cfRule type="expression" dxfId="1632" priority="162">
      <formula>S$9&lt;8/24</formula>
    </cfRule>
  </conditionalFormatting>
  <conditionalFormatting sqref="AB58:AE59">
    <cfRule type="expression" dxfId="1631" priority="147">
      <formula>AB$9&gt;=20/24</formula>
    </cfRule>
    <cfRule type="expression" dxfId="1630" priority="148">
      <formula>AND(AB$9&gt;=14/24,AB$9&lt;20/24)</formula>
    </cfRule>
    <cfRule type="expression" dxfId="1629" priority="149">
      <formula>AND(AB$9&gt;=8/24,AB$9&lt;14/24)</formula>
    </cfRule>
    <cfRule type="expression" dxfId="1628" priority="150">
      <formula>AB$9&lt;8/24</formula>
    </cfRule>
  </conditionalFormatting>
  <conditionalFormatting sqref="AL33">
    <cfRule type="iconSet" priority="14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27" priority="360">
      <formula>C$9&gt;=20/24</formula>
    </cfRule>
    <cfRule type="expression" dxfId="1626" priority="361">
      <formula>AND(C$9&gt;=14/24,C$9&lt;20/24)</formula>
    </cfRule>
    <cfRule type="expression" dxfId="1625" priority="362">
      <formula>AND(C$9&gt;=8/24,C$9&lt;14/24)</formula>
    </cfRule>
    <cfRule type="expression" dxfId="1624" priority="363">
      <formula>C$9&lt;8/24</formula>
    </cfRule>
  </conditionalFormatting>
  <conditionalFormatting sqref="A201">
    <cfRule type="expression" dxfId="1623" priority="364">
      <formula>$AH201=0</formula>
    </cfRule>
  </conditionalFormatting>
  <conditionalFormatting sqref="AG213">
    <cfRule type="expression" dxfId="1622" priority="365">
      <formula>B$9&gt;=20/24</formula>
    </cfRule>
    <cfRule type="expression" dxfId="1621" priority="366">
      <formula>AND(B$9&gt;=14/24,B$9&lt;20/24)</formula>
    </cfRule>
    <cfRule type="expression" dxfId="1620" priority="367">
      <formula>AND(B$9&gt;=8/24,B$9&lt;14/24)</formula>
    </cfRule>
    <cfRule type="expression" dxfId="1619" priority="368">
      <formula>B$9&lt;8/24</formula>
    </cfRule>
  </conditionalFormatting>
  <conditionalFormatting sqref="S8">
    <cfRule type="expression" dxfId="1618" priority="141">
      <formula>U$9&gt;=20/24</formula>
    </cfRule>
    <cfRule type="expression" dxfId="1617" priority="142">
      <formula>AND(U$9&gt;=14/24,U$9&lt;20/24)</formula>
    </cfRule>
    <cfRule type="expression" dxfId="1616" priority="143">
      <formula>AND(U$9&gt;=8/24,U$9&lt;14/24)</formula>
    </cfRule>
    <cfRule type="expression" dxfId="1615" priority="144">
      <formula>U$9&lt;8/24</formula>
    </cfRule>
  </conditionalFormatting>
  <conditionalFormatting sqref="AB8">
    <cfRule type="expression" dxfId="1614" priority="137">
      <formula>AD$9&gt;=20/24</formula>
    </cfRule>
    <cfRule type="expression" dxfId="1613" priority="138">
      <formula>AND(AD$9&gt;=14/24,AD$9&lt;20/24)</formula>
    </cfRule>
    <cfRule type="expression" dxfId="1612" priority="139">
      <formula>AND(AD$9&gt;=8/24,AD$9&lt;14/24)</formula>
    </cfRule>
    <cfRule type="expression" dxfId="1611" priority="140">
      <formula>AD$9&lt;8/24</formula>
    </cfRule>
  </conditionalFormatting>
  <conditionalFormatting sqref="AH213:AX213">
    <cfRule type="expression" dxfId="1610" priority="369">
      <formula>AG$9&gt;=20/24</formula>
    </cfRule>
    <cfRule type="expression" dxfId="1609" priority="370">
      <formula>AND(AG$9&gt;=14/24,AG$9&lt;20/24)</formula>
    </cfRule>
    <cfRule type="expression" dxfId="1608" priority="371">
      <formula>AND(AG$9&gt;=8/24,AG$9&lt;14/24)</formula>
    </cfRule>
    <cfRule type="expression" dxfId="1607" priority="372">
      <formula>AG$9&lt;8/24</formula>
    </cfRule>
  </conditionalFormatting>
  <conditionalFormatting sqref="T213">
    <cfRule type="expression" dxfId="1606" priority="373">
      <formula>AX$9&gt;=20/24</formula>
    </cfRule>
    <cfRule type="expression" dxfId="1605" priority="374">
      <formula>AND(AX$9&gt;=14/24,AX$9&lt;20/24)</formula>
    </cfRule>
    <cfRule type="expression" dxfId="1604" priority="375">
      <formula>AND(AX$9&gt;=8/24,AX$9&lt;14/24)</formula>
    </cfRule>
    <cfRule type="expression" dxfId="1603" priority="376">
      <formula>AX$9&lt;8/24</formula>
    </cfRule>
  </conditionalFormatting>
  <conditionalFormatting sqref="A99:A100">
    <cfRule type="expression" dxfId="1602" priority="136">
      <formula>$AH99=0</formula>
    </cfRule>
  </conditionalFormatting>
  <conditionalFormatting sqref="S33:Y33">
    <cfRule type="expression" dxfId="1601" priority="132">
      <formula>S$9&gt;=20/24</formula>
    </cfRule>
    <cfRule type="expression" dxfId="1600" priority="133">
      <formula>AND(S$9&gt;=14/24,S$9&lt;20/24)</formula>
    </cfRule>
    <cfRule type="expression" dxfId="1599" priority="134">
      <formula>AND(S$9&gt;=8/24,S$9&lt;14/24)</formula>
    </cfRule>
    <cfRule type="expression" dxfId="1598" priority="135">
      <formula>S$9&lt;8/24</formula>
    </cfRule>
  </conditionalFormatting>
  <conditionalFormatting sqref="Z33:AF33">
    <cfRule type="expression" dxfId="1597" priority="128">
      <formula>Z$9&gt;=20/24</formula>
    </cfRule>
    <cfRule type="expression" dxfId="1596" priority="129">
      <formula>AND(Z$9&gt;=14/24,Z$9&lt;20/24)</formula>
    </cfRule>
    <cfRule type="expression" dxfId="1595" priority="130">
      <formula>AND(Z$9&gt;=8/24,Z$9&lt;14/24)</formula>
    </cfRule>
    <cfRule type="expression" dxfId="1594" priority="131">
      <formula>Z$9&lt;8/24</formula>
    </cfRule>
  </conditionalFormatting>
  <conditionalFormatting sqref="S33:AF33">
    <cfRule type="expression" dxfId="1593" priority="127">
      <formula>S33&gt;$AG33</formula>
    </cfRule>
  </conditionalFormatting>
  <conditionalFormatting sqref="B53:B61 B94:B100 B23:B31 B65:B91 B11:B12 C65:L67 C12:L12 B16:L18 B20:L21 C23:L23 C25:L27 C28:R31 B36:R36">
    <cfRule type="expression" dxfId="1592" priority="100">
      <formula>B$9&gt;=20/24</formula>
    </cfRule>
    <cfRule type="expression" dxfId="1591" priority="101">
      <formula>AND(B$9&gt;=14/24,B$9&lt;20/24)</formula>
    </cfRule>
    <cfRule type="expression" dxfId="1590" priority="102">
      <formula>AND(B$9&gt;=8/24,B$9&lt;14/24)</formula>
    </cfRule>
    <cfRule type="expression" dxfId="1589" priority="103">
      <formula>B$9&lt;8/24</formula>
    </cfRule>
  </conditionalFormatting>
  <conditionalFormatting sqref="B32:R32">
    <cfRule type="expression" dxfId="1588" priority="96">
      <formula>B$9&gt;=20/24</formula>
    </cfRule>
    <cfRule type="expression" dxfId="1587" priority="97">
      <formula>AND(B$9&gt;=14/24,B$9&lt;20/24)</formula>
    </cfRule>
    <cfRule type="expression" dxfId="1586" priority="98">
      <formula>AND(B$9&gt;=8/24,B$9&lt;14/24)</formula>
    </cfRule>
    <cfRule type="expression" dxfId="1585" priority="99">
      <formula>B$9&lt;8/24</formula>
    </cfRule>
  </conditionalFormatting>
  <conditionalFormatting sqref="B35:R35">
    <cfRule type="expression" dxfId="1584" priority="92">
      <formula>B$9&gt;=20/24</formula>
    </cfRule>
    <cfRule type="expression" dxfId="1583" priority="93">
      <formula>AND(B$9&gt;=14/24,B$9&lt;20/24)</formula>
    </cfRule>
    <cfRule type="expression" dxfId="1582" priority="94">
      <formula>AND(B$9&gt;=8/24,B$9&lt;14/24)</formula>
    </cfRule>
    <cfRule type="expression" dxfId="1581" priority="95">
      <formula>B$9&lt;8/24</formula>
    </cfRule>
  </conditionalFormatting>
  <conditionalFormatting sqref="B45:M48 N46:Y48">
    <cfRule type="expression" dxfId="1580" priority="88">
      <formula>B$9&gt;=20/24</formula>
    </cfRule>
    <cfRule type="expression" dxfId="1579" priority="89">
      <formula>AND(B$9&gt;=14/24,B$9&lt;20/24)</formula>
    </cfRule>
    <cfRule type="expression" dxfId="1578" priority="90">
      <formula>AND(B$9&gt;=8/24,B$9&lt;14/24)</formula>
    </cfRule>
    <cfRule type="expression" dxfId="1577" priority="91">
      <formula>B$9&lt;8/24</formula>
    </cfRule>
  </conditionalFormatting>
  <conditionalFormatting sqref="B49:Y49">
    <cfRule type="expression" dxfId="1576" priority="84">
      <formula>B$9&gt;=20/24</formula>
    </cfRule>
    <cfRule type="expression" dxfId="1575" priority="85">
      <formula>AND(B$9&gt;=14/24,B$9&lt;20/24)</formula>
    </cfRule>
    <cfRule type="expression" dxfId="1574" priority="86">
      <formula>AND(B$9&gt;=8/24,B$9&lt;14/24)</formula>
    </cfRule>
    <cfRule type="expression" dxfId="1573" priority="87">
      <formula>B$9&lt;8/24</formula>
    </cfRule>
  </conditionalFormatting>
  <conditionalFormatting sqref="B50:Y50">
    <cfRule type="expression" dxfId="1572" priority="80">
      <formula>B$9&gt;=20/24</formula>
    </cfRule>
    <cfRule type="expression" dxfId="1571" priority="81">
      <formula>AND(B$9&gt;=14/24,B$9&lt;20/24)</formula>
    </cfRule>
    <cfRule type="expression" dxfId="1570" priority="82">
      <formula>AND(B$9&gt;=8/24,B$9&lt;14/24)</formula>
    </cfRule>
    <cfRule type="expression" dxfId="1569" priority="83">
      <formula>B$9&lt;8/24</formula>
    </cfRule>
  </conditionalFormatting>
  <conditionalFormatting sqref="B62:L64">
    <cfRule type="expression" dxfId="1568" priority="76">
      <formula>B$9&gt;=20/24</formula>
    </cfRule>
    <cfRule type="expression" dxfId="1567" priority="77">
      <formula>AND(B$9&gt;=14/24,B$9&lt;20/24)</formula>
    </cfRule>
    <cfRule type="expression" dxfId="1566" priority="78">
      <formula>AND(B$9&gt;=8/24,B$9&lt;14/24)</formula>
    </cfRule>
    <cfRule type="expression" dxfId="1565" priority="79">
      <formula>B$9&lt;8/24</formula>
    </cfRule>
  </conditionalFormatting>
  <conditionalFormatting sqref="B34:B56 B11:B32 C12:L12 C16:L18 C20:L21 C23:L23 C45:M50 C25:L27 C28:R32 C34:R36 N46:Y50">
    <cfRule type="expression" dxfId="1564" priority="75">
      <formula>B11&gt;$AG11</formula>
    </cfRule>
  </conditionalFormatting>
  <conditionalFormatting sqref="B34:R34">
    <cfRule type="expression" dxfId="1563" priority="71">
      <formula>B$9&gt;=20/24</formula>
    </cfRule>
    <cfRule type="expression" dxfId="1562" priority="72">
      <formula>AND(B$9&gt;=14/24,B$9&lt;20/24)</formula>
    </cfRule>
    <cfRule type="expression" dxfId="1561" priority="73">
      <formula>AND(B$9&gt;=8/24,B$9&lt;14/24)</formula>
    </cfRule>
    <cfRule type="expression" dxfId="1560" priority="74">
      <formula>B$9&lt;8/24</formula>
    </cfRule>
  </conditionalFormatting>
  <conditionalFormatting sqref="B33:R33">
    <cfRule type="expression" dxfId="1559" priority="67">
      <formula>B$9&gt;=20/24</formula>
    </cfRule>
    <cfRule type="expression" dxfId="1558" priority="68">
      <formula>AND(B$9&gt;=14/24,B$9&lt;20/24)</formula>
    </cfRule>
    <cfRule type="expression" dxfId="1557" priority="69">
      <formula>AND(B$9&gt;=8/24,B$9&lt;14/24)</formula>
    </cfRule>
    <cfRule type="expression" dxfId="1556" priority="70">
      <formula>B$9&lt;8/24</formula>
    </cfRule>
  </conditionalFormatting>
  <conditionalFormatting sqref="B33:R33">
    <cfRule type="expression" dxfId="1555" priority="66">
      <formula>B33&gt;$AG33</formula>
    </cfRule>
  </conditionalFormatting>
  <conditionalFormatting sqref="N9:N10">
    <cfRule type="expression" dxfId="1554" priority="62">
      <formula>N$9&gt;=20/24</formula>
    </cfRule>
    <cfRule type="expression" dxfId="1553" priority="63">
      <formula>AND(N$9&gt;=14/24,N$9&lt;20/24)</formula>
    </cfRule>
    <cfRule type="expression" dxfId="1552" priority="64">
      <formula>AND(N$9&gt;=8/24,N$9&lt;14/24)</formula>
    </cfRule>
    <cfRule type="expression" dxfId="1551" priority="65">
      <formula>N$9&lt;8/24</formula>
    </cfRule>
  </conditionalFormatting>
  <conditionalFormatting sqref="M14:R14">
    <cfRule type="expression" dxfId="1550" priority="7">
      <formula>M$9&gt;=20/24</formula>
    </cfRule>
    <cfRule type="expression" dxfId="1549" priority="8">
      <formula>AND(M$9&gt;=14/24,M$9&lt;20/24)</formula>
    </cfRule>
    <cfRule type="expression" dxfId="1548" priority="9">
      <formula>AND(M$9&gt;=8/24,M$9&lt;14/24)</formula>
    </cfRule>
    <cfRule type="expression" dxfId="1547" priority="10">
      <formula>M$9&lt;8/24</formula>
    </cfRule>
  </conditionalFormatting>
  <conditionalFormatting sqref="M14:R14">
    <cfRule type="expression" dxfId="1546" priority="6">
      <formula>M14&gt;$AG14</formula>
    </cfRule>
  </conditionalFormatting>
  <conditionalFormatting sqref="M14:R14">
    <cfRule type="expression" dxfId="1545" priority="2">
      <formula>M$9&gt;=20/24</formula>
    </cfRule>
    <cfRule type="expression" dxfId="1544" priority="3">
      <formula>AND(M$9&gt;=14/24,M$9&lt;20/24)</formula>
    </cfRule>
    <cfRule type="expression" dxfId="1543" priority="4">
      <formula>AND(M$9&gt;=8/24,M$9&lt;14/24)</formula>
    </cfRule>
    <cfRule type="expression" dxfId="1542" priority="5">
      <formula>M$9&lt;8/24</formula>
    </cfRule>
  </conditionalFormatting>
  <conditionalFormatting sqref="M14:R14">
    <cfRule type="expression" dxfId="1541" priority="1">
      <formula>M14&gt;$AG14</formula>
    </cfRule>
  </conditionalFormatting>
  <conditionalFormatting sqref="M12:R13 M15:R27">
    <cfRule type="expression" dxfId="1540" priority="17">
      <formula>M$9&gt;=20/24</formula>
    </cfRule>
    <cfRule type="expression" dxfId="1539" priority="18">
      <formula>AND(M$9&gt;=14/24,M$9&lt;20/24)</formula>
    </cfRule>
    <cfRule type="expression" dxfId="1538" priority="19">
      <formula>AND(M$9&gt;=8/24,M$9&lt;14/24)</formula>
    </cfRule>
    <cfRule type="expression" dxfId="1537" priority="20">
      <formula>M$9&lt;8/24</formula>
    </cfRule>
  </conditionalFormatting>
  <conditionalFormatting sqref="M12:R13 M15:R27">
    <cfRule type="expression" dxfId="1536" priority="16">
      <formula>M12&gt;$AG12</formula>
    </cfRule>
  </conditionalFormatting>
  <conditionalFormatting sqref="M12:R13 M15:R27">
    <cfRule type="expression" dxfId="1535" priority="12">
      <formula>M$9&gt;=20/24</formula>
    </cfRule>
    <cfRule type="expression" dxfId="1534" priority="13">
      <formula>AND(M$9&gt;=14/24,M$9&lt;20/24)</formula>
    </cfRule>
    <cfRule type="expression" dxfId="1533" priority="14">
      <formula>AND(M$9&gt;=8/24,M$9&lt;14/24)</formula>
    </cfRule>
    <cfRule type="expression" dxfId="1532" priority="15">
      <formula>M$9&lt;8/24</formula>
    </cfRule>
  </conditionalFormatting>
  <conditionalFormatting sqref="M12:R13 M15:R27">
    <cfRule type="expression" dxfId="1531" priority="11">
      <formula>M12&gt;$AG12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" id="{0EB2B486-B228-4C83-8F8A-FF5DB8EF400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G41" sqref="G4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2078/11/27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475</v>
      </c>
      <c r="C5" s="32">
        <f t="shared" si="0"/>
        <v>493</v>
      </c>
      <c r="D5" s="32">
        <f t="shared" si="0"/>
        <v>484.1</v>
      </c>
      <c r="E5" s="32">
        <f t="shared" si="0"/>
        <v>505.5</v>
      </c>
      <c r="F5" s="32">
        <f t="shared" si="0"/>
        <v>536.71</v>
      </c>
      <c r="G5" s="32">
        <f t="shared" si="0"/>
        <v>542.1</v>
      </c>
      <c r="H5" s="32">
        <f t="shared" si="0"/>
        <v>227.1</v>
      </c>
      <c r="I5" s="32">
        <f t="shared" si="0"/>
        <v>252.79999999999998</v>
      </c>
      <c r="J5" s="32">
        <f t="shared" si="0"/>
        <v>316.2</v>
      </c>
      <c r="K5" s="32">
        <f t="shared" si="0"/>
        <v>313.7</v>
      </c>
      <c r="L5" s="32">
        <f t="shared" si="0"/>
        <v>236.39</v>
      </c>
      <c r="M5" s="32">
        <f t="shared" si="0"/>
        <v>680</v>
      </c>
      <c r="N5" s="32">
        <f t="shared" si="0"/>
        <v>644.40000000000009</v>
      </c>
      <c r="O5" s="32">
        <f t="shared" si="0"/>
        <v>653.40000000000009</v>
      </c>
      <c r="P5" s="32">
        <f t="shared" si="0"/>
        <v>619.70000000000005</v>
      </c>
      <c r="Q5" s="32">
        <f t="shared" si="0"/>
        <v>607.79999999999995</v>
      </c>
      <c r="R5" s="32">
        <f t="shared" si="0"/>
        <v>594.09999999999991</v>
      </c>
      <c r="S5" s="32">
        <f t="shared" si="0"/>
        <v>580.6</v>
      </c>
      <c r="T5" s="32">
        <f t="shared" si="0"/>
        <v>623</v>
      </c>
      <c r="U5" s="32">
        <f t="shared" si="0"/>
        <v>560.19999999999993</v>
      </c>
      <c r="V5" s="32">
        <f t="shared" si="0"/>
        <v>420</v>
      </c>
      <c r="W5" s="32">
        <f t="shared" si="0"/>
        <v>323.3</v>
      </c>
      <c r="X5" s="32">
        <f t="shared" si="0"/>
        <v>385.6</v>
      </c>
      <c r="Y5" s="32">
        <f t="shared" si="0"/>
        <v>333.8</v>
      </c>
      <c r="Z5" s="32">
        <f t="shared" si="0"/>
        <v>328.2</v>
      </c>
      <c r="AA5" s="32">
        <f t="shared" si="0"/>
        <v>322.2</v>
      </c>
      <c r="AB5" s="32">
        <f t="shared" si="0"/>
        <v>496.35</v>
      </c>
      <c r="AC5" s="32">
        <f t="shared" si="0"/>
        <v>473</v>
      </c>
      <c r="AD5" s="32">
        <f t="shared" si="0"/>
        <v>640.1</v>
      </c>
      <c r="AE5" s="32">
        <f t="shared" si="0"/>
        <v>609.59999999999991</v>
      </c>
      <c r="AF5" s="32">
        <f>B68</f>
        <v>539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1404MW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Load=900</v>
      </c>
      <c r="B7" s="37">
        <f>B75</f>
        <v>900.19999999999993</v>
      </c>
      <c r="C7" s="37">
        <f t="shared" ref="C7:AF7" si="1">C75</f>
        <v>968.83999999999992</v>
      </c>
      <c r="D7" s="37">
        <f t="shared" si="1"/>
        <v>970.43999999999994</v>
      </c>
      <c r="E7" s="37">
        <f t="shared" si="1"/>
        <v>960.83999999999992</v>
      </c>
      <c r="F7" s="37">
        <f t="shared" si="1"/>
        <v>978.54</v>
      </c>
      <c r="G7" s="37">
        <f t="shared" si="1"/>
        <v>1004.65</v>
      </c>
      <c r="H7" s="37">
        <f t="shared" si="1"/>
        <v>1100.94</v>
      </c>
      <c r="I7" s="37">
        <f t="shared" si="1"/>
        <v>1160.1400000000001</v>
      </c>
      <c r="J7" s="37">
        <f t="shared" si="1"/>
        <v>1283.6400000000001</v>
      </c>
      <c r="K7" s="37">
        <f t="shared" si="1"/>
        <v>1379.14</v>
      </c>
      <c r="L7" s="37">
        <f t="shared" si="1"/>
        <v>1403.5400000000002</v>
      </c>
      <c r="M7" s="37">
        <f t="shared" si="1"/>
        <v>1320.63</v>
      </c>
      <c r="N7" s="37">
        <f t="shared" si="1"/>
        <v>1378.6399999999999</v>
      </c>
      <c r="O7" s="37">
        <f t="shared" si="1"/>
        <v>1312.14</v>
      </c>
      <c r="P7" s="37">
        <f t="shared" si="1"/>
        <v>1282.8400000000001</v>
      </c>
      <c r="Q7" s="37">
        <f t="shared" si="1"/>
        <v>1248.6400000000001</v>
      </c>
      <c r="R7" s="37">
        <f t="shared" si="1"/>
        <v>1264.1399999999999</v>
      </c>
      <c r="S7" s="37">
        <f t="shared" si="1"/>
        <v>1232.3399999999999</v>
      </c>
      <c r="T7" s="37">
        <f t="shared" si="1"/>
        <v>1233.04</v>
      </c>
      <c r="U7" s="37">
        <f t="shared" si="1"/>
        <v>1276.8399999999999</v>
      </c>
      <c r="V7" s="37">
        <f t="shared" si="1"/>
        <v>1261.8399999999999</v>
      </c>
      <c r="W7" s="37">
        <f t="shared" si="1"/>
        <v>1238.74</v>
      </c>
      <c r="X7" s="37">
        <f t="shared" si="1"/>
        <v>1286.44</v>
      </c>
      <c r="Y7" s="37">
        <f t="shared" si="1"/>
        <v>1431.04</v>
      </c>
      <c r="Z7" s="37">
        <f t="shared" si="1"/>
        <v>1500.64</v>
      </c>
      <c r="AA7" s="37">
        <f t="shared" si="1"/>
        <v>1415.04</v>
      </c>
      <c r="AB7" s="37">
        <f t="shared" si="1"/>
        <v>1329.34</v>
      </c>
      <c r="AC7" s="37">
        <f t="shared" si="1"/>
        <v>1278.79</v>
      </c>
      <c r="AD7" s="37">
        <f t="shared" si="1"/>
        <v>1191.94</v>
      </c>
      <c r="AE7" s="37">
        <f t="shared" si="1"/>
        <v>1142.6399999999999</v>
      </c>
      <c r="AF7" s="37">
        <f t="shared" si="1"/>
        <v>1065.3399999999999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40</v>
      </c>
      <c r="D11" s="49">
        <v>12</v>
      </c>
      <c r="E11" s="49">
        <v>12</v>
      </c>
      <c r="F11" s="49">
        <v>10</v>
      </c>
      <c r="G11" s="49">
        <v>12</v>
      </c>
      <c r="H11" s="49">
        <v>40</v>
      </c>
      <c r="I11" s="49">
        <v>300</v>
      </c>
      <c r="J11" s="49">
        <v>250</v>
      </c>
      <c r="K11" s="49">
        <v>250</v>
      </c>
      <c r="L11" s="49">
        <v>270</v>
      </c>
      <c r="M11" s="50">
        <v>270</v>
      </c>
      <c r="N11" s="50">
        <v>20</v>
      </c>
      <c r="O11" s="50">
        <v>12</v>
      </c>
      <c r="P11" s="50">
        <v>12</v>
      </c>
      <c r="Q11" s="50">
        <v>12</v>
      </c>
      <c r="R11" s="50">
        <v>12</v>
      </c>
      <c r="S11" s="50">
        <v>12</v>
      </c>
      <c r="T11" s="50">
        <v>12</v>
      </c>
      <c r="U11" s="50">
        <v>12</v>
      </c>
      <c r="V11" s="50">
        <v>37</v>
      </c>
      <c r="W11" s="50">
        <v>100</v>
      </c>
      <c r="X11" s="50">
        <v>140</v>
      </c>
      <c r="Y11" s="50">
        <v>220</v>
      </c>
      <c r="Z11" s="52">
        <v>320</v>
      </c>
      <c r="AA11" s="50">
        <v>240</v>
      </c>
      <c r="AB11" s="50">
        <v>180</v>
      </c>
      <c r="AC11" s="50">
        <v>60</v>
      </c>
      <c r="AD11" s="50">
        <v>40</v>
      </c>
      <c r="AE11" s="50">
        <v>12</v>
      </c>
      <c r="AF11" s="50">
        <v>12</v>
      </c>
      <c r="AG11" s="53">
        <v>456</v>
      </c>
      <c r="AH11" s="54">
        <f>MAX(B11:AF11)</f>
        <v>320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50">
        <v>31</v>
      </c>
      <c r="AA12" s="50">
        <v>31</v>
      </c>
      <c r="AB12" s="50">
        <v>31</v>
      </c>
      <c r="AC12" s="50">
        <v>31</v>
      </c>
      <c r="AD12" s="50">
        <v>31</v>
      </c>
      <c r="AE12" s="50">
        <v>31</v>
      </c>
      <c r="AF12" s="50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15.3</v>
      </c>
      <c r="C13" s="49">
        <v>15.3</v>
      </c>
      <c r="D13" s="49">
        <v>15.3</v>
      </c>
      <c r="E13" s="49">
        <v>15.3</v>
      </c>
      <c r="F13" s="49">
        <v>15.3</v>
      </c>
      <c r="G13" s="49">
        <v>15.3</v>
      </c>
      <c r="H13" s="49">
        <v>15.3</v>
      </c>
      <c r="I13" s="49">
        <v>15.3</v>
      </c>
      <c r="J13" s="49">
        <v>15.3</v>
      </c>
      <c r="K13" s="49">
        <v>15.3</v>
      </c>
      <c r="L13" s="49">
        <v>15.3</v>
      </c>
      <c r="M13" s="49">
        <v>15.3</v>
      </c>
      <c r="N13" s="49">
        <v>18</v>
      </c>
      <c r="O13" s="49">
        <v>17</v>
      </c>
      <c r="P13" s="49">
        <v>17</v>
      </c>
      <c r="Q13" s="49">
        <v>17</v>
      </c>
      <c r="R13" s="49">
        <v>15.9</v>
      </c>
      <c r="S13" s="49">
        <v>15.9</v>
      </c>
      <c r="T13" s="49">
        <v>15.9</v>
      </c>
      <c r="U13" s="49">
        <v>15.9</v>
      </c>
      <c r="V13" s="49">
        <v>15.9</v>
      </c>
      <c r="W13" s="49">
        <v>15.9</v>
      </c>
      <c r="X13" s="49">
        <v>15.9</v>
      </c>
      <c r="Y13" s="49">
        <v>15.9</v>
      </c>
      <c r="Z13" s="50">
        <v>15.9</v>
      </c>
      <c r="AA13" s="50">
        <v>15.9</v>
      </c>
      <c r="AB13" s="50">
        <v>0</v>
      </c>
      <c r="AC13" s="50">
        <v>18.2</v>
      </c>
      <c r="AD13" s="50">
        <v>18.2</v>
      </c>
      <c r="AE13" s="50">
        <v>18.100000000000001</v>
      </c>
      <c r="AF13" s="50">
        <v>16.600000000000001</v>
      </c>
      <c r="AG13" s="59">
        <v>52.4</v>
      </c>
      <c r="AH13" s="54">
        <f t="shared" si="2"/>
        <v>18.2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34.200000000000003</v>
      </c>
      <c r="C14" s="49">
        <v>34.200000000000003</v>
      </c>
      <c r="D14" s="49">
        <v>34.200000000000003</v>
      </c>
      <c r="E14" s="49">
        <v>34.200000000000003</v>
      </c>
      <c r="F14" s="49">
        <v>34.200000000000003</v>
      </c>
      <c r="G14" s="49">
        <v>34.200000000000003</v>
      </c>
      <c r="H14" s="49">
        <v>34.200000000000003</v>
      </c>
      <c r="I14" s="49">
        <v>34.200000000000003</v>
      </c>
      <c r="J14" s="49">
        <v>34.200000000000003</v>
      </c>
      <c r="K14" s="49">
        <v>34.200000000000003</v>
      </c>
      <c r="L14" s="49">
        <v>34.200000000000003</v>
      </c>
      <c r="M14" s="50">
        <v>34.200000000000003</v>
      </c>
      <c r="N14" s="50">
        <v>34.6</v>
      </c>
      <c r="O14" s="50">
        <v>34.6</v>
      </c>
      <c r="P14" s="50">
        <v>34.6</v>
      </c>
      <c r="Q14" s="50">
        <v>34.6</v>
      </c>
      <c r="R14" s="50">
        <v>34.6</v>
      </c>
      <c r="S14" s="50">
        <v>34.6</v>
      </c>
      <c r="T14" s="50">
        <v>34.6</v>
      </c>
      <c r="U14" s="50">
        <v>34.6</v>
      </c>
      <c r="V14" s="50">
        <v>34.6</v>
      </c>
      <c r="W14" s="50">
        <v>34.6</v>
      </c>
      <c r="X14" s="50">
        <v>34.6</v>
      </c>
      <c r="Y14" s="50">
        <v>34.6</v>
      </c>
      <c r="Z14" s="50">
        <v>34.6</v>
      </c>
      <c r="AA14" s="50">
        <v>34.6</v>
      </c>
      <c r="AB14" s="50">
        <v>34.6</v>
      </c>
      <c r="AC14" s="50">
        <v>34.6</v>
      </c>
      <c r="AD14" s="50">
        <v>34.6</v>
      </c>
      <c r="AE14" s="50">
        <v>32.799999999999997</v>
      </c>
      <c r="AF14" s="50">
        <v>32.6</v>
      </c>
      <c r="AG14" s="59">
        <v>50</v>
      </c>
      <c r="AH14" s="54">
        <f t="shared" si="2"/>
        <v>34.6</v>
      </c>
      <c r="AI14" s="55">
        <f t="shared" si="3"/>
        <v>32.6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20.100000000000001</v>
      </c>
      <c r="C15" s="61">
        <v>20.100000000000001</v>
      </c>
      <c r="D15" s="61">
        <v>20.100000000000001</v>
      </c>
      <c r="E15" s="61">
        <v>20.100000000000001</v>
      </c>
      <c r="F15" s="61">
        <v>20.100000000000001</v>
      </c>
      <c r="G15" s="61">
        <v>20.100000000000001</v>
      </c>
      <c r="H15" s="61">
        <v>20.100000000000001</v>
      </c>
      <c r="I15" s="61">
        <v>20.100000000000001</v>
      </c>
      <c r="J15" s="61">
        <v>20.100000000000001</v>
      </c>
      <c r="K15" s="61">
        <v>20.100000000000001</v>
      </c>
      <c r="L15" s="61">
        <v>20.100000000000001</v>
      </c>
      <c r="M15" s="50">
        <v>20.100000000000001</v>
      </c>
      <c r="N15" s="50">
        <v>20.100000000000001</v>
      </c>
      <c r="O15" s="50">
        <v>20.5</v>
      </c>
      <c r="P15" s="50">
        <v>20.5</v>
      </c>
      <c r="Q15" s="50">
        <v>20.5</v>
      </c>
      <c r="R15" s="50">
        <v>20.5</v>
      </c>
      <c r="S15" s="50">
        <v>20.5</v>
      </c>
      <c r="T15" s="50">
        <v>20.5</v>
      </c>
      <c r="U15" s="50">
        <v>20.5</v>
      </c>
      <c r="V15" s="50">
        <v>20.5</v>
      </c>
      <c r="W15" s="50">
        <v>20.5</v>
      </c>
      <c r="X15" s="50">
        <v>20.5</v>
      </c>
      <c r="Y15" s="50">
        <v>20.5</v>
      </c>
      <c r="Z15" s="50">
        <v>20.5</v>
      </c>
      <c r="AA15" s="50">
        <v>20.5</v>
      </c>
      <c r="AB15" s="50">
        <v>20.5</v>
      </c>
      <c r="AC15" s="50">
        <v>20.5</v>
      </c>
      <c r="AD15" s="50">
        <v>20.5</v>
      </c>
      <c r="AE15" s="50">
        <v>22.1</v>
      </c>
      <c r="AF15" s="50">
        <v>21.8</v>
      </c>
      <c r="AG15" s="62">
        <v>45</v>
      </c>
      <c r="AH15" s="54">
        <f t="shared" si="2"/>
        <v>22.1</v>
      </c>
      <c r="AI15" s="55">
        <f t="shared" si="3"/>
        <v>20.100000000000001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8.5</v>
      </c>
      <c r="C16" s="49">
        <v>8.5</v>
      </c>
      <c r="D16" s="49">
        <v>8.5</v>
      </c>
      <c r="E16" s="49">
        <v>8.5</v>
      </c>
      <c r="F16" s="49">
        <v>8.5</v>
      </c>
      <c r="G16" s="49">
        <v>8.5</v>
      </c>
      <c r="H16" s="49">
        <v>8.5</v>
      </c>
      <c r="I16" s="49">
        <v>8.5</v>
      </c>
      <c r="J16" s="49">
        <v>8.5</v>
      </c>
      <c r="K16" s="49">
        <v>8.5</v>
      </c>
      <c r="L16" s="49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10.7</v>
      </c>
      <c r="C19" s="49">
        <v>10.7</v>
      </c>
      <c r="D19" s="49">
        <v>10.7</v>
      </c>
      <c r="E19" s="49">
        <v>10.7</v>
      </c>
      <c r="F19" s="49">
        <v>10.7</v>
      </c>
      <c r="G19" s="49">
        <v>10.7</v>
      </c>
      <c r="H19" s="49">
        <v>10.7</v>
      </c>
      <c r="I19" s="49">
        <v>10.7</v>
      </c>
      <c r="J19" s="49">
        <v>10.7</v>
      </c>
      <c r="K19" s="49">
        <v>10.7</v>
      </c>
      <c r="L19" s="49">
        <v>10.7</v>
      </c>
      <c r="M19" s="50">
        <v>10.7</v>
      </c>
      <c r="N19" s="50">
        <v>10.7</v>
      </c>
      <c r="O19" s="50">
        <v>10.7</v>
      </c>
      <c r="P19" s="50">
        <v>10.7</v>
      </c>
      <c r="Q19" s="50">
        <v>10.7</v>
      </c>
      <c r="R19" s="50">
        <v>10.7</v>
      </c>
      <c r="S19" s="50">
        <v>10.7</v>
      </c>
      <c r="T19" s="50">
        <v>10.7</v>
      </c>
      <c r="U19" s="50">
        <v>10.7</v>
      </c>
      <c r="V19" s="50">
        <v>10.7</v>
      </c>
      <c r="W19" s="50">
        <v>10.7</v>
      </c>
      <c r="X19" s="50">
        <v>10.7</v>
      </c>
      <c r="Y19" s="50">
        <v>10.7</v>
      </c>
      <c r="Z19" s="50">
        <v>10.7</v>
      </c>
      <c r="AA19" s="50">
        <v>10.7</v>
      </c>
      <c r="AB19" s="50">
        <v>10.7</v>
      </c>
      <c r="AC19" s="50">
        <v>10.7</v>
      </c>
      <c r="AD19" s="50">
        <v>10.7</v>
      </c>
      <c r="AE19" s="50">
        <v>10.8</v>
      </c>
      <c r="AF19" s="50">
        <v>10.9</v>
      </c>
      <c r="AG19" s="59">
        <v>30</v>
      </c>
      <c r="AH19" s="54">
        <f t="shared" si="2"/>
        <v>10.9</v>
      </c>
      <c r="AI19" s="55">
        <f t="shared" si="3"/>
        <v>10.7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10</v>
      </c>
      <c r="C20" s="49">
        <v>10</v>
      </c>
      <c r="D20" s="49">
        <v>10</v>
      </c>
      <c r="E20" s="49">
        <v>10</v>
      </c>
      <c r="F20" s="49">
        <v>10</v>
      </c>
      <c r="G20" s="49">
        <v>10</v>
      </c>
      <c r="H20" s="49">
        <v>10</v>
      </c>
      <c r="I20" s="49">
        <v>10</v>
      </c>
      <c r="J20" s="49">
        <v>10</v>
      </c>
      <c r="K20" s="49">
        <v>10</v>
      </c>
      <c r="L20" s="49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10</v>
      </c>
      <c r="R20" s="50">
        <v>10</v>
      </c>
      <c r="S20" s="50">
        <v>10</v>
      </c>
      <c r="T20" s="50">
        <v>10</v>
      </c>
      <c r="U20" s="50">
        <v>10</v>
      </c>
      <c r="V20" s="50">
        <v>10</v>
      </c>
      <c r="W20" s="50">
        <v>10</v>
      </c>
      <c r="X20" s="50">
        <v>10</v>
      </c>
      <c r="Y20" s="50">
        <v>10</v>
      </c>
      <c r="Z20" s="50">
        <v>10</v>
      </c>
      <c r="AA20" s="50">
        <v>10</v>
      </c>
      <c r="AB20" s="50">
        <v>10</v>
      </c>
      <c r="AC20" s="50">
        <v>10</v>
      </c>
      <c r="AD20" s="50">
        <v>10</v>
      </c>
      <c r="AE20" s="50">
        <v>10</v>
      </c>
      <c r="AF20" s="50">
        <v>10</v>
      </c>
      <c r="AG20" s="59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4</v>
      </c>
      <c r="C21" s="49">
        <v>4</v>
      </c>
      <c r="D21" s="49">
        <v>4</v>
      </c>
      <c r="E21" s="49">
        <v>4</v>
      </c>
      <c r="F21" s="49">
        <v>4</v>
      </c>
      <c r="G21" s="49">
        <v>4</v>
      </c>
      <c r="H21" s="49">
        <v>4</v>
      </c>
      <c r="I21" s="49">
        <v>4</v>
      </c>
      <c r="J21" s="49">
        <v>4</v>
      </c>
      <c r="K21" s="49">
        <v>4</v>
      </c>
      <c r="L21" s="49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12</v>
      </c>
      <c r="C22" s="49">
        <v>12</v>
      </c>
      <c r="D22" s="49">
        <v>12</v>
      </c>
      <c r="E22" s="49">
        <v>12</v>
      </c>
      <c r="F22" s="49">
        <v>12</v>
      </c>
      <c r="G22" s="49">
        <v>12</v>
      </c>
      <c r="H22" s="49">
        <v>12</v>
      </c>
      <c r="I22" s="49">
        <v>12</v>
      </c>
      <c r="J22" s="49">
        <v>12</v>
      </c>
      <c r="K22" s="49">
        <v>12</v>
      </c>
      <c r="L22" s="49">
        <v>12</v>
      </c>
      <c r="M22" s="50">
        <v>12</v>
      </c>
      <c r="N22" s="50">
        <v>12</v>
      </c>
      <c r="O22" s="50">
        <v>11.3</v>
      </c>
      <c r="P22" s="50">
        <v>11.3</v>
      </c>
      <c r="Q22" s="50">
        <v>11.3</v>
      </c>
      <c r="R22" s="50">
        <v>11.3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11.4</v>
      </c>
      <c r="AA22" s="50">
        <v>11.4</v>
      </c>
      <c r="AB22" s="50">
        <v>11.4</v>
      </c>
      <c r="AC22" s="50">
        <v>11.4</v>
      </c>
      <c r="AD22" s="50">
        <v>11.4</v>
      </c>
      <c r="AE22" s="50">
        <v>11.8</v>
      </c>
      <c r="AF22" s="50">
        <v>12.1</v>
      </c>
      <c r="AG22" s="59">
        <v>25</v>
      </c>
      <c r="AH22" s="54">
        <f t="shared" si="2"/>
        <v>12.1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8.1999999999999993</v>
      </c>
      <c r="C24" s="49">
        <v>8.1999999999999993</v>
      </c>
      <c r="D24" s="49">
        <v>8.1999999999999993</v>
      </c>
      <c r="E24" s="49">
        <v>8.1999999999999993</v>
      </c>
      <c r="F24" s="49">
        <v>8.1999999999999993</v>
      </c>
      <c r="G24" s="49">
        <v>8.1999999999999993</v>
      </c>
      <c r="H24" s="49">
        <v>8.1999999999999993</v>
      </c>
      <c r="I24" s="49">
        <v>8.1999999999999993</v>
      </c>
      <c r="J24" s="49">
        <v>8.1999999999999993</v>
      </c>
      <c r="K24" s="49">
        <v>8.1999999999999993</v>
      </c>
      <c r="L24" s="49">
        <v>8.1999999999999993</v>
      </c>
      <c r="M24" s="50">
        <v>8.1999999999999993</v>
      </c>
      <c r="N24" s="50">
        <v>8.1999999999999993</v>
      </c>
      <c r="O24" s="50">
        <v>8.1999999999999993</v>
      </c>
      <c r="P24" s="50">
        <v>8.1999999999999993</v>
      </c>
      <c r="Q24" s="50">
        <v>8.1999999999999993</v>
      </c>
      <c r="R24" s="50">
        <v>8.1999999999999993</v>
      </c>
      <c r="S24" s="50">
        <v>8.1999999999999993</v>
      </c>
      <c r="T24" s="50">
        <v>8.1999999999999993</v>
      </c>
      <c r="U24" s="50">
        <v>8.1999999999999993</v>
      </c>
      <c r="V24" s="50">
        <v>8.1999999999999993</v>
      </c>
      <c r="W24" s="50">
        <v>8.1999999999999993</v>
      </c>
      <c r="X24" s="50">
        <v>8.1999999999999993</v>
      </c>
      <c r="Y24" s="50">
        <v>8.1999999999999993</v>
      </c>
      <c r="Z24" s="50">
        <v>8.1999999999999993</v>
      </c>
      <c r="AA24" s="50">
        <v>8.1999999999999993</v>
      </c>
      <c r="AB24" s="50">
        <v>8.1999999999999993</v>
      </c>
      <c r="AC24" s="50">
        <v>8.1999999999999993</v>
      </c>
      <c r="AD24" s="50">
        <v>8.1999999999999993</v>
      </c>
      <c r="AE24" s="50">
        <v>9.8000000000000007</v>
      </c>
      <c r="AF24" s="50">
        <v>9.8000000000000007</v>
      </c>
      <c r="AG24" s="59">
        <v>25</v>
      </c>
      <c r="AH24" s="54">
        <f t="shared" si="2"/>
        <v>9.8000000000000007</v>
      </c>
      <c r="AI24" s="55">
        <f t="shared" si="3"/>
        <v>8.1999999999999993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5.5</v>
      </c>
      <c r="C25" s="49">
        <v>5.5</v>
      </c>
      <c r="D25" s="49">
        <v>5.5</v>
      </c>
      <c r="E25" s="49">
        <v>5.5</v>
      </c>
      <c r="F25" s="49">
        <v>5.5</v>
      </c>
      <c r="G25" s="49">
        <v>5.5</v>
      </c>
      <c r="H25" s="49">
        <v>5.5</v>
      </c>
      <c r="I25" s="49">
        <v>5.5</v>
      </c>
      <c r="J25" s="49">
        <v>5.5</v>
      </c>
      <c r="K25" s="49">
        <v>5.5</v>
      </c>
      <c r="L25" s="49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6.2</v>
      </c>
      <c r="C26" s="49">
        <v>6.2</v>
      </c>
      <c r="D26" s="49">
        <v>6.2</v>
      </c>
      <c r="E26" s="49">
        <v>6.2</v>
      </c>
      <c r="F26" s="49">
        <v>6.2</v>
      </c>
      <c r="G26" s="49">
        <v>6.2</v>
      </c>
      <c r="H26" s="49">
        <v>6.2</v>
      </c>
      <c r="I26" s="49">
        <v>6.2</v>
      </c>
      <c r="J26" s="49">
        <v>6.2</v>
      </c>
      <c r="K26" s="49">
        <v>6.2</v>
      </c>
      <c r="L26" s="49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3</v>
      </c>
      <c r="C29" s="49">
        <v>3</v>
      </c>
      <c r="D29" s="49">
        <v>3</v>
      </c>
      <c r="E29" s="49">
        <v>3</v>
      </c>
      <c r="F29" s="49">
        <v>3</v>
      </c>
      <c r="G29" s="49">
        <v>3</v>
      </c>
      <c r="H29" s="49">
        <v>3</v>
      </c>
      <c r="I29" s="49">
        <v>3</v>
      </c>
      <c r="J29" s="49">
        <v>3</v>
      </c>
      <c r="K29" s="49">
        <v>3</v>
      </c>
      <c r="L29" s="49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5</v>
      </c>
      <c r="C32" s="61">
        <v>5</v>
      </c>
      <c r="D32" s="61">
        <v>5</v>
      </c>
      <c r="E32" s="61">
        <v>5</v>
      </c>
      <c r="F32" s="61">
        <v>5</v>
      </c>
      <c r="G32" s="61">
        <v>5</v>
      </c>
      <c r="H32" s="61">
        <v>5</v>
      </c>
      <c r="I32" s="61">
        <v>5</v>
      </c>
      <c r="J32" s="61">
        <v>5</v>
      </c>
      <c r="K32" s="61">
        <v>5</v>
      </c>
      <c r="L32" s="61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130</v>
      </c>
      <c r="C36" s="61">
        <v>130</v>
      </c>
      <c r="D36" s="61">
        <v>130</v>
      </c>
      <c r="E36" s="61">
        <v>130</v>
      </c>
      <c r="F36" s="61">
        <v>130</v>
      </c>
      <c r="G36" s="61">
        <v>130</v>
      </c>
      <c r="H36" s="61">
        <v>130</v>
      </c>
      <c r="I36" s="61">
        <v>130</v>
      </c>
      <c r="J36" s="61">
        <v>130</v>
      </c>
      <c r="K36" s="61">
        <v>130</v>
      </c>
      <c r="L36" s="61">
        <v>130</v>
      </c>
      <c r="M36" s="61">
        <v>130</v>
      </c>
      <c r="N36" s="61">
        <v>130</v>
      </c>
      <c r="O36" s="61">
        <v>130</v>
      </c>
      <c r="P36" s="61">
        <v>130</v>
      </c>
      <c r="Q36" s="61">
        <v>130</v>
      </c>
      <c r="R36" s="61">
        <v>130</v>
      </c>
      <c r="S36" s="61">
        <v>130</v>
      </c>
      <c r="T36" s="61">
        <v>130</v>
      </c>
      <c r="U36" s="61">
        <v>130</v>
      </c>
      <c r="V36" s="61">
        <v>130</v>
      </c>
      <c r="W36" s="61">
        <v>130</v>
      </c>
      <c r="X36" s="61">
        <v>130</v>
      </c>
      <c r="Y36" s="61">
        <v>130</v>
      </c>
      <c r="Z36" s="61">
        <v>130</v>
      </c>
      <c r="AA36" s="61">
        <v>130</v>
      </c>
      <c r="AB36" s="61">
        <v>130</v>
      </c>
      <c r="AC36" s="61">
        <v>130</v>
      </c>
      <c r="AD36" s="61">
        <v>130</v>
      </c>
      <c r="AE36" s="61">
        <v>130</v>
      </c>
      <c r="AF36" s="61">
        <v>130</v>
      </c>
      <c r="AG36" s="67">
        <v>85</v>
      </c>
      <c r="AH36" s="54">
        <f t="shared" si="2"/>
        <v>130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61">
        <v>24</v>
      </c>
      <c r="C37" s="61">
        <v>24</v>
      </c>
      <c r="D37" s="61">
        <v>31</v>
      </c>
      <c r="E37" s="61">
        <f>11.8+20.3</f>
        <v>32.1</v>
      </c>
      <c r="F37" s="61">
        <f>13.2+20.8</f>
        <v>34</v>
      </c>
      <c r="G37" s="61">
        <f>13.5+21</f>
        <v>34.5</v>
      </c>
      <c r="H37" s="61">
        <f>13.9+21</f>
        <v>34.9</v>
      </c>
      <c r="I37" s="61">
        <f>13.8+20.3</f>
        <v>34.1</v>
      </c>
      <c r="J37" s="61">
        <f>13.7+20.1</f>
        <v>33.799999999999997</v>
      </c>
      <c r="K37" s="61">
        <f>13.1+19.5</f>
        <v>32.6</v>
      </c>
      <c r="L37" s="61">
        <f>13.1+19.7</f>
        <v>32.799999999999997</v>
      </c>
      <c r="M37" s="70">
        <v>29.6</v>
      </c>
      <c r="N37" s="70">
        <v>29.2</v>
      </c>
      <c r="O37" s="70">
        <v>28.3</v>
      </c>
      <c r="P37" s="70">
        <v>33.5</v>
      </c>
      <c r="Q37" s="70">
        <v>28.9</v>
      </c>
      <c r="R37" s="70">
        <v>26</v>
      </c>
      <c r="S37" s="70">
        <v>24.4</v>
      </c>
      <c r="T37" s="70">
        <v>29.3</v>
      </c>
      <c r="U37" s="70">
        <v>29</v>
      </c>
      <c r="V37" s="70">
        <v>28</v>
      </c>
      <c r="W37" s="70">
        <v>27</v>
      </c>
      <c r="X37" s="70">
        <v>28</v>
      </c>
      <c r="Y37" s="70">
        <v>24</v>
      </c>
      <c r="Z37" s="70">
        <v>23.3</v>
      </c>
      <c r="AA37" s="70">
        <v>26</v>
      </c>
      <c r="AB37" s="70">
        <f>9.4+16.1</f>
        <v>25.5</v>
      </c>
      <c r="AC37" s="70">
        <f>9+15.1</f>
        <v>24.1</v>
      </c>
      <c r="AD37" s="70">
        <f>9.3+16.4</f>
        <v>25.7</v>
      </c>
      <c r="AE37" s="70">
        <f>10.2+18.4</f>
        <v>28.599999999999998</v>
      </c>
      <c r="AF37" s="70">
        <f>10.7+18.9</f>
        <v>29.599999999999998</v>
      </c>
      <c r="AG37" s="67">
        <v>240</v>
      </c>
      <c r="AH37" s="54">
        <f t="shared" si="2"/>
        <v>34.9</v>
      </c>
      <c r="AI37" s="55">
        <f t="shared" si="3"/>
        <v>23.3</v>
      </c>
      <c r="AK37" s="56"/>
    </row>
    <row r="38" spans="1:88" ht="15.75" thickBot="1" x14ac:dyDescent="0.3">
      <c r="A38" s="71" t="s">
        <v>46</v>
      </c>
      <c r="B38" s="72">
        <f>SUM(B11:B36)</f>
        <v>357.69999999999993</v>
      </c>
      <c r="C38" s="72">
        <f t="shared" ref="C38:AF38" si="4">SUM(C11:C36)</f>
        <v>385.69999999999993</v>
      </c>
      <c r="D38" s="72">
        <f t="shared" si="4"/>
        <v>357.69999999999993</v>
      </c>
      <c r="E38" s="72">
        <f t="shared" si="4"/>
        <v>357.69999999999993</v>
      </c>
      <c r="F38" s="72">
        <f t="shared" si="4"/>
        <v>355.69999999999993</v>
      </c>
      <c r="G38" s="72">
        <f t="shared" si="4"/>
        <v>357.69999999999993</v>
      </c>
      <c r="H38" s="72">
        <f t="shared" si="4"/>
        <v>385.69999999999993</v>
      </c>
      <c r="I38" s="72">
        <f t="shared" si="4"/>
        <v>645.70000000000005</v>
      </c>
      <c r="J38" s="72">
        <f t="shared" si="4"/>
        <v>595.70000000000005</v>
      </c>
      <c r="K38" s="72">
        <f t="shared" si="4"/>
        <v>595.70000000000005</v>
      </c>
      <c r="L38" s="72">
        <f t="shared" si="4"/>
        <v>615.70000000000005</v>
      </c>
      <c r="M38" s="72">
        <f t="shared" si="4"/>
        <v>615.70000000000005</v>
      </c>
      <c r="N38" s="72">
        <f t="shared" si="4"/>
        <v>368.79999999999995</v>
      </c>
      <c r="O38" s="72">
        <f t="shared" si="4"/>
        <v>359.5</v>
      </c>
      <c r="P38" s="72">
        <f t="shared" si="4"/>
        <v>359.5</v>
      </c>
      <c r="Q38" s="72">
        <f t="shared" si="4"/>
        <v>359.5</v>
      </c>
      <c r="R38" s="72">
        <f t="shared" si="4"/>
        <v>358.4</v>
      </c>
      <c r="S38" s="72">
        <f t="shared" si="4"/>
        <v>347.09999999999997</v>
      </c>
      <c r="T38" s="72">
        <f t="shared" si="4"/>
        <v>347.09999999999997</v>
      </c>
      <c r="U38" s="72">
        <f t="shared" si="4"/>
        <v>347.09999999999997</v>
      </c>
      <c r="V38" s="72">
        <f t="shared" si="4"/>
        <v>372.09999999999997</v>
      </c>
      <c r="W38" s="72">
        <f t="shared" si="4"/>
        <v>435.09999999999997</v>
      </c>
      <c r="X38" s="72">
        <f t="shared" si="4"/>
        <v>475.09999999999997</v>
      </c>
      <c r="Y38" s="72">
        <f t="shared" si="4"/>
        <v>555.09999999999991</v>
      </c>
      <c r="Z38" s="72">
        <f t="shared" si="4"/>
        <v>666.5</v>
      </c>
      <c r="AA38" s="72">
        <f t="shared" si="4"/>
        <v>586.5</v>
      </c>
      <c r="AB38" s="72">
        <f t="shared" si="4"/>
        <v>510.59999999999997</v>
      </c>
      <c r="AC38" s="72">
        <f t="shared" si="4"/>
        <v>408.8</v>
      </c>
      <c r="AD38" s="72">
        <f t="shared" si="4"/>
        <v>388.8</v>
      </c>
      <c r="AE38" s="72">
        <f t="shared" si="4"/>
        <v>362.6</v>
      </c>
      <c r="AF38" s="72">
        <f t="shared" si="4"/>
        <v>361</v>
      </c>
      <c r="AG38" s="67">
        <f>SUM(AG11:AG37)</f>
        <v>1492.8299999999997</v>
      </c>
      <c r="AH38" s="54">
        <f t="shared" si="2"/>
        <v>666.5</v>
      </c>
      <c r="AI38" s="55">
        <f t="shared" si="3"/>
        <v>347.09999999999997</v>
      </c>
      <c r="AK38" s="56"/>
    </row>
    <row r="39" spans="1:88" x14ac:dyDescent="0.25">
      <c r="A39" s="57" t="s">
        <v>47</v>
      </c>
      <c r="B39" s="49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30.1</v>
      </c>
      <c r="I39" s="61">
        <v>84</v>
      </c>
      <c r="J39" s="61">
        <v>130</v>
      </c>
      <c r="K39" s="61">
        <v>141.19999999999999</v>
      </c>
      <c r="L39" s="61">
        <v>142.5</v>
      </c>
      <c r="M39" s="50">
        <v>142.1</v>
      </c>
      <c r="N39" s="50">
        <v>81.099999999999994</v>
      </c>
      <c r="O39" s="50">
        <v>74</v>
      </c>
      <c r="P39" s="50">
        <v>65.8</v>
      </c>
      <c r="Q39" s="50">
        <v>66.2</v>
      </c>
      <c r="R39" s="50">
        <v>62.9</v>
      </c>
      <c r="S39" s="50">
        <v>62.9</v>
      </c>
      <c r="T39" s="50">
        <v>62.9</v>
      </c>
      <c r="U39" s="50">
        <v>62.9</v>
      </c>
      <c r="V39" s="50">
        <v>81.099999999999994</v>
      </c>
      <c r="W39" s="50">
        <v>102</v>
      </c>
      <c r="X39" s="50">
        <v>145.5</v>
      </c>
      <c r="Y39" s="50">
        <v>145.5</v>
      </c>
      <c r="Z39" s="50">
        <v>145.5</v>
      </c>
      <c r="AA39" s="50">
        <v>145.5</v>
      </c>
      <c r="AB39" s="50">
        <v>144.4</v>
      </c>
      <c r="AC39" s="50">
        <v>110</v>
      </c>
      <c r="AD39" s="50">
        <v>103</v>
      </c>
      <c r="AE39" s="50">
        <v>30</v>
      </c>
      <c r="AF39" s="49">
        <v>0</v>
      </c>
      <c r="AG39" s="62">
        <v>144</v>
      </c>
      <c r="AH39" s="54">
        <f t="shared" si="2"/>
        <v>145.5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22.9</v>
      </c>
      <c r="I40" s="61">
        <v>45</v>
      </c>
      <c r="J40" s="61">
        <v>60</v>
      </c>
      <c r="K40" s="61">
        <v>70</v>
      </c>
      <c r="L40" s="61">
        <v>71.599999999999994</v>
      </c>
      <c r="M40" s="73">
        <v>69.3</v>
      </c>
      <c r="N40" s="73">
        <v>47.2</v>
      </c>
      <c r="O40" s="73">
        <v>50.4</v>
      </c>
      <c r="P40" s="73">
        <v>46.7</v>
      </c>
      <c r="Q40" s="73">
        <v>29.9</v>
      </c>
      <c r="R40" s="73">
        <v>29.9</v>
      </c>
      <c r="S40" s="73">
        <v>29.9</v>
      </c>
      <c r="T40" s="73">
        <v>22.9</v>
      </c>
      <c r="U40" s="73">
        <v>22.9</v>
      </c>
      <c r="V40" s="73">
        <v>22.8</v>
      </c>
      <c r="W40" s="73">
        <v>47</v>
      </c>
      <c r="X40" s="73">
        <v>70</v>
      </c>
      <c r="Y40" s="73">
        <v>70</v>
      </c>
      <c r="Z40" s="73">
        <v>70</v>
      </c>
      <c r="AA40" s="73">
        <v>70</v>
      </c>
      <c r="AB40" s="73">
        <v>69.099999999999994</v>
      </c>
      <c r="AC40" s="73">
        <v>50</v>
      </c>
      <c r="AD40" s="73">
        <v>34.799999999999997</v>
      </c>
      <c r="AE40" s="73">
        <v>0</v>
      </c>
      <c r="AF40" s="61">
        <v>0</v>
      </c>
      <c r="AG40" s="67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16</v>
      </c>
      <c r="C41" s="61">
        <v>23</v>
      </c>
      <c r="D41" s="61">
        <v>24</v>
      </c>
      <c r="E41" s="61">
        <v>23.6</v>
      </c>
      <c r="F41" s="61">
        <v>23.6</v>
      </c>
      <c r="G41" s="61">
        <v>16.5</v>
      </c>
      <c r="H41" s="61">
        <v>16.399999999999999</v>
      </c>
      <c r="I41" s="61">
        <v>34.6</v>
      </c>
      <c r="J41" s="61">
        <v>60</v>
      </c>
      <c r="K41" s="61">
        <v>68</v>
      </c>
      <c r="L41" s="61">
        <v>68.400000000000006</v>
      </c>
      <c r="M41" s="73">
        <v>61.3</v>
      </c>
      <c r="N41" s="73">
        <v>39.9</v>
      </c>
      <c r="O41" s="73">
        <v>33.4</v>
      </c>
      <c r="P41" s="73">
        <v>34.299999999999997</v>
      </c>
      <c r="Q41" s="73">
        <v>32.6</v>
      </c>
      <c r="R41" s="73">
        <v>33.1</v>
      </c>
      <c r="S41" s="73">
        <v>33.1</v>
      </c>
      <c r="T41" s="73">
        <v>33.1</v>
      </c>
      <c r="U41" s="73">
        <v>33.1</v>
      </c>
      <c r="V41" s="73">
        <v>33.6</v>
      </c>
      <c r="W41" s="73">
        <v>53</v>
      </c>
      <c r="X41" s="73">
        <v>67.099999999999994</v>
      </c>
      <c r="Y41" s="73">
        <v>67.099999999999994</v>
      </c>
      <c r="Z41" s="73">
        <v>67.099999999999994</v>
      </c>
      <c r="AA41" s="73">
        <v>67.099999999999994</v>
      </c>
      <c r="AB41" s="73">
        <v>66.400000000000006</v>
      </c>
      <c r="AC41" s="73">
        <v>41.4</v>
      </c>
      <c r="AD41" s="73">
        <v>23</v>
      </c>
      <c r="AE41" s="73">
        <v>17</v>
      </c>
      <c r="AF41" s="61">
        <v>0</v>
      </c>
      <c r="AG41" s="67">
        <v>69</v>
      </c>
      <c r="AH41" s="54">
        <f t="shared" si="2"/>
        <v>68.400000000000006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39.799999999999997</v>
      </c>
      <c r="C42" s="61">
        <v>40.799999999999997</v>
      </c>
      <c r="D42" s="61">
        <v>51.4</v>
      </c>
      <c r="E42" s="61">
        <v>51.1</v>
      </c>
      <c r="F42" s="61">
        <v>49.4</v>
      </c>
      <c r="G42" s="61">
        <v>49.4</v>
      </c>
      <c r="H42" s="61">
        <v>49.4</v>
      </c>
      <c r="I42" s="61">
        <v>48.1</v>
      </c>
      <c r="J42" s="61">
        <v>48.3</v>
      </c>
      <c r="K42" s="61">
        <v>48.3</v>
      </c>
      <c r="L42" s="61">
        <v>48.3</v>
      </c>
      <c r="M42" s="73">
        <v>48.3</v>
      </c>
      <c r="N42" s="73">
        <v>48.1</v>
      </c>
      <c r="O42" s="73">
        <v>48.1</v>
      </c>
      <c r="P42" s="73">
        <v>48.1</v>
      </c>
      <c r="Q42" s="73">
        <v>46.4</v>
      </c>
      <c r="R42" s="73">
        <v>46.4</v>
      </c>
      <c r="S42" s="73">
        <v>42.1</v>
      </c>
      <c r="T42" s="73">
        <v>42.1</v>
      </c>
      <c r="U42" s="73">
        <v>44.3</v>
      </c>
      <c r="V42" s="73">
        <v>42.1</v>
      </c>
      <c r="W42" s="73">
        <v>42.1</v>
      </c>
      <c r="X42" s="73">
        <v>42.1</v>
      </c>
      <c r="Y42" s="73">
        <v>44.4</v>
      </c>
      <c r="Z42" s="73">
        <v>44.4</v>
      </c>
      <c r="AA42" s="73">
        <v>44.4</v>
      </c>
      <c r="AB42" s="73">
        <v>48.6</v>
      </c>
      <c r="AC42" s="73">
        <v>48.1</v>
      </c>
      <c r="AD42" s="73">
        <v>48.1</v>
      </c>
      <c r="AE42" s="73">
        <v>48.6</v>
      </c>
      <c r="AF42" s="61">
        <v>50.4</v>
      </c>
      <c r="AG42" s="67">
        <v>60</v>
      </c>
      <c r="AH42" s="54">
        <f t="shared" si="2"/>
        <v>51.4</v>
      </c>
      <c r="AI42" s="55">
        <f t="shared" si="3"/>
        <v>39.799999999999997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10</v>
      </c>
      <c r="I43" s="61">
        <v>9.6</v>
      </c>
      <c r="J43" s="61">
        <v>29</v>
      </c>
      <c r="K43" s="61">
        <v>25</v>
      </c>
      <c r="L43" s="61">
        <v>23.1</v>
      </c>
      <c r="M43" s="50">
        <v>23</v>
      </c>
      <c r="N43" s="50">
        <v>7.2</v>
      </c>
      <c r="O43" s="50">
        <v>6.9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6.4</v>
      </c>
      <c r="W43" s="50">
        <v>10</v>
      </c>
      <c r="X43" s="50">
        <v>20</v>
      </c>
      <c r="Y43" s="50">
        <v>20</v>
      </c>
      <c r="Z43" s="73">
        <v>30</v>
      </c>
      <c r="AA43" s="73">
        <v>30</v>
      </c>
      <c r="AB43" s="73">
        <v>24.9</v>
      </c>
      <c r="AC43" s="73">
        <v>15</v>
      </c>
      <c r="AD43" s="73">
        <v>13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61">
        <v>13</v>
      </c>
      <c r="D45" s="61">
        <v>13</v>
      </c>
      <c r="E45" s="74">
        <v>13</v>
      </c>
      <c r="F45" s="74">
        <v>13</v>
      </c>
      <c r="G45" s="74">
        <v>13</v>
      </c>
      <c r="H45" s="74">
        <v>13</v>
      </c>
      <c r="I45" s="74">
        <v>13</v>
      </c>
      <c r="J45" s="74">
        <v>13</v>
      </c>
      <c r="K45" s="74">
        <v>13</v>
      </c>
      <c r="L45" s="74">
        <v>13</v>
      </c>
      <c r="M45" s="74">
        <v>13</v>
      </c>
      <c r="N45" s="74">
        <v>13</v>
      </c>
      <c r="O45" s="74">
        <v>13</v>
      </c>
      <c r="P45" s="74">
        <v>13</v>
      </c>
      <c r="Q45" s="74">
        <v>13</v>
      </c>
      <c r="R45" s="74">
        <v>13</v>
      </c>
      <c r="S45" s="74">
        <v>13</v>
      </c>
      <c r="T45" s="74">
        <v>13</v>
      </c>
      <c r="U45" s="74">
        <v>13</v>
      </c>
      <c r="V45" s="74">
        <v>13</v>
      </c>
      <c r="W45" s="74">
        <v>13</v>
      </c>
      <c r="X45" s="74">
        <v>13</v>
      </c>
      <c r="Y45" s="74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5.5</v>
      </c>
      <c r="C46" s="61">
        <v>5.5</v>
      </c>
      <c r="D46" s="61">
        <v>5.5</v>
      </c>
      <c r="E46" s="61">
        <v>5.5</v>
      </c>
      <c r="F46" s="61">
        <v>5.5</v>
      </c>
      <c r="G46" s="61">
        <v>5.5</v>
      </c>
      <c r="H46" s="61">
        <v>5.5</v>
      </c>
      <c r="I46" s="61">
        <v>5.5</v>
      </c>
      <c r="J46" s="61">
        <v>5.5</v>
      </c>
      <c r="K46" s="61">
        <v>5.5</v>
      </c>
      <c r="L46" s="61">
        <v>5.5</v>
      </c>
      <c r="M46" s="61">
        <v>5.5</v>
      </c>
      <c r="N46" s="61">
        <v>5.5</v>
      </c>
      <c r="O46" s="61">
        <v>5.5</v>
      </c>
      <c r="P46" s="61">
        <v>5.5</v>
      </c>
      <c r="Q46" s="61">
        <v>5.5</v>
      </c>
      <c r="R46" s="61">
        <v>5.5</v>
      </c>
      <c r="S46" s="61">
        <v>5.5</v>
      </c>
      <c r="T46" s="61">
        <v>5.5</v>
      </c>
      <c r="U46" s="61">
        <v>5.5</v>
      </c>
      <c r="V46" s="61">
        <v>5.5</v>
      </c>
      <c r="W46" s="61">
        <v>5.5</v>
      </c>
      <c r="X46" s="61">
        <v>5.5</v>
      </c>
      <c r="Y46" s="61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61">
        <v>10</v>
      </c>
      <c r="T47" s="61">
        <v>10</v>
      </c>
      <c r="U47" s="61">
        <v>10</v>
      </c>
      <c r="V47" s="61">
        <v>10</v>
      </c>
      <c r="W47" s="61">
        <v>10</v>
      </c>
      <c r="X47" s="61">
        <v>10</v>
      </c>
      <c r="Y47" s="61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61">
        <v>5</v>
      </c>
      <c r="F48" s="61">
        <v>5</v>
      </c>
      <c r="G48" s="61">
        <v>5</v>
      </c>
      <c r="H48" s="61">
        <v>5</v>
      </c>
      <c r="I48" s="61">
        <v>5</v>
      </c>
      <c r="J48" s="61">
        <v>5</v>
      </c>
      <c r="K48" s="61">
        <v>5</v>
      </c>
      <c r="L48" s="61">
        <v>5</v>
      </c>
      <c r="M48" s="61">
        <v>5</v>
      </c>
      <c r="N48" s="61">
        <v>5</v>
      </c>
      <c r="O48" s="61">
        <v>5</v>
      </c>
      <c r="P48" s="61">
        <v>5</v>
      </c>
      <c r="Q48" s="61">
        <v>5</v>
      </c>
      <c r="R48" s="61">
        <v>5</v>
      </c>
      <c r="S48" s="61">
        <v>5</v>
      </c>
      <c r="T48" s="61">
        <v>5</v>
      </c>
      <c r="U48" s="61">
        <v>5</v>
      </c>
      <c r="V48" s="61">
        <v>5</v>
      </c>
      <c r="W48" s="61">
        <v>5</v>
      </c>
      <c r="X48" s="61">
        <v>5</v>
      </c>
      <c r="Y48" s="61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61">
        <v>4.8</v>
      </c>
      <c r="C49" s="61">
        <v>4.8</v>
      </c>
      <c r="D49" s="61">
        <v>4.8</v>
      </c>
      <c r="E49" s="61">
        <v>4.8</v>
      </c>
      <c r="F49" s="61">
        <v>4.8</v>
      </c>
      <c r="G49" s="61">
        <v>4.8</v>
      </c>
      <c r="H49" s="61">
        <v>4.8</v>
      </c>
      <c r="I49" s="61">
        <v>4.8</v>
      </c>
      <c r="J49" s="61">
        <v>4.8</v>
      </c>
      <c r="K49" s="61">
        <v>4.8</v>
      </c>
      <c r="L49" s="61">
        <v>4.8</v>
      </c>
      <c r="M49" s="61">
        <v>4.8</v>
      </c>
      <c r="N49" s="61">
        <v>4.8</v>
      </c>
      <c r="O49" s="61">
        <v>4.8</v>
      </c>
      <c r="P49" s="61">
        <v>4.8</v>
      </c>
      <c r="Q49" s="61">
        <v>4.8</v>
      </c>
      <c r="R49" s="61">
        <v>4.8</v>
      </c>
      <c r="S49" s="61">
        <v>4.8</v>
      </c>
      <c r="T49" s="61">
        <v>4.8</v>
      </c>
      <c r="U49" s="61">
        <v>4.8</v>
      </c>
      <c r="V49" s="61">
        <v>4.8</v>
      </c>
      <c r="W49" s="61">
        <v>4.8</v>
      </c>
      <c r="X49" s="61">
        <v>4.8</v>
      </c>
      <c r="Y49" s="61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U200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v>3.5</v>
      </c>
      <c r="C52" s="72">
        <f t="shared" ref="C52:AF52" si="6">SUM(C39:C51)</f>
        <v>108.14</v>
      </c>
      <c r="D52" s="72">
        <f t="shared" si="6"/>
        <v>119.74000000000001</v>
      </c>
      <c r="E52" s="72">
        <f t="shared" si="6"/>
        <v>119.04</v>
      </c>
      <c r="F52" s="72">
        <f t="shared" si="6"/>
        <v>117.34</v>
      </c>
      <c r="G52" s="72">
        <f t="shared" si="6"/>
        <v>110.24000000000001</v>
      </c>
      <c r="H52" s="72">
        <f t="shared" si="6"/>
        <v>173.14000000000001</v>
      </c>
      <c r="I52" s="72">
        <f t="shared" si="6"/>
        <v>265.64</v>
      </c>
      <c r="J52" s="72">
        <f t="shared" si="6"/>
        <v>371.64000000000004</v>
      </c>
      <c r="K52" s="72">
        <f t="shared" si="6"/>
        <v>396.84000000000003</v>
      </c>
      <c r="L52" s="72">
        <f t="shared" si="6"/>
        <v>398.24000000000007</v>
      </c>
      <c r="M52" s="72">
        <f t="shared" si="6"/>
        <v>388.34000000000003</v>
      </c>
      <c r="N52" s="72">
        <f t="shared" si="6"/>
        <v>267.84000000000003</v>
      </c>
      <c r="O52" s="72">
        <f t="shared" si="6"/>
        <v>257.14000000000004</v>
      </c>
      <c r="P52" s="72">
        <f t="shared" si="6"/>
        <v>239.24</v>
      </c>
      <c r="Q52" s="72">
        <f t="shared" si="6"/>
        <v>219.44</v>
      </c>
      <c r="R52" s="72">
        <f t="shared" si="6"/>
        <v>216.64000000000001</v>
      </c>
      <c r="S52" s="72">
        <f t="shared" si="6"/>
        <v>212.34</v>
      </c>
      <c r="T52" s="72">
        <f t="shared" si="6"/>
        <v>205.34</v>
      </c>
      <c r="U52" s="72">
        <f t="shared" si="6"/>
        <v>207.54</v>
      </c>
      <c r="V52" s="72">
        <f t="shared" si="6"/>
        <v>230.34</v>
      </c>
      <c r="W52" s="72">
        <f t="shared" si="6"/>
        <v>298.44000000000005</v>
      </c>
      <c r="X52" s="72">
        <f t="shared" si="6"/>
        <v>389.04000000000008</v>
      </c>
      <c r="Y52" s="72">
        <f t="shared" si="6"/>
        <v>391.34000000000003</v>
      </c>
      <c r="Z52" s="72">
        <f t="shared" si="6"/>
        <v>401.34000000000003</v>
      </c>
      <c r="AA52" s="72">
        <f t="shared" si="6"/>
        <v>401.34000000000003</v>
      </c>
      <c r="AB52" s="72">
        <f t="shared" si="6"/>
        <v>397.74</v>
      </c>
      <c r="AC52" s="72">
        <f t="shared" si="6"/>
        <v>308.84000000000003</v>
      </c>
      <c r="AD52" s="72">
        <f t="shared" si="6"/>
        <v>266.24</v>
      </c>
      <c r="AE52" s="72">
        <f t="shared" si="6"/>
        <v>139.94</v>
      </c>
      <c r="AF52" s="72">
        <f t="shared" si="6"/>
        <v>94.740000000000009</v>
      </c>
      <c r="AG52" s="78">
        <f>SUM(AG39:AG51)</f>
        <v>489.91</v>
      </c>
      <c r="AH52" s="54">
        <f t="shared" si="2"/>
        <v>401.34000000000003</v>
      </c>
      <c r="AI52" s="55">
        <f t="shared" si="3"/>
        <v>3.5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50">
        <v>0</v>
      </c>
      <c r="F53" s="50">
        <v>0</v>
      </c>
      <c r="G53" s="61">
        <v>0</v>
      </c>
      <c r="H53" s="61">
        <v>0</v>
      </c>
      <c r="I53" s="61">
        <v>14</v>
      </c>
      <c r="J53" s="61">
        <v>40</v>
      </c>
      <c r="K53" s="61">
        <v>40</v>
      </c>
      <c r="L53" s="61">
        <v>50</v>
      </c>
      <c r="M53" s="79">
        <v>49.5</v>
      </c>
      <c r="N53" s="79">
        <v>40</v>
      </c>
      <c r="O53" s="79">
        <v>30</v>
      </c>
      <c r="P53" s="79">
        <v>19.899999999999999</v>
      </c>
      <c r="Q53" s="50">
        <v>29.5</v>
      </c>
      <c r="R53" s="50">
        <v>50</v>
      </c>
      <c r="S53" s="50">
        <v>48.9</v>
      </c>
      <c r="T53" s="50">
        <v>60</v>
      </c>
      <c r="U53" s="50">
        <v>60</v>
      </c>
      <c r="V53" s="50">
        <v>60</v>
      </c>
      <c r="W53" s="50">
        <v>50</v>
      </c>
      <c r="X53" s="50">
        <v>60</v>
      </c>
      <c r="Y53" s="50">
        <v>60</v>
      </c>
      <c r="Z53" s="50">
        <v>60</v>
      </c>
      <c r="AA53" s="50">
        <v>60</v>
      </c>
      <c r="AB53" s="50">
        <v>60</v>
      </c>
      <c r="AC53" s="50">
        <v>40</v>
      </c>
      <c r="AD53" s="50">
        <v>39.799999999999997</v>
      </c>
      <c r="AE53" s="50">
        <v>0</v>
      </c>
      <c r="AF53" s="50">
        <v>0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73">
        <v>0</v>
      </c>
      <c r="F54" s="73">
        <v>0</v>
      </c>
      <c r="G54" s="61">
        <v>0</v>
      </c>
      <c r="H54" s="61">
        <v>0</v>
      </c>
      <c r="I54" s="61">
        <v>5.6</v>
      </c>
      <c r="J54" s="61">
        <v>17.2</v>
      </c>
      <c r="K54" s="61">
        <v>22.3</v>
      </c>
      <c r="L54" s="61">
        <v>19</v>
      </c>
      <c r="M54" s="79">
        <v>22.5</v>
      </c>
      <c r="N54" s="79">
        <v>16.100000000000001</v>
      </c>
      <c r="O54" s="79">
        <v>15.5</v>
      </c>
      <c r="P54" s="79">
        <v>7.9</v>
      </c>
      <c r="Q54" s="73">
        <v>15</v>
      </c>
      <c r="R54" s="73">
        <v>22.9</v>
      </c>
      <c r="S54" s="50">
        <v>21.9</v>
      </c>
      <c r="T54" s="50">
        <v>29.3</v>
      </c>
      <c r="U54" s="50">
        <v>28.7</v>
      </c>
      <c r="V54" s="50">
        <v>28.7</v>
      </c>
      <c r="W54" s="73">
        <v>25.8</v>
      </c>
      <c r="X54" s="73">
        <v>28.6</v>
      </c>
      <c r="Y54" s="73">
        <v>28.6</v>
      </c>
      <c r="Z54" s="73">
        <v>28.6</v>
      </c>
      <c r="AA54" s="73">
        <v>28.6</v>
      </c>
      <c r="AB54" s="73">
        <v>28.4</v>
      </c>
      <c r="AC54" s="73">
        <v>18.2</v>
      </c>
      <c r="AD54" s="73">
        <v>17.7</v>
      </c>
      <c r="AE54" s="73">
        <v>0</v>
      </c>
      <c r="AF54" s="73">
        <v>0</v>
      </c>
      <c r="AG54" s="67">
        <v>32</v>
      </c>
      <c r="AH54" s="54">
        <f t="shared" si="2"/>
        <v>29.3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80">
        <v>0</v>
      </c>
      <c r="F55" s="80">
        <v>0</v>
      </c>
      <c r="G55" s="74">
        <v>0</v>
      </c>
      <c r="H55" s="74">
        <v>0</v>
      </c>
      <c r="I55" s="74">
        <v>2.1</v>
      </c>
      <c r="J55" s="74">
        <v>6.3</v>
      </c>
      <c r="K55" s="74">
        <v>8.1</v>
      </c>
      <c r="L55" s="74">
        <v>6.9</v>
      </c>
      <c r="M55" s="81">
        <v>8.1999999999999993</v>
      </c>
      <c r="N55" s="81">
        <v>5.9</v>
      </c>
      <c r="O55" s="81">
        <v>5.6</v>
      </c>
      <c r="P55" s="81">
        <v>2.9</v>
      </c>
      <c r="Q55" s="80">
        <v>5.5</v>
      </c>
      <c r="R55" s="80">
        <v>8.4</v>
      </c>
      <c r="S55" s="50">
        <v>8</v>
      </c>
      <c r="T55" s="50">
        <v>10.7</v>
      </c>
      <c r="U55" s="50">
        <v>10.5</v>
      </c>
      <c r="V55" s="50">
        <v>10.5</v>
      </c>
      <c r="W55" s="80">
        <v>9.4</v>
      </c>
      <c r="X55" s="80">
        <v>10.4</v>
      </c>
      <c r="Y55" s="80">
        <v>10.4</v>
      </c>
      <c r="Z55" s="80">
        <v>10.4</v>
      </c>
      <c r="AA55" s="80">
        <v>10.4</v>
      </c>
      <c r="AB55" s="80">
        <v>10.4</v>
      </c>
      <c r="AC55" s="80">
        <v>6.6</v>
      </c>
      <c r="AD55" s="80">
        <v>6.4</v>
      </c>
      <c r="AE55" s="80">
        <v>0</v>
      </c>
      <c r="AF55" s="80">
        <v>0</v>
      </c>
      <c r="AG55" s="82">
        <v>14</v>
      </c>
      <c r="AH55" s="54">
        <f t="shared" si="2"/>
        <v>10.7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21.700000000000003</v>
      </c>
      <c r="J56" s="72">
        <f t="shared" si="7"/>
        <v>63.5</v>
      </c>
      <c r="K56" s="72">
        <f t="shared" si="7"/>
        <v>70.399999999999991</v>
      </c>
      <c r="L56" s="72">
        <f t="shared" si="7"/>
        <v>75.900000000000006</v>
      </c>
      <c r="M56" s="72">
        <f t="shared" si="7"/>
        <v>80.2</v>
      </c>
      <c r="N56" s="72">
        <f t="shared" si="7"/>
        <v>62</v>
      </c>
      <c r="O56" s="72">
        <f t="shared" si="7"/>
        <v>51.1</v>
      </c>
      <c r="P56" s="72">
        <f t="shared" si="7"/>
        <v>30.699999999999996</v>
      </c>
      <c r="Q56" s="72">
        <f t="shared" si="7"/>
        <v>50</v>
      </c>
      <c r="R56" s="72">
        <f t="shared" si="7"/>
        <v>81.300000000000011</v>
      </c>
      <c r="S56" s="72">
        <f t="shared" si="7"/>
        <v>78.8</v>
      </c>
      <c r="T56" s="72">
        <f t="shared" si="7"/>
        <v>100</v>
      </c>
      <c r="U56" s="72">
        <f t="shared" si="7"/>
        <v>99.2</v>
      </c>
      <c r="V56" s="72">
        <f t="shared" si="7"/>
        <v>99.2</v>
      </c>
      <c r="W56" s="72">
        <f t="shared" si="7"/>
        <v>85.2</v>
      </c>
      <c r="X56" s="72">
        <f t="shared" si="7"/>
        <v>99</v>
      </c>
      <c r="Y56" s="72">
        <f t="shared" si="7"/>
        <v>99</v>
      </c>
      <c r="Z56" s="72">
        <f t="shared" si="7"/>
        <v>99</v>
      </c>
      <c r="AA56" s="72">
        <f t="shared" si="7"/>
        <v>99</v>
      </c>
      <c r="AB56" s="72">
        <f t="shared" si="7"/>
        <v>98.800000000000011</v>
      </c>
      <c r="AC56" s="72">
        <f t="shared" si="7"/>
        <v>64.8</v>
      </c>
      <c r="AD56" s="72">
        <f t="shared" si="7"/>
        <v>63.9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100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</v>
      </c>
      <c r="C57" s="50">
        <v>68</v>
      </c>
      <c r="D57" s="50">
        <v>59</v>
      </c>
      <c r="E57" s="50">
        <v>67</v>
      </c>
      <c r="F57" s="50">
        <v>67.599999999999994</v>
      </c>
      <c r="G57" s="50">
        <v>71.510000000000005</v>
      </c>
      <c r="H57" s="50">
        <v>68.099999999999994</v>
      </c>
      <c r="I57" s="50">
        <v>59</v>
      </c>
      <c r="J57" s="50">
        <v>42</v>
      </c>
      <c r="K57" s="50">
        <v>23.2</v>
      </c>
      <c r="L57" s="50">
        <v>23.5</v>
      </c>
      <c r="M57" s="50">
        <v>24.69</v>
      </c>
      <c r="N57" s="50">
        <v>72.599999999999994</v>
      </c>
      <c r="O57" s="50">
        <v>71.5</v>
      </c>
      <c r="P57" s="50">
        <v>74.8</v>
      </c>
      <c r="Q57" s="50">
        <v>71.7</v>
      </c>
      <c r="R57" s="50">
        <v>67.8</v>
      </c>
      <c r="S57" s="50">
        <v>69.400000000000006</v>
      </c>
      <c r="T57" s="50">
        <v>74.599999999999994</v>
      </c>
      <c r="U57" s="50">
        <v>76.8</v>
      </c>
      <c r="V57" s="50">
        <v>68.2</v>
      </c>
      <c r="W57" s="50">
        <v>67</v>
      </c>
      <c r="X57" s="50">
        <v>27.8</v>
      </c>
      <c r="Y57" s="50">
        <v>54.6</v>
      </c>
      <c r="Z57" s="50">
        <v>28.8</v>
      </c>
      <c r="AA57" s="50">
        <v>27</v>
      </c>
      <c r="AB57" s="50">
        <v>25.5</v>
      </c>
      <c r="AC57" s="50">
        <v>60.15</v>
      </c>
      <c r="AD57" s="50">
        <v>61</v>
      </c>
      <c r="AE57" s="50">
        <v>72</v>
      </c>
      <c r="AF57" s="50">
        <v>71</v>
      </c>
      <c r="AG57" s="62"/>
      <c r="AH57" s="54">
        <f t="shared" si="2"/>
        <v>76.8</v>
      </c>
      <c r="AI57" s="55">
        <f t="shared" si="3"/>
        <v>23.2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0</v>
      </c>
      <c r="I58" s="73">
        <v>93.1</v>
      </c>
      <c r="J58" s="73">
        <v>102.2</v>
      </c>
      <c r="K58" s="73">
        <v>109</v>
      </c>
      <c r="L58" s="73">
        <v>101.3</v>
      </c>
      <c r="M58" s="50">
        <v>114</v>
      </c>
      <c r="N58" s="50">
        <v>114</v>
      </c>
      <c r="O58" s="50">
        <v>62.6</v>
      </c>
      <c r="P58" s="50">
        <v>105.4</v>
      </c>
      <c r="Q58" s="50">
        <v>96.4</v>
      </c>
      <c r="R58" s="50">
        <v>90.3</v>
      </c>
      <c r="S58" s="50">
        <v>93.5</v>
      </c>
      <c r="T58" s="50">
        <v>91.2</v>
      </c>
      <c r="U58" s="50">
        <v>98.4</v>
      </c>
      <c r="V58" s="50">
        <v>93.3</v>
      </c>
      <c r="W58" s="50">
        <v>89</v>
      </c>
      <c r="X58" s="83">
        <v>106</v>
      </c>
      <c r="Y58" s="83">
        <v>125</v>
      </c>
      <c r="Z58" s="83">
        <v>122</v>
      </c>
      <c r="AA58" s="83">
        <v>115</v>
      </c>
      <c r="AB58" s="73">
        <v>107.2</v>
      </c>
      <c r="AC58" s="73">
        <v>106</v>
      </c>
      <c r="AD58" s="73">
        <v>103</v>
      </c>
      <c r="AE58" s="73">
        <v>88.7</v>
      </c>
      <c r="AF58" s="73">
        <v>55.2</v>
      </c>
      <c r="AG58" s="67"/>
      <c r="AH58" s="54">
        <f t="shared" si="2"/>
        <v>125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340</v>
      </c>
      <c r="C59" s="73">
        <v>350</v>
      </c>
      <c r="D59" s="73">
        <v>380</v>
      </c>
      <c r="E59" s="73">
        <v>367</v>
      </c>
      <c r="F59" s="73">
        <v>389</v>
      </c>
      <c r="G59" s="73">
        <v>328</v>
      </c>
      <c r="H59" s="50">
        <v>336.1</v>
      </c>
      <c r="I59" s="50">
        <v>21</v>
      </c>
      <c r="J59" s="50">
        <v>52</v>
      </c>
      <c r="K59" s="50">
        <v>46.1</v>
      </c>
      <c r="L59" s="50">
        <v>59.2</v>
      </c>
      <c r="M59" s="73">
        <v>45</v>
      </c>
      <c r="N59" s="73">
        <v>366</v>
      </c>
      <c r="O59" s="73">
        <v>378</v>
      </c>
      <c r="P59" s="73">
        <v>348.5</v>
      </c>
      <c r="Q59" s="73">
        <v>333.1</v>
      </c>
      <c r="R59" s="73">
        <v>362.6</v>
      </c>
      <c r="S59" s="73">
        <v>341.4</v>
      </c>
      <c r="T59" s="73">
        <v>339</v>
      </c>
      <c r="U59" s="73">
        <v>362</v>
      </c>
      <c r="V59" s="73">
        <v>270.5</v>
      </c>
      <c r="W59" s="73">
        <v>144</v>
      </c>
      <c r="X59" s="84">
        <v>56</v>
      </c>
      <c r="Y59" s="84">
        <v>66</v>
      </c>
      <c r="Z59" s="84">
        <v>44</v>
      </c>
      <c r="AA59" s="84">
        <v>51</v>
      </c>
      <c r="AB59" s="73">
        <v>60.6</v>
      </c>
      <c r="AC59" s="73">
        <v>195.2</v>
      </c>
      <c r="AD59" s="73">
        <v>186</v>
      </c>
      <c r="AE59" s="73">
        <v>341</v>
      </c>
      <c r="AF59" s="73">
        <v>350.9</v>
      </c>
      <c r="AG59" s="85"/>
      <c r="AH59" s="54">
        <f t="shared" si="2"/>
        <v>389</v>
      </c>
      <c r="AI59" s="55">
        <f t="shared" si="3"/>
        <v>21</v>
      </c>
      <c r="AK59" s="56"/>
    </row>
    <row r="60" spans="1:37" x14ac:dyDescent="0.25">
      <c r="A60" s="66" t="s">
        <v>68</v>
      </c>
      <c r="B60" s="58">
        <v>50</v>
      </c>
      <c r="C60" s="58">
        <v>57</v>
      </c>
      <c r="D60" s="58">
        <v>54</v>
      </c>
      <c r="E60" s="58">
        <v>50.1</v>
      </c>
      <c r="F60" s="58">
        <v>48.9</v>
      </c>
      <c r="G60" s="58">
        <v>50.1</v>
      </c>
      <c r="H60" s="58">
        <v>51.1</v>
      </c>
      <c r="I60" s="58">
        <v>54</v>
      </c>
      <c r="J60" s="58">
        <v>56.6</v>
      </c>
      <c r="K60" s="58">
        <v>55</v>
      </c>
      <c r="L60" s="58">
        <v>53.2</v>
      </c>
      <c r="M60" s="73">
        <v>52.7</v>
      </c>
      <c r="N60" s="73">
        <v>53.4</v>
      </c>
      <c r="O60" s="73">
        <v>52.2</v>
      </c>
      <c r="P60" s="73">
        <v>53.2</v>
      </c>
      <c r="Q60" s="73">
        <v>47</v>
      </c>
      <c r="R60" s="73">
        <v>50.8</v>
      </c>
      <c r="S60" s="73">
        <v>52.5</v>
      </c>
      <c r="T60" s="73">
        <v>39.299999999999997</v>
      </c>
      <c r="U60" s="73">
        <v>51.3</v>
      </c>
      <c r="V60" s="73">
        <v>54.9</v>
      </c>
      <c r="W60" s="73">
        <v>53</v>
      </c>
      <c r="X60" s="73">
        <v>51.4</v>
      </c>
      <c r="Y60" s="73">
        <v>55</v>
      </c>
      <c r="Z60" s="73">
        <v>54</v>
      </c>
      <c r="AA60" s="73">
        <v>55</v>
      </c>
      <c r="AB60" s="73">
        <v>49.1</v>
      </c>
      <c r="AC60" s="73">
        <v>50</v>
      </c>
      <c r="AD60" s="73">
        <v>45</v>
      </c>
      <c r="AE60" s="73">
        <v>55</v>
      </c>
      <c r="AF60" s="58">
        <v>54</v>
      </c>
      <c r="AG60" s="85"/>
      <c r="AH60" s="54">
        <f t="shared" si="2"/>
        <v>57</v>
      </c>
      <c r="AI60" s="55">
        <f t="shared" si="3"/>
        <v>39.299999999999997</v>
      </c>
      <c r="AK60" s="56"/>
    </row>
    <row r="61" spans="1:37" x14ac:dyDescent="0.25">
      <c r="A61" s="66" t="s">
        <v>69</v>
      </c>
      <c r="B61" s="50">
        <v>80</v>
      </c>
      <c r="C61" s="58">
        <v>0</v>
      </c>
      <c r="D61" s="58">
        <v>0</v>
      </c>
      <c r="E61" s="58">
        <v>0</v>
      </c>
      <c r="F61" s="58">
        <v>0</v>
      </c>
      <c r="G61" s="58">
        <v>87.1</v>
      </c>
      <c r="H61" s="58">
        <v>86.8</v>
      </c>
      <c r="I61" s="58">
        <v>0</v>
      </c>
      <c r="J61" s="58">
        <v>0</v>
      </c>
      <c r="K61" s="58">
        <v>82.9</v>
      </c>
      <c r="L61" s="58">
        <v>76.5</v>
      </c>
      <c r="M61" s="50">
        <v>0</v>
      </c>
      <c r="N61" s="50">
        <v>74</v>
      </c>
      <c r="O61" s="50">
        <v>80.099999999999994</v>
      </c>
      <c r="P61" s="50">
        <v>71.5</v>
      </c>
      <c r="Q61" s="50">
        <v>71.5</v>
      </c>
      <c r="R61" s="50">
        <v>36.299999999999997</v>
      </c>
      <c r="S61" s="50">
        <v>37.299999999999997</v>
      </c>
      <c r="T61" s="50">
        <v>36.5</v>
      </c>
      <c r="U61" s="50">
        <v>34.5</v>
      </c>
      <c r="V61" s="50">
        <v>73.3</v>
      </c>
      <c r="W61" s="50">
        <v>67</v>
      </c>
      <c r="X61" s="50">
        <v>82.1</v>
      </c>
      <c r="Y61" s="50">
        <v>85</v>
      </c>
      <c r="Z61" s="50">
        <v>85</v>
      </c>
      <c r="AA61" s="50">
        <v>80.2</v>
      </c>
      <c r="AB61" s="50">
        <v>79.8</v>
      </c>
      <c r="AC61" s="50">
        <v>85</v>
      </c>
      <c r="AD61" s="50">
        <v>78</v>
      </c>
      <c r="AE61" s="50">
        <v>83.4</v>
      </c>
      <c r="AF61" s="50">
        <v>78.5</v>
      </c>
      <c r="AG61" s="85"/>
      <c r="AH61" s="54">
        <f t="shared" si="2"/>
        <v>87.1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60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60">
        <v>0</v>
      </c>
      <c r="D64" s="60">
        <v>0</v>
      </c>
      <c r="E64" s="60">
        <v>0</v>
      </c>
      <c r="F64" s="60">
        <v>0</v>
      </c>
      <c r="G64" s="60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60">
        <v>0</v>
      </c>
      <c r="P64" s="60">
        <v>0</v>
      </c>
      <c r="Q64" s="60">
        <v>0</v>
      </c>
      <c r="R64" s="60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60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60">
        <v>0</v>
      </c>
      <c r="P65" s="60">
        <v>0</v>
      </c>
      <c r="Q65" s="60">
        <v>0</v>
      </c>
      <c r="R65" s="60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60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60">
        <v>0</v>
      </c>
      <c r="P66" s="60">
        <v>0</v>
      </c>
      <c r="Q66" s="60">
        <v>0</v>
      </c>
      <c r="R66" s="60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0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60">
        <v>0</v>
      </c>
      <c r="D67" s="60">
        <v>0</v>
      </c>
      <c r="E67" s="60">
        <v>0</v>
      </c>
      <c r="F67" s="60">
        <v>0</v>
      </c>
      <c r="G67" s="60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60">
        <v>0</v>
      </c>
      <c r="P67" s="60">
        <v>0</v>
      </c>
      <c r="Q67" s="60">
        <v>0</v>
      </c>
      <c r="R67" s="6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0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539</v>
      </c>
      <c r="C68" s="72">
        <f>SUM(C57:C67)</f>
        <v>475</v>
      </c>
      <c r="D68" s="72">
        <f t="shared" ref="D68:AF68" si="8">SUM(D57:D67)</f>
        <v>493</v>
      </c>
      <c r="E68" s="72">
        <f t="shared" si="8"/>
        <v>484.1</v>
      </c>
      <c r="F68" s="72">
        <f t="shared" si="8"/>
        <v>505.5</v>
      </c>
      <c r="G68" s="72">
        <f t="shared" si="8"/>
        <v>536.71</v>
      </c>
      <c r="H68" s="72">
        <f t="shared" si="8"/>
        <v>542.1</v>
      </c>
      <c r="I68" s="72">
        <f t="shared" si="8"/>
        <v>227.1</v>
      </c>
      <c r="J68" s="72">
        <f t="shared" si="8"/>
        <v>252.79999999999998</v>
      </c>
      <c r="K68" s="72">
        <f t="shared" si="8"/>
        <v>316.2</v>
      </c>
      <c r="L68" s="72">
        <f t="shared" si="8"/>
        <v>313.7</v>
      </c>
      <c r="M68" s="72">
        <f t="shared" si="8"/>
        <v>236.39</v>
      </c>
      <c r="N68" s="72">
        <f t="shared" si="8"/>
        <v>680</v>
      </c>
      <c r="O68" s="72">
        <f t="shared" si="8"/>
        <v>644.40000000000009</v>
      </c>
      <c r="P68" s="72">
        <f t="shared" si="8"/>
        <v>653.40000000000009</v>
      </c>
      <c r="Q68" s="72">
        <f t="shared" si="8"/>
        <v>619.70000000000005</v>
      </c>
      <c r="R68" s="72">
        <f t="shared" si="8"/>
        <v>607.79999999999995</v>
      </c>
      <c r="S68" s="72">
        <f t="shared" si="8"/>
        <v>594.09999999999991</v>
      </c>
      <c r="T68" s="72">
        <f t="shared" si="8"/>
        <v>580.6</v>
      </c>
      <c r="U68" s="72">
        <f t="shared" si="8"/>
        <v>623</v>
      </c>
      <c r="V68" s="72">
        <f t="shared" si="8"/>
        <v>560.19999999999993</v>
      </c>
      <c r="W68" s="72">
        <f t="shared" si="8"/>
        <v>420</v>
      </c>
      <c r="X68" s="72">
        <f t="shared" si="8"/>
        <v>323.3</v>
      </c>
      <c r="Y68" s="72">
        <f t="shared" si="8"/>
        <v>385.6</v>
      </c>
      <c r="Z68" s="72">
        <f t="shared" si="8"/>
        <v>333.8</v>
      </c>
      <c r="AA68" s="72">
        <f t="shared" si="8"/>
        <v>328.2</v>
      </c>
      <c r="AB68" s="72">
        <f t="shared" si="8"/>
        <v>322.2</v>
      </c>
      <c r="AC68" s="72">
        <f t="shared" si="8"/>
        <v>496.35</v>
      </c>
      <c r="AD68" s="72">
        <f t="shared" si="8"/>
        <v>473</v>
      </c>
      <c r="AE68" s="72">
        <f t="shared" si="8"/>
        <v>640.1</v>
      </c>
      <c r="AF68" s="72">
        <f t="shared" si="8"/>
        <v>609.59999999999991</v>
      </c>
      <c r="AG68" s="78">
        <f>SUM(AG57:AG67)</f>
        <v>0</v>
      </c>
      <c r="AH68" s="54">
        <f t="shared" si="2"/>
        <v>680</v>
      </c>
      <c r="AI68" s="55">
        <f t="shared" si="3"/>
        <v>227.1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900.19999999999993</v>
      </c>
      <c r="C73" s="89">
        <f>C68+C56+C52+C38+C72</f>
        <v>968.83999999999992</v>
      </c>
      <c r="D73" s="89">
        <f t="shared" ref="D73:AG73" si="10">D68+D56+D52+D38+D72</f>
        <v>970.43999999999994</v>
      </c>
      <c r="E73" s="89">
        <f t="shared" si="10"/>
        <v>960.83999999999992</v>
      </c>
      <c r="F73" s="89">
        <f t="shared" si="10"/>
        <v>978.54</v>
      </c>
      <c r="G73" s="89">
        <f t="shared" si="10"/>
        <v>1004.65</v>
      </c>
      <c r="H73" s="89">
        <f t="shared" si="10"/>
        <v>1100.94</v>
      </c>
      <c r="I73" s="89">
        <f t="shared" si="10"/>
        <v>1160.1400000000001</v>
      </c>
      <c r="J73" s="89">
        <f t="shared" si="10"/>
        <v>1283.6400000000001</v>
      </c>
      <c r="K73" s="89">
        <f t="shared" si="10"/>
        <v>1379.14</v>
      </c>
      <c r="L73" s="89">
        <f t="shared" si="10"/>
        <v>1403.5400000000002</v>
      </c>
      <c r="M73" s="89">
        <f t="shared" si="10"/>
        <v>1320.63</v>
      </c>
      <c r="N73" s="89">
        <f t="shared" si="10"/>
        <v>1378.6399999999999</v>
      </c>
      <c r="O73" s="89">
        <f t="shared" si="10"/>
        <v>1312.14</v>
      </c>
      <c r="P73" s="89">
        <f t="shared" si="10"/>
        <v>1282.8400000000001</v>
      </c>
      <c r="Q73" s="89">
        <f t="shared" si="10"/>
        <v>1248.6400000000001</v>
      </c>
      <c r="R73" s="89">
        <f t="shared" si="10"/>
        <v>1264.1399999999999</v>
      </c>
      <c r="S73" s="89">
        <f t="shared" si="10"/>
        <v>1232.3399999999999</v>
      </c>
      <c r="T73" s="89">
        <f t="shared" si="10"/>
        <v>1233.04</v>
      </c>
      <c r="U73" s="89">
        <f t="shared" si="10"/>
        <v>1276.8399999999999</v>
      </c>
      <c r="V73" s="89">
        <f t="shared" si="10"/>
        <v>1261.8399999999999</v>
      </c>
      <c r="W73" s="89">
        <f t="shared" si="10"/>
        <v>1238.74</v>
      </c>
      <c r="X73" s="89">
        <f t="shared" si="10"/>
        <v>1286.44</v>
      </c>
      <c r="Y73" s="89">
        <f t="shared" si="10"/>
        <v>1431.04</v>
      </c>
      <c r="Z73" s="89">
        <f t="shared" si="10"/>
        <v>1500.64</v>
      </c>
      <c r="AA73" s="89">
        <f t="shared" si="10"/>
        <v>1415.04</v>
      </c>
      <c r="AB73" s="89">
        <f t="shared" si="10"/>
        <v>1329.34</v>
      </c>
      <c r="AC73" s="89">
        <f t="shared" si="10"/>
        <v>1278.79</v>
      </c>
      <c r="AD73" s="89">
        <f t="shared" si="10"/>
        <v>1191.94</v>
      </c>
      <c r="AE73" s="89">
        <f t="shared" si="10"/>
        <v>1142.6399999999999</v>
      </c>
      <c r="AF73" s="89">
        <f t="shared" si="10"/>
        <v>1065.3399999999999</v>
      </c>
      <c r="AG73" s="89">
        <f t="shared" si="10"/>
        <v>2144.14</v>
      </c>
      <c r="AH73" s="54">
        <f t="shared" si="2"/>
        <v>1500.64</v>
      </c>
      <c r="AI73" s="55">
        <f t="shared" si="3"/>
        <v>900.19999999999993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900.19999999999993</v>
      </c>
      <c r="C75" s="89">
        <f>C73+C74</f>
        <v>968.83999999999992</v>
      </c>
      <c r="D75" s="89">
        <f t="shared" ref="D75:AF75" si="11">D72+D68+D56+D52+D38+D74</f>
        <v>970.43999999999994</v>
      </c>
      <c r="E75" s="89">
        <f t="shared" si="11"/>
        <v>960.83999999999992</v>
      </c>
      <c r="F75" s="89">
        <f t="shared" si="11"/>
        <v>978.54</v>
      </c>
      <c r="G75" s="89">
        <f t="shared" si="11"/>
        <v>1004.65</v>
      </c>
      <c r="H75" s="89">
        <f t="shared" si="11"/>
        <v>1100.94</v>
      </c>
      <c r="I75" s="89">
        <f t="shared" si="11"/>
        <v>1160.1400000000001</v>
      </c>
      <c r="J75" s="89">
        <f t="shared" si="11"/>
        <v>1283.6400000000001</v>
      </c>
      <c r="K75" s="89">
        <f t="shared" si="11"/>
        <v>1379.14</v>
      </c>
      <c r="L75" s="89">
        <f t="shared" si="11"/>
        <v>1403.5400000000002</v>
      </c>
      <c r="M75" s="89">
        <f t="shared" si="11"/>
        <v>1320.63</v>
      </c>
      <c r="N75" s="89">
        <f t="shared" si="11"/>
        <v>1378.6399999999999</v>
      </c>
      <c r="O75" s="89">
        <f t="shared" si="11"/>
        <v>1312.14</v>
      </c>
      <c r="P75" s="89">
        <f t="shared" si="11"/>
        <v>1282.8400000000001</v>
      </c>
      <c r="Q75" s="89">
        <f t="shared" si="11"/>
        <v>1248.6400000000001</v>
      </c>
      <c r="R75" s="89">
        <f t="shared" si="11"/>
        <v>1264.1399999999999</v>
      </c>
      <c r="S75" s="89">
        <f t="shared" si="11"/>
        <v>1232.3399999999999</v>
      </c>
      <c r="T75" s="89">
        <f t="shared" si="11"/>
        <v>1233.04</v>
      </c>
      <c r="U75" s="89">
        <f t="shared" si="11"/>
        <v>1276.8399999999999</v>
      </c>
      <c r="V75" s="89">
        <f t="shared" si="11"/>
        <v>1261.8399999999999</v>
      </c>
      <c r="W75" s="89">
        <f t="shared" si="11"/>
        <v>1238.74</v>
      </c>
      <c r="X75" s="89">
        <f t="shared" si="11"/>
        <v>1286.44</v>
      </c>
      <c r="Y75" s="89">
        <f t="shared" si="11"/>
        <v>1431.04</v>
      </c>
      <c r="Z75" s="89">
        <f t="shared" si="11"/>
        <v>1500.64</v>
      </c>
      <c r="AA75" s="89">
        <f t="shared" si="11"/>
        <v>1415.04</v>
      </c>
      <c r="AB75" s="89">
        <f t="shared" si="11"/>
        <v>1329.34</v>
      </c>
      <c r="AC75" s="89">
        <f t="shared" si="11"/>
        <v>1278.79</v>
      </c>
      <c r="AD75" s="89">
        <f t="shared" si="11"/>
        <v>1191.94</v>
      </c>
      <c r="AE75" s="89">
        <f t="shared" si="11"/>
        <v>1142.6399999999999</v>
      </c>
      <c r="AF75" s="89">
        <f t="shared" si="11"/>
        <v>1065.3399999999999</v>
      </c>
      <c r="AG75" s="78">
        <f>AG72+AG68+AG56+AG52+AG38+AG74</f>
        <v>2144.14</v>
      </c>
      <c r="AH75" s="54">
        <f t="shared" si="2"/>
        <v>1500.64</v>
      </c>
      <c r="AI75" s="55">
        <f t="shared" si="3"/>
        <v>900.19999999999993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1800.3999999999999</v>
      </c>
      <c r="C83" s="72">
        <f t="shared" ref="C83:AG83" si="20">SUM(C70:C82)</f>
        <v>1937.6799999999998</v>
      </c>
      <c r="D83" s="72">
        <f t="shared" si="20"/>
        <v>1940.8799999999999</v>
      </c>
      <c r="E83" s="72">
        <f t="shared" si="20"/>
        <v>1921.6799999999998</v>
      </c>
      <c r="F83" s="72">
        <f t="shared" si="20"/>
        <v>1957.08</v>
      </c>
      <c r="G83" s="72">
        <f t="shared" si="20"/>
        <v>2009.3</v>
      </c>
      <c r="H83" s="72">
        <f t="shared" si="20"/>
        <v>2201.88</v>
      </c>
      <c r="I83" s="72">
        <f t="shared" si="20"/>
        <v>2320.2800000000002</v>
      </c>
      <c r="J83" s="72">
        <f t="shared" si="20"/>
        <v>2567.2800000000002</v>
      </c>
      <c r="K83" s="72">
        <f t="shared" si="20"/>
        <v>2758.28</v>
      </c>
      <c r="L83" s="72">
        <f t="shared" si="20"/>
        <v>2807.0800000000004</v>
      </c>
      <c r="M83" s="72">
        <f t="shared" si="20"/>
        <v>2641.26</v>
      </c>
      <c r="N83" s="72">
        <f t="shared" si="20"/>
        <v>2757.2799999999997</v>
      </c>
      <c r="O83" s="72">
        <f t="shared" si="20"/>
        <v>2624.28</v>
      </c>
      <c r="P83" s="72">
        <f t="shared" si="20"/>
        <v>2565.6800000000003</v>
      </c>
      <c r="Q83" s="72">
        <f t="shared" si="20"/>
        <v>2497.2800000000002</v>
      </c>
      <c r="R83" s="72">
        <f t="shared" si="20"/>
        <v>2528.2799999999997</v>
      </c>
      <c r="S83" s="72">
        <f t="shared" si="20"/>
        <v>2464.6799999999998</v>
      </c>
      <c r="T83" s="72">
        <f t="shared" si="20"/>
        <v>2466.08</v>
      </c>
      <c r="U83" s="72">
        <f t="shared" si="20"/>
        <v>2553.6799999999998</v>
      </c>
      <c r="V83" s="72">
        <f t="shared" si="20"/>
        <v>2523.6799999999998</v>
      </c>
      <c r="W83" s="72">
        <f t="shared" si="20"/>
        <v>2477.48</v>
      </c>
      <c r="X83" s="72">
        <f t="shared" si="20"/>
        <v>2572.88</v>
      </c>
      <c r="Y83" s="72">
        <f t="shared" si="20"/>
        <v>2862.08</v>
      </c>
      <c r="Z83" s="72">
        <f t="shared" si="20"/>
        <v>3001.28</v>
      </c>
      <c r="AA83" s="72">
        <f t="shared" si="20"/>
        <v>2830.08</v>
      </c>
      <c r="AB83" s="72">
        <f t="shared" si="20"/>
        <v>2658.68</v>
      </c>
      <c r="AC83" s="72">
        <f t="shared" si="20"/>
        <v>2557.58</v>
      </c>
      <c r="AD83" s="72">
        <f t="shared" si="20"/>
        <v>2383.88</v>
      </c>
      <c r="AE83" s="72">
        <f t="shared" si="20"/>
        <v>2285.2799999999997</v>
      </c>
      <c r="AF83" s="72">
        <f t="shared" si="20"/>
        <v>2130.6799999999998</v>
      </c>
      <c r="AG83" s="78">
        <f t="shared" si="20"/>
        <v>4360.08</v>
      </c>
      <c r="AH83" s="54">
        <f t="shared" si="13"/>
        <v>3001.28</v>
      </c>
      <c r="AI83" s="55">
        <f t="shared" si="14"/>
        <v>1800.3999999999999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50.02</v>
      </c>
      <c r="C84" s="96">
        <v>50</v>
      </c>
      <c r="D84" s="96">
        <v>50</v>
      </c>
      <c r="E84" s="96">
        <v>50.05</v>
      </c>
      <c r="F84" s="96">
        <v>50.021000000000001</v>
      </c>
      <c r="G84" s="96">
        <v>50.058</v>
      </c>
      <c r="H84" s="96">
        <v>49.96</v>
      </c>
      <c r="I84" s="96">
        <v>50.113</v>
      </c>
      <c r="J84" s="96">
        <v>49.9</v>
      </c>
      <c r="K84" s="96">
        <v>49.908999999999999</v>
      </c>
      <c r="L84" s="96">
        <v>49.832999999999998</v>
      </c>
      <c r="M84" s="96">
        <v>50.064</v>
      </c>
      <c r="N84" s="96">
        <v>50.04</v>
      </c>
      <c r="O84" s="96">
        <v>50.002000000000002</v>
      </c>
      <c r="P84" s="96">
        <v>49.945999999999998</v>
      </c>
      <c r="Q84" s="96">
        <v>50.033000000000001</v>
      </c>
      <c r="R84" s="96">
        <v>50.113999999999997</v>
      </c>
      <c r="S84" s="96">
        <v>49.968000000000004</v>
      </c>
      <c r="T84" s="96">
        <v>50.055999999999997</v>
      </c>
      <c r="U84" s="96">
        <v>49.948999999999998</v>
      </c>
      <c r="V84" s="96">
        <v>49.99</v>
      </c>
      <c r="W84" s="96">
        <v>49.975999999999999</v>
      </c>
      <c r="X84" s="96">
        <v>49.978999999999999</v>
      </c>
      <c r="Y84" s="96">
        <v>49.878999999999998</v>
      </c>
      <c r="Z84" s="96">
        <v>49.881999999999998</v>
      </c>
      <c r="AA84" s="96">
        <v>49.893000000000001</v>
      </c>
      <c r="AB84" s="96">
        <v>50.045999999999999</v>
      </c>
      <c r="AC84" s="96">
        <v>50.052999999999997</v>
      </c>
      <c r="AD84" s="96">
        <v>50.09</v>
      </c>
      <c r="AE84" s="96">
        <v>50.06</v>
      </c>
      <c r="AF84" s="96">
        <v>49.98</v>
      </c>
      <c r="AG84" s="97"/>
      <c r="AH84" s="54">
        <f t="shared" si="13"/>
        <v>50.113999999999997</v>
      </c>
      <c r="AI84" s="55">
        <f t="shared" si="14"/>
        <v>49.832999999999998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127.6</v>
      </c>
      <c r="C85" s="73">
        <v>125</v>
      </c>
      <c r="D85" s="73">
        <v>123</v>
      </c>
      <c r="E85" s="73">
        <v>125.1</v>
      </c>
      <c r="F85" s="73">
        <v>127.8</v>
      </c>
      <c r="G85" s="73">
        <v>127.3</v>
      </c>
      <c r="H85" s="73">
        <v>126.6</v>
      </c>
      <c r="I85" s="73">
        <v>124.6</v>
      </c>
      <c r="J85" s="73">
        <v>123.8</v>
      </c>
      <c r="K85" s="73">
        <v>125.5</v>
      </c>
      <c r="L85" s="73">
        <v>125.9</v>
      </c>
      <c r="M85" s="73">
        <v>125.7</v>
      </c>
      <c r="N85" s="73">
        <v>125.3</v>
      </c>
      <c r="O85" s="73">
        <v>124.6</v>
      </c>
      <c r="P85" s="73">
        <v>123.7</v>
      </c>
      <c r="Q85" s="73">
        <v>123</v>
      </c>
      <c r="R85" s="73">
        <v>122.9</v>
      </c>
      <c r="S85" s="73">
        <v>124</v>
      </c>
      <c r="T85" s="73">
        <v>124.4</v>
      </c>
      <c r="U85" s="100">
        <v>122.2</v>
      </c>
      <c r="V85" s="100">
        <v>126.9</v>
      </c>
      <c r="W85" s="100">
        <v>128.5</v>
      </c>
      <c r="X85" s="100">
        <v>127.8</v>
      </c>
      <c r="Y85" s="100">
        <v>126.8</v>
      </c>
      <c r="Z85" s="100">
        <v>126.3</v>
      </c>
      <c r="AA85" s="100">
        <v>127.2</v>
      </c>
      <c r="AB85" s="73">
        <v>128.30000000000001</v>
      </c>
      <c r="AC85" s="73">
        <v>127.9</v>
      </c>
      <c r="AD85" s="73">
        <v>128.30000000000001</v>
      </c>
      <c r="AE85" s="73">
        <v>125.9</v>
      </c>
      <c r="AF85" s="73">
        <v>124.9</v>
      </c>
      <c r="AG85" s="101"/>
      <c r="AH85" s="54">
        <f t="shared" si="13"/>
        <v>128.5</v>
      </c>
      <c r="AI85" s="55">
        <f t="shared" si="14"/>
        <v>122.2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131</v>
      </c>
      <c r="C86" s="73">
        <v>129.5</v>
      </c>
      <c r="D86" s="73">
        <v>128</v>
      </c>
      <c r="E86" s="73">
        <v>129.69999999999999</v>
      </c>
      <c r="F86" s="73">
        <v>131.1</v>
      </c>
      <c r="G86" s="73">
        <v>131</v>
      </c>
      <c r="H86" s="73">
        <v>129.80000000000001</v>
      </c>
      <c r="I86" s="73">
        <v>128.4</v>
      </c>
      <c r="J86" s="73">
        <v>128.19999999999999</v>
      </c>
      <c r="K86" s="73">
        <v>128.9</v>
      </c>
      <c r="L86" s="73">
        <v>129</v>
      </c>
      <c r="M86" s="73">
        <v>129</v>
      </c>
      <c r="N86" s="73">
        <v>129</v>
      </c>
      <c r="O86" s="73">
        <v>128.1</v>
      </c>
      <c r="P86" s="73">
        <v>127.5</v>
      </c>
      <c r="Q86" s="73">
        <v>126.8</v>
      </c>
      <c r="R86" s="73">
        <v>127</v>
      </c>
      <c r="S86" s="73">
        <v>127.5</v>
      </c>
      <c r="T86" s="73">
        <v>128</v>
      </c>
      <c r="U86" s="100">
        <v>126.9</v>
      </c>
      <c r="V86" s="100">
        <v>130</v>
      </c>
      <c r="W86" s="100">
        <v>131.19999999999999</v>
      </c>
      <c r="X86" s="100">
        <v>130.4</v>
      </c>
      <c r="Y86" s="100">
        <v>129.4</v>
      </c>
      <c r="Z86" s="100">
        <v>129</v>
      </c>
      <c r="AA86" s="100">
        <v>130.1</v>
      </c>
      <c r="AB86" s="73">
        <v>131.30000000000001</v>
      </c>
      <c r="AC86" s="73">
        <v>131.1</v>
      </c>
      <c r="AD86" s="73">
        <v>131.19999999999999</v>
      </c>
      <c r="AE86" s="73">
        <v>130.19999999999999</v>
      </c>
      <c r="AF86" s="73">
        <v>129.30000000000001</v>
      </c>
      <c r="AG86" s="101"/>
      <c r="AH86" s="54">
        <f t="shared" si="13"/>
        <v>131.30000000000001</v>
      </c>
      <c r="AI86" s="55">
        <f t="shared" si="14"/>
        <v>126.8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</v>
      </c>
      <c r="C87" s="73">
        <v>132</v>
      </c>
      <c r="D87" s="73">
        <v>131</v>
      </c>
      <c r="E87" s="73">
        <v>131.69999999999999</v>
      </c>
      <c r="F87" s="73">
        <v>132.1</v>
      </c>
      <c r="G87" s="73">
        <v>133.30000000000001</v>
      </c>
      <c r="H87" s="73">
        <v>128.1</v>
      </c>
      <c r="I87" s="73">
        <v>122.4</v>
      </c>
      <c r="J87" s="73">
        <v>123.9</v>
      </c>
      <c r="K87" s="73">
        <v>122.3</v>
      </c>
      <c r="L87" s="73">
        <v>123.7</v>
      </c>
      <c r="M87" s="73">
        <v>122.9</v>
      </c>
      <c r="N87" s="73">
        <v>131.6</v>
      </c>
      <c r="O87" s="73">
        <v>126.8</v>
      </c>
      <c r="P87" s="73">
        <v>126.4</v>
      </c>
      <c r="Q87" s="73">
        <v>129</v>
      </c>
      <c r="R87" s="73">
        <v>131</v>
      </c>
      <c r="S87" s="73">
        <v>128.5</v>
      </c>
      <c r="T87" s="73">
        <v>129.1</v>
      </c>
      <c r="U87" s="73">
        <v>127.7</v>
      </c>
      <c r="V87" s="73">
        <v>129.5</v>
      </c>
      <c r="W87" s="73">
        <v>129.19999999999999</v>
      </c>
      <c r="X87" s="100">
        <v>129.6</v>
      </c>
      <c r="Y87" s="100">
        <v>125.8</v>
      </c>
      <c r="Z87" s="100">
        <v>130</v>
      </c>
      <c r="AA87" s="100">
        <v>130.4</v>
      </c>
      <c r="AB87" s="73">
        <v>130.5</v>
      </c>
      <c r="AC87" s="73">
        <v>130</v>
      </c>
      <c r="AD87" s="73">
        <v>130.6</v>
      </c>
      <c r="AE87" s="73">
        <v>134.6</v>
      </c>
      <c r="AF87" s="73">
        <v>131.6</v>
      </c>
      <c r="AG87" s="101"/>
      <c r="AH87" s="54">
        <f t="shared" si="13"/>
        <v>134.6</v>
      </c>
      <c r="AI87" s="55">
        <f t="shared" si="14"/>
        <v>122.3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133</v>
      </c>
      <c r="C88" s="73">
        <v>135</v>
      </c>
      <c r="D88" s="73">
        <v>134.6</v>
      </c>
      <c r="E88" s="73">
        <v>135.9</v>
      </c>
      <c r="F88" s="73">
        <v>136.19999999999999</v>
      </c>
      <c r="G88" s="73">
        <v>137</v>
      </c>
      <c r="H88" s="73">
        <v>132.1</v>
      </c>
      <c r="I88" s="73">
        <v>132.5</v>
      </c>
      <c r="J88" s="73">
        <v>129.4</v>
      </c>
      <c r="K88" s="73">
        <v>132.19999999999999</v>
      </c>
      <c r="L88" s="73">
        <v>132</v>
      </c>
      <c r="M88" s="73">
        <v>131.1</v>
      </c>
      <c r="N88" s="73"/>
      <c r="O88" s="73">
        <v>128.5</v>
      </c>
      <c r="P88" s="73">
        <v>128.30000000000001</v>
      </c>
      <c r="Q88" s="73">
        <v>131.19999999999999</v>
      </c>
      <c r="R88" s="73">
        <v>133.69999999999999</v>
      </c>
      <c r="S88" s="73">
        <v>130.4</v>
      </c>
      <c r="T88" s="73">
        <v>130.4</v>
      </c>
      <c r="U88" s="73">
        <v>129.19999999999999</v>
      </c>
      <c r="V88" s="73">
        <v>131.19999999999999</v>
      </c>
      <c r="W88" s="73">
        <v>131.30000000000001</v>
      </c>
      <c r="X88" s="100">
        <v>131.19999999999999</v>
      </c>
      <c r="Y88" s="100">
        <v>127.1</v>
      </c>
      <c r="Z88" s="100">
        <v>132</v>
      </c>
      <c r="AA88" s="100">
        <v>133.30000000000001</v>
      </c>
      <c r="AB88" s="73">
        <v>132.6</v>
      </c>
      <c r="AC88" s="73">
        <v>130</v>
      </c>
      <c r="AD88" s="73">
        <v>133.4</v>
      </c>
      <c r="AE88" s="73">
        <v>135.80000000000001</v>
      </c>
      <c r="AF88" s="73">
        <v>131.80000000000001</v>
      </c>
      <c r="AG88" s="101"/>
      <c r="AH88" s="54">
        <f t="shared" si="13"/>
        <v>137</v>
      </c>
      <c r="AI88" s="55">
        <f t="shared" si="14"/>
        <v>127.1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130</v>
      </c>
      <c r="C89" s="104">
        <v>131</v>
      </c>
      <c r="D89" s="104">
        <v>127</v>
      </c>
      <c r="E89" s="104">
        <v>130.9</v>
      </c>
      <c r="F89" s="104">
        <v>130.30000000000001</v>
      </c>
      <c r="G89" s="104">
        <v>130.1</v>
      </c>
      <c r="H89" s="104">
        <v>132.19999999999999</v>
      </c>
      <c r="I89" s="104">
        <v>133.6</v>
      </c>
      <c r="J89" s="104">
        <v>132.80000000000001</v>
      </c>
      <c r="K89" s="104">
        <v>134.1</v>
      </c>
      <c r="L89" s="104">
        <v>133.80000000000001</v>
      </c>
      <c r="M89" s="104">
        <v>134</v>
      </c>
      <c r="N89" s="104">
        <v>133.80000000000001</v>
      </c>
      <c r="O89" s="104">
        <v>131</v>
      </c>
      <c r="P89" s="104">
        <v>131</v>
      </c>
      <c r="Q89" s="104">
        <v>132.80000000000001</v>
      </c>
      <c r="R89" s="104">
        <v>133.1</v>
      </c>
      <c r="S89" s="104">
        <v>131.1</v>
      </c>
      <c r="T89" s="104">
        <v>132.1</v>
      </c>
      <c r="U89" s="104">
        <v>132.30000000000001</v>
      </c>
      <c r="V89" s="104">
        <v>137.1</v>
      </c>
      <c r="W89" s="104">
        <v>135.4</v>
      </c>
      <c r="X89" s="100">
        <v>134.5</v>
      </c>
      <c r="Y89" s="100">
        <v>135.5</v>
      </c>
      <c r="Z89" s="100">
        <v>133.30000000000001</v>
      </c>
      <c r="AA89" s="100">
        <v>134.5</v>
      </c>
      <c r="AB89" s="104">
        <v>135</v>
      </c>
      <c r="AC89" s="104">
        <v>132.4</v>
      </c>
      <c r="AD89" s="104">
        <v>133.69999999999999</v>
      </c>
      <c r="AE89" s="104">
        <v>130.5</v>
      </c>
      <c r="AF89" s="104">
        <v>130</v>
      </c>
      <c r="AG89" s="105"/>
      <c r="AH89" s="54">
        <f t="shared" si="13"/>
        <v>137.1</v>
      </c>
      <c r="AI89" s="55">
        <f t="shared" si="14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135</v>
      </c>
      <c r="C90" s="73">
        <v>136</v>
      </c>
      <c r="D90" s="73">
        <v>136</v>
      </c>
      <c r="E90" s="73">
        <v>136.69999999999999</v>
      </c>
      <c r="F90" s="73">
        <v>137.5</v>
      </c>
      <c r="G90" s="73">
        <v>136.4</v>
      </c>
      <c r="H90" s="73">
        <v>135.30000000000001</v>
      </c>
      <c r="I90" s="73">
        <v>134.19999999999999</v>
      </c>
      <c r="J90" s="73">
        <v>130.1</v>
      </c>
      <c r="K90" s="73">
        <v>134</v>
      </c>
      <c r="L90" s="73">
        <v>131.4</v>
      </c>
      <c r="M90" s="73">
        <v>134</v>
      </c>
      <c r="N90" s="73">
        <v>10.199999999999999</v>
      </c>
      <c r="O90" s="73">
        <v>133.19999999999999</v>
      </c>
      <c r="P90" s="73">
        <v>130.6</v>
      </c>
      <c r="Q90" s="73">
        <v>132.6</v>
      </c>
      <c r="R90" s="73">
        <v>134.6</v>
      </c>
      <c r="S90" s="73">
        <v>131.4</v>
      </c>
      <c r="T90" s="73">
        <v>131.69999999999999</v>
      </c>
      <c r="U90" s="73">
        <v>130.30000000000001</v>
      </c>
      <c r="V90" s="73">
        <v>131.19999999999999</v>
      </c>
      <c r="W90" s="73">
        <v>130.6</v>
      </c>
      <c r="X90" s="100">
        <v>134</v>
      </c>
      <c r="Y90" s="100">
        <v>132.69999999999999</v>
      </c>
      <c r="Z90" s="100">
        <v>132.1</v>
      </c>
      <c r="AA90" s="100">
        <v>129.4</v>
      </c>
      <c r="AB90" s="73">
        <v>131</v>
      </c>
      <c r="AC90" s="73">
        <v>136.4</v>
      </c>
      <c r="AD90" s="73">
        <v>133.80000000000001</v>
      </c>
      <c r="AE90" s="73">
        <v>131.5</v>
      </c>
      <c r="AF90" s="73">
        <v>130.69999999999999</v>
      </c>
      <c r="AG90" s="101"/>
      <c r="AH90" s="54">
        <f t="shared" si="13"/>
        <v>137.5</v>
      </c>
      <c r="AI90" s="55">
        <f t="shared" si="14"/>
        <v>10.199999999999999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65.599999999999994</v>
      </c>
      <c r="C91" s="107">
        <v>64.8</v>
      </c>
      <c r="D91" s="107">
        <v>64.3</v>
      </c>
      <c r="E91" s="107">
        <v>64.900000000000006</v>
      </c>
      <c r="F91" s="107">
        <v>65.8</v>
      </c>
      <c r="G91" s="107">
        <v>65.5</v>
      </c>
      <c r="H91" s="107">
        <v>64.900000000000006</v>
      </c>
      <c r="I91" s="107">
        <v>64.8</v>
      </c>
      <c r="J91" s="107">
        <v>64.8</v>
      </c>
      <c r="K91" s="107">
        <v>65.400000000000006</v>
      </c>
      <c r="L91" s="107">
        <v>65.400000000000006</v>
      </c>
      <c r="M91" s="107">
        <v>65.5</v>
      </c>
      <c r="N91" s="107">
        <v>64.8</v>
      </c>
      <c r="O91" s="107">
        <v>64.5</v>
      </c>
      <c r="P91" s="107">
        <v>64.8</v>
      </c>
      <c r="Q91" s="107">
        <v>64</v>
      </c>
      <c r="R91" s="107">
        <v>64.599999999999994</v>
      </c>
      <c r="S91" s="107">
        <v>64.5</v>
      </c>
      <c r="T91" s="107">
        <v>64.7</v>
      </c>
      <c r="U91" s="107">
        <v>64.099999999999994</v>
      </c>
      <c r="V91" s="107">
        <v>65.599999999999994</v>
      </c>
      <c r="W91" s="107">
        <v>65.900000000000006</v>
      </c>
      <c r="X91" s="107">
        <v>65.8</v>
      </c>
      <c r="Y91" s="107">
        <v>65.3</v>
      </c>
      <c r="Z91" s="107">
        <v>65</v>
      </c>
      <c r="AA91" s="107">
        <v>65.7</v>
      </c>
      <c r="AB91" s="107">
        <v>66.400000000000006</v>
      </c>
      <c r="AC91" s="107">
        <v>66.099999999999994</v>
      </c>
      <c r="AD91" s="107">
        <v>66</v>
      </c>
      <c r="AE91" s="107">
        <v>65.7</v>
      </c>
      <c r="AF91" s="107">
        <v>65.3</v>
      </c>
      <c r="AG91" s="108"/>
      <c r="AH91" s="54">
        <f t="shared" si="13"/>
        <v>66.400000000000006</v>
      </c>
      <c r="AI91" s="55">
        <f t="shared" si="14"/>
        <v>64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AF93" si="21">SUM(B15,B18,B21:B22,B42,B44:B45,B47,B49,B94:B97,B103,B109,B115,B124,B126,B138,B145,B148:B149,B156,B158,B160,B164:B166,B168:B170,B175,B181:B182,B184:B186,B194,B199)</f>
        <v>163.53999999999996</v>
      </c>
      <c r="C93" s="114">
        <f t="shared" si="21"/>
        <v>154.54</v>
      </c>
      <c r="D93" s="114">
        <f t="shared" si="21"/>
        <v>156.13999999999999</v>
      </c>
      <c r="E93" s="114">
        <f t="shared" si="21"/>
        <v>151.04</v>
      </c>
      <c r="F93" s="114">
        <f t="shared" si="21"/>
        <v>163.93999999999997</v>
      </c>
      <c r="G93" s="113">
        <f t="shared" si="21"/>
        <v>174.93999999999997</v>
      </c>
      <c r="H93" s="113">
        <f t="shared" si="21"/>
        <v>209.23999999999995</v>
      </c>
      <c r="I93" s="113">
        <f t="shared" si="21"/>
        <v>260.64000000000004</v>
      </c>
      <c r="J93" s="113">
        <f t="shared" si="21"/>
        <v>295.84000000000003</v>
      </c>
      <c r="K93" s="113">
        <f t="shared" si="21"/>
        <v>334.74</v>
      </c>
      <c r="L93" s="113">
        <f t="shared" si="21"/>
        <v>363.54</v>
      </c>
      <c r="M93" s="113">
        <f t="shared" si="21"/>
        <v>343.84000000000003</v>
      </c>
      <c r="N93" s="113">
        <f t="shared" si="21"/>
        <v>308.94000000000005</v>
      </c>
      <c r="O93" s="113">
        <f t="shared" si="21"/>
        <v>304.94000000000005</v>
      </c>
      <c r="P93" s="113">
        <f t="shared" si="21"/>
        <v>286.64000000000004</v>
      </c>
      <c r="Q93" s="113">
        <f t="shared" si="21"/>
        <v>290.54000000000002</v>
      </c>
      <c r="R93" s="113">
        <f t="shared" si="21"/>
        <v>299.44</v>
      </c>
      <c r="S93" s="113">
        <f t="shared" si="21"/>
        <v>285.54000000000002</v>
      </c>
      <c r="T93" s="113">
        <f t="shared" si="21"/>
        <v>288.94</v>
      </c>
      <c r="U93" s="113">
        <f t="shared" si="21"/>
        <v>297.94000000000005</v>
      </c>
      <c r="V93" s="113">
        <f t="shared" si="21"/>
        <v>294.34000000000003</v>
      </c>
      <c r="W93" s="113">
        <f t="shared" si="21"/>
        <v>305.04000000000002</v>
      </c>
      <c r="X93" s="113">
        <f t="shared" si="21"/>
        <v>322.44000000000005</v>
      </c>
      <c r="Y93" s="113">
        <f t="shared" si="21"/>
        <v>367.14000000000004</v>
      </c>
      <c r="Z93" s="113">
        <f t="shared" si="21"/>
        <v>390.24</v>
      </c>
      <c r="AA93" s="113">
        <f t="shared" si="21"/>
        <v>357.54000000000008</v>
      </c>
      <c r="AB93" s="113">
        <f t="shared" si="21"/>
        <v>329.64</v>
      </c>
      <c r="AC93" s="113">
        <f t="shared" si="21"/>
        <v>301.64000000000004</v>
      </c>
      <c r="AD93" s="113">
        <f t="shared" si="21"/>
        <v>274.54000000000002</v>
      </c>
      <c r="AE93" s="113">
        <f t="shared" si="21"/>
        <v>220.13999999999996</v>
      </c>
      <c r="AF93" s="113">
        <f t="shared" si="21"/>
        <v>191.93999999999997</v>
      </c>
      <c r="AG93" s="115"/>
      <c r="AH93" s="54">
        <f>MAX(C93:AF93)</f>
        <v>390.24</v>
      </c>
      <c r="AI93" s="55">
        <f>MIN(C93:AF93)</f>
        <v>151.04</v>
      </c>
    </row>
    <row r="94" spans="1:88" x14ac:dyDescent="0.25">
      <c r="A94" s="116" t="s">
        <v>98</v>
      </c>
      <c r="B94" s="117">
        <v>-27</v>
      </c>
      <c r="C94" s="58">
        <v>-19</v>
      </c>
      <c r="D94" s="58">
        <v>-24</v>
      </c>
      <c r="E94" s="58">
        <v>-24.1</v>
      </c>
      <c r="F94" s="58">
        <v>-29.3</v>
      </c>
      <c r="G94" s="118">
        <v>-31.1</v>
      </c>
      <c r="H94" s="118">
        <v>-15.2</v>
      </c>
      <c r="I94" s="118">
        <v>20.7</v>
      </c>
      <c r="J94" s="118">
        <v>36.799999999999997</v>
      </c>
      <c r="K94" s="118">
        <v>43.2</v>
      </c>
      <c r="L94" s="118">
        <v>60.4</v>
      </c>
      <c r="M94" s="119">
        <v>41</v>
      </c>
      <c r="N94" s="118">
        <v>20.100000000000001</v>
      </c>
      <c r="O94" s="118">
        <v>9.3000000000000007</v>
      </c>
      <c r="P94" s="118">
        <v>-3.6</v>
      </c>
      <c r="Q94" s="118">
        <v>-1.4</v>
      </c>
      <c r="R94" s="118">
        <v>2.2999999999999998</v>
      </c>
      <c r="S94" s="118">
        <v>3.4</v>
      </c>
      <c r="T94" s="118">
        <v>-2.2000000000000002</v>
      </c>
      <c r="U94" s="119">
        <v>5</v>
      </c>
      <c r="V94" s="119">
        <v>6.1</v>
      </c>
      <c r="W94" s="119">
        <v>38.299999999999997</v>
      </c>
      <c r="X94" s="118">
        <v>61.3</v>
      </c>
      <c r="Y94" s="118">
        <v>63.2</v>
      </c>
      <c r="Z94" s="118">
        <v>33</v>
      </c>
      <c r="AA94" s="118">
        <v>42.7</v>
      </c>
      <c r="AB94" s="119">
        <v>52.2</v>
      </c>
      <c r="AC94" s="119">
        <v>35.5</v>
      </c>
      <c r="AD94" s="119">
        <v>19.100000000000001</v>
      </c>
      <c r="AE94" s="119">
        <v>-30.6</v>
      </c>
      <c r="AF94" s="119">
        <v>-43.2</v>
      </c>
      <c r="AG94" s="120">
        <v>75</v>
      </c>
      <c r="AH94" s="54">
        <f t="shared" ref="AH94:AH100" si="22">IF(ABS(MAX(C94:AF94))&gt;ABS(MIN(C94:AF94)),MAX(C94:AF94),MIN(C94:AF94))</f>
        <v>63.2</v>
      </c>
      <c r="AI94" s="121">
        <f t="shared" ref="AI94:AI100" si="23">INDEX($C$9:$AF$9,1,MATCH(AH94,C94:AF94,0))</f>
        <v>0.77083333333333337</v>
      </c>
    </row>
    <row r="95" spans="1:88" x14ac:dyDescent="0.25">
      <c r="A95" s="122" t="s">
        <v>99</v>
      </c>
      <c r="B95" s="123">
        <v>-31</v>
      </c>
      <c r="C95" s="60">
        <v>-56</v>
      </c>
      <c r="D95" s="60">
        <v>-60</v>
      </c>
      <c r="E95" s="60">
        <v>-63</v>
      </c>
      <c r="F95" s="60">
        <v>-37</v>
      </c>
      <c r="G95" s="60">
        <v>-29</v>
      </c>
      <c r="H95" s="60">
        <v>-20</v>
      </c>
      <c r="I95" s="60">
        <v>-18.5</v>
      </c>
      <c r="J95" s="60">
        <v>-9</v>
      </c>
      <c r="K95" s="60">
        <v>26</v>
      </c>
      <c r="L95" s="60">
        <v>26.8</v>
      </c>
      <c r="M95" s="60">
        <v>25</v>
      </c>
      <c r="N95" s="60">
        <v>31.5</v>
      </c>
      <c r="O95" s="60">
        <v>40.1</v>
      </c>
      <c r="P95" s="60">
        <v>14.1</v>
      </c>
      <c r="Q95" s="60">
        <v>17.2</v>
      </c>
      <c r="R95" s="60">
        <v>12.3</v>
      </c>
      <c r="S95" s="60">
        <v>15.6</v>
      </c>
      <c r="T95" s="60">
        <v>20.3</v>
      </c>
      <c r="U95" s="60">
        <v>17</v>
      </c>
      <c r="V95" s="60">
        <v>30</v>
      </c>
      <c r="W95" s="60">
        <v>25</v>
      </c>
      <c r="X95" s="60">
        <v>24</v>
      </c>
      <c r="Y95" s="60">
        <v>37</v>
      </c>
      <c r="Z95" s="60">
        <v>54</v>
      </c>
      <c r="AA95" s="60">
        <v>32</v>
      </c>
      <c r="AB95" s="73">
        <v>15.4</v>
      </c>
      <c r="AC95" s="73">
        <v>27</v>
      </c>
      <c r="AD95" s="73">
        <v>29</v>
      </c>
      <c r="AE95" s="73">
        <f>-2.4-2.5</f>
        <v>-4.9000000000000004</v>
      </c>
      <c r="AF95" s="73">
        <f>-7.1-8.4</f>
        <v>-15.5</v>
      </c>
      <c r="AG95" s="120">
        <v>240</v>
      </c>
      <c r="AH95" s="54">
        <f t="shared" si="22"/>
        <v>-63</v>
      </c>
      <c r="AI95" s="121">
        <f t="shared" si="23"/>
        <v>0.125</v>
      </c>
    </row>
    <row r="96" spans="1:88" x14ac:dyDescent="0.25">
      <c r="A96" s="122" t="s">
        <v>100</v>
      </c>
      <c r="B96" s="123">
        <v>0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0">
        <v>9</v>
      </c>
      <c r="J96" s="60">
        <v>16.5</v>
      </c>
      <c r="K96" s="60">
        <v>21.5</v>
      </c>
      <c r="L96" s="60">
        <v>27.5</v>
      </c>
      <c r="M96" s="60">
        <v>31.2</v>
      </c>
      <c r="N96" s="60">
        <v>17.100000000000001</v>
      </c>
      <c r="O96" s="60">
        <v>21.3</v>
      </c>
      <c r="P96" s="60">
        <v>14.1</v>
      </c>
      <c r="Q96" s="60">
        <v>16.100000000000001</v>
      </c>
      <c r="R96" s="60">
        <v>29.7</v>
      </c>
      <c r="S96" s="60">
        <v>30</v>
      </c>
      <c r="T96" s="60">
        <v>33.299999999999997</v>
      </c>
      <c r="U96" s="60">
        <v>29.4</v>
      </c>
      <c r="V96" s="60">
        <v>34</v>
      </c>
      <c r="W96" s="60">
        <v>35.799999999999997</v>
      </c>
      <c r="X96" s="60">
        <v>39.4</v>
      </c>
      <c r="Y96" s="60">
        <v>43.1</v>
      </c>
      <c r="Z96" s="60">
        <v>50</v>
      </c>
      <c r="AA96" s="60">
        <v>45</v>
      </c>
      <c r="AB96" s="73">
        <v>38.299999999999997</v>
      </c>
      <c r="AC96" s="73">
        <v>27.9</v>
      </c>
      <c r="AD96" s="73">
        <v>27.8</v>
      </c>
      <c r="AE96" s="73">
        <v>0</v>
      </c>
      <c r="AF96" s="73">
        <v>-4.8</v>
      </c>
      <c r="AG96" s="120">
        <v>60</v>
      </c>
      <c r="AH96" s="54">
        <f t="shared" si="22"/>
        <v>50</v>
      </c>
      <c r="AI96" s="121">
        <f t="shared" si="23"/>
        <v>0.79166666666666663</v>
      </c>
    </row>
    <row r="97" spans="1:37" x14ac:dyDescent="0.25">
      <c r="A97" s="124" t="s">
        <v>101</v>
      </c>
      <c r="B97" s="125">
        <v>75</v>
      </c>
      <c r="C97" s="63">
        <v>82</v>
      </c>
      <c r="D97" s="63">
        <v>82</v>
      </c>
      <c r="E97" s="63">
        <v>80.3</v>
      </c>
      <c r="F97" s="63">
        <v>74.099999999999994</v>
      </c>
      <c r="G97" s="63">
        <v>78.900000000000006</v>
      </c>
      <c r="H97" s="63">
        <v>88.3</v>
      </c>
      <c r="I97" s="63">
        <v>94.6</v>
      </c>
      <c r="J97" s="63">
        <v>96.5</v>
      </c>
      <c r="K97" s="63">
        <v>89</v>
      </c>
      <c r="L97" s="63">
        <v>93.8</v>
      </c>
      <c r="M97" s="63">
        <v>91.6</v>
      </c>
      <c r="N97" s="63">
        <v>85.4</v>
      </c>
      <c r="O97" s="63">
        <v>79.7</v>
      </c>
      <c r="P97" s="63">
        <v>107.5</v>
      </c>
      <c r="Q97" s="63">
        <v>105.8</v>
      </c>
      <c r="R97" s="63">
        <v>102.3</v>
      </c>
      <c r="S97" s="63">
        <v>99.3</v>
      </c>
      <c r="T97" s="63">
        <v>100.3</v>
      </c>
      <c r="U97" s="63">
        <v>107.1</v>
      </c>
      <c r="V97" s="63">
        <v>87</v>
      </c>
      <c r="W97" s="63">
        <v>68.7</v>
      </c>
      <c r="X97" s="63">
        <v>60.5</v>
      </c>
      <c r="Y97" s="63">
        <v>84.3</v>
      </c>
      <c r="Z97" s="63">
        <v>102.3</v>
      </c>
      <c r="AA97" s="63">
        <v>86.9</v>
      </c>
      <c r="AB97" s="126">
        <v>68.599999999999994</v>
      </c>
      <c r="AC97" s="126">
        <v>56.6</v>
      </c>
      <c r="AD97" s="126">
        <v>44</v>
      </c>
      <c r="AE97" s="126">
        <v>98.5</v>
      </c>
      <c r="AF97" s="126">
        <v>96.5</v>
      </c>
      <c r="AG97" s="127">
        <v>120</v>
      </c>
      <c r="AH97" s="54">
        <f t="shared" si="22"/>
        <v>107.5</v>
      </c>
      <c r="AI97" s="121">
        <f t="shared" si="23"/>
        <v>0.45833333333333298</v>
      </c>
    </row>
    <row r="98" spans="1:37" x14ac:dyDescent="0.25">
      <c r="A98" s="124" t="s">
        <v>102</v>
      </c>
      <c r="B98" s="125">
        <v>75</v>
      </c>
      <c r="C98" s="63">
        <v>93</v>
      </c>
      <c r="D98" s="63">
        <v>98</v>
      </c>
      <c r="E98" s="63">
        <v>96.5</v>
      </c>
      <c r="F98" s="63">
        <v>75.099999999999994</v>
      </c>
      <c r="G98" s="63">
        <v>79.5</v>
      </c>
      <c r="H98" s="63">
        <v>81.3</v>
      </c>
      <c r="I98" s="63">
        <v>81.8</v>
      </c>
      <c r="J98" s="63">
        <v>84.3</v>
      </c>
      <c r="K98" s="63">
        <v>71</v>
      </c>
      <c r="L98" s="63">
        <v>74.599999999999994</v>
      </c>
      <c r="M98" s="63">
        <v>66.5</v>
      </c>
      <c r="N98" s="63">
        <v>85.4</v>
      </c>
      <c r="O98" s="63">
        <v>106.7</v>
      </c>
      <c r="P98" s="63">
        <v>96</v>
      </c>
      <c r="Q98" s="63">
        <v>95.6</v>
      </c>
      <c r="R98" s="63">
        <v>97.6</v>
      </c>
      <c r="S98" s="63">
        <v>95.7</v>
      </c>
      <c r="T98" s="63">
        <v>96.5</v>
      </c>
      <c r="U98" s="63">
        <v>104.5</v>
      </c>
      <c r="V98" s="63">
        <v>75</v>
      </c>
      <c r="W98" s="63">
        <v>50</v>
      </c>
      <c r="X98" s="63">
        <v>38</v>
      </c>
      <c r="Y98" s="63">
        <v>53.6</v>
      </c>
      <c r="Z98" s="63">
        <v>85.6</v>
      </c>
      <c r="AA98" s="63">
        <v>56</v>
      </c>
      <c r="AB98" s="126">
        <v>32</v>
      </c>
      <c r="AC98" s="126">
        <v>68.099999999999994</v>
      </c>
      <c r="AD98" s="126">
        <v>71.2</v>
      </c>
      <c r="AE98" s="126">
        <v>95.2</v>
      </c>
      <c r="AF98" s="126">
        <v>96.4</v>
      </c>
      <c r="AG98" s="127"/>
      <c r="AH98" s="54">
        <f t="shared" si="22"/>
        <v>106.7</v>
      </c>
      <c r="AI98" s="121">
        <f t="shared" si="23"/>
        <v>0.41666666666666702</v>
      </c>
    </row>
    <row r="99" spans="1:37" x14ac:dyDescent="0.25">
      <c r="A99" s="124" t="s">
        <v>103</v>
      </c>
      <c r="B99" s="125">
        <v>60</v>
      </c>
      <c r="C99" s="63">
        <v>52</v>
      </c>
      <c r="D99" s="63">
        <v>56</v>
      </c>
      <c r="E99" s="63">
        <v>55.8</v>
      </c>
      <c r="F99" s="63">
        <v>62.8</v>
      </c>
      <c r="G99" s="63">
        <v>62.7</v>
      </c>
      <c r="H99" s="63">
        <v>56.3</v>
      </c>
      <c r="I99" s="63">
        <v>33</v>
      </c>
      <c r="J99" s="63">
        <v>29</v>
      </c>
      <c r="K99" s="63">
        <v>37.700000000000003</v>
      </c>
      <c r="L99" s="63">
        <v>42.1</v>
      </c>
      <c r="M99" s="63">
        <v>37.299999999999997</v>
      </c>
      <c r="N99" s="63">
        <v>39.200000000000003</v>
      </c>
      <c r="O99" s="63">
        <v>51.9</v>
      </c>
      <c r="P99" s="63">
        <v>54.7</v>
      </c>
      <c r="Q99" s="63">
        <v>51.5</v>
      </c>
      <c r="R99" s="63">
        <v>45.7</v>
      </c>
      <c r="S99" s="63">
        <v>44.7</v>
      </c>
      <c r="T99" s="63">
        <v>49.6</v>
      </c>
      <c r="U99" s="63">
        <v>49.6</v>
      </c>
      <c r="V99" s="63">
        <v>38</v>
      </c>
      <c r="W99" s="63">
        <v>24.5</v>
      </c>
      <c r="X99" s="63">
        <v>21</v>
      </c>
      <c r="Y99" s="63">
        <v>15.1</v>
      </c>
      <c r="Z99" s="63">
        <v>50.1</v>
      </c>
      <c r="AA99" s="63">
        <v>41</v>
      </c>
      <c r="AB99" s="126">
        <v>29.8</v>
      </c>
      <c r="AC99" s="126">
        <v>27.8</v>
      </c>
      <c r="AD99" s="126">
        <v>25.8</v>
      </c>
      <c r="AE99" s="126">
        <v>52.4</v>
      </c>
      <c r="AF99" s="126">
        <v>68.099999999999994</v>
      </c>
      <c r="AG99" s="128"/>
      <c r="AH99" s="54">
        <f t="shared" si="22"/>
        <v>68.099999999999994</v>
      </c>
      <c r="AI99" s="121">
        <f t="shared" si="23"/>
        <v>0.95833333333333304</v>
      </c>
    </row>
    <row r="100" spans="1:37" ht="15.75" thickBot="1" x14ac:dyDescent="0.3">
      <c r="A100" s="181" t="s">
        <v>222</v>
      </c>
      <c r="B100" s="104">
        <v>73</v>
      </c>
      <c r="C100" s="60">
        <v>70</v>
      </c>
      <c r="D100" s="60">
        <v>70</v>
      </c>
      <c r="E100" s="60">
        <v>66.400000000000006</v>
      </c>
      <c r="F100" s="60">
        <v>67.2</v>
      </c>
      <c r="G100" s="60">
        <v>63.3</v>
      </c>
      <c r="H100" s="60">
        <v>71.900000000000006</v>
      </c>
      <c r="I100" s="60">
        <v>32.1</v>
      </c>
      <c r="J100" s="60">
        <v>35.9</v>
      </c>
      <c r="K100" s="60">
        <v>42.7</v>
      </c>
      <c r="L100" s="60">
        <v>45</v>
      </c>
      <c r="M100" s="60">
        <v>49.2</v>
      </c>
      <c r="N100" s="60">
        <v>32.1</v>
      </c>
      <c r="O100" s="60">
        <v>69.900000000000006</v>
      </c>
      <c r="P100" s="60">
        <v>48.6</v>
      </c>
      <c r="Q100" s="60">
        <v>40.799999999999997</v>
      </c>
      <c r="R100" s="60">
        <v>44.5</v>
      </c>
      <c r="S100" s="60">
        <v>45.2</v>
      </c>
      <c r="T100" s="60">
        <v>44</v>
      </c>
      <c r="U100" s="60">
        <v>42.5</v>
      </c>
      <c r="V100" s="60">
        <v>45</v>
      </c>
      <c r="W100" s="60">
        <v>47.4</v>
      </c>
      <c r="X100" s="60">
        <v>39</v>
      </c>
      <c r="Y100" s="60">
        <v>51.1</v>
      </c>
      <c r="Z100" s="60">
        <v>46.3</v>
      </c>
      <c r="AA100" s="60">
        <v>47</v>
      </c>
      <c r="AB100" s="104">
        <v>44.8</v>
      </c>
      <c r="AC100" s="104">
        <v>33.4</v>
      </c>
      <c r="AD100" s="104">
        <v>31.4</v>
      </c>
      <c r="AE100" s="104">
        <v>35.6</v>
      </c>
      <c r="AF100" s="104">
        <v>46.6</v>
      </c>
      <c r="AG100" s="128"/>
      <c r="AH100" s="54">
        <f t="shared" si="22"/>
        <v>71.900000000000006</v>
      </c>
      <c r="AI100" s="121">
        <f t="shared" si="23"/>
        <v>0.22916666666666666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24">AF102</f>
        <v>9.9</v>
      </c>
      <c r="C102" s="53">
        <v>9.9</v>
      </c>
      <c r="D102" s="134">
        <f t="shared" ref="D102:S107" si="25">C102</f>
        <v>9.9</v>
      </c>
      <c r="E102" s="134">
        <f t="shared" si="25"/>
        <v>9.9</v>
      </c>
      <c r="F102" s="134">
        <f t="shared" si="25"/>
        <v>9.9</v>
      </c>
      <c r="G102" s="134">
        <f t="shared" si="25"/>
        <v>9.9</v>
      </c>
      <c r="H102" s="134">
        <f t="shared" si="25"/>
        <v>9.9</v>
      </c>
      <c r="I102" s="134">
        <f t="shared" si="25"/>
        <v>9.9</v>
      </c>
      <c r="J102" s="134">
        <f t="shared" si="25"/>
        <v>9.9</v>
      </c>
      <c r="K102" s="134">
        <f t="shared" si="25"/>
        <v>9.9</v>
      </c>
      <c r="L102" s="134">
        <f t="shared" si="25"/>
        <v>9.9</v>
      </c>
      <c r="M102" s="134">
        <f t="shared" si="25"/>
        <v>9.9</v>
      </c>
      <c r="N102" s="134">
        <f t="shared" si="25"/>
        <v>9.9</v>
      </c>
      <c r="O102" s="134">
        <f t="shared" si="25"/>
        <v>9.9</v>
      </c>
      <c r="P102" s="134">
        <f t="shared" si="25"/>
        <v>9.9</v>
      </c>
      <c r="Q102" s="134">
        <f t="shared" si="25"/>
        <v>9.9</v>
      </c>
      <c r="R102" s="134">
        <f t="shared" si="25"/>
        <v>9.9</v>
      </c>
      <c r="S102" s="134">
        <f t="shared" si="25"/>
        <v>9.9</v>
      </c>
      <c r="T102" s="134">
        <f t="shared" ref="T102:AF107" si="26">S102</f>
        <v>9.9</v>
      </c>
      <c r="U102" s="134">
        <f t="shared" si="26"/>
        <v>9.9</v>
      </c>
      <c r="V102" s="134">
        <f t="shared" si="26"/>
        <v>9.9</v>
      </c>
      <c r="W102" s="134">
        <f t="shared" si="26"/>
        <v>9.9</v>
      </c>
      <c r="X102" s="134">
        <f t="shared" si="26"/>
        <v>9.9</v>
      </c>
      <c r="Y102" s="134">
        <f t="shared" si="26"/>
        <v>9.9</v>
      </c>
      <c r="Z102" s="134">
        <f t="shared" si="26"/>
        <v>9.9</v>
      </c>
      <c r="AA102" s="134">
        <f t="shared" si="26"/>
        <v>9.9</v>
      </c>
      <c r="AB102" s="134">
        <f t="shared" si="26"/>
        <v>9.9</v>
      </c>
      <c r="AC102" s="134">
        <f t="shared" si="26"/>
        <v>9.9</v>
      </c>
      <c r="AD102" s="134">
        <f t="shared" si="26"/>
        <v>9.9</v>
      </c>
      <c r="AE102" s="134">
        <f t="shared" si="26"/>
        <v>9.9</v>
      </c>
      <c r="AF102" s="134">
        <f t="shared" si="26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24"/>
        <v>9.6</v>
      </c>
      <c r="C103" s="137">
        <v>9.6</v>
      </c>
      <c r="D103" s="136">
        <f t="shared" si="25"/>
        <v>9.6</v>
      </c>
      <c r="E103" s="136">
        <f t="shared" si="25"/>
        <v>9.6</v>
      </c>
      <c r="F103" s="136">
        <f t="shared" si="25"/>
        <v>9.6</v>
      </c>
      <c r="G103" s="136">
        <f t="shared" si="25"/>
        <v>9.6</v>
      </c>
      <c r="H103" s="136">
        <f t="shared" si="25"/>
        <v>9.6</v>
      </c>
      <c r="I103" s="136">
        <f t="shared" si="25"/>
        <v>9.6</v>
      </c>
      <c r="J103" s="136">
        <f t="shared" si="25"/>
        <v>9.6</v>
      </c>
      <c r="K103" s="136">
        <f t="shared" si="25"/>
        <v>9.6</v>
      </c>
      <c r="L103" s="136">
        <f t="shared" si="25"/>
        <v>9.6</v>
      </c>
      <c r="M103" s="136">
        <f t="shared" si="25"/>
        <v>9.6</v>
      </c>
      <c r="N103" s="136">
        <f t="shared" si="25"/>
        <v>9.6</v>
      </c>
      <c r="O103" s="136">
        <f t="shared" si="25"/>
        <v>9.6</v>
      </c>
      <c r="P103" s="136">
        <f t="shared" si="25"/>
        <v>9.6</v>
      </c>
      <c r="Q103" s="136">
        <f t="shared" si="25"/>
        <v>9.6</v>
      </c>
      <c r="R103" s="136">
        <f t="shared" si="25"/>
        <v>9.6</v>
      </c>
      <c r="S103" s="136">
        <f t="shared" si="25"/>
        <v>9.6</v>
      </c>
      <c r="T103" s="136">
        <f t="shared" si="26"/>
        <v>9.6</v>
      </c>
      <c r="U103" s="136">
        <f t="shared" si="26"/>
        <v>9.6</v>
      </c>
      <c r="V103" s="136">
        <f t="shared" si="26"/>
        <v>9.6</v>
      </c>
      <c r="W103" s="136">
        <f t="shared" si="26"/>
        <v>9.6</v>
      </c>
      <c r="X103" s="136">
        <f t="shared" si="26"/>
        <v>9.6</v>
      </c>
      <c r="Y103" s="136">
        <f t="shared" si="26"/>
        <v>9.6</v>
      </c>
      <c r="Z103" s="136">
        <f t="shared" si="26"/>
        <v>9.6</v>
      </c>
      <c r="AA103" s="136">
        <f t="shared" si="26"/>
        <v>9.6</v>
      </c>
      <c r="AB103" s="136">
        <f t="shared" si="26"/>
        <v>9.6</v>
      </c>
      <c r="AC103" s="136">
        <f t="shared" si="26"/>
        <v>9.6</v>
      </c>
      <c r="AD103" s="136">
        <f t="shared" si="26"/>
        <v>9.6</v>
      </c>
      <c r="AE103" s="136">
        <f t="shared" si="26"/>
        <v>9.6</v>
      </c>
      <c r="AF103" s="136">
        <f t="shared" si="26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24"/>
        <v>9.98</v>
      </c>
      <c r="C104" s="137">
        <v>9.98</v>
      </c>
      <c r="D104" s="136">
        <f t="shared" si="25"/>
        <v>9.98</v>
      </c>
      <c r="E104" s="136">
        <f t="shared" si="25"/>
        <v>9.98</v>
      </c>
      <c r="F104" s="136">
        <f t="shared" si="25"/>
        <v>9.98</v>
      </c>
      <c r="G104" s="136">
        <f t="shared" si="25"/>
        <v>9.98</v>
      </c>
      <c r="H104" s="136">
        <f t="shared" si="25"/>
        <v>9.98</v>
      </c>
      <c r="I104" s="136">
        <f t="shared" si="25"/>
        <v>9.98</v>
      </c>
      <c r="J104" s="136">
        <f t="shared" si="25"/>
        <v>9.98</v>
      </c>
      <c r="K104" s="136">
        <f t="shared" si="25"/>
        <v>9.98</v>
      </c>
      <c r="L104" s="136">
        <f t="shared" si="25"/>
        <v>9.98</v>
      </c>
      <c r="M104" s="136">
        <f t="shared" si="25"/>
        <v>9.98</v>
      </c>
      <c r="N104" s="136">
        <f t="shared" si="25"/>
        <v>9.98</v>
      </c>
      <c r="O104" s="136">
        <f t="shared" si="25"/>
        <v>9.98</v>
      </c>
      <c r="P104" s="136">
        <f t="shared" si="25"/>
        <v>9.98</v>
      </c>
      <c r="Q104" s="136">
        <f t="shared" si="25"/>
        <v>9.98</v>
      </c>
      <c r="R104" s="136">
        <f t="shared" si="25"/>
        <v>9.98</v>
      </c>
      <c r="S104" s="136">
        <f t="shared" si="25"/>
        <v>9.98</v>
      </c>
      <c r="T104" s="136">
        <f t="shared" si="26"/>
        <v>9.98</v>
      </c>
      <c r="U104" s="136">
        <f t="shared" si="26"/>
        <v>9.98</v>
      </c>
      <c r="V104" s="136">
        <f t="shared" si="26"/>
        <v>9.98</v>
      </c>
      <c r="W104" s="136">
        <f t="shared" si="26"/>
        <v>9.98</v>
      </c>
      <c r="X104" s="136">
        <f t="shared" si="26"/>
        <v>9.98</v>
      </c>
      <c r="Y104" s="136">
        <f t="shared" si="26"/>
        <v>9.98</v>
      </c>
      <c r="Z104" s="136">
        <f t="shared" si="26"/>
        <v>9.98</v>
      </c>
      <c r="AA104" s="136">
        <f t="shared" si="26"/>
        <v>9.98</v>
      </c>
      <c r="AB104" s="136">
        <f t="shared" si="26"/>
        <v>9.98</v>
      </c>
      <c r="AC104" s="136">
        <f t="shared" si="26"/>
        <v>9.98</v>
      </c>
      <c r="AD104" s="136">
        <f t="shared" si="26"/>
        <v>9.98</v>
      </c>
      <c r="AE104" s="136">
        <f t="shared" si="26"/>
        <v>9.98</v>
      </c>
      <c r="AF104" s="136">
        <f t="shared" si="26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24"/>
        <v>9.1</v>
      </c>
      <c r="C105" s="137">
        <v>9.1</v>
      </c>
      <c r="D105" s="136">
        <f t="shared" si="25"/>
        <v>9.1</v>
      </c>
      <c r="E105" s="136">
        <f t="shared" si="25"/>
        <v>9.1</v>
      </c>
      <c r="F105" s="136">
        <f t="shared" si="25"/>
        <v>9.1</v>
      </c>
      <c r="G105" s="136">
        <f t="shared" si="25"/>
        <v>9.1</v>
      </c>
      <c r="H105" s="136">
        <f t="shared" si="25"/>
        <v>9.1</v>
      </c>
      <c r="I105" s="136">
        <f t="shared" si="25"/>
        <v>9.1</v>
      </c>
      <c r="J105" s="136">
        <f t="shared" si="25"/>
        <v>9.1</v>
      </c>
      <c r="K105" s="136">
        <f t="shared" si="25"/>
        <v>9.1</v>
      </c>
      <c r="L105" s="136">
        <f t="shared" si="25"/>
        <v>9.1</v>
      </c>
      <c r="M105" s="136">
        <f t="shared" si="25"/>
        <v>9.1</v>
      </c>
      <c r="N105" s="136">
        <f t="shared" si="25"/>
        <v>9.1</v>
      </c>
      <c r="O105" s="136">
        <f t="shared" si="25"/>
        <v>9.1</v>
      </c>
      <c r="P105" s="136">
        <f t="shared" si="25"/>
        <v>9.1</v>
      </c>
      <c r="Q105" s="136">
        <f t="shared" si="25"/>
        <v>9.1</v>
      </c>
      <c r="R105" s="136">
        <f t="shared" si="25"/>
        <v>9.1</v>
      </c>
      <c r="S105" s="136">
        <f t="shared" si="25"/>
        <v>9.1</v>
      </c>
      <c r="T105" s="136">
        <f t="shared" si="26"/>
        <v>9.1</v>
      </c>
      <c r="U105" s="136">
        <f t="shared" si="26"/>
        <v>9.1</v>
      </c>
      <c r="V105" s="136">
        <f t="shared" si="26"/>
        <v>9.1</v>
      </c>
      <c r="W105" s="136">
        <f t="shared" si="26"/>
        <v>9.1</v>
      </c>
      <c r="X105" s="136">
        <f t="shared" si="26"/>
        <v>9.1</v>
      </c>
      <c r="Y105" s="136">
        <f t="shared" si="26"/>
        <v>9.1</v>
      </c>
      <c r="Z105" s="136">
        <f t="shared" si="26"/>
        <v>9.1</v>
      </c>
      <c r="AA105" s="136">
        <f t="shared" si="26"/>
        <v>9.1</v>
      </c>
      <c r="AB105" s="136">
        <f t="shared" si="26"/>
        <v>9.1</v>
      </c>
      <c r="AC105" s="136">
        <f t="shared" si="26"/>
        <v>9.1</v>
      </c>
      <c r="AD105" s="136">
        <f t="shared" si="26"/>
        <v>9.1</v>
      </c>
      <c r="AE105" s="136">
        <f t="shared" si="26"/>
        <v>9.1</v>
      </c>
      <c r="AF105" s="136">
        <f t="shared" si="26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24"/>
        <v>9.18</v>
      </c>
      <c r="C106" s="137">
        <v>9.18</v>
      </c>
      <c r="D106" s="136">
        <f t="shared" si="25"/>
        <v>9.18</v>
      </c>
      <c r="E106" s="136">
        <f t="shared" si="25"/>
        <v>9.18</v>
      </c>
      <c r="F106" s="136">
        <f t="shared" si="25"/>
        <v>9.18</v>
      </c>
      <c r="G106" s="136">
        <f t="shared" si="25"/>
        <v>9.18</v>
      </c>
      <c r="H106" s="136">
        <f t="shared" si="25"/>
        <v>9.18</v>
      </c>
      <c r="I106" s="136">
        <f t="shared" si="25"/>
        <v>9.18</v>
      </c>
      <c r="J106" s="136">
        <f t="shared" si="25"/>
        <v>9.18</v>
      </c>
      <c r="K106" s="136">
        <f t="shared" si="25"/>
        <v>9.18</v>
      </c>
      <c r="L106" s="136">
        <f t="shared" si="25"/>
        <v>9.18</v>
      </c>
      <c r="M106" s="136">
        <f t="shared" si="25"/>
        <v>9.18</v>
      </c>
      <c r="N106" s="136">
        <f t="shared" si="25"/>
        <v>9.18</v>
      </c>
      <c r="O106" s="136">
        <f t="shared" si="25"/>
        <v>9.18</v>
      </c>
      <c r="P106" s="136">
        <f t="shared" si="25"/>
        <v>9.18</v>
      </c>
      <c r="Q106" s="136">
        <f t="shared" si="25"/>
        <v>9.18</v>
      </c>
      <c r="R106" s="136">
        <f t="shared" si="25"/>
        <v>9.18</v>
      </c>
      <c r="S106" s="136">
        <f t="shared" si="25"/>
        <v>9.18</v>
      </c>
      <c r="T106" s="136">
        <f t="shared" si="26"/>
        <v>9.18</v>
      </c>
      <c r="U106" s="136">
        <f t="shared" si="26"/>
        <v>9.18</v>
      </c>
      <c r="V106" s="136">
        <f t="shared" si="26"/>
        <v>9.18</v>
      </c>
      <c r="W106" s="136">
        <f t="shared" si="26"/>
        <v>9.18</v>
      </c>
      <c r="X106" s="136">
        <f t="shared" si="26"/>
        <v>9.18</v>
      </c>
      <c r="Y106" s="136">
        <f t="shared" si="26"/>
        <v>9.18</v>
      </c>
      <c r="Z106" s="136">
        <f t="shared" si="26"/>
        <v>9.18</v>
      </c>
      <c r="AA106" s="136">
        <f t="shared" si="26"/>
        <v>9.18</v>
      </c>
      <c r="AB106" s="136">
        <f t="shared" si="26"/>
        <v>9.18</v>
      </c>
      <c r="AC106" s="136">
        <f t="shared" si="26"/>
        <v>9.18</v>
      </c>
      <c r="AD106" s="136">
        <f t="shared" si="26"/>
        <v>9.18</v>
      </c>
      <c r="AE106" s="136">
        <f t="shared" si="26"/>
        <v>9.18</v>
      </c>
      <c r="AF106" s="136">
        <f t="shared" si="26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24"/>
        <v>7</v>
      </c>
      <c r="C107" s="137">
        <v>7</v>
      </c>
      <c r="D107" s="136">
        <f t="shared" si="25"/>
        <v>7</v>
      </c>
      <c r="E107" s="136">
        <f t="shared" si="25"/>
        <v>7</v>
      </c>
      <c r="F107" s="136">
        <f t="shared" si="25"/>
        <v>7</v>
      </c>
      <c r="G107" s="136">
        <f t="shared" si="25"/>
        <v>7</v>
      </c>
      <c r="H107" s="136">
        <f t="shared" si="25"/>
        <v>7</v>
      </c>
      <c r="I107" s="136">
        <f t="shared" si="25"/>
        <v>7</v>
      </c>
      <c r="J107" s="136">
        <f t="shared" si="25"/>
        <v>7</v>
      </c>
      <c r="K107" s="136">
        <f t="shared" si="25"/>
        <v>7</v>
      </c>
      <c r="L107" s="136">
        <f t="shared" si="25"/>
        <v>7</v>
      </c>
      <c r="M107" s="136">
        <f t="shared" si="25"/>
        <v>7</v>
      </c>
      <c r="N107" s="136">
        <f t="shared" si="25"/>
        <v>7</v>
      </c>
      <c r="O107" s="136">
        <f t="shared" si="25"/>
        <v>7</v>
      </c>
      <c r="P107" s="136">
        <f t="shared" si="25"/>
        <v>7</v>
      </c>
      <c r="Q107" s="136">
        <f t="shared" si="25"/>
        <v>7</v>
      </c>
      <c r="R107" s="136">
        <f t="shared" si="25"/>
        <v>7</v>
      </c>
      <c r="S107" s="136">
        <f t="shared" si="25"/>
        <v>7</v>
      </c>
      <c r="T107" s="136">
        <f t="shared" si="26"/>
        <v>7</v>
      </c>
      <c r="U107" s="136">
        <f t="shared" si="26"/>
        <v>7</v>
      </c>
      <c r="V107" s="136">
        <f t="shared" si="26"/>
        <v>7</v>
      </c>
      <c r="W107" s="136">
        <f t="shared" si="26"/>
        <v>7</v>
      </c>
      <c r="X107" s="136">
        <f t="shared" si="26"/>
        <v>7</v>
      </c>
      <c r="Y107" s="136">
        <f t="shared" si="26"/>
        <v>7</v>
      </c>
      <c r="Z107" s="136">
        <f t="shared" si="26"/>
        <v>7</v>
      </c>
      <c r="AA107" s="136">
        <f t="shared" si="26"/>
        <v>7</v>
      </c>
      <c r="AB107" s="136">
        <f t="shared" si="26"/>
        <v>7</v>
      </c>
      <c r="AC107" s="136">
        <f t="shared" si="26"/>
        <v>7</v>
      </c>
      <c r="AD107" s="136">
        <f t="shared" si="26"/>
        <v>7</v>
      </c>
      <c r="AE107" s="136">
        <f t="shared" si="26"/>
        <v>7</v>
      </c>
      <c r="AF107" s="136">
        <f t="shared" si="26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27">C109</f>
        <v>2.25</v>
      </c>
      <c r="E109" s="136">
        <f t="shared" si="27"/>
        <v>2.25</v>
      </c>
      <c r="F109" s="136">
        <f t="shared" si="27"/>
        <v>2.25</v>
      </c>
      <c r="G109" s="136">
        <f t="shared" si="27"/>
        <v>2.25</v>
      </c>
      <c r="H109" s="136">
        <f t="shared" si="27"/>
        <v>2.25</v>
      </c>
      <c r="I109" s="136">
        <f t="shared" si="27"/>
        <v>2.25</v>
      </c>
      <c r="J109" s="136">
        <f t="shared" si="27"/>
        <v>2.25</v>
      </c>
      <c r="K109" s="136">
        <f t="shared" si="27"/>
        <v>2.25</v>
      </c>
      <c r="L109" s="136">
        <f t="shared" si="27"/>
        <v>2.25</v>
      </c>
      <c r="M109" s="136">
        <f t="shared" si="27"/>
        <v>2.25</v>
      </c>
      <c r="N109" s="136">
        <f t="shared" si="27"/>
        <v>2.25</v>
      </c>
      <c r="O109" s="136">
        <f t="shared" si="27"/>
        <v>2.25</v>
      </c>
      <c r="P109" s="136">
        <f t="shared" si="27"/>
        <v>2.25</v>
      </c>
      <c r="Q109" s="136">
        <f t="shared" si="27"/>
        <v>2.25</v>
      </c>
      <c r="R109" s="136">
        <f t="shared" si="27"/>
        <v>2.25</v>
      </c>
      <c r="S109" s="136">
        <f t="shared" si="27"/>
        <v>2.25</v>
      </c>
      <c r="T109" s="136">
        <f t="shared" ref="T109:AF110" si="28">S109</f>
        <v>2.25</v>
      </c>
      <c r="U109" s="136">
        <f t="shared" si="28"/>
        <v>2.25</v>
      </c>
      <c r="V109" s="136">
        <f t="shared" si="28"/>
        <v>2.25</v>
      </c>
      <c r="W109" s="136">
        <f t="shared" si="28"/>
        <v>2.25</v>
      </c>
      <c r="X109" s="136">
        <f t="shared" si="28"/>
        <v>2.25</v>
      </c>
      <c r="Y109" s="136">
        <f t="shared" si="28"/>
        <v>2.25</v>
      </c>
      <c r="Z109" s="136">
        <f t="shared" si="28"/>
        <v>2.25</v>
      </c>
      <c r="AA109" s="136">
        <f t="shared" si="28"/>
        <v>2.25</v>
      </c>
      <c r="AB109" s="136">
        <f t="shared" si="28"/>
        <v>2.25</v>
      </c>
      <c r="AC109" s="136">
        <f t="shared" si="28"/>
        <v>2.25</v>
      </c>
      <c r="AD109" s="136">
        <f t="shared" si="28"/>
        <v>2.25</v>
      </c>
      <c r="AE109" s="136">
        <f t="shared" si="28"/>
        <v>2.25</v>
      </c>
      <c r="AF109" s="136">
        <f t="shared" si="28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27"/>
        <v>1.64</v>
      </c>
      <c r="E110" s="136">
        <f t="shared" si="27"/>
        <v>1.64</v>
      </c>
      <c r="F110" s="136">
        <f t="shared" si="27"/>
        <v>1.64</v>
      </c>
      <c r="G110" s="136">
        <f t="shared" si="27"/>
        <v>1.64</v>
      </c>
      <c r="H110" s="136">
        <f t="shared" si="27"/>
        <v>1.64</v>
      </c>
      <c r="I110" s="136">
        <f t="shared" si="27"/>
        <v>1.64</v>
      </c>
      <c r="J110" s="136">
        <f t="shared" si="27"/>
        <v>1.64</v>
      </c>
      <c r="K110" s="136">
        <f t="shared" si="27"/>
        <v>1.64</v>
      </c>
      <c r="L110" s="136">
        <f t="shared" si="27"/>
        <v>1.64</v>
      </c>
      <c r="M110" s="136">
        <f t="shared" si="27"/>
        <v>1.64</v>
      </c>
      <c r="N110" s="136">
        <f t="shared" si="27"/>
        <v>1.64</v>
      </c>
      <c r="O110" s="136">
        <f t="shared" si="27"/>
        <v>1.64</v>
      </c>
      <c r="P110" s="136">
        <f t="shared" si="27"/>
        <v>1.64</v>
      </c>
      <c r="Q110" s="136">
        <f t="shared" si="27"/>
        <v>1.64</v>
      </c>
      <c r="R110" s="136">
        <f t="shared" si="27"/>
        <v>1.64</v>
      </c>
      <c r="S110" s="136">
        <f t="shared" si="27"/>
        <v>1.64</v>
      </c>
      <c r="T110" s="136">
        <f t="shared" si="28"/>
        <v>1.64</v>
      </c>
      <c r="U110" s="136">
        <f t="shared" si="28"/>
        <v>1.64</v>
      </c>
      <c r="V110" s="136">
        <f t="shared" si="28"/>
        <v>1.64</v>
      </c>
      <c r="W110" s="136">
        <f t="shared" si="28"/>
        <v>1.64</v>
      </c>
      <c r="X110" s="136">
        <f t="shared" si="28"/>
        <v>1.64</v>
      </c>
      <c r="Y110" s="136">
        <f t="shared" si="28"/>
        <v>1.64</v>
      </c>
      <c r="Z110" s="136">
        <f t="shared" si="28"/>
        <v>1.64</v>
      </c>
      <c r="AA110" s="136">
        <f t="shared" si="28"/>
        <v>1.64</v>
      </c>
      <c r="AB110" s="136">
        <f t="shared" si="28"/>
        <v>1.64</v>
      </c>
      <c r="AC110" s="136">
        <f t="shared" si="28"/>
        <v>1.64</v>
      </c>
      <c r="AD110" s="136">
        <f t="shared" si="28"/>
        <v>1.64</v>
      </c>
      <c r="AE110" s="136">
        <f t="shared" si="28"/>
        <v>1.64</v>
      </c>
      <c r="AF110" s="136">
        <f t="shared" si="28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29">AF112</f>
        <v>1.62</v>
      </c>
      <c r="C112" s="137">
        <v>1.62</v>
      </c>
      <c r="D112" s="136">
        <f t="shared" ref="D112:S119" si="30">C112</f>
        <v>1.62</v>
      </c>
      <c r="E112" s="136">
        <f t="shared" si="30"/>
        <v>1.62</v>
      </c>
      <c r="F112" s="136">
        <f t="shared" si="30"/>
        <v>1.62</v>
      </c>
      <c r="G112" s="136">
        <f t="shared" si="30"/>
        <v>1.62</v>
      </c>
      <c r="H112" s="136">
        <f t="shared" si="30"/>
        <v>1.62</v>
      </c>
      <c r="I112" s="136">
        <f t="shared" si="30"/>
        <v>1.62</v>
      </c>
      <c r="J112" s="136">
        <f t="shared" si="30"/>
        <v>1.62</v>
      </c>
      <c r="K112" s="136">
        <f t="shared" si="30"/>
        <v>1.62</v>
      </c>
      <c r="L112" s="136">
        <f t="shared" si="30"/>
        <v>1.62</v>
      </c>
      <c r="M112" s="136">
        <f t="shared" si="30"/>
        <v>1.62</v>
      </c>
      <c r="N112" s="136">
        <f t="shared" si="30"/>
        <v>1.62</v>
      </c>
      <c r="O112" s="136">
        <f t="shared" si="30"/>
        <v>1.62</v>
      </c>
      <c r="P112" s="136">
        <f t="shared" si="30"/>
        <v>1.62</v>
      </c>
      <c r="Q112" s="136">
        <f t="shared" si="30"/>
        <v>1.62</v>
      </c>
      <c r="R112" s="136">
        <f t="shared" si="30"/>
        <v>1.62</v>
      </c>
      <c r="S112" s="136">
        <f t="shared" si="30"/>
        <v>1.62</v>
      </c>
      <c r="T112" s="136">
        <f t="shared" ref="T112:AF127" si="31">S112</f>
        <v>1.62</v>
      </c>
      <c r="U112" s="136">
        <f t="shared" si="31"/>
        <v>1.62</v>
      </c>
      <c r="V112" s="136">
        <f t="shared" si="31"/>
        <v>1.62</v>
      </c>
      <c r="W112" s="136">
        <f t="shared" si="31"/>
        <v>1.62</v>
      </c>
      <c r="X112" s="136">
        <f t="shared" si="31"/>
        <v>1.62</v>
      </c>
      <c r="Y112" s="136">
        <f t="shared" si="31"/>
        <v>1.62</v>
      </c>
      <c r="Z112" s="136">
        <f t="shared" si="31"/>
        <v>1.62</v>
      </c>
      <c r="AA112" s="136">
        <f t="shared" si="31"/>
        <v>1.62</v>
      </c>
      <c r="AB112" s="136">
        <f t="shared" si="31"/>
        <v>1.62</v>
      </c>
      <c r="AC112" s="136">
        <f t="shared" si="31"/>
        <v>1.62</v>
      </c>
      <c r="AD112" s="136">
        <f t="shared" si="31"/>
        <v>1.62</v>
      </c>
      <c r="AE112" s="136">
        <f t="shared" si="31"/>
        <v>1.62</v>
      </c>
      <c r="AF112" s="136">
        <f t="shared" si="31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29"/>
        <v>8.36</v>
      </c>
      <c r="C113" s="137">
        <v>8.36</v>
      </c>
      <c r="D113" s="136">
        <f t="shared" si="30"/>
        <v>8.36</v>
      </c>
      <c r="E113" s="136">
        <f t="shared" si="30"/>
        <v>8.36</v>
      </c>
      <c r="F113" s="136">
        <f t="shared" si="30"/>
        <v>8.36</v>
      </c>
      <c r="G113" s="136">
        <f t="shared" si="30"/>
        <v>8.36</v>
      </c>
      <c r="H113" s="136">
        <f t="shared" si="30"/>
        <v>8.36</v>
      </c>
      <c r="I113" s="136">
        <f t="shared" si="30"/>
        <v>8.36</v>
      </c>
      <c r="J113" s="136">
        <f t="shared" si="30"/>
        <v>8.36</v>
      </c>
      <c r="K113" s="136">
        <f t="shared" si="30"/>
        <v>8.36</v>
      </c>
      <c r="L113" s="136">
        <f t="shared" si="30"/>
        <v>8.36</v>
      </c>
      <c r="M113" s="136">
        <f t="shared" si="30"/>
        <v>8.36</v>
      </c>
      <c r="N113" s="136">
        <f t="shared" si="30"/>
        <v>8.36</v>
      </c>
      <c r="O113" s="136">
        <f t="shared" si="30"/>
        <v>8.36</v>
      </c>
      <c r="P113" s="136">
        <f t="shared" si="30"/>
        <v>8.36</v>
      </c>
      <c r="Q113" s="136">
        <f t="shared" si="30"/>
        <v>8.36</v>
      </c>
      <c r="R113" s="136">
        <f t="shared" si="30"/>
        <v>8.36</v>
      </c>
      <c r="S113" s="136">
        <f t="shared" si="30"/>
        <v>8.36</v>
      </c>
      <c r="T113" s="136">
        <f t="shared" si="31"/>
        <v>8.36</v>
      </c>
      <c r="U113" s="136">
        <f t="shared" si="31"/>
        <v>8.36</v>
      </c>
      <c r="V113" s="136">
        <f t="shared" si="31"/>
        <v>8.36</v>
      </c>
      <c r="W113" s="136">
        <f t="shared" si="31"/>
        <v>8.36</v>
      </c>
      <c r="X113" s="136">
        <f t="shared" si="31"/>
        <v>8.36</v>
      </c>
      <c r="Y113" s="136">
        <f t="shared" si="31"/>
        <v>8.36</v>
      </c>
      <c r="Z113" s="136">
        <f t="shared" si="31"/>
        <v>8.36</v>
      </c>
      <c r="AA113" s="136">
        <f t="shared" si="31"/>
        <v>8.36</v>
      </c>
      <c r="AB113" s="136">
        <f t="shared" si="31"/>
        <v>8.36</v>
      </c>
      <c r="AC113" s="136">
        <f t="shared" si="31"/>
        <v>8.36</v>
      </c>
      <c r="AD113" s="136">
        <f t="shared" si="31"/>
        <v>8.36</v>
      </c>
      <c r="AE113" s="136">
        <f t="shared" si="31"/>
        <v>8.36</v>
      </c>
      <c r="AF113" s="136">
        <f t="shared" si="31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29"/>
        <v>5.4</v>
      </c>
      <c r="C114" s="137">
        <v>8</v>
      </c>
      <c r="D114" s="136">
        <f t="shared" si="30"/>
        <v>8</v>
      </c>
      <c r="E114" s="136">
        <f t="shared" si="30"/>
        <v>8</v>
      </c>
      <c r="F114" s="136">
        <f t="shared" si="30"/>
        <v>8</v>
      </c>
      <c r="G114" s="136">
        <f t="shared" si="30"/>
        <v>8</v>
      </c>
      <c r="H114" s="136">
        <f t="shared" si="30"/>
        <v>8</v>
      </c>
      <c r="I114" s="136">
        <f t="shared" si="30"/>
        <v>8</v>
      </c>
      <c r="J114" s="136">
        <v>5.4</v>
      </c>
      <c r="K114" s="136">
        <f t="shared" si="30"/>
        <v>5.4</v>
      </c>
      <c r="L114" s="136">
        <f t="shared" si="30"/>
        <v>5.4</v>
      </c>
      <c r="M114" s="136">
        <f t="shared" si="30"/>
        <v>5.4</v>
      </c>
      <c r="N114" s="136">
        <f t="shared" si="30"/>
        <v>5.4</v>
      </c>
      <c r="O114" s="136">
        <f t="shared" si="30"/>
        <v>5.4</v>
      </c>
      <c r="P114" s="136">
        <f t="shared" si="30"/>
        <v>5.4</v>
      </c>
      <c r="Q114" s="136">
        <f t="shared" si="30"/>
        <v>5.4</v>
      </c>
      <c r="R114" s="136">
        <f t="shared" si="30"/>
        <v>5.4</v>
      </c>
      <c r="S114" s="136">
        <f t="shared" si="30"/>
        <v>5.4</v>
      </c>
      <c r="T114" s="136">
        <f t="shared" si="31"/>
        <v>5.4</v>
      </c>
      <c r="U114" s="136">
        <f t="shared" si="31"/>
        <v>5.4</v>
      </c>
      <c r="V114" s="136">
        <f t="shared" si="31"/>
        <v>5.4</v>
      </c>
      <c r="W114" s="136">
        <f t="shared" si="31"/>
        <v>5.4</v>
      </c>
      <c r="X114" s="136">
        <f t="shared" si="31"/>
        <v>5.4</v>
      </c>
      <c r="Y114" s="136">
        <f t="shared" si="31"/>
        <v>5.4</v>
      </c>
      <c r="Z114" s="136">
        <f t="shared" si="31"/>
        <v>5.4</v>
      </c>
      <c r="AA114" s="136">
        <f t="shared" si="31"/>
        <v>5.4</v>
      </c>
      <c r="AB114" s="136">
        <f t="shared" si="31"/>
        <v>5.4</v>
      </c>
      <c r="AC114" s="136">
        <f t="shared" si="31"/>
        <v>5.4</v>
      </c>
      <c r="AD114" s="136">
        <f t="shared" si="31"/>
        <v>5.4</v>
      </c>
      <c r="AE114" s="136">
        <f t="shared" si="31"/>
        <v>5.4</v>
      </c>
      <c r="AF114" s="136">
        <f t="shared" si="31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29"/>
        <v>6.57</v>
      </c>
      <c r="C115" s="137">
        <v>6.57</v>
      </c>
      <c r="D115" s="136">
        <f t="shared" si="30"/>
        <v>6.57</v>
      </c>
      <c r="E115" s="136">
        <f t="shared" si="30"/>
        <v>6.57</v>
      </c>
      <c r="F115" s="136">
        <f t="shared" si="30"/>
        <v>6.57</v>
      </c>
      <c r="G115" s="136">
        <f t="shared" si="30"/>
        <v>6.57</v>
      </c>
      <c r="H115" s="136">
        <f t="shared" si="30"/>
        <v>6.57</v>
      </c>
      <c r="I115" s="136">
        <f t="shared" si="30"/>
        <v>6.57</v>
      </c>
      <c r="J115" s="136">
        <f t="shared" si="30"/>
        <v>6.57</v>
      </c>
      <c r="K115" s="136">
        <f t="shared" si="30"/>
        <v>6.57</v>
      </c>
      <c r="L115" s="136">
        <f t="shared" si="30"/>
        <v>6.57</v>
      </c>
      <c r="M115" s="136">
        <f t="shared" si="30"/>
        <v>6.57</v>
      </c>
      <c r="N115" s="136">
        <f t="shared" si="30"/>
        <v>6.57</v>
      </c>
      <c r="O115" s="136">
        <f t="shared" si="30"/>
        <v>6.57</v>
      </c>
      <c r="P115" s="136">
        <f t="shared" si="30"/>
        <v>6.57</v>
      </c>
      <c r="Q115" s="136">
        <f t="shared" si="30"/>
        <v>6.57</v>
      </c>
      <c r="R115" s="136">
        <f t="shared" si="30"/>
        <v>6.57</v>
      </c>
      <c r="S115" s="136">
        <f t="shared" si="30"/>
        <v>6.57</v>
      </c>
      <c r="T115" s="136">
        <f t="shared" si="31"/>
        <v>6.57</v>
      </c>
      <c r="U115" s="136">
        <f t="shared" si="31"/>
        <v>6.57</v>
      </c>
      <c r="V115" s="136">
        <f t="shared" si="31"/>
        <v>6.57</v>
      </c>
      <c r="W115" s="136">
        <f t="shared" si="31"/>
        <v>6.57</v>
      </c>
      <c r="X115" s="136">
        <f t="shared" si="31"/>
        <v>6.57</v>
      </c>
      <c r="Y115" s="136">
        <f t="shared" si="31"/>
        <v>6.57</v>
      </c>
      <c r="Z115" s="136">
        <f t="shared" si="31"/>
        <v>6.57</v>
      </c>
      <c r="AA115" s="136">
        <f t="shared" si="31"/>
        <v>6.57</v>
      </c>
      <c r="AB115" s="136">
        <f t="shared" si="31"/>
        <v>6.57</v>
      </c>
      <c r="AC115" s="136">
        <f t="shared" si="31"/>
        <v>6.57</v>
      </c>
      <c r="AD115" s="136">
        <f t="shared" si="31"/>
        <v>6.57</v>
      </c>
      <c r="AE115" s="136">
        <f t="shared" si="31"/>
        <v>6.57</v>
      </c>
      <c r="AF115" s="136">
        <f t="shared" si="31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29"/>
        <v>3.43</v>
      </c>
      <c r="C116" s="137">
        <v>3.43</v>
      </c>
      <c r="D116" s="136">
        <f t="shared" si="30"/>
        <v>3.43</v>
      </c>
      <c r="E116" s="136">
        <f t="shared" si="30"/>
        <v>3.43</v>
      </c>
      <c r="F116" s="136">
        <f t="shared" si="30"/>
        <v>3.43</v>
      </c>
      <c r="G116" s="136">
        <f t="shared" si="30"/>
        <v>3.43</v>
      </c>
      <c r="H116" s="136">
        <f t="shared" si="30"/>
        <v>3.43</v>
      </c>
      <c r="I116" s="136">
        <f t="shared" si="30"/>
        <v>3.43</v>
      </c>
      <c r="J116" s="136">
        <f t="shared" si="30"/>
        <v>3.43</v>
      </c>
      <c r="K116" s="136">
        <f t="shared" si="30"/>
        <v>3.43</v>
      </c>
      <c r="L116" s="136">
        <f t="shared" si="30"/>
        <v>3.43</v>
      </c>
      <c r="M116" s="136">
        <f t="shared" si="30"/>
        <v>3.43</v>
      </c>
      <c r="N116" s="136">
        <f t="shared" si="30"/>
        <v>3.43</v>
      </c>
      <c r="O116" s="136">
        <f t="shared" si="30"/>
        <v>3.43</v>
      </c>
      <c r="P116" s="136">
        <f t="shared" si="30"/>
        <v>3.43</v>
      </c>
      <c r="Q116" s="136">
        <f t="shared" si="30"/>
        <v>3.43</v>
      </c>
      <c r="R116" s="136">
        <f t="shared" si="30"/>
        <v>3.43</v>
      </c>
      <c r="S116" s="136">
        <f t="shared" si="30"/>
        <v>3.43</v>
      </c>
      <c r="T116" s="136">
        <f t="shared" si="31"/>
        <v>3.43</v>
      </c>
      <c r="U116" s="136">
        <f t="shared" si="31"/>
        <v>3.43</v>
      </c>
      <c r="V116" s="136">
        <f t="shared" si="31"/>
        <v>3.43</v>
      </c>
      <c r="W116" s="136">
        <f t="shared" si="31"/>
        <v>3.43</v>
      </c>
      <c r="X116" s="136">
        <f t="shared" si="31"/>
        <v>3.43</v>
      </c>
      <c r="Y116" s="136">
        <f t="shared" si="31"/>
        <v>3.43</v>
      </c>
      <c r="Z116" s="136">
        <f t="shared" si="31"/>
        <v>3.43</v>
      </c>
      <c r="AA116" s="136">
        <f t="shared" si="31"/>
        <v>3.43</v>
      </c>
      <c r="AB116" s="136">
        <f t="shared" si="31"/>
        <v>3.43</v>
      </c>
      <c r="AC116" s="136">
        <f t="shared" si="31"/>
        <v>3.43</v>
      </c>
      <c r="AD116" s="136">
        <f t="shared" si="31"/>
        <v>3.43</v>
      </c>
      <c r="AE116" s="136">
        <f t="shared" si="31"/>
        <v>3.43</v>
      </c>
      <c r="AF116" s="136">
        <f t="shared" si="31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29"/>
        <v>2.96</v>
      </c>
      <c r="C117" s="137">
        <v>2.96</v>
      </c>
      <c r="D117" s="136">
        <f t="shared" si="30"/>
        <v>2.96</v>
      </c>
      <c r="E117" s="136">
        <f t="shared" si="30"/>
        <v>2.96</v>
      </c>
      <c r="F117" s="136">
        <f t="shared" si="30"/>
        <v>2.96</v>
      </c>
      <c r="G117" s="136">
        <f t="shared" si="30"/>
        <v>2.96</v>
      </c>
      <c r="H117" s="136">
        <f t="shared" si="30"/>
        <v>2.96</v>
      </c>
      <c r="I117" s="136">
        <f t="shared" si="30"/>
        <v>2.96</v>
      </c>
      <c r="J117" s="136">
        <f t="shared" si="30"/>
        <v>2.96</v>
      </c>
      <c r="K117" s="136">
        <f t="shared" si="30"/>
        <v>2.96</v>
      </c>
      <c r="L117" s="136">
        <f t="shared" si="30"/>
        <v>2.96</v>
      </c>
      <c r="M117" s="136">
        <f t="shared" si="30"/>
        <v>2.96</v>
      </c>
      <c r="N117" s="136">
        <f t="shared" si="30"/>
        <v>2.96</v>
      </c>
      <c r="O117" s="136">
        <f t="shared" si="30"/>
        <v>2.96</v>
      </c>
      <c r="P117" s="136">
        <f t="shared" si="30"/>
        <v>2.96</v>
      </c>
      <c r="Q117" s="136">
        <f t="shared" si="30"/>
        <v>2.96</v>
      </c>
      <c r="R117" s="136">
        <f t="shared" si="30"/>
        <v>2.96</v>
      </c>
      <c r="S117" s="136">
        <f t="shared" si="30"/>
        <v>2.96</v>
      </c>
      <c r="T117" s="136">
        <f t="shared" si="31"/>
        <v>2.96</v>
      </c>
      <c r="U117" s="136">
        <f t="shared" si="31"/>
        <v>2.96</v>
      </c>
      <c r="V117" s="136">
        <f t="shared" si="31"/>
        <v>2.96</v>
      </c>
      <c r="W117" s="136">
        <f t="shared" si="31"/>
        <v>2.96</v>
      </c>
      <c r="X117" s="136">
        <f t="shared" si="31"/>
        <v>2.96</v>
      </c>
      <c r="Y117" s="136">
        <f t="shared" si="31"/>
        <v>2.96</v>
      </c>
      <c r="Z117" s="136">
        <f t="shared" si="31"/>
        <v>2.96</v>
      </c>
      <c r="AA117" s="136">
        <f t="shared" si="31"/>
        <v>2.96</v>
      </c>
      <c r="AB117" s="136">
        <f t="shared" si="31"/>
        <v>2.96</v>
      </c>
      <c r="AC117" s="136">
        <f t="shared" si="31"/>
        <v>2.96</v>
      </c>
      <c r="AD117" s="136">
        <f t="shared" si="31"/>
        <v>2.96</v>
      </c>
      <c r="AE117" s="136">
        <f t="shared" si="31"/>
        <v>2.96</v>
      </c>
      <c r="AF117" s="136">
        <f t="shared" si="31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29"/>
        <v>8</v>
      </c>
      <c r="C118" s="137">
        <v>8</v>
      </c>
      <c r="D118" s="136">
        <f t="shared" si="30"/>
        <v>8</v>
      </c>
      <c r="E118" s="136">
        <f t="shared" si="30"/>
        <v>8</v>
      </c>
      <c r="F118" s="136">
        <f t="shared" si="30"/>
        <v>8</v>
      </c>
      <c r="G118" s="136">
        <f t="shared" si="30"/>
        <v>8</v>
      </c>
      <c r="H118" s="136">
        <f t="shared" si="30"/>
        <v>8</v>
      </c>
      <c r="I118" s="136">
        <f t="shared" si="30"/>
        <v>8</v>
      </c>
      <c r="J118" s="136">
        <f t="shared" si="30"/>
        <v>8</v>
      </c>
      <c r="K118" s="136">
        <f t="shared" si="30"/>
        <v>8</v>
      </c>
      <c r="L118" s="136">
        <f t="shared" si="30"/>
        <v>8</v>
      </c>
      <c r="M118" s="136">
        <f t="shared" si="30"/>
        <v>8</v>
      </c>
      <c r="N118" s="136">
        <f t="shared" si="30"/>
        <v>8</v>
      </c>
      <c r="O118" s="136">
        <f t="shared" si="30"/>
        <v>8</v>
      </c>
      <c r="P118" s="136">
        <f t="shared" si="30"/>
        <v>8</v>
      </c>
      <c r="Q118" s="136">
        <f t="shared" si="30"/>
        <v>8</v>
      </c>
      <c r="R118" s="136">
        <f t="shared" si="30"/>
        <v>8</v>
      </c>
      <c r="S118" s="136">
        <f t="shared" si="30"/>
        <v>8</v>
      </c>
      <c r="T118" s="136">
        <f t="shared" si="31"/>
        <v>8</v>
      </c>
      <c r="U118" s="136">
        <f t="shared" si="31"/>
        <v>8</v>
      </c>
      <c r="V118" s="136">
        <f t="shared" si="31"/>
        <v>8</v>
      </c>
      <c r="W118" s="136">
        <f t="shared" si="31"/>
        <v>8</v>
      </c>
      <c r="X118" s="136">
        <f t="shared" si="31"/>
        <v>8</v>
      </c>
      <c r="Y118" s="136">
        <f t="shared" si="31"/>
        <v>8</v>
      </c>
      <c r="Z118" s="136">
        <f t="shared" si="31"/>
        <v>8</v>
      </c>
      <c r="AA118" s="136">
        <f t="shared" si="31"/>
        <v>8</v>
      </c>
      <c r="AB118" s="136">
        <f t="shared" si="31"/>
        <v>8</v>
      </c>
      <c r="AC118" s="136">
        <f t="shared" si="31"/>
        <v>8</v>
      </c>
      <c r="AD118" s="136">
        <f t="shared" si="31"/>
        <v>8</v>
      </c>
      <c r="AE118" s="136">
        <f t="shared" si="31"/>
        <v>8</v>
      </c>
      <c r="AF118" s="136">
        <f t="shared" si="31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29"/>
        <v>7</v>
      </c>
      <c r="C119" s="137">
        <v>7</v>
      </c>
      <c r="D119" s="136">
        <f>C119</f>
        <v>7</v>
      </c>
      <c r="E119" s="136">
        <f t="shared" si="30"/>
        <v>7</v>
      </c>
      <c r="F119" s="136">
        <f t="shared" si="30"/>
        <v>7</v>
      </c>
      <c r="G119" s="136">
        <f t="shared" si="30"/>
        <v>7</v>
      </c>
      <c r="H119" s="136">
        <f t="shared" si="30"/>
        <v>7</v>
      </c>
      <c r="I119" s="136">
        <f t="shared" si="30"/>
        <v>7</v>
      </c>
      <c r="J119" s="136">
        <f t="shared" si="30"/>
        <v>7</v>
      </c>
      <c r="K119" s="136">
        <f t="shared" si="30"/>
        <v>7</v>
      </c>
      <c r="L119" s="136">
        <f t="shared" si="30"/>
        <v>7</v>
      </c>
      <c r="M119" s="136">
        <f t="shared" si="30"/>
        <v>7</v>
      </c>
      <c r="N119" s="136">
        <f t="shared" si="30"/>
        <v>7</v>
      </c>
      <c r="O119" s="136">
        <f t="shared" si="30"/>
        <v>7</v>
      </c>
      <c r="P119" s="136">
        <f t="shared" si="30"/>
        <v>7</v>
      </c>
      <c r="Q119" s="136">
        <f t="shared" si="30"/>
        <v>7</v>
      </c>
      <c r="R119" s="136">
        <f t="shared" si="30"/>
        <v>7</v>
      </c>
      <c r="S119" s="136">
        <f t="shared" si="30"/>
        <v>7</v>
      </c>
      <c r="T119" s="136">
        <f t="shared" si="31"/>
        <v>7</v>
      </c>
      <c r="U119" s="136">
        <f t="shared" si="31"/>
        <v>7</v>
      </c>
      <c r="V119" s="136">
        <f t="shared" si="31"/>
        <v>7</v>
      </c>
      <c r="W119" s="136">
        <f t="shared" si="31"/>
        <v>7</v>
      </c>
      <c r="X119" s="136">
        <f t="shared" si="31"/>
        <v>7</v>
      </c>
      <c r="Y119" s="136">
        <f t="shared" si="31"/>
        <v>7</v>
      </c>
      <c r="Z119" s="136">
        <f t="shared" si="31"/>
        <v>7</v>
      </c>
      <c r="AA119" s="136">
        <f t="shared" si="31"/>
        <v>7</v>
      </c>
      <c r="AB119" s="136">
        <f t="shared" si="31"/>
        <v>7</v>
      </c>
      <c r="AC119" s="136">
        <f t="shared" si="31"/>
        <v>7</v>
      </c>
      <c r="AD119" s="136">
        <f t="shared" si="31"/>
        <v>7</v>
      </c>
      <c r="AE119" s="136">
        <f t="shared" si="31"/>
        <v>7</v>
      </c>
      <c r="AF119" s="136">
        <f t="shared" si="31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29"/>
        <v>3.47</v>
      </c>
      <c r="C120" s="137">
        <v>3.47</v>
      </c>
      <c r="D120" s="136">
        <f t="shared" ref="D120:S129" si="32">C120</f>
        <v>3.47</v>
      </c>
      <c r="E120" s="136">
        <f t="shared" si="32"/>
        <v>3.47</v>
      </c>
      <c r="F120" s="136">
        <f t="shared" si="32"/>
        <v>3.47</v>
      </c>
      <c r="G120" s="136">
        <f t="shared" si="32"/>
        <v>3.47</v>
      </c>
      <c r="H120" s="136">
        <f t="shared" si="32"/>
        <v>3.47</v>
      </c>
      <c r="I120" s="136">
        <f t="shared" si="32"/>
        <v>3.47</v>
      </c>
      <c r="J120" s="136">
        <f t="shared" si="32"/>
        <v>3.47</v>
      </c>
      <c r="K120" s="136">
        <f t="shared" si="32"/>
        <v>3.47</v>
      </c>
      <c r="L120" s="136">
        <f t="shared" si="32"/>
        <v>3.47</v>
      </c>
      <c r="M120" s="136">
        <f t="shared" si="32"/>
        <v>3.47</v>
      </c>
      <c r="N120" s="136">
        <f t="shared" si="32"/>
        <v>3.47</v>
      </c>
      <c r="O120" s="136">
        <f t="shared" si="32"/>
        <v>3.47</v>
      </c>
      <c r="P120" s="136">
        <f t="shared" si="32"/>
        <v>3.47</v>
      </c>
      <c r="Q120" s="136">
        <f t="shared" si="32"/>
        <v>3.47</v>
      </c>
      <c r="R120" s="136">
        <f t="shared" si="32"/>
        <v>3.47</v>
      </c>
      <c r="S120" s="136">
        <f t="shared" si="32"/>
        <v>3.47</v>
      </c>
      <c r="T120" s="136">
        <f t="shared" si="31"/>
        <v>3.47</v>
      </c>
      <c r="U120" s="136">
        <f t="shared" si="31"/>
        <v>3.47</v>
      </c>
      <c r="V120" s="136">
        <f t="shared" si="31"/>
        <v>3.47</v>
      </c>
      <c r="W120" s="136">
        <f t="shared" si="31"/>
        <v>3.47</v>
      </c>
      <c r="X120" s="136">
        <f t="shared" si="31"/>
        <v>3.47</v>
      </c>
      <c r="Y120" s="136">
        <f t="shared" si="31"/>
        <v>3.47</v>
      </c>
      <c r="Z120" s="136">
        <f t="shared" si="31"/>
        <v>3.47</v>
      </c>
      <c r="AA120" s="136">
        <f t="shared" si="31"/>
        <v>3.47</v>
      </c>
      <c r="AB120" s="136">
        <f t="shared" si="31"/>
        <v>3.47</v>
      </c>
      <c r="AC120" s="136">
        <f t="shared" si="31"/>
        <v>3.47</v>
      </c>
      <c r="AD120" s="136">
        <f t="shared" si="31"/>
        <v>3.47</v>
      </c>
      <c r="AE120" s="136">
        <f t="shared" si="31"/>
        <v>3.47</v>
      </c>
      <c r="AF120" s="136">
        <f t="shared" si="31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29"/>
        <v>2.1</v>
      </c>
      <c r="C121" s="137">
        <v>2.1</v>
      </c>
      <c r="D121" s="136">
        <f t="shared" si="32"/>
        <v>2.1</v>
      </c>
      <c r="E121" s="136">
        <f t="shared" si="32"/>
        <v>2.1</v>
      </c>
      <c r="F121" s="136">
        <f t="shared" si="32"/>
        <v>2.1</v>
      </c>
      <c r="G121" s="136">
        <f t="shared" si="32"/>
        <v>2.1</v>
      </c>
      <c r="H121" s="136">
        <f t="shared" si="32"/>
        <v>2.1</v>
      </c>
      <c r="I121" s="136">
        <f t="shared" si="32"/>
        <v>2.1</v>
      </c>
      <c r="J121" s="136">
        <f t="shared" si="32"/>
        <v>2.1</v>
      </c>
      <c r="K121" s="136">
        <f t="shared" si="32"/>
        <v>2.1</v>
      </c>
      <c r="L121" s="136">
        <f t="shared" si="32"/>
        <v>2.1</v>
      </c>
      <c r="M121" s="136">
        <f t="shared" si="32"/>
        <v>2.1</v>
      </c>
      <c r="N121" s="136">
        <f t="shared" si="32"/>
        <v>2.1</v>
      </c>
      <c r="O121" s="136">
        <f t="shared" si="32"/>
        <v>2.1</v>
      </c>
      <c r="P121" s="136">
        <f t="shared" si="32"/>
        <v>2.1</v>
      </c>
      <c r="Q121" s="136">
        <f t="shared" si="32"/>
        <v>2.1</v>
      </c>
      <c r="R121" s="136">
        <f t="shared" si="32"/>
        <v>2.1</v>
      </c>
      <c r="S121" s="136">
        <f t="shared" si="32"/>
        <v>2.1</v>
      </c>
      <c r="T121" s="136">
        <f t="shared" si="31"/>
        <v>2.1</v>
      </c>
      <c r="U121" s="136">
        <f t="shared" si="31"/>
        <v>2.1</v>
      </c>
      <c r="V121" s="136">
        <f t="shared" si="31"/>
        <v>2.1</v>
      </c>
      <c r="W121" s="136">
        <f t="shared" si="31"/>
        <v>2.1</v>
      </c>
      <c r="X121" s="136">
        <f t="shared" si="31"/>
        <v>2.1</v>
      </c>
      <c r="Y121" s="136">
        <f t="shared" si="31"/>
        <v>2.1</v>
      </c>
      <c r="Z121" s="136">
        <f t="shared" si="31"/>
        <v>2.1</v>
      </c>
      <c r="AA121" s="136">
        <f t="shared" si="31"/>
        <v>2.1</v>
      </c>
      <c r="AB121" s="136">
        <f t="shared" si="31"/>
        <v>2.1</v>
      </c>
      <c r="AC121" s="136">
        <f t="shared" si="31"/>
        <v>2.1</v>
      </c>
      <c r="AD121" s="136">
        <f t="shared" si="31"/>
        <v>2.1</v>
      </c>
      <c r="AE121" s="136">
        <f t="shared" si="31"/>
        <v>2.1</v>
      </c>
      <c r="AF121" s="136">
        <f t="shared" si="31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29"/>
        <v>9.3000000000000007</v>
      </c>
      <c r="C122" s="137">
        <v>9.3000000000000007</v>
      </c>
      <c r="D122" s="136">
        <f t="shared" si="32"/>
        <v>9.3000000000000007</v>
      </c>
      <c r="E122" s="136">
        <f t="shared" si="32"/>
        <v>9.3000000000000007</v>
      </c>
      <c r="F122" s="136">
        <f t="shared" si="32"/>
        <v>9.3000000000000007</v>
      </c>
      <c r="G122" s="136">
        <f t="shared" si="32"/>
        <v>9.3000000000000007</v>
      </c>
      <c r="H122" s="136">
        <f t="shared" si="32"/>
        <v>9.3000000000000007</v>
      </c>
      <c r="I122" s="136">
        <f t="shared" si="32"/>
        <v>9.3000000000000007</v>
      </c>
      <c r="J122" s="136">
        <f t="shared" si="32"/>
        <v>9.3000000000000007</v>
      </c>
      <c r="K122" s="136">
        <f t="shared" si="32"/>
        <v>9.3000000000000007</v>
      </c>
      <c r="L122" s="136">
        <f t="shared" si="32"/>
        <v>9.3000000000000007</v>
      </c>
      <c r="M122" s="136">
        <f t="shared" si="32"/>
        <v>9.3000000000000007</v>
      </c>
      <c r="N122" s="136">
        <f t="shared" si="32"/>
        <v>9.3000000000000007</v>
      </c>
      <c r="O122" s="136">
        <f t="shared" si="32"/>
        <v>9.3000000000000007</v>
      </c>
      <c r="P122" s="136">
        <f t="shared" si="32"/>
        <v>9.3000000000000007</v>
      </c>
      <c r="Q122" s="136">
        <f t="shared" si="32"/>
        <v>9.3000000000000007</v>
      </c>
      <c r="R122" s="136">
        <f t="shared" si="32"/>
        <v>9.3000000000000007</v>
      </c>
      <c r="S122" s="136">
        <f t="shared" si="32"/>
        <v>9.3000000000000007</v>
      </c>
      <c r="T122" s="136">
        <f t="shared" si="31"/>
        <v>9.3000000000000007</v>
      </c>
      <c r="U122" s="136">
        <f t="shared" si="31"/>
        <v>9.3000000000000007</v>
      </c>
      <c r="V122" s="136">
        <f t="shared" si="31"/>
        <v>9.3000000000000007</v>
      </c>
      <c r="W122" s="136">
        <f t="shared" si="31"/>
        <v>9.3000000000000007</v>
      </c>
      <c r="X122" s="136">
        <f t="shared" si="31"/>
        <v>9.3000000000000007</v>
      </c>
      <c r="Y122" s="136">
        <f t="shared" si="31"/>
        <v>9.3000000000000007</v>
      </c>
      <c r="Z122" s="136">
        <f t="shared" si="31"/>
        <v>9.3000000000000007</v>
      </c>
      <c r="AA122" s="136">
        <f t="shared" si="31"/>
        <v>9.3000000000000007</v>
      </c>
      <c r="AB122" s="136">
        <f t="shared" si="31"/>
        <v>9.3000000000000007</v>
      </c>
      <c r="AC122" s="136">
        <f t="shared" si="31"/>
        <v>9.3000000000000007</v>
      </c>
      <c r="AD122" s="136">
        <f t="shared" si="31"/>
        <v>9.3000000000000007</v>
      </c>
      <c r="AE122" s="136">
        <f t="shared" si="31"/>
        <v>9.3000000000000007</v>
      </c>
      <c r="AF122" s="136">
        <f t="shared" si="31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29"/>
        <v>0</v>
      </c>
      <c r="C123" s="137">
        <v>0</v>
      </c>
      <c r="D123" s="136">
        <f t="shared" si="32"/>
        <v>0</v>
      </c>
      <c r="E123" s="136">
        <f t="shared" si="32"/>
        <v>0</v>
      </c>
      <c r="F123" s="136">
        <f t="shared" si="32"/>
        <v>0</v>
      </c>
      <c r="G123" s="136">
        <f t="shared" si="32"/>
        <v>0</v>
      </c>
      <c r="H123" s="136">
        <f t="shared" si="32"/>
        <v>0</v>
      </c>
      <c r="I123" s="136">
        <f t="shared" si="32"/>
        <v>0</v>
      </c>
      <c r="J123" s="136">
        <f t="shared" si="32"/>
        <v>0</v>
      </c>
      <c r="K123" s="136">
        <f t="shared" si="32"/>
        <v>0</v>
      </c>
      <c r="L123" s="136">
        <f t="shared" si="32"/>
        <v>0</v>
      </c>
      <c r="M123" s="136">
        <f t="shared" si="32"/>
        <v>0</v>
      </c>
      <c r="N123" s="136">
        <f t="shared" si="32"/>
        <v>0</v>
      </c>
      <c r="O123" s="136">
        <f t="shared" si="32"/>
        <v>0</v>
      </c>
      <c r="P123" s="136">
        <f t="shared" si="32"/>
        <v>0</v>
      </c>
      <c r="Q123" s="136">
        <f t="shared" si="32"/>
        <v>0</v>
      </c>
      <c r="R123" s="136">
        <f t="shared" si="32"/>
        <v>0</v>
      </c>
      <c r="S123" s="136">
        <f t="shared" si="32"/>
        <v>0</v>
      </c>
      <c r="T123" s="136">
        <f t="shared" si="31"/>
        <v>0</v>
      </c>
      <c r="U123" s="136">
        <f t="shared" si="31"/>
        <v>0</v>
      </c>
      <c r="V123" s="136">
        <f t="shared" si="31"/>
        <v>0</v>
      </c>
      <c r="W123" s="136">
        <f t="shared" si="31"/>
        <v>0</v>
      </c>
      <c r="X123" s="136">
        <f t="shared" si="31"/>
        <v>0</v>
      </c>
      <c r="Y123" s="136">
        <f t="shared" si="31"/>
        <v>0</v>
      </c>
      <c r="Z123" s="136">
        <f t="shared" si="31"/>
        <v>0</v>
      </c>
      <c r="AA123" s="136">
        <f t="shared" si="31"/>
        <v>0</v>
      </c>
      <c r="AB123" s="136">
        <f t="shared" si="31"/>
        <v>0</v>
      </c>
      <c r="AC123" s="136">
        <f t="shared" si="31"/>
        <v>0</v>
      </c>
      <c r="AD123" s="136">
        <f t="shared" si="31"/>
        <v>0</v>
      </c>
      <c r="AE123" s="136">
        <f t="shared" si="31"/>
        <v>0</v>
      </c>
      <c r="AF123" s="136">
        <f t="shared" si="31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29"/>
        <v>0</v>
      </c>
      <c r="C124" s="137">
        <v>0</v>
      </c>
      <c r="D124" s="136">
        <f t="shared" si="32"/>
        <v>0</v>
      </c>
      <c r="E124" s="136">
        <f t="shared" si="32"/>
        <v>0</v>
      </c>
      <c r="F124" s="136">
        <f t="shared" si="32"/>
        <v>0</v>
      </c>
      <c r="G124" s="136">
        <f t="shared" si="32"/>
        <v>0</v>
      </c>
      <c r="H124" s="136">
        <f t="shared" si="32"/>
        <v>0</v>
      </c>
      <c r="I124" s="136">
        <f t="shared" si="32"/>
        <v>0</v>
      </c>
      <c r="J124" s="136">
        <f t="shared" si="32"/>
        <v>0</v>
      </c>
      <c r="K124" s="136">
        <f t="shared" si="32"/>
        <v>0</v>
      </c>
      <c r="L124" s="136">
        <f t="shared" si="32"/>
        <v>0</v>
      </c>
      <c r="M124" s="136">
        <f t="shared" si="32"/>
        <v>0</v>
      </c>
      <c r="N124" s="136">
        <f t="shared" si="32"/>
        <v>0</v>
      </c>
      <c r="O124" s="136">
        <f t="shared" si="32"/>
        <v>0</v>
      </c>
      <c r="P124" s="136">
        <f t="shared" si="32"/>
        <v>0</v>
      </c>
      <c r="Q124" s="136">
        <f t="shared" si="32"/>
        <v>0</v>
      </c>
      <c r="R124" s="136">
        <f t="shared" si="32"/>
        <v>0</v>
      </c>
      <c r="S124" s="136">
        <f t="shared" si="32"/>
        <v>0</v>
      </c>
      <c r="T124" s="136">
        <f t="shared" si="31"/>
        <v>0</v>
      </c>
      <c r="U124" s="136">
        <f t="shared" si="31"/>
        <v>0</v>
      </c>
      <c r="V124" s="136">
        <f t="shared" si="31"/>
        <v>0</v>
      </c>
      <c r="W124" s="136">
        <f t="shared" si="31"/>
        <v>0</v>
      </c>
      <c r="X124" s="136">
        <f t="shared" si="31"/>
        <v>0</v>
      </c>
      <c r="Y124" s="136">
        <f t="shared" si="31"/>
        <v>0</v>
      </c>
      <c r="Z124" s="136">
        <f t="shared" si="31"/>
        <v>0</v>
      </c>
      <c r="AA124" s="136">
        <f t="shared" si="31"/>
        <v>0</v>
      </c>
      <c r="AB124" s="136">
        <f t="shared" si="31"/>
        <v>0</v>
      </c>
      <c r="AC124" s="136">
        <f t="shared" si="31"/>
        <v>0</v>
      </c>
      <c r="AD124" s="136">
        <f t="shared" si="31"/>
        <v>0</v>
      </c>
      <c r="AE124" s="136">
        <f t="shared" si="31"/>
        <v>0</v>
      </c>
      <c r="AF124" s="136">
        <f t="shared" si="31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29"/>
        <v>5</v>
      </c>
      <c r="C125" s="137">
        <v>5</v>
      </c>
      <c r="D125" s="136">
        <f t="shared" si="32"/>
        <v>5</v>
      </c>
      <c r="E125" s="136">
        <f t="shared" si="32"/>
        <v>5</v>
      </c>
      <c r="F125" s="136">
        <f t="shared" si="32"/>
        <v>5</v>
      </c>
      <c r="G125" s="136">
        <f t="shared" si="32"/>
        <v>5</v>
      </c>
      <c r="H125" s="136">
        <f t="shared" si="32"/>
        <v>5</v>
      </c>
      <c r="I125" s="136">
        <f t="shared" si="32"/>
        <v>5</v>
      </c>
      <c r="J125" s="136">
        <f t="shared" si="32"/>
        <v>5</v>
      </c>
      <c r="K125" s="136">
        <f t="shared" si="32"/>
        <v>5</v>
      </c>
      <c r="L125" s="136">
        <f t="shared" si="32"/>
        <v>5</v>
      </c>
      <c r="M125" s="136">
        <f t="shared" si="32"/>
        <v>5</v>
      </c>
      <c r="N125" s="136">
        <f t="shared" si="32"/>
        <v>5</v>
      </c>
      <c r="O125" s="136">
        <f t="shared" si="32"/>
        <v>5</v>
      </c>
      <c r="P125" s="136">
        <f t="shared" si="32"/>
        <v>5</v>
      </c>
      <c r="Q125" s="136">
        <f t="shared" si="32"/>
        <v>5</v>
      </c>
      <c r="R125" s="136">
        <f t="shared" si="32"/>
        <v>5</v>
      </c>
      <c r="S125" s="136">
        <f t="shared" si="32"/>
        <v>5</v>
      </c>
      <c r="T125" s="136">
        <f t="shared" si="31"/>
        <v>5</v>
      </c>
      <c r="U125" s="136">
        <f t="shared" si="31"/>
        <v>5</v>
      </c>
      <c r="V125" s="136">
        <f t="shared" si="31"/>
        <v>5</v>
      </c>
      <c r="W125" s="136">
        <f t="shared" si="31"/>
        <v>5</v>
      </c>
      <c r="X125" s="136">
        <f t="shared" si="31"/>
        <v>5</v>
      </c>
      <c r="Y125" s="136">
        <f t="shared" si="31"/>
        <v>5</v>
      </c>
      <c r="Z125" s="136">
        <f t="shared" si="31"/>
        <v>5</v>
      </c>
      <c r="AA125" s="136">
        <f t="shared" si="31"/>
        <v>5</v>
      </c>
      <c r="AB125" s="136">
        <f t="shared" si="31"/>
        <v>5</v>
      </c>
      <c r="AC125" s="136">
        <f t="shared" si="31"/>
        <v>5</v>
      </c>
      <c r="AD125" s="136">
        <f t="shared" si="31"/>
        <v>5</v>
      </c>
      <c r="AE125" s="136">
        <f t="shared" si="31"/>
        <v>5</v>
      </c>
      <c r="AF125" s="136">
        <f t="shared" si="31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29"/>
        <v>1</v>
      </c>
      <c r="C126" s="137">
        <v>1</v>
      </c>
      <c r="D126" s="136">
        <f t="shared" si="32"/>
        <v>1</v>
      </c>
      <c r="E126" s="136">
        <f t="shared" si="32"/>
        <v>1</v>
      </c>
      <c r="F126" s="136">
        <f t="shared" si="32"/>
        <v>1</v>
      </c>
      <c r="G126" s="136">
        <f t="shared" si="32"/>
        <v>1</v>
      </c>
      <c r="H126" s="136">
        <f t="shared" si="32"/>
        <v>1</v>
      </c>
      <c r="I126" s="136">
        <f t="shared" si="32"/>
        <v>1</v>
      </c>
      <c r="J126" s="136">
        <f t="shared" si="32"/>
        <v>1</v>
      </c>
      <c r="K126" s="136">
        <f t="shared" si="32"/>
        <v>1</v>
      </c>
      <c r="L126" s="136">
        <f t="shared" si="32"/>
        <v>1</v>
      </c>
      <c r="M126" s="136">
        <f t="shared" si="32"/>
        <v>1</v>
      </c>
      <c r="N126" s="136">
        <f t="shared" si="32"/>
        <v>1</v>
      </c>
      <c r="O126" s="136">
        <f t="shared" si="32"/>
        <v>1</v>
      </c>
      <c r="P126" s="136">
        <f t="shared" si="32"/>
        <v>1</v>
      </c>
      <c r="Q126" s="136">
        <f t="shared" si="32"/>
        <v>1</v>
      </c>
      <c r="R126" s="136">
        <f t="shared" si="32"/>
        <v>1</v>
      </c>
      <c r="S126" s="136">
        <f t="shared" si="32"/>
        <v>1</v>
      </c>
      <c r="T126" s="136">
        <f t="shared" si="31"/>
        <v>1</v>
      </c>
      <c r="U126" s="136">
        <f t="shared" si="31"/>
        <v>1</v>
      </c>
      <c r="V126" s="136">
        <f t="shared" si="31"/>
        <v>1</v>
      </c>
      <c r="W126" s="136">
        <f t="shared" si="31"/>
        <v>1</v>
      </c>
      <c r="X126" s="136">
        <f t="shared" si="31"/>
        <v>1</v>
      </c>
      <c r="Y126" s="136">
        <f t="shared" si="31"/>
        <v>1</v>
      </c>
      <c r="Z126" s="136">
        <f t="shared" si="31"/>
        <v>1</v>
      </c>
      <c r="AA126" s="136">
        <f t="shared" si="31"/>
        <v>1</v>
      </c>
      <c r="AB126" s="136">
        <f t="shared" si="31"/>
        <v>1</v>
      </c>
      <c r="AC126" s="136">
        <f t="shared" si="31"/>
        <v>1</v>
      </c>
      <c r="AD126" s="136">
        <f t="shared" si="31"/>
        <v>1</v>
      </c>
      <c r="AE126" s="136">
        <f t="shared" si="31"/>
        <v>1</v>
      </c>
      <c r="AF126" s="136">
        <f t="shared" si="31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29"/>
        <v>1.58</v>
      </c>
      <c r="C127" s="137">
        <v>1.58</v>
      </c>
      <c r="D127" s="136">
        <f t="shared" si="32"/>
        <v>1.58</v>
      </c>
      <c r="E127" s="136">
        <f t="shared" si="32"/>
        <v>1.58</v>
      </c>
      <c r="F127" s="136">
        <f t="shared" si="32"/>
        <v>1.58</v>
      </c>
      <c r="G127" s="136">
        <f t="shared" si="32"/>
        <v>1.58</v>
      </c>
      <c r="H127" s="136">
        <f t="shared" si="32"/>
        <v>1.58</v>
      </c>
      <c r="I127" s="136">
        <f t="shared" si="32"/>
        <v>1.58</v>
      </c>
      <c r="J127" s="136">
        <f t="shared" si="32"/>
        <v>1.58</v>
      </c>
      <c r="K127" s="136">
        <f t="shared" si="32"/>
        <v>1.58</v>
      </c>
      <c r="L127" s="136">
        <f t="shared" si="32"/>
        <v>1.58</v>
      </c>
      <c r="M127" s="136">
        <f t="shared" si="32"/>
        <v>1.58</v>
      </c>
      <c r="N127" s="136">
        <f t="shared" si="32"/>
        <v>1.58</v>
      </c>
      <c r="O127" s="136">
        <f t="shared" si="32"/>
        <v>1.58</v>
      </c>
      <c r="P127" s="136">
        <f t="shared" si="32"/>
        <v>1.58</v>
      </c>
      <c r="Q127" s="136">
        <f t="shared" si="32"/>
        <v>1.58</v>
      </c>
      <c r="R127" s="136">
        <f t="shared" si="32"/>
        <v>1.58</v>
      </c>
      <c r="S127" s="136">
        <f t="shared" si="32"/>
        <v>1.58</v>
      </c>
      <c r="T127" s="136">
        <f t="shared" si="31"/>
        <v>1.58</v>
      </c>
      <c r="U127" s="136">
        <f t="shared" si="31"/>
        <v>1.58</v>
      </c>
      <c r="V127" s="136">
        <f t="shared" si="31"/>
        <v>1.58</v>
      </c>
      <c r="W127" s="136">
        <f t="shared" si="31"/>
        <v>1.58</v>
      </c>
      <c r="X127" s="136">
        <f t="shared" si="31"/>
        <v>1.58</v>
      </c>
      <c r="Y127" s="136">
        <f t="shared" si="31"/>
        <v>1.58</v>
      </c>
      <c r="Z127" s="136">
        <f t="shared" si="31"/>
        <v>1.58</v>
      </c>
      <c r="AA127" s="136">
        <f t="shared" si="31"/>
        <v>1.58</v>
      </c>
      <c r="AB127" s="136">
        <f t="shared" si="31"/>
        <v>1.58</v>
      </c>
      <c r="AC127" s="136">
        <f t="shared" si="31"/>
        <v>1.58</v>
      </c>
      <c r="AD127" s="136">
        <f t="shared" si="31"/>
        <v>1.58</v>
      </c>
      <c r="AE127" s="136">
        <f t="shared" si="31"/>
        <v>1.58</v>
      </c>
      <c r="AF127" s="136">
        <f t="shared" si="31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29"/>
        <v>1.46</v>
      </c>
      <c r="C128" s="137">
        <v>1.46</v>
      </c>
      <c r="D128" s="136">
        <f t="shared" si="32"/>
        <v>1.46</v>
      </c>
      <c r="E128" s="136">
        <f t="shared" si="32"/>
        <v>1.46</v>
      </c>
      <c r="F128" s="136">
        <f t="shared" si="32"/>
        <v>1.46</v>
      </c>
      <c r="G128" s="136">
        <f t="shared" si="32"/>
        <v>1.46</v>
      </c>
      <c r="H128" s="136">
        <f t="shared" si="32"/>
        <v>1.46</v>
      </c>
      <c r="I128" s="136">
        <f t="shared" si="32"/>
        <v>1.46</v>
      </c>
      <c r="J128" s="136">
        <f t="shared" si="32"/>
        <v>1.46</v>
      </c>
      <c r="K128" s="136">
        <f t="shared" si="32"/>
        <v>1.46</v>
      </c>
      <c r="L128" s="136">
        <f t="shared" si="32"/>
        <v>1.46</v>
      </c>
      <c r="M128" s="136">
        <f t="shared" si="32"/>
        <v>1.46</v>
      </c>
      <c r="N128" s="136">
        <f t="shared" si="32"/>
        <v>1.46</v>
      </c>
      <c r="O128" s="136">
        <f t="shared" si="32"/>
        <v>1.46</v>
      </c>
      <c r="P128" s="136">
        <f t="shared" si="32"/>
        <v>1.46</v>
      </c>
      <c r="Q128" s="136">
        <f t="shared" si="32"/>
        <v>1.46</v>
      </c>
      <c r="R128" s="136">
        <f t="shared" si="32"/>
        <v>1.46</v>
      </c>
      <c r="S128" s="136">
        <f t="shared" si="32"/>
        <v>1.46</v>
      </c>
      <c r="T128" s="136">
        <f t="shared" ref="T128:AF129" si="33">S128</f>
        <v>1.46</v>
      </c>
      <c r="U128" s="136">
        <f t="shared" si="33"/>
        <v>1.46</v>
      </c>
      <c r="V128" s="136">
        <f t="shared" si="33"/>
        <v>1.46</v>
      </c>
      <c r="W128" s="136">
        <f t="shared" si="33"/>
        <v>1.46</v>
      </c>
      <c r="X128" s="136">
        <f t="shared" si="33"/>
        <v>1.46</v>
      </c>
      <c r="Y128" s="136">
        <f t="shared" si="33"/>
        <v>1.46</v>
      </c>
      <c r="Z128" s="136">
        <f t="shared" si="33"/>
        <v>1.46</v>
      </c>
      <c r="AA128" s="136">
        <f t="shared" si="33"/>
        <v>1.46</v>
      </c>
      <c r="AB128" s="136">
        <f t="shared" si="33"/>
        <v>1.46</v>
      </c>
      <c r="AC128" s="136">
        <f t="shared" si="33"/>
        <v>1.46</v>
      </c>
      <c r="AD128" s="136">
        <f t="shared" si="33"/>
        <v>1.46</v>
      </c>
      <c r="AE128" s="136">
        <f t="shared" si="33"/>
        <v>1.46</v>
      </c>
      <c r="AF128" s="136">
        <f t="shared" si="33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29"/>
        <v>1.48</v>
      </c>
      <c r="C129" s="137">
        <v>1.48</v>
      </c>
      <c r="D129" s="136">
        <f t="shared" si="32"/>
        <v>1.48</v>
      </c>
      <c r="E129" s="136">
        <f t="shared" si="32"/>
        <v>1.48</v>
      </c>
      <c r="F129" s="136">
        <f t="shared" si="32"/>
        <v>1.48</v>
      </c>
      <c r="G129" s="136">
        <f t="shared" si="32"/>
        <v>1.48</v>
      </c>
      <c r="H129" s="136">
        <f t="shared" si="32"/>
        <v>1.48</v>
      </c>
      <c r="I129" s="136">
        <f t="shared" si="32"/>
        <v>1.48</v>
      </c>
      <c r="J129" s="136">
        <f t="shared" si="32"/>
        <v>1.48</v>
      </c>
      <c r="K129" s="136">
        <f t="shared" si="32"/>
        <v>1.48</v>
      </c>
      <c r="L129" s="136">
        <f t="shared" si="32"/>
        <v>1.48</v>
      </c>
      <c r="M129" s="136">
        <f t="shared" si="32"/>
        <v>1.48</v>
      </c>
      <c r="N129" s="136">
        <f t="shared" si="32"/>
        <v>1.48</v>
      </c>
      <c r="O129" s="136">
        <f t="shared" si="32"/>
        <v>1.48</v>
      </c>
      <c r="P129" s="136">
        <f t="shared" si="32"/>
        <v>1.48</v>
      </c>
      <c r="Q129" s="136">
        <f t="shared" si="32"/>
        <v>1.48</v>
      </c>
      <c r="R129" s="136">
        <f t="shared" si="32"/>
        <v>1.48</v>
      </c>
      <c r="S129" s="136">
        <f t="shared" si="32"/>
        <v>1.48</v>
      </c>
      <c r="T129" s="136">
        <f t="shared" si="33"/>
        <v>1.48</v>
      </c>
      <c r="U129" s="136">
        <f t="shared" si="33"/>
        <v>1.48</v>
      </c>
      <c r="V129" s="136">
        <f t="shared" si="33"/>
        <v>1.48</v>
      </c>
      <c r="W129" s="136">
        <f t="shared" si="33"/>
        <v>1.48</v>
      </c>
      <c r="X129" s="136">
        <f t="shared" si="33"/>
        <v>1.48</v>
      </c>
      <c r="Y129" s="136">
        <f t="shared" si="33"/>
        <v>1.48</v>
      </c>
      <c r="Z129" s="136">
        <f t="shared" si="33"/>
        <v>1.48</v>
      </c>
      <c r="AA129" s="136">
        <f t="shared" si="33"/>
        <v>1.48</v>
      </c>
      <c r="AB129" s="136">
        <f t="shared" si="33"/>
        <v>1.48</v>
      </c>
      <c r="AC129" s="136">
        <f t="shared" si="33"/>
        <v>1.48</v>
      </c>
      <c r="AD129" s="136">
        <f t="shared" si="33"/>
        <v>1.48</v>
      </c>
      <c r="AE129" s="136">
        <f t="shared" si="33"/>
        <v>1.48</v>
      </c>
      <c r="AF129" s="136">
        <f t="shared" si="33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34">AF131</f>
        <v>2.2000000000000002</v>
      </c>
      <c r="C131" s="137">
        <v>2.2000000000000002</v>
      </c>
      <c r="D131" s="136">
        <f t="shared" ref="D131:S138" si="35">C131</f>
        <v>2.2000000000000002</v>
      </c>
      <c r="E131" s="136">
        <f t="shared" si="35"/>
        <v>2.2000000000000002</v>
      </c>
      <c r="F131" s="136">
        <f t="shared" si="35"/>
        <v>2.2000000000000002</v>
      </c>
      <c r="G131" s="136">
        <f t="shared" si="35"/>
        <v>2.2000000000000002</v>
      </c>
      <c r="H131" s="136">
        <f t="shared" si="35"/>
        <v>2.2000000000000002</v>
      </c>
      <c r="I131" s="136">
        <f t="shared" si="35"/>
        <v>2.2000000000000002</v>
      </c>
      <c r="J131" s="136">
        <f t="shared" si="35"/>
        <v>2.2000000000000002</v>
      </c>
      <c r="K131" s="136">
        <f t="shared" si="35"/>
        <v>2.2000000000000002</v>
      </c>
      <c r="L131" s="136">
        <f t="shared" si="35"/>
        <v>2.2000000000000002</v>
      </c>
      <c r="M131" s="136">
        <f t="shared" si="35"/>
        <v>2.2000000000000002</v>
      </c>
      <c r="N131" s="136">
        <f t="shared" si="35"/>
        <v>2.2000000000000002</v>
      </c>
      <c r="O131" s="136">
        <f t="shared" si="35"/>
        <v>2.2000000000000002</v>
      </c>
      <c r="P131" s="136">
        <f t="shared" si="35"/>
        <v>2.2000000000000002</v>
      </c>
      <c r="Q131" s="136">
        <f t="shared" si="35"/>
        <v>2.2000000000000002</v>
      </c>
      <c r="R131" s="136">
        <f t="shared" si="35"/>
        <v>2.2000000000000002</v>
      </c>
      <c r="S131" s="136">
        <f t="shared" si="35"/>
        <v>2.2000000000000002</v>
      </c>
      <c r="T131" s="136">
        <f t="shared" ref="T131:AF138" si="36">S131</f>
        <v>2.2000000000000002</v>
      </c>
      <c r="U131" s="136">
        <f t="shared" si="36"/>
        <v>2.2000000000000002</v>
      </c>
      <c r="V131" s="136">
        <f t="shared" si="36"/>
        <v>2.2000000000000002</v>
      </c>
      <c r="W131" s="136">
        <f t="shared" si="36"/>
        <v>2.2000000000000002</v>
      </c>
      <c r="X131" s="136">
        <f t="shared" si="36"/>
        <v>2.2000000000000002</v>
      </c>
      <c r="Y131" s="136">
        <f t="shared" si="36"/>
        <v>2.2000000000000002</v>
      </c>
      <c r="Z131" s="136">
        <f t="shared" si="36"/>
        <v>2.2000000000000002</v>
      </c>
      <c r="AA131" s="136">
        <f t="shared" si="36"/>
        <v>2.2000000000000002</v>
      </c>
      <c r="AB131" s="136">
        <f t="shared" si="36"/>
        <v>2.2000000000000002</v>
      </c>
      <c r="AC131" s="136">
        <f t="shared" si="36"/>
        <v>2.2000000000000002</v>
      </c>
      <c r="AD131" s="136">
        <f t="shared" si="36"/>
        <v>2.2000000000000002</v>
      </c>
      <c r="AE131" s="136">
        <f t="shared" si="36"/>
        <v>2.2000000000000002</v>
      </c>
      <c r="AF131" s="136">
        <f t="shared" si="36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34"/>
        <v>2</v>
      </c>
      <c r="C132" s="137">
        <v>2</v>
      </c>
      <c r="D132" s="136">
        <f t="shared" si="35"/>
        <v>2</v>
      </c>
      <c r="E132" s="136">
        <f t="shared" si="35"/>
        <v>2</v>
      </c>
      <c r="F132" s="136">
        <f t="shared" si="35"/>
        <v>2</v>
      </c>
      <c r="G132" s="136">
        <f t="shared" si="35"/>
        <v>2</v>
      </c>
      <c r="H132" s="136">
        <f t="shared" si="35"/>
        <v>2</v>
      </c>
      <c r="I132" s="136">
        <f t="shared" si="35"/>
        <v>2</v>
      </c>
      <c r="J132" s="136">
        <f t="shared" si="35"/>
        <v>2</v>
      </c>
      <c r="K132" s="136">
        <f t="shared" si="35"/>
        <v>2</v>
      </c>
      <c r="L132" s="136">
        <f t="shared" si="35"/>
        <v>2</v>
      </c>
      <c r="M132" s="136">
        <f t="shared" si="35"/>
        <v>2</v>
      </c>
      <c r="N132" s="136">
        <f t="shared" si="35"/>
        <v>2</v>
      </c>
      <c r="O132" s="136">
        <f t="shared" si="35"/>
        <v>2</v>
      </c>
      <c r="P132" s="136">
        <f t="shared" si="35"/>
        <v>2</v>
      </c>
      <c r="Q132" s="136">
        <f t="shared" si="35"/>
        <v>2</v>
      </c>
      <c r="R132" s="136">
        <f t="shared" si="35"/>
        <v>2</v>
      </c>
      <c r="S132" s="136">
        <f t="shared" si="35"/>
        <v>2</v>
      </c>
      <c r="T132" s="136">
        <f t="shared" si="36"/>
        <v>2</v>
      </c>
      <c r="U132" s="136">
        <f t="shared" si="36"/>
        <v>2</v>
      </c>
      <c r="V132" s="136">
        <f t="shared" si="36"/>
        <v>2</v>
      </c>
      <c r="W132" s="136">
        <f t="shared" si="36"/>
        <v>2</v>
      </c>
      <c r="X132" s="136">
        <f t="shared" si="36"/>
        <v>2</v>
      </c>
      <c r="Y132" s="136">
        <f t="shared" si="36"/>
        <v>2</v>
      </c>
      <c r="Z132" s="136">
        <f t="shared" si="36"/>
        <v>2</v>
      </c>
      <c r="AA132" s="136">
        <f t="shared" si="36"/>
        <v>2</v>
      </c>
      <c r="AB132" s="136">
        <f t="shared" si="36"/>
        <v>2</v>
      </c>
      <c r="AC132" s="136">
        <f t="shared" si="36"/>
        <v>2</v>
      </c>
      <c r="AD132" s="136">
        <f t="shared" si="36"/>
        <v>2</v>
      </c>
      <c r="AE132" s="136">
        <f t="shared" si="36"/>
        <v>2</v>
      </c>
      <c r="AF132" s="136">
        <f t="shared" si="36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34"/>
        <v>1.25</v>
      </c>
      <c r="C133" s="137">
        <v>1.25</v>
      </c>
      <c r="D133" s="136">
        <f t="shared" si="35"/>
        <v>1.25</v>
      </c>
      <c r="E133" s="136">
        <f t="shared" si="35"/>
        <v>1.25</v>
      </c>
      <c r="F133" s="136">
        <f t="shared" si="35"/>
        <v>1.25</v>
      </c>
      <c r="G133" s="136">
        <f t="shared" si="35"/>
        <v>1.25</v>
      </c>
      <c r="H133" s="136">
        <f t="shared" si="35"/>
        <v>1.25</v>
      </c>
      <c r="I133" s="136">
        <f t="shared" si="35"/>
        <v>1.25</v>
      </c>
      <c r="J133" s="136">
        <f t="shared" si="35"/>
        <v>1.25</v>
      </c>
      <c r="K133" s="136">
        <f t="shared" si="35"/>
        <v>1.25</v>
      </c>
      <c r="L133" s="136">
        <f t="shared" si="35"/>
        <v>1.25</v>
      </c>
      <c r="M133" s="136">
        <f t="shared" si="35"/>
        <v>1.25</v>
      </c>
      <c r="N133" s="136">
        <f t="shared" si="35"/>
        <v>1.25</v>
      </c>
      <c r="O133" s="136">
        <f t="shared" si="35"/>
        <v>1.25</v>
      </c>
      <c r="P133" s="136">
        <f t="shared" si="35"/>
        <v>1.25</v>
      </c>
      <c r="Q133" s="136">
        <f t="shared" si="35"/>
        <v>1.25</v>
      </c>
      <c r="R133" s="136">
        <f t="shared" si="35"/>
        <v>1.25</v>
      </c>
      <c r="S133" s="136">
        <f t="shared" si="35"/>
        <v>1.25</v>
      </c>
      <c r="T133" s="136">
        <f t="shared" si="36"/>
        <v>1.25</v>
      </c>
      <c r="U133" s="136">
        <f t="shared" si="36"/>
        <v>1.25</v>
      </c>
      <c r="V133" s="136">
        <f t="shared" si="36"/>
        <v>1.25</v>
      </c>
      <c r="W133" s="136">
        <f t="shared" si="36"/>
        <v>1.25</v>
      </c>
      <c r="X133" s="136">
        <f t="shared" si="36"/>
        <v>1.25</v>
      </c>
      <c r="Y133" s="136">
        <f t="shared" si="36"/>
        <v>1.25</v>
      </c>
      <c r="Z133" s="136">
        <f t="shared" si="36"/>
        <v>1.25</v>
      </c>
      <c r="AA133" s="136">
        <f t="shared" si="36"/>
        <v>1.25</v>
      </c>
      <c r="AB133" s="136">
        <f t="shared" si="36"/>
        <v>1.25</v>
      </c>
      <c r="AC133" s="136">
        <f t="shared" si="36"/>
        <v>1.25</v>
      </c>
      <c r="AD133" s="136">
        <f t="shared" si="36"/>
        <v>1.25</v>
      </c>
      <c r="AE133" s="136">
        <f t="shared" si="36"/>
        <v>1.25</v>
      </c>
      <c r="AF133" s="136">
        <f t="shared" si="36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34"/>
        <v>1.1499999999999999</v>
      </c>
      <c r="C134" s="137">
        <v>1.1499999999999999</v>
      </c>
      <c r="D134" s="136">
        <f t="shared" si="35"/>
        <v>1.1499999999999999</v>
      </c>
      <c r="E134" s="136">
        <f t="shared" si="35"/>
        <v>1.1499999999999999</v>
      </c>
      <c r="F134" s="136">
        <f t="shared" si="35"/>
        <v>1.1499999999999999</v>
      </c>
      <c r="G134" s="136">
        <f t="shared" si="35"/>
        <v>1.1499999999999999</v>
      </c>
      <c r="H134" s="136">
        <f t="shared" si="35"/>
        <v>1.1499999999999999</v>
      </c>
      <c r="I134" s="136">
        <f t="shared" si="35"/>
        <v>1.1499999999999999</v>
      </c>
      <c r="J134" s="136">
        <f t="shared" si="35"/>
        <v>1.1499999999999999</v>
      </c>
      <c r="K134" s="136">
        <f t="shared" si="35"/>
        <v>1.1499999999999999</v>
      </c>
      <c r="L134" s="136">
        <f t="shared" si="35"/>
        <v>1.1499999999999999</v>
      </c>
      <c r="M134" s="136">
        <f t="shared" si="35"/>
        <v>1.1499999999999999</v>
      </c>
      <c r="N134" s="136">
        <f t="shared" si="35"/>
        <v>1.1499999999999999</v>
      </c>
      <c r="O134" s="136">
        <f t="shared" si="35"/>
        <v>1.1499999999999999</v>
      </c>
      <c r="P134" s="136">
        <f t="shared" si="35"/>
        <v>1.1499999999999999</v>
      </c>
      <c r="Q134" s="136">
        <f t="shared" si="35"/>
        <v>1.1499999999999999</v>
      </c>
      <c r="R134" s="136">
        <f t="shared" si="35"/>
        <v>1.1499999999999999</v>
      </c>
      <c r="S134" s="136">
        <f t="shared" si="35"/>
        <v>1.1499999999999999</v>
      </c>
      <c r="T134" s="136">
        <f t="shared" si="36"/>
        <v>1.1499999999999999</v>
      </c>
      <c r="U134" s="136">
        <f t="shared" si="36"/>
        <v>1.1499999999999999</v>
      </c>
      <c r="V134" s="136">
        <f t="shared" si="36"/>
        <v>1.1499999999999999</v>
      </c>
      <c r="W134" s="136">
        <f t="shared" si="36"/>
        <v>1.1499999999999999</v>
      </c>
      <c r="X134" s="136">
        <f t="shared" si="36"/>
        <v>1.1499999999999999</v>
      </c>
      <c r="Y134" s="136">
        <f t="shared" si="36"/>
        <v>1.1499999999999999</v>
      </c>
      <c r="Z134" s="136">
        <f t="shared" si="36"/>
        <v>1.1499999999999999</v>
      </c>
      <c r="AA134" s="136">
        <f t="shared" si="36"/>
        <v>1.1499999999999999</v>
      </c>
      <c r="AB134" s="136">
        <f t="shared" si="36"/>
        <v>1.1499999999999999</v>
      </c>
      <c r="AC134" s="136">
        <f t="shared" si="36"/>
        <v>1.1499999999999999</v>
      </c>
      <c r="AD134" s="136">
        <f t="shared" si="36"/>
        <v>1.1499999999999999</v>
      </c>
      <c r="AE134" s="136">
        <f t="shared" si="36"/>
        <v>1.1499999999999999</v>
      </c>
      <c r="AF134" s="136">
        <f t="shared" si="36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34"/>
        <v>2.133</v>
      </c>
      <c r="C135" s="137">
        <v>2.133</v>
      </c>
      <c r="D135" s="136">
        <f t="shared" si="35"/>
        <v>2.133</v>
      </c>
      <c r="E135" s="136">
        <f t="shared" si="35"/>
        <v>2.133</v>
      </c>
      <c r="F135" s="136">
        <f t="shared" si="35"/>
        <v>2.133</v>
      </c>
      <c r="G135" s="136">
        <f t="shared" si="35"/>
        <v>2.133</v>
      </c>
      <c r="H135" s="136">
        <f t="shared" si="35"/>
        <v>2.133</v>
      </c>
      <c r="I135" s="136">
        <f t="shared" si="35"/>
        <v>2.133</v>
      </c>
      <c r="J135" s="136">
        <f t="shared" si="35"/>
        <v>2.133</v>
      </c>
      <c r="K135" s="136">
        <f t="shared" si="35"/>
        <v>2.133</v>
      </c>
      <c r="L135" s="136">
        <f t="shared" si="35"/>
        <v>2.133</v>
      </c>
      <c r="M135" s="136">
        <f t="shared" si="35"/>
        <v>2.133</v>
      </c>
      <c r="N135" s="136">
        <f t="shared" si="35"/>
        <v>2.133</v>
      </c>
      <c r="O135" s="136">
        <f t="shared" si="35"/>
        <v>2.133</v>
      </c>
      <c r="P135" s="136">
        <f t="shared" si="35"/>
        <v>2.133</v>
      </c>
      <c r="Q135" s="136">
        <f t="shared" si="35"/>
        <v>2.133</v>
      </c>
      <c r="R135" s="136">
        <f t="shared" si="35"/>
        <v>2.133</v>
      </c>
      <c r="S135" s="136">
        <f t="shared" si="35"/>
        <v>2.133</v>
      </c>
      <c r="T135" s="136">
        <f t="shared" si="36"/>
        <v>2.133</v>
      </c>
      <c r="U135" s="136">
        <f t="shared" si="36"/>
        <v>2.133</v>
      </c>
      <c r="V135" s="136">
        <f t="shared" si="36"/>
        <v>2.133</v>
      </c>
      <c r="W135" s="136">
        <f t="shared" si="36"/>
        <v>2.133</v>
      </c>
      <c r="X135" s="136">
        <f t="shared" si="36"/>
        <v>2.133</v>
      </c>
      <c r="Y135" s="136">
        <f t="shared" si="36"/>
        <v>2.133</v>
      </c>
      <c r="Z135" s="136">
        <f t="shared" si="36"/>
        <v>2.133</v>
      </c>
      <c r="AA135" s="136">
        <f t="shared" si="36"/>
        <v>2.133</v>
      </c>
      <c r="AB135" s="136">
        <f t="shared" si="36"/>
        <v>2.133</v>
      </c>
      <c r="AC135" s="136">
        <f t="shared" si="36"/>
        <v>2.133</v>
      </c>
      <c r="AD135" s="136">
        <f t="shared" si="36"/>
        <v>2.133</v>
      </c>
      <c r="AE135" s="136">
        <f t="shared" si="36"/>
        <v>2.133</v>
      </c>
      <c r="AF135" s="136">
        <f t="shared" si="36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34"/>
        <v>2.09</v>
      </c>
      <c r="C136" s="137">
        <v>2.09</v>
      </c>
      <c r="D136" s="136">
        <f t="shared" si="35"/>
        <v>2.09</v>
      </c>
      <c r="E136" s="136">
        <f t="shared" si="35"/>
        <v>2.09</v>
      </c>
      <c r="F136" s="136">
        <f t="shared" si="35"/>
        <v>2.09</v>
      </c>
      <c r="G136" s="136">
        <f t="shared" si="35"/>
        <v>2.09</v>
      </c>
      <c r="H136" s="136">
        <f t="shared" si="35"/>
        <v>2.09</v>
      </c>
      <c r="I136" s="136">
        <f t="shared" si="35"/>
        <v>2.09</v>
      </c>
      <c r="J136" s="136">
        <f t="shared" si="35"/>
        <v>2.09</v>
      </c>
      <c r="K136" s="136">
        <f t="shared" si="35"/>
        <v>2.09</v>
      </c>
      <c r="L136" s="136">
        <f t="shared" si="35"/>
        <v>2.09</v>
      </c>
      <c r="M136" s="136">
        <f t="shared" si="35"/>
        <v>2.09</v>
      </c>
      <c r="N136" s="136">
        <f t="shared" si="35"/>
        <v>2.09</v>
      </c>
      <c r="O136" s="136">
        <f t="shared" si="35"/>
        <v>2.09</v>
      </c>
      <c r="P136" s="136">
        <f t="shared" si="35"/>
        <v>2.09</v>
      </c>
      <c r="Q136" s="136">
        <f t="shared" si="35"/>
        <v>2.09</v>
      </c>
      <c r="R136" s="136">
        <f t="shared" si="35"/>
        <v>2.09</v>
      </c>
      <c r="S136" s="136">
        <f t="shared" si="35"/>
        <v>2.09</v>
      </c>
      <c r="T136" s="136">
        <f t="shared" si="36"/>
        <v>2.09</v>
      </c>
      <c r="U136" s="136">
        <f t="shared" si="36"/>
        <v>2.09</v>
      </c>
      <c r="V136" s="136">
        <f t="shared" si="36"/>
        <v>2.09</v>
      </c>
      <c r="W136" s="136">
        <f t="shared" si="36"/>
        <v>2.09</v>
      </c>
      <c r="X136" s="136">
        <f t="shared" si="36"/>
        <v>2.09</v>
      </c>
      <c r="Y136" s="136">
        <f t="shared" si="36"/>
        <v>2.09</v>
      </c>
      <c r="Z136" s="136">
        <f t="shared" si="36"/>
        <v>2.09</v>
      </c>
      <c r="AA136" s="136">
        <f t="shared" si="36"/>
        <v>2.09</v>
      </c>
      <c r="AB136" s="136">
        <f t="shared" si="36"/>
        <v>2.09</v>
      </c>
      <c r="AC136" s="136">
        <f t="shared" si="36"/>
        <v>2.09</v>
      </c>
      <c r="AD136" s="136">
        <f t="shared" si="36"/>
        <v>2.09</v>
      </c>
      <c r="AE136" s="136">
        <f t="shared" si="36"/>
        <v>2.09</v>
      </c>
      <c r="AF136" s="136">
        <f t="shared" si="36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34"/>
        <v>1.1399999999999999</v>
      </c>
      <c r="C137" s="137">
        <v>1.1399999999999999</v>
      </c>
      <c r="D137" s="136">
        <f t="shared" si="35"/>
        <v>1.1399999999999999</v>
      </c>
      <c r="E137" s="136">
        <f t="shared" si="35"/>
        <v>1.1399999999999999</v>
      </c>
      <c r="F137" s="136">
        <f t="shared" si="35"/>
        <v>1.1399999999999999</v>
      </c>
      <c r="G137" s="136">
        <f t="shared" si="35"/>
        <v>1.1399999999999999</v>
      </c>
      <c r="H137" s="136">
        <f t="shared" si="35"/>
        <v>1.1399999999999999</v>
      </c>
      <c r="I137" s="136">
        <f t="shared" si="35"/>
        <v>1.1399999999999999</v>
      </c>
      <c r="J137" s="136">
        <f t="shared" si="35"/>
        <v>1.1399999999999999</v>
      </c>
      <c r="K137" s="136">
        <f t="shared" si="35"/>
        <v>1.1399999999999999</v>
      </c>
      <c r="L137" s="136">
        <f t="shared" si="35"/>
        <v>1.1399999999999999</v>
      </c>
      <c r="M137" s="136">
        <f t="shared" si="35"/>
        <v>1.1399999999999999</v>
      </c>
      <c r="N137" s="136">
        <f t="shared" si="35"/>
        <v>1.1399999999999999</v>
      </c>
      <c r="O137" s="136">
        <f t="shared" si="35"/>
        <v>1.1399999999999999</v>
      </c>
      <c r="P137" s="136">
        <f t="shared" si="35"/>
        <v>1.1399999999999999</v>
      </c>
      <c r="Q137" s="136">
        <f t="shared" si="35"/>
        <v>1.1399999999999999</v>
      </c>
      <c r="R137" s="136">
        <f t="shared" si="35"/>
        <v>1.1399999999999999</v>
      </c>
      <c r="S137" s="136">
        <f t="shared" si="35"/>
        <v>1.1399999999999999</v>
      </c>
      <c r="T137" s="136">
        <f t="shared" si="36"/>
        <v>1.1399999999999999</v>
      </c>
      <c r="U137" s="136">
        <f t="shared" si="36"/>
        <v>1.1399999999999999</v>
      </c>
      <c r="V137" s="136">
        <f t="shared" si="36"/>
        <v>1.1399999999999999</v>
      </c>
      <c r="W137" s="136">
        <f t="shared" si="36"/>
        <v>1.1399999999999999</v>
      </c>
      <c r="X137" s="136">
        <f t="shared" si="36"/>
        <v>1.1399999999999999</v>
      </c>
      <c r="Y137" s="136">
        <f t="shared" si="36"/>
        <v>1.1399999999999999</v>
      </c>
      <c r="Z137" s="136">
        <f t="shared" si="36"/>
        <v>1.1399999999999999</v>
      </c>
      <c r="AA137" s="136">
        <f t="shared" si="36"/>
        <v>1.1399999999999999</v>
      </c>
      <c r="AB137" s="136">
        <f t="shared" si="36"/>
        <v>1.1399999999999999</v>
      </c>
      <c r="AC137" s="136">
        <f t="shared" si="36"/>
        <v>1.1399999999999999</v>
      </c>
      <c r="AD137" s="136">
        <f t="shared" si="36"/>
        <v>1.1399999999999999</v>
      </c>
      <c r="AE137" s="136">
        <f t="shared" si="36"/>
        <v>1.1399999999999999</v>
      </c>
      <c r="AF137" s="136">
        <f t="shared" si="36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34"/>
        <v>0.82</v>
      </c>
      <c r="C138" s="137">
        <v>0.82</v>
      </c>
      <c r="D138" s="136">
        <f t="shared" si="35"/>
        <v>0.82</v>
      </c>
      <c r="E138" s="136">
        <f t="shared" si="35"/>
        <v>0.82</v>
      </c>
      <c r="F138" s="136">
        <f t="shared" si="35"/>
        <v>0.82</v>
      </c>
      <c r="G138" s="136">
        <f t="shared" si="35"/>
        <v>0.82</v>
      </c>
      <c r="H138" s="136">
        <f t="shared" si="35"/>
        <v>0.82</v>
      </c>
      <c r="I138" s="136">
        <f t="shared" si="35"/>
        <v>0.82</v>
      </c>
      <c r="J138" s="136">
        <f t="shared" si="35"/>
        <v>0.82</v>
      </c>
      <c r="K138" s="136">
        <f t="shared" si="35"/>
        <v>0.82</v>
      </c>
      <c r="L138" s="136">
        <f t="shared" si="35"/>
        <v>0.82</v>
      </c>
      <c r="M138" s="136">
        <f t="shared" si="35"/>
        <v>0.82</v>
      </c>
      <c r="N138" s="136">
        <f t="shared" si="35"/>
        <v>0.82</v>
      </c>
      <c r="O138" s="136">
        <f t="shared" si="35"/>
        <v>0.82</v>
      </c>
      <c r="P138" s="136">
        <f t="shared" si="35"/>
        <v>0.82</v>
      </c>
      <c r="Q138" s="136">
        <f t="shared" si="35"/>
        <v>0.82</v>
      </c>
      <c r="R138" s="136">
        <f t="shared" si="35"/>
        <v>0.82</v>
      </c>
      <c r="S138" s="136">
        <f t="shared" si="35"/>
        <v>0.82</v>
      </c>
      <c r="T138" s="136">
        <f t="shared" si="36"/>
        <v>0.82</v>
      </c>
      <c r="U138" s="136">
        <f t="shared" si="36"/>
        <v>0.82</v>
      </c>
      <c r="V138" s="136">
        <f t="shared" si="36"/>
        <v>0.82</v>
      </c>
      <c r="W138" s="136">
        <f t="shared" si="36"/>
        <v>0.82</v>
      </c>
      <c r="X138" s="136">
        <f t="shared" si="36"/>
        <v>0.82</v>
      </c>
      <c r="Y138" s="136">
        <f t="shared" si="36"/>
        <v>0.82</v>
      </c>
      <c r="Z138" s="136">
        <f t="shared" si="36"/>
        <v>0.82</v>
      </c>
      <c r="AA138" s="136">
        <f t="shared" si="36"/>
        <v>0.82</v>
      </c>
      <c r="AB138" s="136">
        <f t="shared" si="36"/>
        <v>0.82</v>
      </c>
      <c r="AC138" s="136">
        <f t="shared" si="36"/>
        <v>0.82</v>
      </c>
      <c r="AD138" s="136">
        <f t="shared" si="36"/>
        <v>0.82</v>
      </c>
      <c r="AE138" s="136">
        <f t="shared" si="36"/>
        <v>0.82</v>
      </c>
      <c r="AF138" s="136">
        <f t="shared" si="36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37">AF140</f>
        <v>2</v>
      </c>
      <c r="C140" s="137">
        <v>2</v>
      </c>
      <c r="D140" s="136">
        <f t="shared" ref="D140:S146" si="38">C140</f>
        <v>2</v>
      </c>
      <c r="E140" s="136">
        <f t="shared" si="38"/>
        <v>2</v>
      </c>
      <c r="F140" s="136">
        <f t="shared" si="38"/>
        <v>2</v>
      </c>
      <c r="G140" s="136">
        <f t="shared" si="38"/>
        <v>2</v>
      </c>
      <c r="H140" s="136">
        <f t="shared" si="38"/>
        <v>2</v>
      </c>
      <c r="I140" s="136">
        <f t="shared" si="38"/>
        <v>2</v>
      </c>
      <c r="J140" s="136">
        <f t="shared" si="38"/>
        <v>2</v>
      </c>
      <c r="K140" s="136">
        <f t="shared" si="38"/>
        <v>2</v>
      </c>
      <c r="L140" s="136">
        <f t="shared" si="38"/>
        <v>2</v>
      </c>
      <c r="M140" s="136">
        <f t="shared" si="38"/>
        <v>2</v>
      </c>
      <c r="N140" s="136">
        <f t="shared" si="38"/>
        <v>2</v>
      </c>
      <c r="O140" s="136">
        <f t="shared" si="38"/>
        <v>2</v>
      </c>
      <c r="P140" s="136">
        <f t="shared" si="38"/>
        <v>2</v>
      </c>
      <c r="Q140" s="136">
        <f t="shared" si="38"/>
        <v>2</v>
      </c>
      <c r="R140" s="136">
        <f t="shared" si="38"/>
        <v>2</v>
      </c>
      <c r="S140" s="136">
        <f t="shared" si="38"/>
        <v>2</v>
      </c>
      <c r="T140" s="136">
        <f t="shared" ref="T140:AF146" si="39">S140</f>
        <v>2</v>
      </c>
      <c r="U140" s="136">
        <f t="shared" si="39"/>
        <v>2</v>
      </c>
      <c r="V140" s="136">
        <f t="shared" si="39"/>
        <v>2</v>
      </c>
      <c r="W140" s="136">
        <f t="shared" si="39"/>
        <v>2</v>
      </c>
      <c r="X140" s="136">
        <f t="shared" si="39"/>
        <v>2</v>
      </c>
      <c r="Y140" s="136">
        <f t="shared" si="39"/>
        <v>2</v>
      </c>
      <c r="Z140" s="136">
        <f t="shared" si="39"/>
        <v>2</v>
      </c>
      <c r="AA140" s="136">
        <f t="shared" si="39"/>
        <v>2</v>
      </c>
      <c r="AB140" s="136">
        <f t="shared" si="39"/>
        <v>2</v>
      </c>
      <c r="AC140" s="136">
        <f t="shared" si="39"/>
        <v>2</v>
      </c>
      <c r="AD140" s="136">
        <f t="shared" si="39"/>
        <v>2</v>
      </c>
      <c r="AE140" s="136">
        <f t="shared" si="39"/>
        <v>2</v>
      </c>
      <c r="AF140" s="136">
        <f t="shared" si="39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37"/>
        <v>5.61</v>
      </c>
      <c r="C141" s="137">
        <v>5.61</v>
      </c>
      <c r="D141" s="136">
        <f t="shared" si="38"/>
        <v>5.61</v>
      </c>
      <c r="E141" s="136">
        <f t="shared" si="38"/>
        <v>5.61</v>
      </c>
      <c r="F141" s="136">
        <f t="shared" si="38"/>
        <v>5.61</v>
      </c>
      <c r="G141" s="136">
        <f t="shared" si="38"/>
        <v>5.61</v>
      </c>
      <c r="H141" s="136">
        <f t="shared" si="38"/>
        <v>5.61</v>
      </c>
      <c r="I141" s="136">
        <f t="shared" si="38"/>
        <v>5.61</v>
      </c>
      <c r="J141" s="136">
        <f t="shared" si="38"/>
        <v>5.61</v>
      </c>
      <c r="K141" s="136">
        <f t="shared" si="38"/>
        <v>5.61</v>
      </c>
      <c r="L141" s="136">
        <f t="shared" si="38"/>
        <v>5.61</v>
      </c>
      <c r="M141" s="136">
        <f t="shared" si="38"/>
        <v>5.61</v>
      </c>
      <c r="N141" s="136">
        <f t="shared" si="38"/>
        <v>5.61</v>
      </c>
      <c r="O141" s="136">
        <f t="shared" si="38"/>
        <v>5.61</v>
      </c>
      <c r="P141" s="136">
        <f t="shared" si="38"/>
        <v>5.61</v>
      </c>
      <c r="Q141" s="136">
        <f t="shared" si="38"/>
        <v>5.61</v>
      </c>
      <c r="R141" s="136">
        <f t="shared" si="38"/>
        <v>5.61</v>
      </c>
      <c r="S141" s="136">
        <f t="shared" si="38"/>
        <v>5.61</v>
      </c>
      <c r="T141" s="136">
        <f t="shared" si="39"/>
        <v>5.61</v>
      </c>
      <c r="U141" s="136">
        <f t="shared" si="39"/>
        <v>5.61</v>
      </c>
      <c r="V141" s="136">
        <f t="shared" si="39"/>
        <v>5.61</v>
      </c>
      <c r="W141" s="136">
        <f t="shared" si="39"/>
        <v>5.61</v>
      </c>
      <c r="X141" s="136">
        <f t="shared" si="39"/>
        <v>5.61</v>
      </c>
      <c r="Y141" s="136">
        <f t="shared" si="39"/>
        <v>5.61</v>
      </c>
      <c r="Z141" s="136">
        <f t="shared" si="39"/>
        <v>5.61</v>
      </c>
      <c r="AA141" s="136">
        <f t="shared" si="39"/>
        <v>5.61</v>
      </c>
      <c r="AB141" s="136">
        <f t="shared" si="39"/>
        <v>5.61</v>
      </c>
      <c r="AC141" s="136">
        <f t="shared" si="39"/>
        <v>5.61</v>
      </c>
      <c r="AD141" s="136">
        <f t="shared" si="39"/>
        <v>5.61</v>
      </c>
      <c r="AE141" s="136">
        <f t="shared" si="39"/>
        <v>5.61</v>
      </c>
      <c r="AF141" s="136">
        <f t="shared" si="39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37"/>
        <v>1.25</v>
      </c>
      <c r="C142" s="137">
        <v>1.25</v>
      </c>
      <c r="D142" s="136">
        <f t="shared" si="38"/>
        <v>1.25</v>
      </c>
      <c r="E142" s="136">
        <f t="shared" si="38"/>
        <v>1.25</v>
      </c>
      <c r="F142" s="136">
        <f t="shared" si="38"/>
        <v>1.25</v>
      </c>
      <c r="G142" s="136">
        <f t="shared" si="38"/>
        <v>1.25</v>
      </c>
      <c r="H142" s="136">
        <f t="shared" si="38"/>
        <v>1.25</v>
      </c>
      <c r="I142" s="136">
        <f t="shared" si="38"/>
        <v>1.25</v>
      </c>
      <c r="J142" s="136">
        <f t="shared" si="38"/>
        <v>1.25</v>
      </c>
      <c r="K142" s="136">
        <f t="shared" si="38"/>
        <v>1.25</v>
      </c>
      <c r="L142" s="136">
        <f t="shared" si="38"/>
        <v>1.25</v>
      </c>
      <c r="M142" s="136">
        <f t="shared" si="38"/>
        <v>1.25</v>
      </c>
      <c r="N142" s="136">
        <f t="shared" si="38"/>
        <v>1.25</v>
      </c>
      <c r="O142" s="136">
        <f t="shared" si="38"/>
        <v>1.25</v>
      </c>
      <c r="P142" s="136">
        <f t="shared" si="38"/>
        <v>1.25</v>
      </c>
      <c r="Q142" s="136">
        <f t="shared" si="38"/>
        <v>1.25</v>
      </c>
      <c r="R142" s="136">
        <f t="shared" si="38"/>
        <v>1.25</v>
      </c>
      <c r="S142" s="136">
        <f t="shared" si="38"/>
        <v>1.25</v>
      </c>
      <c r="T142" s="136">
        <f t="shared" si="39"/>
        <v>1.25</v>
      </c>
      <c r="U142" s="136">
        <f t="shared" si="39"/>
        <v>1.25</v>
      </c>
      <c r="V142" s="136">
        <f t="shared" si="39"/>
        <v>1.25</v>
      </c>
      <c r="W142" s="136">
        <f t="shared" si="39"/>
        <v>1.25</v>
      </c>
      <c r="X142" s="136">
        <f t="shared" si="39"/>
        <v>1.25</v>
      </c>
      <c r="Y142" s="136">
        <f t="shared" si="39"/>
        <v>1.25</v>
      </c>
      <c r="Z142" s="136">
        <f t="shared" si="39"/>
        <v>1.25</v>
      </c>
      <c r="AA142" s="136">
        <f t="shared" si="39"/>
        <v>1.25</v>
      </c>
      <c r="AB142" s="136">
        <f t="shared" si="39"/>
        <v>1.25</v>
      </c>
      <c r="AC142" s="136">
        <f t="shared" si="39"/>
        <v>1.25</v>
      </c>
      <c r="AD142" s="136">
        <f t="shared" si="39"/>
        <v>1.25</v>
      </c>
      <c r="AE142" s="136">
        <f t="shared" si="39"/>
        <v>1.25</v>
      </c>
      <c r="AF142" s="136">
        <f t="shared" si="39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37"/>
        <v>1.25</v>
      </c>
      <c r="C143" s="137">
        <v>1.25</v>
      </c>
      <c r="D143" s="136">
        <f t="shared" si="38"/>
        <v>1.25</v>
      </c>
      <c r="E143" s="136">
        <f t="shared" si="38"/>
        <v>1.25</v>
      </c>
      <c r="F143" s="136">
        <f t="shared" si="38"/>
        <v>1.25</v>
      </c>
      <c r="G143" s="136">
        <f t="shared" si="38"/>
        <v>1.25</v>
      </c>
      <c r="H143" s="136">
        <f t="shared" si="38"/>
        <v>1.25</v>
      </c>
      <c r="I143" s="136">
        <f t="shared" si="38"/>
        <v>1.25</v>
      </c>
      <c r="J143" s="136">
        <f t="shared" si="38"/>
        <v>1.25</v>
      </c>
      <c r="K143" s="136">
        <f t="shared" si="38"/>
        <v>1.25</v>
      </c>
      <c r="L143" s="136">
        <f t="shared" si="38"/>
        <v>1.25</v>
      </c>
      <c r="M143" s="136">
        <f t="shared" si="38"/>
        <v>1.25</v>
      </c>
      <c r="N143" s="136">
        <f t="shared" si="38"/>
        <v>1.25</v>
      </c>
      <c r="O143" s="136">
        <f t="shared" si="38"/>
        <v>1.25</v>
      </c>
      <c r="P143" s="136">
        <f t="shared" si="38"/>
        <v>1.25</v>
      </c>
      <c r="Q143" s="136">
        <f t="shared" si="38"/>
        <v>1.25</v>
      </c>
      <c r="R143" s="136">
        <f t="shared" si="38"/>
        <v>1.25</v>
      </c>
      <c r="S143" s="136">
        <f t="shared" si="38"/>
        <v>1.25</v>
      </c>
      <c r="T143" s="136">
        <f t="shared" si="39"/>
        <v>1.25</v>
      </c>
      <c r="U143" s="136">
        <f t="shared" si="39"/>
        <v>1.25</v>
      </c>
      <c r="V143" s="136">
        <f t="shared" si="39"/>
        <v>1.25</v>
      </c>
      <c r="W143" s="136">
        <f t="shared" si="39"/>
        <v>1.25</v>
      </c>
      <c r="X143" s="136">
        <f t="shared" si="39"/>
        <v>1.25</v>
      </c>
      <c r="Y143" s="136">
        <f t="shared" si="39"/>
        <v>1.25</v>
      </c>
      <c r="Z143" s="136">
        <f t="shared" si="39"/>
        <v>1.25</v>
      </c>
      <c r="AA143" s="136">
        <f t="shared" si="39"/>
        <v>1.25</v>
      </c>
      <c r="AB143" s="136">
        <f t="shared" si="39"/>
        <v>1.25</v>
      </c>
      <c r="AC143" s="136">
        <f t="shared" si="39"/>
        <v>1.25</v>
      </c>
      <c r="AD143" s="136">
        <f t="shared" si="39"/>
        <v>1.25</v>
      </c>
      <c r="AE143" s="136">
        <f t="shared" si="39"/>
        <v>1.25</v>
      </c>
      <c r="AF143" s="136">
        <f t="shared" si="39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37"/>
        <v>1.46</v>
      </c>
      <c r="C144" s="137">
        <v>1.46</v>
      </c>
      <c r="D144" s="136">
        <f t="shared" si="38"/>
        <v>1.46</v>
      </c>
      <c r="E144" s="136">
        <f t="shared" si="38"/>
        <v>1.46</v>
      </c>
      <c r="F144" s="136">
        <f t="shared" si="38"/>
        <v>1.46</v>
      </c>
      <c r="G144" s="136">
        <f t="shared" si="38"/>
        <v>1.46</v>
      </c>
      <c r="H144" s="136">
        <f t="shared" si="38"/>
        <v>1.46</v>
      </c>
      <c r="I144" s="136">
        <f t="shared" si="38"/>
        <v>1.46</v>
      </c>
      <c r="J144" s="136">
        <f t="shared" si="38"/>
        <v>1.46</v>
      </c>
      <c r="K144" s="136">
        <f t="shared" si="38"/>
        <v>1.46</v>
      </c>
      <c r="L144" s="136">
        <f t="shared" si="38"/>
        <v>1.46</v>
      </c>
      <c r="M144" s="136">
        <f t="shared" si="38"/>
        <v>1.46</v>
      </c>
      <c r="N144" s="136">
        <f t="shared" si="38"/>
        <v>1.46</v>
      </c>
      <c r="O144" s="136">
        <f t="shared" si="38"/>
        <v>1.46</v>
      </c>
      <c r="P144" s="136">
        <f t="shared" si="38"/>
        <v>1.46</v>
      </c>
      <c r="Q144" s="136">
        <f t="shared" si="38"/>
        <v>1.46</v>
      </c>
      <c r="R144" s="136">
        <f t="shared" si="38"/>
        <v>1.46</v>
      </c>
      <c r="S144" s="136">
        <f t="shared" si="38"/>
        <v>1.46</v>
      </c>
      <c r="T144" s="136">
        <f t="shared" si="39"/>
        <v>1.46</v>
      </c>
      <c r="U144" s="136">
        <f t="shared" si="39"/>
        <v>1.46</v>
      </c>
      <c r="V144" s="136">
        <f t="shared" si="39"/>
        <v>1.46</v>
      </c>
      <c r="W144" s="136">
        <f t="shared" si="39"/>
        <v>1.46</v>
      </c>
      <c r="X144" s="136">
        <f t="shared" si="39"/>
        <v>1.46</v>
      </c>
      <c r="Y144" s="136">
        <f t="shared" si="39"/>
        <v>1.46</v>
      </c>
      <c r="Z144" s="136">
        <f t="shared" si="39"/>
        <v>1.46</v>
      </c>
      <c r="AA144" s="136">
        <f t="shared" si="39"/>
        <v>1.46</v>
      </c>
      <c r="AB144" s="136">
        <f t="shared" si="39"/>
        <v>1.46</v>
      </c>
      <c r="AC144" s="136">
        <f t="shared" si="39"/>
        <v>1.46</v>
      </c>
      <c r="AD144" s="136">
        <f t="shared" si="39"/>
        <v>1.46</v>
      </c>
      <c r="AE144" s="136">
        <f t="shared" si="39"/>
        <v>1.46</v>
      </c>
      <c r="AF144" s="136">
        <f t="shared" si="39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37"/>
        <v>3</v>
      </c>
      <c r="C145" s="137">
        <v>3</v>
      </c>
      <c r="D145" s="136">
        <f t="shared" si="38"/>
        <v>3</v>
      </c>
      <c r="E145" s="136">
        <f t="shared" si="38"/>
        <v>3</v>
      </c>
      <c r="F145" s="136">
        <f t="shared" si="38"/>
        <v>3</v>
      </c>
      <c r="G145" s="136">
        <f t="shared" si="38"/>
        <v>3</v>
      </c>
      <c r="H145" s="136">
        <f t="shared" si="38"/>
        <v>3</v>
      </c>
      <c r="I145" s="136">
        <f t="shared" si="38"/>
        <v>3</v>
      </c>
      <c r="J145" s="136">
        <f t="shared" si="38"/>
        <v>3</v>
      </c>
      <c r="K145" s="136">
        <f t="shared" si="38"/>
        <v>3</v>
      </c>
      <c r="L145" s="136">
        <f t="shared" si="38"/>
        <v>3</v>
      </c>
      <c r="M145" s="136">
        <f t="shared" si="38"/>
        <v>3</v>
      </c>
      <c r="N145" s="136">
        <f t="shared" si="38"/>
        <v>3</v>
      </c>
      <c r="O145" s="136">
        <f t="shared" si="38"/>
        <v>3</v>
      </c>
      <c r="P145" s="136">
        <f t="shared" si="38"/>
        <v>3</v>
      </c>
      <c r="Q145" s="136">
        <f t="shared" si="38"/>
        <v>3</v>
      </c>
      <c r="R145" s="136">
        <f t="shared" si="38"/>
        <v>3</v>
      </c>
      <c r="S145" s="136">
        <f t="shared" si="38"/>
        <v>3</v>
      </c>
      <c r="T145" s="136">
        <f t="shared" si="39"/>
        <v>3</v>
      </c>
      <c r="U145" s="136">
        <f t="shared" si="39"/>
        <v>3</v>
      </c>
      <c r="V145" s="136">
        <f t="shared" si="39"/>
        <v>3</v>
      </c>
      <c r="W145" s="136">
        <f t="shared" si="39"/>
        <v>3</v>
      </c>
      <c r="X145" s="136">
        <f t="shared" si="39"/>
        <v>3</v>
      </c>
      <c r="Y145" s="136">
        <f t="shared" si="39"/>
        <v>3</v>
      </c>
      <c r="Z145" s="136">
        <f t="shared" si="39"/>
        <v>3</v>
      </c>
      <c r="AA145" s="136">
        <f t="shared" si="39"/>
        <v>3</v>
      </c>
      <c r="AB145" s="136">
        <f t="shared" si="39"/>
        <v>3</v>
      </c>
      <c r="AC145" s="136">
        <f t="shared" si="39"/>
        <v>3</v>
      </c>
      <c r="AD145" s="136">
        <f t="shared" si="39"/>
        <v>3</v>
      </c>
      <c r="AE145" s="136">
        <f t="shared" si="39"/>
        <v>3</v>
      </c>
      <c r="AF145" s="136">
        <f t="shared" si="39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37"/>
        <v>3.3</v>
      </c>
      <c r="C146" s="137">
        <v>3.3</v>
      </c>
      <c r="D146" s="136">
        <f t="shared" si="38"/>
        <v>3.3</v>
      </c>
      <c r="E146" s="136">
        <f t="shared" si="38"/>
        <v>3.3</v>
      </c>
      <c r="F146" s="136">
        <f t="shared" si="38"/>
        <v>3.3</v>
      </c>
      <c r="G146" s="136">
        <f t="shared" si="38"/>
        <v>3.3</v>
      </c>
      <c r="H146" s="136">
        <f t="shared" si="38"/>
        <v>3.3</v>
      </c>
      <c r="I146" s="136">
        <f t="shared" si="38"/>
        <v>3.3</v>
      </c>
      <c r="J146" s="136">
        <f t="shared" si="38"/>
        <v>3.3</v>
      </c>
      <c r="K146" s="136">
        <f t="shared" si="38"/>
        <v>3.3</v>
      </c>
      <c r="L146" s="136">
        <f t="shared" si="38"/>
        <v>3.3</v>
      </c>
      <c r="M146" s="136">
        <f t="shared" si="38"/>
        <v>3.3</v>
      </c>
      <c r="N146" s="136">
        <f t="shared" si="38"/>
        <v>3.3</v>
      </c>
      <c r="O146" s="136">
        <f t="shared" si="38"/>
        <v>3.3</v>
      </c>
      <c r="P146" s="136">
        <f t="shared" si="38"/>
        <v>3.3</v>
      </c>
      <c r="Q146" s="136">
        <f t="shared" si="38"/>
        <v>3.3</v>
      </c>
      <c r="R146" s="136">
        <f t="shared" si="38"/>
        <v>3.3</v>
      </c>
      <c r="S146" s="136">
        <f t="shared" si="38"/>
        <v>3.3</v>
      </c>
      <c r="T146" s="136">
        <f t="shared" si="39"/>
        <v>3.3</v>
      </c>
      <c r="U146" s="136">
        <f t="shared" si="39"/>
        <v>3.3</v>
      </c>
      <c r="V146" s="136">
        <f t="shared" si="39"/>
        <v>3.3</v>
      </c>
      <c r="W146" s="136">
        <f t="shared" si="39"/>
        <v>3.3</v>
      </c>
      <c r="X146" s="136">
        <f t="shared" si="39"/>
        <v>3.3</v>
      </c>
      <c r="Y146" s="136">
        <f t="shared" si="39"/>
        <v>3.3</v>
      </c>
      <c r="Z146" s="136">
        <f t="shared" si="39"/>
        <v>3.3</v>
      </c>
      <c r="AA146" s="136">
        <f t="shared" si="39"/>
        <v>3.3</v>
      </c>
      <c r="AB146" s="136">
        <f t="shared" si="39"/>
        <v>3.3</v>
      </c>
      <c r="AC146" s="136">
        <f t="shared" si="39"/>
        <v>3.3</v>
      </c>
      <c r="AD146" s="136">
        <f t="shared" si="39"/>
        <v>3.3</v>
      </c>
      <c r="AE146" s="136">
        <f t="shared" si="39"/>
        <v>3.3</v>
      </c>
      <c r="AF146" s="136">
        <f t="shared" si="39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40">C148</f>
        <v>1.76</v>
      </c>
      <c r="E148" s="136">
        <f t="shared" si="40"/>
        <v>1.76</v>
      </c>
      <c r="F148" s="136">
        <f t="shared" si="40"/>
        <v>1.76</v>
      </c>
      <c r="G148" s="136">
        <f t="shared" si="40"/>
        <v>1.76</v>
      </c>
      <c r="H148" s="136">
        <f t="shared" si="40"/>
        <v>1.76</v>
      </c>
      <c r="I148" s="136">
        <f t="shared" si="40"/>
        <v>1.76</v>
      </c>
      <c r="J148" s="136">
        <f t="shared" si="40"/>
        <v>1.76</v>
      </c>
      <c r="K148" s="136">
        <f t="shared" si="40"/>
        <v>1.76</v>
      </c>
      <c r="L148" s="136">
        <f t="shared" si="40"/>
        <v>1.76</v>
      </c>
      <c r="M148" s="136">
        <f t="shared" si="40"/>
        <v>1.76</v>
      </c>
      <c r="N148" s="136">
        <f t="shared" si="40"/>
        <v>1.76</v>
      </c>
      <c r="O148" s="136">
        <f t="shared" si="40"/>
        <v>1.76</v>
      </c>
      <c r="P148" s="136">
        <f t="shared" si="40"/>
        <v>1.76</v>
      </c>
      <c r="Q148" s="136">
        <f t="shared" si="40"/>
        <v>1.76</v>
      </c>
      <c r="R148" s="136">
        <f t="shared" si="40"/>
        <v>1.76</v>
      </c>
      <c r="S148" s="136">
        <f t="shared" si="40"/>
        <v>1.76</v>
      </c>
      <c r="T148" s="136">
        <f t="shared" ref="T148:AF149" si="41">S148</f>
        <v>1.76</v>
      </c>
      <c r="U148" s="136">
        <f t="shared" si="41"/>
        <v>1.76</v>
      </c>
      <c r="V148" s="136">
        <f t="shared" si="41"/>
        <v>1.76</v>
      </c>
      <c r="W148" s="136">
        <f t="shared" si="41"/>
        <v>1.76</v>
      </c>
      <c r="X148" s="136">
        <f t="shared" si="41"/>
        <v>1.76</v>
      </c>
      <c r="Y148" s="136">
        <f t="shared" si="41"/>
        <v>1.76</v>
      </c>
      <c r="Z148" s="136">
        <f t="shared" si="41"/>
        <v>1.76</v>
      </c>
      <c r="AA148" s="136">
        <f t="shared" si="41"/>
        <v>1.76</v>
      </c>
      <c r="AB148" s="136">
        <f t="shared" si="41"/>
        <v>1.76</v>
      </c>
      <c r="AC148" s="136">
        <f t="shared" si="41"/>
        <v>1.76</v>
      </c>
      <c r="AD148" s="136">
        <f t="shared" si="41"/>
        <v>1.76</v>
      </c>
      <c r="AE148" s="136">
        <f t="shared" si="41"/>
        <v>1.76</v>
      </c>
      <c r="AF148" s="136">
        <f t="shared" si="41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40"/>
        <v>0</v>
      </c>
      <c r="E149" s="136">
        <f t="shared" si="40"/>
        <v>0</v>
      </c>
      <c r="F149" s="136">
        <f t="shared" si="40"/>
        <v>0</v>
      </c>
      <c r="G149" s="136">
        <f t="shared" si="40"/>
        <v>0</v>
      </c>
      <c r="H149" s="136">
        <f t="shared" si="40"/>
        <v>0</v>
      </c>
      <c r="I149" s="136">
        <f t="shared" si="40"/>
        <v>0</v>
      </c>
      <c r="J149" s="136">
        <f t="shared" si="40"/>
        <v>0</v>
      </c>
      <c r="K149" s="136">
        <f t="shared" si="40"/>
        <v>0</v>
      </c>
      <c r="L149" s="136">
        <f t="shared" si="40"/>
        <v>0</v>
      </c>
      <c r="M149" s="136">
        <f t="shared" si="40"/>
        <v>0</v>
      </c>
      <c r="N149" s="136">
        <f t="shared" si="40"/>
        <v>0</v>
      </c>
      <c r="O149" s="136">
        <f t="shared" si="40"/>
        <v>0</v>
      </c>
      <c r="P149" s="136">
        <f t="shared" si="40"/>
        <v>0</v>
      </c>
      <c r="Q149" s="136">
        <f t="shared" si="40"/>
        <v>0</v>
      </c>
      <c r="R149" s="136">
        <f t="shared" si="40"/>
        <v>0</v>
      </c>
      <c r="S149" s="136">
        <f t="shared" si="40"/>
        <v>0</v>
      </c>
      <c r="T149" s="136">
        <f t="shared" si="41"/>
        <v>0</v>
      </c>
      <c r="U149" s="136">
        <f t="shared" si="41"/>
        <v>0</v>
      </c>
      <c r="V149" s="136">
        <f t="shared" si="41"/>
        <v>0</v>
      </c>
      <c r="W149" s="136">
        <f t="shared" si="41"/>
        <v>0</v>
      </c>
      <c r="X149" s="136">
        <f t="shared" si="41"/>
        <v>0</v>
      </c>
      <c r="Y149" s="136">
        <f t="shared" si="41"/>
        <v>0</v>
      </c>
      <c r="Z149" s="136">
        <f t="shared" si="41"/>
        <v>0</v>
      </c>
      <c r="AA149" s="136">
        <f t="shared" si="41"/>
        <v>0</v>
      </c>
      <c r="AB149" s="136">
        <f t="shared" si="41"/>
        <v>0</v>
      </c>
      <c r="AC149" s="136">
        <f t="shared" si="41"/>
        <v>0</v>
      </c>
      <c r="AD149" s="136">
        <f t="shared" si="41"/>
        <v>0</v>
      </c>
      <c r="AE149" s="136">
        <f t="shared" si="41"/>
        <v>0</v>
      </c>
      <c r="AF149" s="136">
        <f t="shared" si="41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42">C151</f>
        <v>0.1</v>
      </c>
      <c r="E151" s="136">
        <f t="shared" si="42"/>
        <v>0.1</v>
      </c>
      <c r="F151" s="136">
        <f t="shared" si="42"/>
        <v>0.1</v>
      </c>
      <c r="G151" s="136">
        <f t="shared" si="42"/>
        <v>0.1</v>
      </c>
      <c r="H151" s="136">
        <f t="shared" si="42"/>
        <v>0.1</v>
      </c>
      <c r="I151" s="136">
        <f t="shared" si="42"/>
        <v>0.1</v>
      </c>
      <c r="J151" s="136">
        <f t="shared" si="42"/>
        <v>0.1</v>
      </c>
      <c r="K151" s="136">
        <f t="shared" si="42"/>
        <v>0.1</v>
      </c>
      <c r="L151" s="136">
        <f t="shared" si="42"/>
        <v>0.1</v>
      </c>
      <c r="M151" s="136">
        <f t="shared" si="42"/>
        <v>0.1</v>
      </c>
      <c r="N151" s="136">
        <f t="shared" si="42"/>
        <v>0.1</v>
      </c>
      <c r="O151" s="136">
        <f t="shared" si="42"/>
        <v>0.1</v>
      </c>
      <c r="P151" s="136">
        <f t="shared" si="42"/>
        <v>0.1</v>
      </c>
      <c r="Q151" s="136">
        <f t="shared" si="42"/>
        <v>0.1</v>
      </c>
      <c r="R151" s="136">
        <f t="shared" si="42"/>
        <v>0.1</v>
      </c>
      <c r="S151" s="136">
        <f t="shared" si="42"/>
        <v>0.1</v>
      </c>
      <c r="T151" s="136">
        <f t="shared" ref="T151:AF154" si="43">S151</f>
        <v>0.1</v>
      </c>
      <c r="U151" s="136">
        <f t="shared" si="43"/>
        <v>0.1</v>
      </c>
      <c r="V151" s="136">
        <f t="shared" si="43"/>
        <v>0.1</v>
      </c>
      <c r="W151" s="136">
        <f t="shared" si="43"/>
        <v>0.1</v>
      </c>
      <c r="X151" s="136">
        <f t="shared" si="43"/>
        <v>0.1</v>
      </c>
      <c r="Y151" s="136">
        <f t="shared" si="43"/>
        <v>0.1</v>
      </c>
      <c r="Z151" s="136">
        <f t="shared" si="43"/>
        <v>0.1</v>
      </c>
      <c r="AA151" s="136">
        <f t="shared" si="43"/>
        <v>0.1</v>
      </c>
      <c r="AB151" s="136">
        <f t="shared" si="43"/>
        <v>0.1</v>
      </c>
      <c r="AC151" s="136">
        <f t="shared" si="43"/>
        <v>0.1</v>
      </c>
      <c r="AD151" s="136">
        <f t="shared" si="43"/>
        <v>0.1</v>
      </c>
      <c r="AE151" s="136">
        <f t="shared" si="43"/>
        <v>0.1</v>
      </c>
      <c r="AF151" s="136">
        <f t="shared" si="43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42"/>
        <v>2.0499999999999998</v>
      </c>
      <c r="E152" s="136">
        <f t="shared" si="42"/>
        <v>2.0499999999999998</v>
      </c>
      <c r="F152" s="136">
        <f t="shared" si="42"/>
        <v>2.0499999999999998</v>
      </c>
      <c r="G152" s="136">
        <f t="shared" si="42"/>
        <v>2.0499999999999998</v>
      </c>
      <c r="H152" s="136">
        <f t="shared" si="42"/>
        <v>2.0499999999999998</v>
      </c>
      <c r="I152" s="136">
        <f t="shared" si="42"/>
        <v>2.0499999999999998</v>
      </c>
      <c r="J152" s="136">
        <f t="shared" si="42"/>
        <v>2.0499999999999998</v>
      </c>
      <c r="K152" s="136">
        <f t="shared" si="42"/>
        <v>2.0499999999999998</v>
      </c>
      <c r="L152" s="136">
        <f t="shared" si="42"/>
        <v>2.0499999999999998</v>
      </c>
      <c r="M152" s="136">
        <f t="shared" si="42"/>
        <v>2.0499999999999998</v>
      </c>
      <c r="N152" s="136">
        <f t="shared" si="42"/>
        <v>2.0499999999999998</v>
      </c>
      <c r="O152" s="136">
        <f t="shared" si="42"/>
        <v>2.0499999999999998</v>
      </c>
      <c r="P152" s="136">
        <f t="shared" si="42"/>
        <v>2.0499999999999998</v>
      </c>
      <c r="Q152" s="136">
        <f t="shared" si="42"/>
        <v>2.0499999999999998</v>
      </c>
      <c r="R152" s="136">
        <f t="shared" si="42"/>
        <v>2.0499999999999998</v>
      </c>
      <c r="S152" s="136">
        <f t="shared" si="42"/>
        <v>2.0499999999999998</v>
      </c>
      <c r="T152" s="136">
        <f t="shared" si="43"/>
        <v>2.0499999999999998</v>
      </c>
      <c r="U152" s="136">
        <f t="shared" si="43"/>
        <v>2.0499999999999998</v>
      </c>
      <c r="V152" s="136">
        <f t="shared" si="43"/>
        <v>2.0499999999999998</v>
      </c>
      <c r="W152" s="136">
        <f t="shared" si="43"/>
        <v>2.0499999999999998</v>
      </c>
      <c r="X152" s="136">
        <f t="shared" si="43"/>
        <v>2.0499999999999998</v>
      </c>
      <c r="Y152" s="136">
        <f t="shared" si="43"/>
        <v>2.0499999999999998</v>
      </c>
      <c r="Z152" s="136">
        <f t="shared" si="43"/>
        <v>2.0499999999999998</v>
      </c>
      <c r="AA152" s="136">
        <f t="shared" si="43"/>
        <v>2.0499999999999998</v>
      </c>
      <c r="AB152" s="136">
        <f t="shared" si="43"/>
        <v>2.0499999999999998</v>
      </c>
      <c r="AC152" s="136">
        <f t="shared" si="43"/>
        <v>2.0499999999999998</v>
      </c>
      <c r="AD152" s="136">
        <f t="shared" si="43"/>
        <v>2.0499999999999998</v>
      </c>
      <c r="AE152" s="136">
        <f t="shared" si="43"/>
        <v>2.0499999999999998</v>
      </c>
      <c r="AF152" s="136">
        <f t="shared" si="43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42"/>
        <v>2.7</v>
      </c>
      <c r="E153" s="136">
        <f t="shared" si="42"/>
        <v>2.7</v>
      </c>
      <c r="F153" s="136">
        <f t="shared" si="42"/>
        <v>2.7</v>
      </c>
      <c r="G153" s="136">
        <f t="shared" si="42"/>
        <v>2.7</v>
      </c>
      <c r="H153" s="136">
        <f t="shared" si="42"/>
        <v>2.7</v>
      </c>
      <c r="I153" s="136">
        <f t="shared" si="42"/>
        <v>2.7</v>
      </c>
      <c r="J153" s="136">
        <f t="shared" si="42"/>
        <v>2.7</v>
      </c>
      <c r="K153" s="136">
        <f t="shared" si="42"/>
        <v>2.7</v>
      </c>
      <c r="L153" s="136">
        <f t="shared" si="42"/>
        <v>2.7</v>
      </c>
      <c r="M153" s="136">
        <f t="shared" si="42"/>
        <v>2.7</v>
      </c>
      <c r="N153" s="136">
        <f t="shared" si="42"/>
        <v>2.7</v>
      </c>
      <c r="O153" s="136">
        <f t="shared" si="42"/>
        <v>2.7</v>
      </c>
      <c r="P153" s="136">
        <f t="shared" si="42"/>
        <v>2.7</v>
      </c>
      <c r="Q153" s="136">
        <f t="shared" si="42"/>
        <v>2.7</v>
      </c>
      <c r="R153" s="136">
        <f t="shared" si="42"/>
        <v>2.7</v>
      </c>
      <c r="S153" s="136">
        <f t="shared" si="42"/>
        <v>2.7</v>
      </c>
      <c r="T153" s="136">
        <f t="shared" si="43"/>
        <v>2.7</v>
      </c>
      <c r="U153" s="136">
        <f t="shared" si="43"/>
        <v>2.7</v>
      </c>
      <c r="V153" s="136">
        <f t="shared" si="43"/>
        <v>2.7</v>
      </c>
      <c r="W153" s="136">
        <f t="shared" si="43"/>
        <v>2.7</v>
      </c>
      <c r="X153" s="136">
        <f t="shared" si="43"/>
        <v>2.7</v>
      </c>
      <c r="Y153" s="136">
        <f t="shared" si="43"/>
        <v>2.7</v>
      </c>
      <c r="Z153" s="136">
        <f t="shared" si="43"/>
        <v>2.7</v>
      </c>
      <c r="AA153" s="136">
        <f t="shared" si="43"/>
        <v>2.7</v>
      </c>
      <c r="AB153" s="136">
        <f t="shared" si="43"/>
        <v>2.7</v>
      </c>
      <c r="AC153" s="136">
        <f t="shared" si="43"/>
        <v>2.7</v>
      </c>
      <c r="AD153" s="136">
        <f t="shared" si="43"/>
        <v>2.7</v>
      </c>
      <c r="AE153" s="136">
        <f t="shared" si="43"/>
        <v>2.7</v>
      </c>
      <c r="AF153" s="136">
        <f t="shared" si="43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42"/>
        <v>2.15</v>
      </c>
      <c r="E154" s="136">
        <f t="shared" si="42"/>
        <v>2.15</v>
      </c>
      <c r="F154" s="136">
        <f t="shared" si="42"/>
        <v>2.15</v>
      </c>
      <c r="G154" s="136">
        <f t="shared" si="42"/>
        <v>2.15</v>
      </c>
      <c r="H154" s="136">
        <f t="shared" si="42"/>
        <v>2.15</v>
      </c>
      <c r="I154" s="136">
        <f t="shared" si="42"/>
        <v>2.15</v>
      </c>
      <c r="J154" s="136">
        <f t="shared" si="42"/>
        <v>2.15</v>
      </c>
      <c r="K154" s="136">
        <f t="shared" si="42"/>
        <v>2.15</v>
      </c>
      <c r="L154" s="136">
        <f t="shared" si="42"/>
        <v>2.15</v>
      </c>
      <c r="M154" s="136">
        <f t="shared" si="42"/>
        <v>2.15</v>
      </c>
      <c r="N154" s="136">
        <f t="shared" si="42"/>
        <v>2.15</v>
      </c>
      <c r="O154" s="136">
        <f t="shared" si="42"/>
        <v>2.15</v>
      </c>
      <c r="P154" s="136">
        <f t="shared" si="42"/>
        <v>2.15</v>
      </c>
      <c r="Q154" s="136">
        <f t="shared" si="42"/>
        <v>2.15</v>
      </c>
      <c r="R154" s="136">
        <f t="shared" si="42"/>
        <v>2.15</v>
      </c>
      <c r="S154" s="136">
        <f t="shared" si="42"/>
        <v>2.15</v>
      </c>
      <c r="T154" s="136">
        <f t="shared" si="43"/>
        <v>2.15</v>
      </c>
      <c r="U154" s="136">
        <f t="shared" si="43"/>
        <v>2.15</v>
      </c>
      <c r="V154" s="136">
        <f t="shared" si="43"/>
        <v>2.15</v>
      </c>
      <c r="W154" s="136">
        <f t="shared" si="43"/>
        <v>2.15</v>
      </c>
      <c r="X154" s="136">
        <f t="shared" si="43"/>
        <v>2.15</v>
      </c>
      <c r="Y154" s="136">
        <f t="shared" si="43"/>
        <v>2.15</v>
      </c>
      <c r="Z154" s="136">
        <f t="shared" si="43"/>
        <v>2.15</v>
      </c>
      <c r="AA154" s="136">
        <f t="shared" si="43"/>
        <v>2.15</v>
      </c>
      <c r="AB154" s="136">
        <f t="shared" si="43"/>
        <v>2.15</v>
      </c>
      <c r="AC154" s="136">
        <f t="shared" si="43"/>
        <v>2.15</v>
      </c>
      <c r="AD154" s="136">
        <f t="shared" si="43"/>
        <v>2.15</v>
      </c>
      <c r="AE154" s="136">
        <f t="shared" si="43"/>
        <v>2.15</v>
      </c>
      <c r="AF154" s="136">
        <f t="shared" si="43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44">AF156</f>
        <v>0.9</v>
      </c>
      <c r="C156" s="137">
        <v>0.9</v>
      </c>
      <c r="D156" s="136">
        <f t="shared" ref="D156:S168" si="45">C156</f>
        <v>0.9</v>
      </c>
      <c r="E156" s="136">
        <f t="shared" si="45"/>
        <v>0.9</v>
      </c>
      <c r="F156" s="136">
        <f t="shared" si="45"/>
        <v>0.9</v>
      </c>
      <c r="G156" s="136">
        <f t="shared" si="45"/>
        <v>0.9</v>
      </c>
      <c r="H156" s="136">
        <f t="shared" si="45"/>
        <v>0.9</v>
      </c>
      <c r="I156" s="136">
        <f t="shared" si="45"/>
        <v>0.9</v>
      </c>
      <c r="J156" s="136">
        <f t="shared" si="45"/>
        <v>0.9</v>
      </c>
      <c r="K156" s="136">
        <f t="shared" si="45"/>
        <v>0.9</v>
      </c>
      <c r="L156" s="136">
        <f t="shared" si="45"/>
        <v>0.9</v>
      </c>
      <c r="M156" s="136">
        <f t="shared" si="45"/>
        <v>0.9</v>
      </c>
      <c r="N156" s="136">
        <f t="shared" si="45"/>
        <v>0.9</v>
      </c>
      <c r="O156" s="136">
        <f t="shared" si="45"/>
        <v>0.9</v>
      </c>
      <c r="P156" s="136">
        <f t="shared" si="45"/>
        <v>0.9</v>
      </c>
      <c r="Q156" s="136">
        <f t="shared" si="45"/>
        <v>0.9</v>
      </c>
      <c r="R156" s="136">
        <f t="shared" si="45"/>
        <v>0.9</v>
      </c>
      <c r="S156" s="136">
        <f t="shared" si="45"/>
        <v>0.9</v>
      </c>
      <c r="T156" s="136">
        <f t="shared" ref="S156:AF168" si="46">S156</f>
        <v>0.9</v>
      </c>
      <c r="U156" s="136">
        <f t="shared" si="46"/>
        <v>0.9</v>
      </c>
      <c r="V156" s="136">
        <f t="shared" si="46"/>
        <v>0.9</v>
      </c>
      <c r="W156" s="136">
        <f t="shared" si="46"/>
        <v>0.9</v>
      </c>
      <c r="X156" s="136">
        <f t="shared" si="46"/>
        <v>0.9</v>
      </c>
      <c r="Y156" s="136">
        <f t="shared" si="46"/>
        <v>0.9</v>
      </c>
      <c r="Z156" s="136">
        <f t="shared" si="46"/>
        <v>0.9</v>
      </c>
      <c r="AA156" s="136">
        <f t="shared" si="46"/>
        <v>0.9</v>
      </c>
      <c r="AB156" s="136">
        <f t="shared" si="46"/>
        <v>0.9</v>
      </c>
      <c r="AC156" s="136">
        <f t="shared" si="46"/>
        <v>0.9</v>
      </c>
      <c r="AD156" s="136">
        <f t="shared" si="46"/>
        <v>0.9</v>
      </c>
      <c r="AE156" s="136">
        <f t="shared" si="46"/>
        <v>0.9</v>
      </c>
      <c r="AF156" s="136">
        <f t="shared" si="46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44"/>
        <v>1.08</v>
      </c>
      <c r="C157" s="137">
        <v>1.08</v>
      </c>
      <c r="D157" s="136">
        <f t="shared" si="45"/>
        <v>1.08</v>
      </c>
      <c r="E157" s="136">
        <f t="shared" si="45"/>
        <v>1.08</v>
      </c>
      <c r="F157" s="136">
        <f t="shared" si="45"/>
        <v>1.08</v>
      </c>
      <c r="G157" s="136">
        <f t="shared" si="45"/>
        <v>1.08</v>
      </c>
      <c r="H157" s="136">
        <f t="shared" si="45"/>
        <v>1.08</v>
      </c>
      <c r="I157" s="136">
        <f t="shared" si="45"/>
        <v>1.08</v>
      </c>
      <c r="J157" s="136">
        <f t="shared" si="45"/>
        <v>1.08</v>
      </c>
      <c r="K157" s="136">
        <f t="shared" si="45"/>
        <v>1.08</v>
      </c>
      <c r="L157" s="136">
        <f t="shared" si="45"/>
        <v>1.08</v>
      </c>
      <c r="M157" s="136">
        <f t="shared" si="45"/>
        <v>1.08</v>
      </c>
      <c r="N157" s="136">
        <f t="shared" si="45"/>
        <v>1.08</v>
      </c>
      <c r="O157" s="136">
        <f t="shared" si="45"/>
        <v>1.08</v>
      </c>
      <c r="P157" s="136">
        <f t="shared" si="45"/>
        <v>1.08</v>
      </c>
      <c r="Q157" s="136">
        <f t="shared" si="45"/>
        <v>1.08</v>
      </c>
      <c r="R157" s="136">
        <f t="shared" si="45"/>
        <v>1.08</v>
      </c>
      <c r="S157" s="136">
        <f t="shared" si="45"/>
        <v>1.08</v>
      </c>
      <c r="T157" s="136">
        <f t="shared" si="46"/>
        <v>1.08</v>
      </c>
      <c r="U157" s="136">
        <f t="shared" si="46"/>
        <v>1.08</v>
      </c>
      <c r="V157" s="136">
        <f t="shared" si="46"/>
        <v>1.08</v>
      </c>
      <c r="W157" s="136">
        <f t="shared" si="46"/>
        <v>1.08</v>
      </c>
      <c r="X157" s="136">
        <f t="shared" si="46"/>
        <v>1.08</v>
      </c>
      <c r="Y157" s="136">
        <f t="shared" si="46"/>
        <v>1.08</v>
      </c>
      <c r="Z157" s="136">
        <f t="shared" si="46"/>
        <v>1.08</v>
      </c>
      <c r="AA157" s="136">
        <f t="shared" si="46"/>
        <v>1.08</v>
      </c>
      <c r="AB157" s="136">
        <f t="shared" si="46"/>
        <v>1.08</v>
      </c>
      <c r="AC157" s="136">
        <f t="shared" si="46"/>
        <v>1.08</v>
      </c>
      <c r="AD157" s="136">
        <f t="shared" si="46"/>
        <v>1.08</v>
      </c>
      <c r="AE157" s="136">
        <f t="shared" si="46"/>
        <v>1.08</v>
      </c>
      <c r="AF157" s="136">
        <f t="shared" si="46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44"/>
        <v>2.37</v>
      </c>
      <c r="C158" s="137">
        <v>2.37</v>
      </c>
      <c r="D158" s="136">
        <f t="shared" si="45"/>
        <v>2.37</v>
      </c>
      <c r="E158" s="136">
        <f t="shared" si="45"/>
        <v>2.37</v>
      </c>
      <c r="F158" s="136">
        <f t="shared" si="45"/>
        <v>2.37</v>
      </c>
      <c r="G158" s="136">
        <f t="shared" si="45"/>
        <v>2.37</v>
      </c>
      <c r="H158" s="136">
        <f t="shared" si="45"/>
        <v>2.37</v>
      </c>
      <c r="I158" s="136">
        <f t="shared" si="45"/>
        <v>2.37</v>
      </c>
      <c r="J158" s="136">
        <f t="shared" si="45"/>
        <v>2.37</v>
      </c>
      <c r="K158" s="136">
        <f t="shared" si="45"/>
        <v>2.37</v>
      </c>
      <c r="L158" s="136">
        <f t="shared" si="45"/>
        <v>2.37</v>
      </c>
      <c r="M158" s="136">
        <f t="shared" si="45"/>
        <v>2.37</v>
      </c>
      <c r="N158" s="136">
        <f t="shared" si="45"/>
        <v>2.37</v>
      </c>
      <c r="O158" s="136">
        <f t="shared" si="45"/>
        <v>2.37</v>
      </c>
      <c r="P158" s="136">
        <f t="shared" si="45"/>
        <v>2.37</v>
      </c>
      <c r="Q158" s="136">
        <f t="shared" si="45"/>
        <v>2.37</v>
      </c>
      <c r="R158" s="136">
        <f t="shared" si="45"/>
        <v>2.37</v>
      </c>
      <c r="S158" s="136">
        <f t="shared" si="45"/>
        <v>2.37</v>
      </c>
      <c r="T158" s="136">
        <f t="shared" si="46"/>
        <v>2.37</v>
      </c>
      <c r="U158" s="136">
        <f t="shared" si="46"/>
        <v>2.37</v>
      </c>
      <c r="V158" s="136">
        <f t="shared" si="46"/>
        <v>2.37</v>
      </c>
      <c r="W158" s="136">
        <f t="shared" si="46"/>
        <v>2.37</v>
      </c>
      <c r="X158" s="136">
        <f t="shared" si="46"/>
        <v>2.37</v>
      </c>
      <c r="Y158" s="136">
        <f t="shared" si="46"/>
        <v>2.37</v>
      </c>
      <c r="Z158" s="136">
        <f t="shared" si="46"/>
        <v>2.37</v>
      </c>
      <c r="AA158" s="136">
        <f t="shared" si="46"/>
        <v>2.37</v>
      </c>
      <c r="AB158" s="136">
        <f t="shared" si="46"/>
        <v>2.37</v>
      </c>
      <c r="AC158" s="136">
        <f t="shared" si="46"/>
        <v>2.37</v>
      </c>
      <c r="AD158" s="136">
        <f t="shared" si="46"/>
        <v>2.37</v>
      </c>
      <c r="AE158" s="136">
        <f t="shared" si="46"/>
        <v>2.37</v>
      </c>
      <c r="AF158" s="136">
        <f t="shared" si="46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44"/>
        <v>1.81</v>
      </c>
      <c r="C159" s="137">
        <v>1.81</v>
      </c>
      <c r="D159" s="136">
        <f t="shared" si="45"/>
        <v>1.81</v>
      </c>
      <c r="E159" s="136">
        <f t="shared" si="45"/>
        <v>1.81</v>
      </c>
      <c r="F159" s="136">
        <f t="shared" si="45"/>
        <v>1.81</v>
      </c>
      <c r="G159" s="136">
        <f t="shared" si="45"/>
        <v>1.81</v>
      </c>
      <c r="H159" s="136">
        <f t="shared" si="45"/>
        <v>1.81</v>
      </c>
      <c r="I159" s="136">
        <f t="shared" si="45"/>
        <v>1.81</v>
      </c>
      <c r="J159" s="136">
        <f t="shared" si="45"/>
        <v>1.81</v>
      </c>
      <c r="K159" s="136">
        <f t="shared" si="45"/>
        <v>1.81</v>
      </c>
      <c r="L159" s="136">
        <f t="shared" si="45"/>
        <v>1.81</v>
      </c>
      <c r="M159" s="136">
        <f t="shared" si="45"/>
        <v>1.81</v>
      </c>
      <c r="N159" s="136">
        <f t="shared" si="45"/>
        <v>1.81</v>
      </c>
      <c r="O159" s="136">
        <f t="shared" si="45"/>
        <v>1.81</v>
      </c>
      <c r="P159" s="136">
        <f t="shared" si="45"/>
        <v>1.81</v>
      </c>
      <c r="Q159" s="136">
        <f t="shared" si="45"/>
        <v>1.81</v>
      </c>
      <c r="R159" s="136">
        <f t="shared" si="45"/>
        <v>1.81</v>
      </c>
      <c r="S159" s="136">
        <f t="shared" si="45"/>
        <v>1.81</v>
      </c>
      <c r="T159" s="136">
        <f t="shared" si="46"/>
        <v>1.81</v>
      </c>
      <c r="U159" s="136">
        <f t="shared" si="46"/>
        <v>1.81</v>
      </c>
      <c r="V159" s="136">
        <f t="shared" si="46"/>
        <v>1.81</v>
      </c>
      <c r="W159" s="136">
        <f t="shared" si="46"/>
        <v>1.81</v>
      </c>
      <c r="X159" s="136">
        <f t="shared" si="46"/>
        <v>1.81</v>
      </c>
      <c r="Y159" s="136">
        <f t="shared" si="46"/>
        <v>1.81</v>
      </c>
      <c r="Z159" s="136">
        <f t="shared" si="46"/>
        <v>1.81</v>
      </c>
      <c r="AA159" s="136">
        <f t="shared" si="46"/>
        <v>1.81</v>
      </c>
      <c r="AB159" s="136">
        <f t="shared" si="46"/>
        <v>1.81</v>
      </c>
      <c r="AC159" s="136">
        <f t="shared" si="46"/>
        <v>1.81</v>
      </c>
      <c r="AD159" s="136">
        <f t="shared" si="46"/>
        <v>1.81</v>
      </c>
      <c r="AE159" s="136">
        <f t="shared" si="46"/>
        <v>1.81</v>
      </c>
      <c r="AF159" s="136">
        <f t="shared" si="46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44"/>
        <v>1.0900000000000001</v>
      </c>
      <c r="C160" s="137">
        <v>1.0900000000000001</v>
      </c>
      <c r="D160" s="136">
        <f t="shared" si="45"/>
        <v>1.0900000000000001</v>
      </c>
      <c r="E160" s="136">
        <f t="shared" si="45"/>
        <v>1.0900000000000001</v>
      </c>
      <c r="F160" s="136">
        <f t="shared" si="45"/>
        <v>1.0900000000000001</v>
      </c>
      <c r="G160" s="136">
        <f t="shared" si="45"/>
        <v>1.0900000000000001</v>
      </c>
      <c r="H160" s="136">
        <f t="shared" si="45"/>
        <v>1.0900000000000001</v>
      </c>
      <c r="I160" s="136">
        <f t="shared" si="45"/>
        <v>1.0900000000000001</v>
      </c>
      <c r="J160" s="136">
        <f t="shared" si="45"/>
        <v>1.0900000000000001</v>
      </c>
      <c r="K160" s="136">
        <f t="shared" si="45"/>
        <v>1.0900000000000001</v>
      </c>
      <c r="L160" s="136">
        <f t="shared" si="45"/>
        <v>1.0900000000000001</v>
      </c>
      <c r="M160" s="136">
        <f t="shared" si="45"/>
        <v>1.0900000000000001</v>
      </c>
      <c r="N160" s="136">
        <f t="shared" si="45"/>
        <v>1.0900000000000001</v>
      </c>
      <c r="O160" s="136">
        <f t="shared" si="45"/>
        <v>1.0900000000000001</v>
      </c>
      <c r="P160" s="136">
        <f t="shared" si="45"/>
        <v>1.0900000000000001</v>
      </c>
      <c r="Q160" s="136">
        <f t="shared" si="45"/>
        <v>1.0900000000000001</v>
      </c>
      <c r="R160" s="136">
        <f t="shared" si="45"/>
        <v>1.0900000000000001</v>
      </c>
      <c r="S160" s="136">
        <f t="shared" si="45"/>
        <v>1.0900000000000001</v>
      </c>
      <c r="T160" s="136">
        <f t="shared" si="46"/>
        <v>1.0900000000000001</v>
      </c>
      <c r="U160" s="136">
        <f t="shared" si="46"/>
        <v>1.0900000000000001</v>
      </c>
      <c r="V160" s="136">
        <f t="shared" si="46"/>
        <v>1.0900000000000001</v>
      </c>
      <c r="W160" s="136">
        <f t="shared" si="46"/>
        <v>1.0900000000000001</v>
      </c>
      <c r="X160" s="136">
        <f t="shared" si="46"/>
        <v>1.0900000000000001</v>
      </c>
      <c r="Y160" s="136">
        <f t="shared" si="46"/>
        <v>1.0900000000000001</v>
      </c>
      <c r="Z160" s="136">
        <f t="shared" si="46"/>
        <v>1.0900000000000001</v>
      </c>
      <c r="AA160" s="136">
        <f t="shared" si="46"/>
        <v>1.0900000000000001</v>
      </c>
      <c r="AB160" s="136">
        <f t="shared" si="46"/>
        <v>1.0900000000000001</v>
      </c>
      <c r="AC160" s="136">
        <f t="shared" si="46"/>
        <v>1.0900000000000001</v>
      </c>
      <c r="AD160" s="136">
        <f t="shared" si="46"/>
        <v>1.0900000000000001</v>
      </c>
      <c r="AE160" s="136">
        <f t="shared" si="46"/>
        <v>1.0900000000000001</v>
      </c>
      <c r="AF160" s="136">
        <f t="shared" si="46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44"/>
        <v>1.58</v>
      </c>
      <c r="C161" s="137">
        <v>1.58</v>
      </c>
      <c r="D161" s="136">
        <f t="shared" si="45"/>
        <v>1.58</v>
      </c>
      <c r="E161" s="136">
        <f t="shared" si="45"/>
        <v>1.58</v>
      </c>
      <c r="F161" s="136">
        <f t="shared" si="45"/>
        <v>1.58</v>
      </c>
      <c r="G161" s="136">
        <f t="shared" si="45"/>
        <v>1.58</v>
      </c>
      <c r="H161" s="136">
        <f t="shared" si="45"/>
        <v>1.58</v>
      </c>
      <c r="I161" s="136">
        <f t="shared" si="45"/>
        <v>1.58</v>
      </c>
      <c r="J161" s="136">
        <f t="shared" si="45"/>
        <v>1.58</v>
      </c>
      <c r="K161" s="136">
        <f t="shared" si="45"/>
        <v>1.58</v>
      </c>
      <c r="L161" s="136">
        <f t="shared" si="45"/>
        <v>1.58</v>
      </c>
      <c r="M161" s="136">
        <f t="shared" si="45"/>
        <v>1.58</v>
      </c>
      <c r="N161" s="136">
        <f t="shared" si="45"/>
        <v>1.58</v>
      </c>
      <c r="O161" s="136">
        <f t="shared" si="45"/>
        <v>1.58</v>
      </c>
      <c r="P161" s="136">
        <f t="shared" si="45"/>
        <v>1.58</v>
      </c>
      <c r="Q161" s="136">
        <f t="shared" si="45"/>
        <v>1.58</v>
      </c>
      <c r="R161" s="136">
        <f t="shared" si="45"/>
        <v>1.58</v>
      </c>
      <c r="S161" s="136">
        <f t="shared" si="45"/>
        <v>1.58</v>
      </c>
      <c r="T161" s="136">
        <f t="shared" si="46"/>
        <v>1.58</v>
      </c>
      <c r="U161" s="136">
        <f t="shared" si="46"/>
        <v>1.58</v>
      </c>
      <c r="V161" s="136">
        <f t="shared" si="46"/>
        <v>1.58</v>
      </c>
      <c r="W161" s="136">
        <f t="shared" si="46"/>
        <v>1.58</v>
      </c>
      <c r="X161" s="136">
        <f t="shared" si="46"/>
        <v>1.58</v>
      </c>
      <c r="Y161" s="136">
        <f t="shared" si="46"/>
        <v>1.58</v>
      </c>
      <c r="Z161" s="136">
        <f t="shared" si="46"/>
        <v>1.58</v>
      </c>
      <c r="AA161" s="136">
        <f t="shared" si="46"/>
        <v>1.58</v>
      </c>
      <c r="AB161" s="136">
        <f t="shared" si="46"/>
        <v>1.58</v>
      </c>
      <c r="AC161" s="136">
        <f t="shared" si="46"/>
        <v>1.58</v>
      </c>
      <c r="AD161" s="136">
        <f t="shared" si="46"/>
        <v>1.58</v>
      </c>
      <c r="AE161" s="136">
        <f t="shared" si="46"/>
        <v>1.58</v>
      </c>
      <c r="AF161" s="136">
        <f t="shared" si="46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44"/>
        <v>2</v>
      </c>
      <c r="C162" s="137">
        <v>2</v>
      </c>
      <c r="D162" s="136">
        <f t="shared" si="45"/>
        <v>2</v>
      </c>
      <c r="E162" s="136">
        <f t="shared" si="45"/>
        <v>2</v>
      </c>
      <c r="F162" s="136">
        <f t="shared" si="45"/>
        <v>2</v>
      </c>
      <c r="G162" s="136">
        <f t="shared" si="45"/>
        <v>2</v>
      </c>
      <c r="H162" s="136">
        <f t="shared" si="45"/>
        <v>2</v>
      </c>
      <c r="I162" s="136">
        <f t="shared" si="45"/>
        <v>2</v>
      </c>
      <c r="J162" s="136">
        <f t="shared" si="45"/>
        <v>2</v>
      </c>
      <c r="K162" s="136">
        <f t="shared" si="45"/>
        <v>2</v>
      </c>
      <c r="L162" s="136">
        <f t="shared" si="45"/>
        <v>2</v>
      </c>
      <c r="M162" s="136">
        <f t="shared" si="45"/>
        <v>2</v>
      </c>
      <c r="N162" s="136">
        <f t="shared" si="45"/>
        <v>2</v>
      </c>
      <c r="O162" s="136">
        <f t="shared" si="45"/>
        <v>2</v>
      </c>
      <c r="P162" s="136">
        <f t="shared" si="45"/>
        <v>2</v>
      </c>
      <c r="Q162" s="136">
        <f t="shared" si="45"/>
        <v>2</v>
      </c>
      <c r="R162" s="136">
        <f t="shared" si="45"/>
        <v>2</v>
      </c>
      <c r="S162" s="136">
        <f t="shared" si="45"/>
        <v>2</v>
      </c>
      <c r="T162" s="136">
        <f t="shared" si="46"/>
        <v>2</v>
      </c>
      <c r="U162" s="136">
        <f t="shared" si="46"/>
        <v>2</v>
      </c>
      <c r="V162" s="136">
        <f t="shared" si="46"/>
        <v>2</v>
      </c>
      <c r="W162" s="136">
        <f t="shared" si="46"/>
        <v>2</v>
      </c>
      <c r="X162" s="136">
        <f t="shared" si="46"/>
        <v>2</v>
      </c>
      <c r="Y162" s="136">
        <f t="shared" si="46"/>
        <v>2</v>
      </c>
      <c r="Z162" s="136">
        <f t="shared" si="46"/>
        <v>2</v>
      </c>
      <c r="AA162" s="136">
        <f t="shared" si="46"/>
        <v>2</v>
      </c>
      <c r="AB162" s="136">
        <f t="shared" si="46"/>
        <v>2</v>
      </c>
      <c r="AC162" s="136">
        <f t="shared" si="46"/>
        <v>2</v>
      </c>
      <c r="AD162" s="136">
        <f t="shared" si="46"/>
        <v>2</v>
      </c>
      <c r="AE162" s="136">
        <f t="shared" si="46"/>
        <v>2</v>
      </c>
      <c r="AF162" s="136">
        <f t="shared" si="46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44"/>
        <v>0.47</v>
      </c>
      <c r="C163" s="137">
        <v>0.47</v>
      </c>
      <c r="D163" s="136">
        <f t="shared" si="45"/>
        <v>0.47</v>
      </c>
      <c r="E163" s="136">
        <f t="shared" si="45"/>
        <v>0.47</v>
      </c>
      <c r="F163" s="136">
        <f t="shared" si="45"/>
        <v>0.47</v>
      </c>
      <c r="G163" s="136">
        <f t="shared" si="45"/>
        <v>0.47</v>
      </c>
      <c r="H163" s="136">
        <f t="shared" si="45"/>
        <v>0.47</v>
      </c>
      <c r="I163" s="136">
        <f t="shared" si="45"/>
        <v>0.47</v>
      </c>
      <c r="J163" s="136">
        <f t="shared" si="45"/>
        <v>0.47</v>
      </c>
      <c r="K163" s="136">
        <f t="shared" si="45"/>
        <v>0.47</v>
      </c>
      <c r="L163" s="136">
        <f t="shared" si="45"/>
        <v>0.47</v>
      </c>
      <c r="M163" s="136">
        <f t="shared" si="45"/>
        <v>0.47</v>
      </c>
      <c r="N163" s="136">
        <f t="shared" si="45"/>
        <v>0.47</v>
      </c>
      <c r="O163" s="136">
        <f t="shared" si="45"/>
        <v>0.47</v>
      </c>
      <c r="P163" s="136">
        <f t="shared" si="45"/>
        <v>0.47</v>
      </c>
      <c r="Q163" s="136">
        <f t="shared" si="45"/>
        <v>0.47</v>
      </c>
      <c r="R163" s="136">
        <f t="shared" si="45"/>
        <v>0.47</v>
      </c>
      <c r="S163" s="136">
        <f t="shared" si="45"/>
        <v>0.47</v>
      </c>
      <c r="T163" s="136">
        <f t="shared" si="46"/>
        <v>0.47</v>
      </c>
      <c r="U163" s="136">
        <f t="shared" si="46"/>
        <v>0.47</v>
      </c>
      <c r="V163" s="136">
        <f t="shared" si="46"/>
        <v>0.47</v>
      </c>
      <c r="W163" s="136">
        <f t="shared" si="46"/>
        <v>0.47</v>
      </c>
      <c r="X163" s="136">
        <f t="shared" si="46"/>
        <v>0.47</v>
      </c>
      <c r="Y163" s="136">
        <f t="shared" si="46"/>
        <v>0.47</v>
      </c>
      <c r="Z163" s="136">
        <f t="shared" si="46"/>
        <v>0.47</v>
      </c>
      <c r="AA163" s="136">
        <f t="shared" si="46"/>
        <v>0.47</v>
      </c>
      <c r="AB163" s="136">
        <f t="shared" si="46"/>
        <v>0.47</v>
      </c>
      <c r="AC163" s="136">
        <f t="shared" si="46"/>
        <v>0.47</v>
      </c>
      <c r="AD163" s="136">
        <f t="shared" si="46"/>
        <v>0.47</v>
      </c>
      <c r="AE163" s="136">
        <f t="shared" si="46"/>
        <v>0.47</v>
      </c>
      <c r="AF163" s="136">
        <f t="shared" si="46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44"/>
        <v>0</v>
      </c>
      <c r="C164" s="137">
        <v>0</v>
      </c>
      <c r="D164" s="136">
        <f t="shared" si="45"/>
        <v>0</v>
      </c>
      <c r="E164" s="136">
        <f t="shared" si="45"/>
        <v>0</v>
      </c>
      <c r="F164" s="136">
        <f t="shared" si="45"/>
        <v>0</v>
      </c>
      <c r="G164" s="136">
        <f t="shared" si="45"/>
        <v>0</v>
      </c>
      <c r="H164" s="136">
        <f t="shared" si="45"/>
        <v>0</v>
      </c>
      <c r="I164" s="136">
        <f t="shared" si="45"/>
        <v>0</v>
      </c>
      <c r="J164" s="136">
        <f t="shared" si="45"/>
        <v>0</v>
      </c>
      <c r="K164" s="136">
        <f t="shared" si="45"/>
        <v>0</v>
      </c>
      <c r="L164" s="136">
        <f t="shared" si="45"/>
        <v>0</v>
      </c>
      <c r="M164" s="136">
        <f t="shared" si="45"/>
        <v>0</v>
      </c>
      <c r="N164" s="136">
        <f t="shared" si="45"/>
        <v>0</v>
      </c>
      <c r="O164" s="136">
        <f t="shared" si="45"/>
        <v>0</v>
      </c>
      <c r="P164" s="136">
        <f t="shared" si="45"/>
        <v>0</v>
      </c>
      <c r="Q164" s="136">
        <f t="shared" si="45"/>
        <v>0</v>
      </c>
      <c r="R164" s="136">
        <f t="shared" si="45"/>
        <v>0</v>
      </c>
      <c r="S164" s="136">
        <f t="shared" si="45"/>
        <v>0</v>
      </c>
      <c r="T164" s="136">
        <f t="shared" si="46"/>
        <v>0</v>
      </c>
      <c r="U164" s="136">
        <f t="shared" si="46"/>
        <v>0</v>
      </c>
      <c r="V164" s="136">
        <f t="shared" si="46"/>
        <v>0</v>
      </c>
      <c r="W164" s="136">
        <f t="shared" si="46"/>
        <v>0</v>
      </c>
      <c r="X164" s="136">
        <f t="shared" si="46"/>
        <v>0</v>
      </c>
      <c r="Y164" s="136">
        <f t="shared" si="46"/>
        <v>0</v>
      </c>
      <c r="Z164" s="136">
        <f t="shared" si="46"/>
        <v>0</v>
      </c>
      <c r="AA164" s="136">
        <f t="shared" si="46"/>
        <v>0</v>
      </c>
      <c r="AB164" s="136">
        <f t="shared" si="46"/>
        <v>0</v>
      </c>
      <c r="AC164" s="136">
        <f t="shared" si="46"/>
        <v>0</v>
      </c>
      <c r="AD164" s="136">
        <f t="shared" si="46"/>
        <v>0</v>
      </c>
      <c r="AE164" s="136">
        <f t="shared" si="46"/>
        <v>0</v>
      </c>
      <c r="AF164" s="136">
        <f t="shared" si="46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44"/>
        <v>0</v>
      </c>
      <c r="C165" s="137">
        <v>0</v>
      </c>
      <c r="D165" s="136">
        <f t="shared" si="45"/>
        <v>0</v>
      </c>
      <c r="E165" s="136">
        <f t="shared" si="45"/>
        <v>0</v>
      </c>
      <c r="F165" s="136">
        <f t="shared" si="45"/>
        <v>0</v>
      </c>
      <c r="G165" s="136">
        <f t="shared" si="45"/>
        <v>0</v>
      </c>
      <c r="H165" s="136">
        <f t="shared" si="45"/>
        <v>0</v>
      </c>
      <c r="I165" s="136">
        <f t="shared" si="45"/>
        <v>0</v>
      </c>
      <c r="J165" s="136">
        <f t="shared" si="45"/>
        <v>0</v>
      </c>
      <c r="K165" s="136">
        <f t="shared" si="45"/>
        <v>0</v>
      </c>
      <c r="L165" s="136">
        <f t="shared" si="45"/>
        <v>0</v>
      </c>
      <c r="M165" s="136">
        <f t="shared" si="45"/>
        <v>0</v>
      </c>
      <c r="N165" s="136">
        <f t="shared" si="45"/>
        <v>0</v>
      </c>
      <c r="O165" s="136">
        <f t="shared" si="45"/>
        <v>0</v>
      </c>
      <c r="P165" s="136">
        <f t="shared" si="45"/>
        <v>0</v>
      </c>
      <c r="Q165" s="136">
        <f t="shared" si="45"/>
        <v>0</v>
      </c>
      <c r="R165" s="136">
        <f t="shared" si="45"/>
        <v>0</v>
      </c>
      <c r="S165" s="136">
        <f t="shared" si="46"/>
        <v>0</v>
      </c>
      <c r="T165" s="136">
        <f t="shared" si="46"/>
        <v>0</v>
      </c>
      <c r="U165" s="136">
        <f t="shared" si="46"/>
        <v>0</v>
      </c>
      <c r="V165" s="136">
        <f t="shared" si="46"/>
        <v>0</v>
      </c>
      <c r="W165" s="136">
        <f t="shared" si="46"/>
        <v>0</v>
      </c>
      <c r="X165" s="136">
        <f t="shared" si="46"/>
        <v>0</v>
      </c>
      <c r="Y165" s="136">
        <f t="shared" si="46"/>
        <v>0</v>
      </c>
      <c r="Z165" s="136">
        <f t="shared" si="46"/>
        <v>0</v>
      </c>
      <c r="AA165" s="136">
        <f t="shared" si="46"/>
        <v>0</v>
      </c>
      <c r="AB165" s="136">
        <f t="shared" si="46"/>
        <v>0</v>
      </c>
      <c r="AC165" s="136">
        <f t="shared" si="46"/>
        <v>0</v>
      </c>
      <c r="AD165" s="136">
        <f t="shared" si="46"/>
        <v>0</v>
      </c>
      <c r="AE165" s="136">
        <f t="shared" si="46"/>
        <v>0</v>
      </c>
      <c r="AF165" s="136">
        <f t="shared" si="46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44"/>
        <v>0.8</v>
      </c>
      <c r="C166" s="137">
        <v>0.8</v>
      </c>
      <c r="D166" s="136">
        <f t="shared" si="45"/>
        <v>0.8</v>
      </c>
      <c r="E166" s="136">
        <f t="shared" si="45"/>
        <v>0.8</v>
      </c>
      <c r="F166" s="136">
        <f t="shared" si="45"/>
        <v>0.8</v>
      </c>
      <c r="G166" s="136">
        <f t="shared" si="45"/>
        <v>0.8</v>
      </c>
      <c r="H166" s="136">
        <f t="shared" si="45"/>
        <v>0.8</v>
      </c>
      <c r="I166" s="136">
        <f t="shared" si="45"/>
        <v>0.8</v>
      </c>
      <c r="J166" s="136">
        <f t="shared" si="45"/>
        <v>0.8</v>
      </c>
      <c r="K166" s="136">
        <f t="shared" si="45"/>
        <v>0.8</v>
      </c>
      <c r="L166" s="136">
        <f t="shared" si="45"/>
        <v>0.8</v>
      </c>
      <c r="M166" s="136">
        <f t="shared" si="45"/>
        <v>0.8</v>
      </c>
      <c r="N166" s="136">
        <f t="shared" si="45"/>
        <v>0.8</v>
      </c>
      <c r="O166" s="136">
        <f t="shared" si="45"/>
        <v>0.8</v>
      </c>
      <c r="P166" s="136">
        <f t="shared" si="45"/>
        <v>0.8</v>
      </c>
      <c r="Q166" s="136">
        <f t="shared" si="45"/>
        <v>0.8</v>
      </c>
      <c r="R166" s="136">
        <f t="shared" si="45"/>
        <v>0.8</v>
      </c>
      <c r="S166" s="136">
        <f t="shared" si="46"/>
        <v>0.8</v>
      </c>
      <c r="T166" s="136">
        <f t="shared" si="46"/>
        <v>0.8</v>
      </c>
      <c r="U166" s="136">
        <f t="shared" si="46"/>
        <v>0.8</v>
      </c>
      <c r="V166" s="136">
        <f t="shared" si="46"/>
        <v>0.8</v>
      </c>
      <c r="W166" s="136">
        <f t="shared" si="46"/>
        <v>0.8</v>
      </c>
      <c r="X166" s="136">
        <f t="shared" si="46"/>
        <v>0.8</v>
      </c>
      <c r="Y166" s="136">
        <f t="shared" si="46"/>
        <v>0.8</v>
      </c>
      <c r="Z166" s="136">
        <f t="shared" si="46"/>
        <v>0.8</v>
      </c>
      <c r="AA166" s="136">
        <f t="shared" si="46"/>
        <v>0.8</v>
      </c>
      <c r="AB166" s="136">
        <f t="shared" si="46"/>
        <v>0.8</v>
      </c>
      <c r="AC166" s="136">
        <f t="shared" si="46"/>
        <v>0.8</v>
      </c>
      <c r="AD166" s="136">
        <f t="shared" si="46"/>
        <v>0.8</v>
      </c>
      <c r="AE166" s="136">
        <f t="shared" si="46"/>
        <v>0.8</v>
      </c>
      <c r="AF166" s="136">
        <f t="shared" si="46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44"/>
        <v>1.5</v>
      </c>
      <c r="C167" s="137">
        <v>1.5</v>
      </c>
      <c r="D167" s="136">
        <f t="shared" si="45"/>
        <v>1.5</v>
      </c>
      <c r="E167" s="136">
        <f t="shared" si="45"/>
        <v>1.5</v>
      </c>
      <c r="F167" s="136">
        <f t="shared" si="45"/>
        <v>1.5</v>
      </c>
      <c r="G167" s="136">
        <f t="shared" si="45"/>
        <v>1.5</v>
      </c>
      <c r="H167" s="136">
        <f t="shared" si="45"/>
        <v>1.5</v>
      </c>
      <c r="I167" s="136">
        <f t="shared" si="45"/>
        <v>1.5</v>
      </c>
      <c r="J167" s="136">
        <f t="shared" si="45"/>
        <v>1.5</v>
      </c>
      <c r="K167" s="136">
        <f t="shared" si="45"/>
        <v>1.5</v>
      </c>
      <c r="L167" s="136">
        <f t="shared" si="45"/>
        <v>1.5</v>
      </c>
      <c r="M167" s="136">
        <f t="shared" si="45"/>
        <v>1.5</v>
      </c>
      <c r="N167" s="136">
        <f t="shared" si="45"/>
        <v>1.5</v>
      </c>
      <c r="O167" s="136">
        <f t="shared" si="45"/>
        <v>1.5</v>
      </c>
      <c r="P167" s="136">
        <f t="shared" si="45"/>
        <v>1.5</v>
      </c>
      <c r="Q167" s="136">
        <f t="shared" si="45"/>
        <v>1.5</v>
      </c>
      <c r="R167" s="136">
        <f t="shared" si="45"/>
        <v>1.5</v>
      </c>
      <c r="S167" s="136">
        <f t="shared" si="46"/>
        <v>1.5</v>
      </c>
      <c r="T167" s="136">
        <f t="shared" si="46"/>
        <v>1.5</v>
      </c>
      <c r="U167" s="136">
        <f t="shared" si="46"/>
        <v>1.5</v>
      </c>
      <c r="V167" s="136">
        <f t="shared" si="46"/>
        <v>1.5</v>
      </c>
      <c r="W167" s="136">
        <f t="shared" si="46"/>
        <v>1.5</v>
      </c>
      <c r="X167" s="136">
        <f t="shared" si="46"/>
        <v>1.5</v>
      </c>
      <c r="Y167" s="136">
        <f t="shared" si="46"/>
        <v>1.5</v>
      </c>
      <c r="Z167" s="136">
        <f t="shared" si="46"/>
        <v>1.5</v>
      </c>
      <c r="AA167" s="136">
        <f t="shared" si="46"/>
        <v>1.5</v>
      </c>
      <c r="AB167" s="136">
        <f t="shared" si="46"/>
        <v>1.5</v>
      </c>
      <c r="AC167" s="136">
        <f t="shared" si="46"/>
        <v>1.5</v>
      </c>
      <c r="AD167" s="136">
        <f t="shared" si="46"/>
        <v>1.5</v>
      </c>
      <c r="AE167" s="136">
        <f t="shared" si="46"/>
        <v>1.5</v>
      </c>
      <c r="AF167" s="136">
        <f t="shared" si="46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44"/>
        <v>1</v>
      </c>
      <c r="C168" s="137">
        <v>1</v>
      </c>
      <c r="D168" s="136">
        <f t="shared" si="45"/>
        <v>1</v>
      </c>
      <c r="E168" s="136">
        <f t="shared" si="45"/>
        <v>1</v>
      </c>
      <c r="F168" s="136">
        <f t="shared" si="45"/>
        <v>1</v>
      </c>
      <c r="G168" s="136">
        <f t="shared" si="45"/>
        <v>1</v>
      </c>
      <c r="H168" s="136">
        <f t="shared" si="45"/>
        <v>1</v>
      </c>
      <c r="I168" s="136">
        <f t="shared" si="45"/>
        <v>1</v>
      </c>
      <c r="J168" s="136">
        <f t="shared" si="45"/>
        <v>1</v>
      </c>
      <c r="K168" s="136">
        <f t="shared" si="45"/>
        <v>1</v>
      </c>
      <c r="L168" s="136">
        <f t="shared" si="45"/>
        <v>1</v>
      </c>
      <c r="M168" s="136">
        <f t="shared" si="45"/>
        <v>1</v>
      </c>
      <c r="N168" s="136">
        <f t="shared" si="45"/>
        <v>1</v>
      </c>
      <c r="O168" s="136">
        <f t="shared" si="45"/>
        <v>1</v>
      </c>
      <c r="P168" s="136">
        <f t="shared" si="45"/>
        <v>1</v>
      </c>
      <c r="Q168" s="136">
        <f t="shared" si="45"/>
        <v>1</v>
      </c>
      <c r="R168" s="136">
        <f t="shared" si="45"/>
        <v>1</v>
      </c>
      <c r="S168" s="136">
        <f t="shared" si="46"/>
        <v>1</v>
      </c>
      <c r="T168" s="136">
        <f t="shared" si="46"/>
        <v>1</v>
      </c>
      <c r="U168" s="136">
        <f t="shared" si="46"/>
        <v>1</v>
      </c>
      <c r="V168" s="136">
        <f t="shared" si="46"/>
        <v>1</v>
      </c>
      <c r="W168" s="136">
        <f t="shared" si="46"/>
        <v>1</v>
      </c>
      <c r="X168" s="136">
        <f t="shared" si="46"/>
        <v>1</v>
      </c>
      <c r="Y168" s="136">
        <f t="shared" si="46"/>
        <v>1</v>
      </c>
      <c r="Z168" s="136">
        <f t="shared" si="46"/>
        <v>1</v>
      </c>
      <c r="AA168" s="136">
        <f t="shared" si="46"/>
        <v>1</v>
      </c>
      <c r="AB168" s="136">
        <f t="shared" si="46"/>
        <v>1</v>
      </c>
      <c r="AC168" s="136">
        <f t="shared" si="46"/>
        <v>1</v>
      </c>
      <c r="AD168" s="136">
        <f t="shared" si="46"/>
        <v>1</v>
      </c>
      <c r="AE168" s="136">
        <f t="shared" si="46"/>
        <v>1</v>
      </c>
      <c r="AF168" s="136">
        <f t="shared" si="46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47">AF170</f>
        <v>1</v>
      </c>
      <c r="C170" s="137">
        <v>1</v>
      </c>
      <c r="D170" s="136">
        <f t="shared" ref="D170:S177" si="48">C170</f>
        <v>1</v>
      </c>
      <c r="E170" s="136">
        <f t="shared" si="48"/>
        <v>1</v>
      </c>
      <c r="F170" s="136">
        <f t="shared" si="48"/>
        <v>1</v>
      </c>
      <c r="G170" s="136">
        <f t="shared" si="48"/>
        <v>1</v>
      </c>
      <c r="H170" s="136">
        <f t="shared" si="48"/>
        <v>1</v>
      </c>
      <c r="I170" s="136">
        <f t="shared" si="48"/>
        <v>1</v>
      </c>
      <c r="J170" s="136">
        <f t="shared" si="48"/>
        <v>1</v>
      </c>
      <c r="K170" s="136">
        <f t="shared" si="48"/>
        <v>1</v>
      </c>
      <c r="L170" s="136">
        <f t="shared" si="48"/>
        <v>1</v>
      </c>
      <c r="M170" s="136">
        <f t="shared" si="48"/>
        <v>1</v>
      </c>
      <c r="N170" s="136">
        <f t="shared" si="48"/>
        <v>1</v>
      </c>
      <c r="O170" s="136">
        <f t="shared" si="48"/>
        <v>1</v>
      </c>
      <c r="P170" s="136">
        <f t="shared" si="48"/>
        <v>1</v>
      </c>
      <c r="Q170" s="136">
        <f t="shared" si="48"/>
        <v>1</v>
      </c>
      <c r="R170" s="136">
        <f t="shared" si="48"/>
        <v>1</v>
      </c>
      <c r="S170" s="136">
        <f t="shared" si="48"/>
        <v>1</v>
      </c>
      <c r="T170" s="136">
        <f t="shared" ref="S170:AF177" si="49">S170</f>
        <v>1</v>
      </c>
      <c r="U170" s="136">
        <f t="shared" si="49"/>
        <v>1</v>
      </c>
      <c r="V170" s="136">
        <f t="shared" si="49"/>
        <v>1</v>
      </c>
      <c r="W170" s="136">
        <f t="shared" si="49"/>
        <v>1</v>
      </c>
      <c r="X170" s="136">
        <f t="shared" si="49"/>
        <v>1</v>
      </c>
      <c r="Y170" s="136">
        <f t="shared" si="49"/>
        <v>1</v>
      </c>
      <c r="Z170" s="136">
        <f t="shared" si="49"/>
        <v>1</v>
      </c>
      <c r="AA170" s="136">
        <f t="shared" si="49"/>
        <v>1</v>
      </c>
      <c r="AB170" s="136">
        <f t="shared" si="49"/>
        <v>1</v>
      </c>
      <c r="AC170" s="136">
        <f t="shared" si="49"/>
        <v>1</v>
      </c>
      <c r="AD170" s="136">
        <f t="shared" si="49"/>
        <v>1</v>
      </c>
      <c r="AE170" s="136">
        <f t="shared" si="49"/>
        <v>1</v>
      </c>
      <c r="AF170" s="136">
        <f t="shared" si="49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47"/>
        <v>0.42</v>
      </c>
      <c r="C171" s="137">
        <v>0.42</v>
      </c>
      <c r="D171" s="136">
        <f t="shared" si="48"/>
        <v>0.42</v>
      </c>
      <c r="E171" s="136">
        <f t="shared" si="48"/>
        <v>0.42</v>
      </c>
      <c r="F171" s="136">
        <f t="shared" si="48"/>
        <v>0.42</v>
      </c>
      <c r="G171" s="136">
        <f t="shared" si="48"/>
        <v>0.42</v>
      </c>
      <c r="H171" s="136">
        <f t="shared" si="48"/>
        <v>0.42</v>
      </c>
      <c r="I171" s="136">
        <f t="shared" si="48"/>
        <v>0.42</v>
      </c>
      <c r="J171" s="136">
        <f t="shared" si="48"/>
        <v>0.42</v>
      </c>
      <c r="K171" s="136">
        <f t="shared" si="48"/>
        <v>0.42</v>
      </c>
      <c r="L171" s="136">
        <f t="shared" si="48"/>
        <v>0.42</v>
      </c>
      <c r="M171" s="136">
        <f t="shared" si="48"/>
        <v>0.42</v>
      </c>
      <c r="N171" s="136">
        <f t="shared" si="48"/>
        <v>0.42</v>
      </c>
      <c r="O171" s="136">
        <f t="shared" si="48"/>
        <v>0.42</v>
      </c>
      <c r="P171" s="136">
        <f t="shared" si="48"/>
        <v>0.42</v>
      </c>
      <c r="Q171" s="136">
        <f t="shared" si="48"/>
        <v>0.42</v>
      </c>
      <c r="R171" s="136">
        <f t="shared" si="48"/>
        <v>0.42</v>
      </c>
      <c r="S171" s="136">
        <f t="shared" si="49"/>
        <v>0.42</v>
      </c>
      <c r="T171" s="136">
        <f t="shared" si="49"/>
        <v>0.42</v>
      </c>
      <c r="U171" s="136">
        <f t="shared" si="49"/>
        <v>0.42</v>
      </c>
      <c r="V171" s="136">
        <f t="shared" si="49"/>
        <v>0.42</v>
      </c>
      <c r="W171" s="136">
        <f t="shared" si="49"/>
        <v>0.42</v>
      </c>
      <c r="X171" s="136">
        <f t="shared" si="49"/>
        <v>0.42</v>
      </c>
      <c r="Y171" s="136">
        <f t="shared" si="49"/>
        <v>0.42</v>
      </c>
      <c r="Z171" s="136">
        <f t="shared" si="49"/>
        <v>0.42</v>
      </c>
      <c r="AA171" s="136">
        <f t="shared" si="49"/>
        <v>0.42</v>
      </c>
      <c r="AB171" s="136">
        <f t="shared" si="49"/>
        <v>0.42</v>
      </c>
      <c r="AC171" s="136">
        <f t="shared" si="49"/>
        <v>0.42</v>
      </c>
      <c r="AD171" s="136">
        <f t="shared" si="49"/>
        <v>0.42</v>
      </c>
      <c r="AE171" s="136">
        <f t="shared" si="49"/>
        <v>0.42</v>
      </c>
      <c r="AF171" s="136">
        <f t="shared" si="49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47"/>
        <v>0.46</v>
      </c>
      <c r="C172" s="137">
        <v>0.46</v>
      </c>
      <c r="D172" s="136">
        <f t="shared" si="48"/>
        <v>0.46</v>
      </c>
      <c r="E172" s="136">
        <f t="shared" si="48"/>
        <v>0.46</v>
      </c>
      <c r="F172" s="136">
        <f t="shared" si="48"/>
        <v>0.46</v>
      </c>
      <c r="G172" s="136">
        <f t="shared" si="48"/>
        <v>0.46</v>
      </c>
      <c r="H172" s="136">
        <f t="shared" si="48"/>
        <v>0.46</v>
      </c>
      <c r="I172" s="136">
        <f t="shared" si="48"/>
        <v>0.46</v>
      </c>
      <c r="J172" s="136">
        <f t="shared" si="48"/>
        <v>0.46</v>
      </c>
      <c r="K172" s="136">
        <f t="shared" si="48"/>
        <v>0.46</v>
      </c>
      <c r="L172" s="136">
        <f t="shared" si="48"/>
        <v>0.46</v>
      </c>
      <c r="M172" s="136">
        <f t="shared" si="48"/>
        <v>0.46</v>
      </c>
      <c r="N172" s="136">
        <f t="shared" si="48"/>
        <v>0.46</v>
      </c>
      <c r="O172" s="136">
        <f t="shared" si="48"/>
        <v>0.46</v>
      </c>
      <c r="P172" s="136">
        <f t="shared" si="48"/>
        <v>0.46</v>
      </c>
      <c r="Q172" s="136">
        <f t="shared" si="48"/>
        <v>0.46</v>
      </c>
      <c r="R172" s="136">
        <f t="shared" si="48"/>
        <v>0.46</v>
      </c>
      <c r="S172" s="136">
        <f t="shared" si="49"/>
        <v>0.46</v>
      </c>
      <c r="T172" s="136">
        <f t="shared" si="49"/>
        <v>0.46</v>
      </c>
      <c r="U172" s="136">
        <f t="shared" si="49"/>
        <v>0.46</v>
      </c>
      <c r="V172" s="136">
        <f t="shared" si="49"/>
        <v>0.46</v>
      </c>
      <c r="W172" s="136">
        <f t="shared" si="49"/>
        <v>0.46</v>
      </c>
      <c r="X172" s="136">
        <f t="shared" si="49"/>
        <v>0.46</v>
      </c>
      <c r="Y172" s="136">
        <f t="shared" si="49"/>
        <v>0.46</v>
      </c>
      <c r="Z172" s="136">
        <f t="shared" si="49"/>
        <v>0.46</v>
      </c>
      <c r="AA172" s="136">
        <f t="shared" si="49"/>
        <v>0.46</v>
      </c>
      <c r="AB172" s="136">
        <f t="shared" si="49"/>
        <v>0.46</v>
      </c>
      <c r="AC172" s="136">
        <f t="shared" si="49"/>
        <v>0.46</v>
      </c>
      <c r="AD172" s="136">
        <f t="shared" si="49"/>
        <v>0.46</v>
      </c>
      <c r="AE172" s="136">
        <f t="shared" si="49"/>
        <v>0.46</v>
      </c>
      <c r="AF172" s="136">
        <f t="shared" si="49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47"/>
        <v>0.85</v>
      </c>
      <c r="C173" s="137">
        <v>0.85</v>
      </c>
      <c r="D173" s="136">
        <f t="shared" si="48"/>
        <v>0.85</v>
      </c>
      <c r="E173" s="136">
        <f t="shared" si="48"/>
        <v>0.85</v>
      </c>
      <c r="F173" s="136">
        <f t="shared" si="48"/>
        <v>0.85</v>
      </c>
      <c r="G173" s="136">
        <f t="shared" si="48"/>
        <v>0.85</v>
      </c>
      <c r="H173" s="136">
        <f t="shared" si="48"/>
        <v>0.85</v>
      </c>
      <c r="I173" s="136">
        <f t="shared" si="48"/>
        <v>0.85</v>
      </c>
      <c r="J173" s="136">
        <f t="shared" si="48"/>
        <v>0.85</v>
      </c>
      <c r="K173" s="136">
        <f t="shared" si="48"/>
        <v>0.85</v>
      </c>
      <c r="L173" s="136">
        <f t="shared" si="48"/>
        <v>0.85</v>
      </c>
      <c r="M173" s="136">
        <f t="shared" si="48"/>
        <v>0.85</v>
      </c>
      <c r="N173" s="136">
        <f t="shared" si="48"/>
        <v>0.85</v>
      </c>
      <c r="O173" s="136">
        <f t="shared" si="48"/>
        <v>0.85</v>
      </c>
      <c r="P173" s="136">
        <f t="shared" si="48"/>
        <v>0.85</v>
      </c>
      <c r="Q173" s="136">
        <f t="shared" si="48"/>
        <v>0.85</v>
      </c>
      <c r="R173" s="136">
        <f t="shared" si="48"/>
        <v>0.85</v>
      </c>
      <c r="S173" s="136">
        <f t="shared" si="49"/>
        <v>0.85</v>
      </c>
      <c r="T173" s="136">
        <f t="shared" si="49"/>
        <v>0.85</v>
      </c>
      <c r="U173" s="136">
        <f t="shared" si="49"/>
        <v>0.85</v>
      </c>
      <c r="V173" s="136">
        <f t="shared" si="49"/>
        <v>0.85</v>
      </c>
      <c r="W173" s="136">
        <f t="shared" si="49"/>
        <v>0.85</v>
      </c>
      <c r="X173" s="136">
        <f t="shared" si="49"/>
        <v>0.85</v>
      </c>
      <c r="Y173" s="136">
        <f t="shared" si="49"/>
        <v>0.85</v>
      </c>
      <c r="Z173" s="136">
        <f t="shared" si="49"/>
        <v>0.85</v>
      </c>
      <c r="AA173" s="136">
        <f t="shared" si="49"/>
        <v>0.85</v>
      </c>
      <c r="AB173" s="136">
        <f t="shared" si="49"/>
        <v>0.85</v>
      </c>
      <c r="AC173" s="136">
        <f t="shared" si="49"/>
        <v>0.85</v>
      </c>
      <c r="AD173" s="136">
        <f t="shared" si="49"/>
        <v>0.85</v>
      </c>
      <c r="AE173" s="136">
        <f t="shared" si="49"/>
        <v>0.85</v>
      </c>
      <c r="AF173" s="136">
        <f t="shared" si="49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47"/>
        <v>0.9</v>
      </c>
      <c r="C174" s="137">
        <v>0.9</v>
      </c>
      <c r="D174" s="136">
        <f t="shared" si="48"/>
        <v>0.9</v>
      </c>
      <c r="E174" s="136">
        <f t="shared" si="48"/>
        <v>0.9</v>
      </c>
      <c r="F174" s="136">
        <f t="shared" si="48"/>
        <v>0.9</v>
      </c>
      <c r="G174" s="136">
        <f t="shared" si="48"/>
        <v>0.9</v>
      </c>
      <c r="H174" s="136">
        <f t="shared" si="48"/>
        <v>0.9</v>
      </c>
      <c r="I174" s="136">
        <f t="shared" si="48"/>
        <v>0.9</v>
      </c>
      <c r="J174" s="136">
        <f t="shared" si="48"/>
        <v>0.9</v>
      </c>
      <c r="K174" s="136">
        <f t="shared" si="48"/>
        <v>0.9</v>
      </c>
      <c r="L174" s="136">
        <f t="shared" si="48"/>
        <v>0.9</v>
      </c>
      <c r="M174" s="136">
        <f t="shared" si="48"/>
        <v>0.9</v>
      </c>
      <c r="N174" s="136">
        <f t="shared" si="48"/>
        <v>0.9</v>
      </c>
      <c r="O174" s="136">
        <f t="shared" si="48"/>
        <v>0.9</v>
      </c>
      <c r="P174" s="136">
        <f t="shared" si="48"/>
        <v>0.9</v>
      </c>
      <c r="Q174" s="136">
        <f t="shared" si="48"/>
        <v>0.9</v>
      </c>
      <c r="R174" s="136">
        <f t="shared" si="48"/>
        <v>0.9</v>
      </c>
      <c r="S174" s="136">
        <f t="shared" si="49"/>
        <v>0.9</v>
      </c>
      <c r="T174" s="136">
        <f t="shared" si="49"/>
        <v>0.9</v>
      </c>
      <c r="U174" s="136">
        <f t="shared" si="49"/>
        <v>0.9</v>
      </c>
      <c r="V174" s="136">
        <f t="shared" si="49"/>
        <v>0.9</v>
      </c>
      <c r="W174" s="136">
        <f t="shared" si="49"/>
        <v>0.9</v>
      </c>
      <c r="X174" s="136">
        <f t="shared" si="49"/>
        <v>0.9</v>
      </c>
      <c r="Y174" s="136">
        <f t="shared" si="49"/>
        <v>0.9</v>
      </c>
      <c r="Z174" s="136">
        <f t="shared" si="49"/>
        <v>0.9</v>
      </c>
      <c r="AA174" s="136">
        <f t="shared" si="49"/>
        <v>0.9</v>
      </c>
      <c r="AB174" s="136">
        <f t="shared" si="49"/>
        <v>0.9</v>
      </c>
      <c r="AC174" s="136">
        <f t="shared" si="49"/>
        <v>0.9</v>
      </c>
      <c r="AD174" s="136">
        <f t="shared" si="49"/>
        <v>0.9</v>
      </c>
      <c r="AE174" s="136">
        <f t="shared" si="49"/>
        <v>0.9</v>
      </c>
      <c r="AF174" s="136">
        <f t="shared" si="49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47"/>
        <v>0.44</v>
      </c>
      <c r="C175" s="137">
        <v>0.44</v>
      </c>
      <c r="D175" s="136">
        <f t="shared" si="48"/>
        <v>0.44</v>
      </c>
      <c r="E175" s="136">
        <f t="shared" si="48"/>
        <v>0.44</v>
      </c>
      <c r="F175" s="136">
        <f t="shared" si="48"/>
        <v>0.44</v>
      </c>
      <c r="G175" s="136">
        <f t="shared" si="48"/>
        <v>0.44</v>
      </c>
      <c r="H175" s="136">
        <f t="shared" si="48"/>
        <v>0.44</v>
      </c>
      <c r="I175" s="136">
        <f t="shared" si="48"/>
        <v>0.44</v>
      </c>
      <c r="J175" s="136">
        <f t="shared" si="48"/>
        <v>0.44</v>
      </c>
      <c r="K175" s="136">
        <f t="shared" si="48"/>
        <v>0.44</v>
      </c>
      <c r="L175" s="136">
        <f t="shared" si="48"/>
        <v>0.44</v>
      </c>
      <c r="M175" s="136">
        <f t="shared" si="48"/>
        <v>0.44</v>
      </c>
      <c r="N175" s="136">
        <f t="shared" si="48"/>
        <v>0.44</v>
      </c>
      <c r="O175" s="136">
        <f t="shared" si="48"/>
        <v>0.44</v>
      </c>
      <c r="P175" s="136">
        <f t="shared" si="48"/>
        <v>0.44</v>
      </c>
      <c r="Q175" s="136">
        <f t="shared" si="48"/>
        <v>0.44</v>
      </c>
      <c r="R175" s="136">
        <f t="shared" si="48"/>
        <v>0.44</v>
      </c>
      <c r="S175" s="136">
        <f t="shared" si="49"/>
        <v>0.44</v>
      </c>
      <c r="T175" s="136">
        <f t="shared" si="49"/>
        <v>0.44</v>
      </c>
      <c r="U175" s="136">
        <f t="shared" si="49"/>
        <v>0.44</v>
      </c>
      <c r="V175" s="136">
        <f t="shared" si="49"/>
        <v>0.44</v>
      </c>
      <c r="W175" s="136">
        <f t="shared" si="49"/>
        <v>0.44</v>
      </c>
      <c r="X175" s="136">
        <f t="shared" si="49"/>
        <v>0.44</v>
      </c>
      <c r="Y175" s="136">
        <f t="shared" si="49"/>
        <v>0.44</v>
      </c>
      <c r="Z175" s="136">
        <f t="shared" si="49"/>
        <v>0.44</v>
      </c>
      <c r="AA175" s="136">
        <f t="shared" si="49"/>
        <v>0.44</v>
      </c>
      <c r="AB175" s="136">
        <f t="shared" si="49"/>
        <v>0.44</v>
      </c>
      <c r="AC175" s="136">
        <f t="shared" si="49"/>
        <v>0.44</v>
      </c>
      <c r="AD175" s="136">
        <f t="shared" si="49"/>
        <v>0.44</v>
      </c>
      <c r="AE175" s="136">
        <f t="shared" si="49"/>
        <v>0.44</v>
      </c>
      <c r="AF175" s="136">
        <f t="shared" si="49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47"/>
        <v>2.1</v>
      </c>
      <c r="C176" s="137">
        <v>2.1</v>
      </c>
      <c r="D176" s="136">
        <f t="shared" si="48"/>
        <v>2.1</v>
      </c>
      <c r="E176" s="136">
        <f t="shared" si="48"/>
        <v>2.1</v>
      </c>
      <c r="F176" s="136">
        <f t="shared" si="48"/>
        <v>2.1</v>
      </c>
      <c r="G176" s="136">
        <f t="shared" si="48"/>
        <v>2.1</v>
      </c>
      <c r="H176" s="136">
        <f t="shared" si="48"/>
        <v>2.1</v>
      </c>
      <c r="I176" s="136">
        <f t="shared" si="48"/>
        <v>2.1</v>
      </c>
      <c r="J176" s="136">
        <f t="shared" si="48"/>
        <v>2.1</v>
      </c>
      <c r="K176" s="136">
        <f t="shared" si="48"/>
        <v>2.1</v>
      </c>
      <c r="L176" s="136">
        <f t="shared" si="48"/>
        <v>2.1</v>
      </c>
      <c r="M176" s="136">
        <f t="shared" si="48"/>
        <v>2.1</v>
      </c>
      <c r="N176" s="136">
        <f t="shared" si="48"/>
        <v>2.1</v>
      </c>
      <c r="O176" s="136">
        <f t="shared" si="48"/>
        <v>2.1</v>
      </c>
      <c r="P176" s="136">
        <f t="shared" si="48"/>
        <v>2.1</v>
      </c>
      <c r="Q176" s="136">
        <f t="shared" si="48"/>
        <v>2.1</v>
      </c>
      <c r="R176" s="136">
        <f t="shared" si="48"/>
        <v>2.1</v>
      </c>
      <c r="S176" s="136">
        <f t="shared" si="49"/>
        <v>2.1</v>
      </c>
      <c r="T176" s="136">
        <f t="shared" si="49"/>
        <v>2.1</v>
      </c>
      <c r="U176" s="136">
        <f t="shared" si="49"/>
        <v>2.1</v>
      </c>
      <c r="V176" s="136">
        <f t="shared" si="49"/>
        <v>2.1</v>
      </c>
      <c r="W176" s="136">
        <f t="shared" si="49"/>
        <v>2.1</v>
      </c>
      <c r="X176" s="136">
        <f t="shared" si="49"/>
        <v>2.1</v>
      </c>
      <c r="Y176" s="136">
        <f t="shared" si="49"/>
        <v>2.1</v>
      </c>
      <c r="Z176" s="136">
        <f t="shared" si="49"/>
        <v>2.1</v>
      </c>
      <c r="AA176" s="136">
        <f t="shared" si="49"/>
        <v>2.1</v>
      </c>
      <c r="AB176" s="136">
        <f t="shared" si="49"/>
        <v>2.1</v>
      </c>
      <c r="AC176" s="136">
        <f t="shared" si="49"/>
        <v>2.1</v>
      </c>
      <c r="AD176" s="136">
        <f t="shared" si="49"/>
        <v>2.1</v>
      </c>
      <c r="AE176" s="136">
        <f t="shared" si="49"/>
        <v>2.1</v>
      </c>
      <c r="AF176" s="136">
        <f t="shared" si="49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47"/>
        <v>0.9</v>
      </c>
      <c r="C177" s="137">
        <v>0.9</v>
      </c>
      <c r="D177" s="136">
        <f t="shared" si="48"/>
        <v>0.9</v>
      </c>
      <c r="E177" s="136">
        <f t="shared" si="48"/>
        <v>0.9</v>
      </c>
      <c r="F177" s="136">
        <f t="shared" si="48"/>
        <v>0.9</v>
      </c>
      <c r="G177" s="136">
        <f t="shared" si="48"/>
        <v>0.9</v>
      </c>
      <c r="H177" s="136">
        <f t="shared" si="48"/>
        <v>0.9</v>
      </c>
      <c r="I177" s="136">
        <f t="shared" si="48"/>
        <v>0.9</v>
      </c>
      <c r="J177" s="136">
        <f t="shared" si="48"/>
        <v>0.9</v>
      </c>
      <c r="K177" s="136">
        <f t="shared" si="48"/>
        <v>0.9</v>
      </c>
      <c r="L177" s="136">
        <f t="shared" si="48"/>
        <v>0.9</v>
      </c>
      <c r="M177" s="136">
        <f t="shared" si="48"/>
        <v>0.9</v>
      </c>
      <c r="N177" s="136">
        <f t="shared" si="48"/>
        <v>0.9</v>
      </c>
      <c r="O177" s="136">
        <f t="shared" si="48"/>
        <v>0.9</v>
      </c>
      <c r="P177" s="136">
        <f t="shared" si="48"/>
        <v>0.9</v>
      </c>
      <c r="Q177" s="136">
        <f t="shared" si="48"/>
        <v>0.9</v>
      </c>
      <c r="R177" s="136">
        <f t="shared" si="48"/>
        <v>0.9</v>
      </c>
      <c r="S177" s="136">
        <f t="shared" si="49"/>
        <v>0.9</v>
      </c>
      <c r="T177" s="136">
        <f t="shared" si="49"/>
        <v>0.9</v>
      </c>
      <c r="U177" s="136">
        <f t="shared" si="49"/>
        <v>0.9</v>
      </c>
      <c r="V177" s="136">
        <f t="shared" si="49"/>
        <v>0.9</v>
      </c>
      <c r="W177" s="136">
        <f t="shared" si="49"/>
        <v>0.9</v>
      </c>
      <c r="X177" s="136">
        <f t="shared" si="49"/>
        <v>0.9</v>
      </c>
      <c r="Y177" s="136">
        <f t="shared" si="49"/>
        <v>0.9</v>
      </c>
      <c r="Z177" s="136">
        <f t="shared" si="49"/>
        <v>0.9</v>
      </c>
      <c r="AA177" s="136">
        <f t="shared" si="49"/>
        <v>0.9</v>
      </c>
      <c r="AB177" s="136">
        <f t="shared" si="49"/>
        <v>0.9</v>
      </c>
      <c r="AC177" s="136">
        <f t="shared" si="49"/>
        <v>0.9</v>
      </c>
      <c r="AD177" s="136">
        <f t="shared" si="49"/>
        <v>0.9</v>
      </c>
      <c r="AE177" s="136">
        <f t="shared" si="49"/>
        <v>0.9</v>
      </c>
      <c r="AF177" s="136">
        <f t="shared" si="49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50">AF179</f>
        <v>0.57999999999999996</v>
      </c>
      <c r="C179" s="137">
        <v>0.57999999999999996</v>
      </c>
      <c r="D179" s="136">
        <f t="shared" ref="D179:S191" si="51">C179</f>
        <v>0.57999999999999996</v>
      </c>
      <c r="E179" s="136">
        <f t="shared" si="51"/>
        <v>0.57999999999999996</v>
      </c>
      <c r="F179" s="136">
        <f t="shared" si="51"/>
        <v>0.57999999999999996</v>
      </c>
      <c r="G179" s="136">
        <f t="shared" si="51"/>
        <v>0.57999999999999996</v>
      </c>
      <c r="H179" s="136">
        <f t="shared" si="51"/>
        <v>0.57999999999999996</v>
      </c>
      <c r="I179" s="136">
        <f t="shared" si="51"/>
        <v>0.57999999999999996</v>
      </c>
      <c r="J179" s="136">
        <f t="shared" si="51"/>
        <v>0.57999999999999996</v>
      </c>
      <c r="K179" s="136">
        <f t="shared" si="51"/>
        <v>0.57999999999999996</v>
      </c>
      <c r="L179" s="136">
        <f t="shared" si="51"/>
        <v>0.57999999999999996</v>
      </c>
      <c r="M179" s="136">
        <f t="shared" si="51"/>
        <v>0.57999999999999996</v>
      </c>
      <c r="N179" s="136">
        <f t="shared" si="51"/>
        <v>0.57999999999999996</v>
      </c>
      <c r="O179" s="136">
        <f t="shared" si="51"/>
        <v>0.57999999999999996</v>
      </c>
      <c r="P179" s="136">
        <f t="shared" si="51"/>
        <v>0.57999999999999996</v>
      </c>
      <c r="Q179" s="136">
        <f t="shared" si="51"/>
        <v>0.57999999999999996</v>
      </c>
      <c r="R179" s="136">
        <f t="shared" si="51"/>
        <v>0.57999999999999996</v>
      </c>
      <c r="S179" s="136">
        <f t="shared" si="51"/>
        <v>0.57999999999999996</v>
      </c>
      <c r="T179" s="136">
        <f t="shared" ref="S179:AF191" si="52">S179</f>
        <v>0.57999999999999996</v>
      </c>
      <c r="U179" s="136">
        <f t="shared" si="52"/>
        <v>0.57999999999999996</v>
      </c>
      <c r="V179" s="136">
        <f t="shared" si="52"/>
        <v>0.57999999999999996</v>
      </c>
      <c r="W179" s="136">
        <f t="shared" si="52"/>
        <v>0.57999999999999996</v>
      </c>
      <c r="X179" s="136">
        <f t="shared" si="52"/>
        <v>0.57999999999999996</v>
      </c>
      <c r="Y179" s="136">
        <f t="shared" si="52"/>
        <v>0.57999999999999996</v>
      </c>
      <c r="Z179" s="136">
        <f t="shared" si="52"/>
        <v>0.57999999999999996</v>
      </c>
      <c r="AA179" s="136">
        <f t="shared" si="52"/>
        <v>0.57999999999999996</v>
      </c>
      <c r="AB179" s="136">
        <f t="shared" si="52"/>
        <v>0.57999999999999996</v>
      </c>
      <c r="AC179" s="136">
        <f t="shared" si="52"/>
        <v>0.57999999999999996</v>
      </c>
      <c r="AD179" s="136">
        <f t="shared" si="52"/>
        <v>0.57999999999999996</v>
      </c>
      <c r="AE179" s="136">
        <f t="shared" si="52"/>
        <v>0.57999999999999996</v>
      </c>
      <c r="AF179" s="136">
        <f t="shared" si="52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50"/>
        <v>0.8</v>
      </c>
      <c r="C180" s="137">
        <v>0.8</v>
      </c>
      <c r="D180" s="136">
        <f t="shared" si="51"/>
        <v>0.8</v>
      </c>
      <c r="E180" s="136">
        <f t="shared" si="51"/>
        <v>0.8</v>
      </c>
      <c r="F180" s="136">
        <f t="shared" si="51"/>
        <v>0.8</v>
      </c>
      <c r="G180" s="136">
        <f t="shared" si="51"/>
        <v>0.8</v>
      </c>
      <c r="H180" s="136">
        <f t="shared" si="51"/>
        <v>0.8</v>
      </c>
      <c r="I180" s="136">
        <f t="shared" si="51"/>
        <v>0.8</v>
      </c>
      <c r="J180" s="136">
        <f t="shared" si="51"/>
        <v>0.8</v>
      </c>
      <c r="K180" s="136">
        <f t="shared" si="51"/>
        <v>0.8</v>
      </c>
      <c r="L180" s="136">
        <f t="shared" si="51"/>
        <v>0.8</v>
      </c>
      <c r="M180" s="136">
        <f t="shared" si="51"/>
        <v>0.8</v>
      </c>
      <c r="N180" s="136">
        <f t="shared" si="51"/>
        <v>0.8</v>
      </c>
      <c r="O180" s="136">
        <f t="shared" si="51"/>
        <v>0.8</v>
      </c>
      <c r="P180" s="136">
        <f t="shared" si="51"/>
        <v>0.8</v>
      </c>
      <c r="Q180" s="136">
        <f t="shared" si="51"/>
        <v>0.8</v>
      </c>
      <c r="R180" s="136">
        <f t="shared" si="51"/>
        <v>0.8</v>
      </c>
      <c r="S180" s="136">
        <f t="shared" si="51"/>
        <v>0.8</v>
      </c>
      <c r="T180" s="136">
        <f t="shared" si="52"/>
        <v>0.8</v>
      </c>
      <c r="U180" s="136">
        <f t="shared" si="52"/>
        <v>0.8</v>
      </c>
      <c r="V180" s="136">
        <f t="shared" si="52"/>
        <v>0.8</v>
      </c>
      <c r="W180" s="136">
        <f t="shared" si="52"/>
        <v>0.8</v>
      </c>
      <c r="X180" s="136">
        <f t="shared" si="52"/>
        <v>0.8</v>
      </c>
      <c r="Y180" s="136">
        <f t="shared" si="52"/>
        <v>0.8</v>
      </c>
      <c r="Z180" s="136">
        <f t="shared" si="52"/>
        <v>0.8</v>
      </c>
      <c r="AA180" s="136">
        <f t="shared" si="52"/>
        <v>0.8</v>
      </c>
      <c r="AB180" s="136">
        <f t="shared" si="52"/>
        <v>0.8</v>
      </c>
      <c r="AC180" s="136">
        <f t="shared" si="52"/>
        <v>0.8</v>
      </c>
      <c r="AD180" s="136">
        <f t="shared" si="52"/>
        <v>0.8</v>
      </c>
      <c r="AE180" s="136">
        <f t="shared" si="52"/>
        <v>0.8</v>
      </c>
      <c r="AF180" s="136">
        <f t="shared" si="52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50"/>
        <v>0</v>
      </c>
      <c r="C181" s="137">
        <v>0</v>
      </c>
      <c r="D181" s="136">
        <f t="shared" si="51"/>
        <v>0</v>
      </c>
      <c r="E181" s="136">
        <f t="shared" si="51"/>
        <v>0</v>
      </c>
      <c r="F181" s="136">
        <f t="shared" si="51"/>
        <v>0</v>
      </c>
      <c r="G181" s="136">
        <f t="shared" si="51"/>
        <v>0</v>
      </c>
      <c r="H181" s="136">
        <f t="shared" si="51"/>
        <v>0</v>
      </c>
      <c r="I181" s="136">
        <f t="shared" si="51"/>
        <v>0</v>
      </c>
      <c r="J181" s="136">
        <f t="shared" si="51"/>
        <v>0</v>
      </c>
      <c r="K181" s="136">
        <f t="shared" si="51"/>
        <v>0</v>
      </c>
      <c r="L181" s="136">
        <f t="shared" si="51"/>
        <v>0</v>
      </c>
      <c r="M181" s="136">
        <f t="shared" si="51"/>
        <v>0</v>
      </c>
      <c r="N181" s="136">
        <f t="shared" si="51"/>
        <v>0</v>
      </c>
      <c r="O181" s="136">
        <f t="shared" si="51"/>
        <v>0</v>
      </c>
      <c r="P181" s="136">
        <f t="shared" si="51"/>
        <v>0</v>
      </c>
      <c r="Q181" s="136">
        <f t="shared" si="51"/>
        <v>0</v>
      </c>
      <c r="R181" s="136">
        <f t="shared" si="51"/>
        <v>0</v>
      </c>
      <c r="S181" s="136">
        <f t="shared" si="51"/>
        <v>0</v>
      </c>
      <c r="T181" s="136">
        <f t="shared" si="52"/>
        <v>0</v>
      </c>
      <c r="U181" s="136">
        <f t="shared" si="52"/>
        <v>0</v>
      </c>
      <c r="V181" s="136">
        <f t="shared" si="52"/>
        <v>0</v>
      </c>
      <c r="W181" s="136">
        <f t="shared" si="52"/>
        <v>0</v>
      </c>
      <c r="X181" s="136">
        <f t="shared" si="52"/>
        <v>0</v>
      </c>
      <c r="Y181" s="136">
        <f t="shared" si="52"/>
        <v>0</v>
      </c>
      <c r="Z181" s="136">
        <f t="shared" si="52"/>
        <v>0</v>
      </c>
      <c r="AA181" s="136">
        <f t="shared" si="52"/>
        <v>0</v>
      </c>
      <c r="AB181" s="136">
        <f t="shared" si="52"/>
        <v>0</v>
      </c>
      <c r="AC181" s="136">
        <f t="shared" si="52"/>
        <v>0</v>
      </c>
      <c r="AD181" s="136">
        <f t="shared" si="52"/>
        <v>0</v>
      </c>
      <c r="AE181" s="136">
        <f t="shared" si="52"/>
        <v>0</v>
      </c>
      <c r="AF181" s="136">
        <f t="shared" si="52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50"/>
        <v>0.6</v>
      </c>
      <c r="C182" s="137">
        <v>0.6</v>
      </c>
      <c r="D182" s="136">
        <f t="shared" si="51"/>
        <v>0.6</v>
      </c>
      <c r="E182" s="136">
        <f t="shared" si="51"/>
        <v>0.6</v>
      </c>
      <c r="F182" s="136">
        <f t="shared" si="51"/>
        <v>0.6</v>
      </c>
      <c r="G182" s="136">
        <f t="shared" si="51"/>
        <v>0.6</v>
      </c>
      <c r="H182" s="136">
        <f t="shared" si="51"/>
        <v>0.6</v>
      </c>
      <c r="I182" s="136">
        <f t="shared" si="51"/>
        <v>0.6</v>
      </c>
      <c r="J182" s="136">
        <f t="shared" si="51"/>
        <v>0.6</v>
      </c>
      <c r="K182" s="136">
        <f t="shared" si="51"/>
        <v>0.6</v>
      </c>
      <c r="L182" s="136">
        <f t="shared" si="51"/>
        <v>0.6</v>
      </c>
      <c r="M182" s="136">
        <f t="shared" si="51"/>
        <v>0.6</v>
      </c>
      <c r="N182" s="136">
        <f t="shared" si="51"/>
        <v>0.6</v>
      </c>
      <c r="O182" s="136">
        <f t="shared" si="51"/>
        <v>0.6</v>
      </c>
      <c r="P182" s="136">
        <f t="shared" si="51"/>
        <v>0.6</v>
      </c>
      <c r="Q182" s="136">
        <f t="shared" si="51"/>
        <v>0.6</v>
      </c>
      <c r="R182" s="136">
        <f t="shared" si="51"/>
        <v>0.6</v>
      </c>
      <c r="S182" s="136">
        <f t="shared" si="51"/>
        <v>0.6</v>
      </c>
      <c r="T182" s="136">
        <f t="shared" si="52"/>
        <v>0.6</v>
      </c>
      <c r="U182" s="136">
        <f t="shared" si="52"/>
        <v>0.6</v>
      </c>
      <c r="V182" s="136">
        <f t="shared" si="52"/>
        <v>0.6</v>
      </c>
      <c r="W182" s="136">
        <f t="shared" si="52"/>
        <v>0.6</v>
      </c>
      <c r="X182" s="136">
        <f t="shared" si="52"/>
        <v>0.6</v>
      </c>
      <c r="Y182" s="136">
        <f t="shared" si="52"/>
        <v>0.6</v>
      </c>
      <c r="Z182" s="136">
        <f t="shared" si="52"/>
        <v>0.6</v>
      </c>
      <c r="AA182" s="136">
        <f t="shared" si="52"/>
        <v>0.6</v>
      </c>
      <c r="AB182" s="136">
        <f t="shared" si="52"/>
        <v>0.6</v>
      </c>
      <c r="AC182" s="136">
        <f t="shared" si="52"/>
        <v>0.6</v>
      </c>
      <c r="AD182" s="136">
        <f t="shared" si="52"/>
        <v>0.6</v>
      </c>
      <c r="AE182" s="136">
        <f t="shared" si="52"/>
        <v>0.6</v>
      </c>
      <c r="AF182" s="136">
        <f t="shared" si="52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50"/>
        <v>0.6</v>
      </c>
      <c r="C183" s="137">
        <v>0.6</v>
      </c>
      <c r="D183" s="136">
        <f t="shared" si="51"/>
        <v>0.6</v>
      </c>
      <c r="E183" s="136">
        <f t="shared" si="51"/>
        <v>0.6</v>
      </c>
      <c r="F183" s="136">
        <f t="shared" si="51"/>
        <v>0.6</v>
      </c>
      <c r="G183" s="136">
        <f t="shared" si="51"/>
        <v>0.6</v>
      </c>
      <c r="H183" s="136">
        <f t="shared" si="51"/>
        <v>0.6</v>
      </c>
      <c r="I183" s="136">
        <f t="shared" si="51"/>
        <v>0.6</v>
      </c>
      <c r="J183" s="136">
        <f t="shared" si="51"/>
        <v>0.6</v>
      </c>
      <c r="K183" s="136">
        <f t="shared" si="51"/>
        <v>0.6</v>
      </c>
      <c r="L183" s="136">
        <f t="shared" si="51"/>
        <v>0.6</v>
      </c>
      <c r="M183" s="136">
        <f t="shared" si="51"/>
        <v>0.6</v>
      </c>
      <c r="N183" s="136">
        <f t="shared" si="51"/>
        <v>0.6</v>
      </c>
      <c r="O183" s="136">
        <f t="shared" si="51"/>
        <v>0.6</v>
      </c>
      <c r="P183" s="136">
        <f t="shared" si="51"/>
        <v>0.6</v>
      </c>
      <c r="Q183" s="136">
        <f t="shared" si="51"/>
        <v>0.6</v>
      </c>
      <c r="R183" s="136">
        <f t="shared" si="51"/>
        <v>0.6</v>
      </c>
      <c r="S183" s="136">
        <f t="shared" si="51"/>
        <v>0.6</v>
      </c>
      <c r="T183" s="136">
        <f t="shared" si="52"/>
        <v>0.6</v>
      </c>
      <c r="U183" s="136">
        <f t="shared" si="52"/>
        <v>0.6</v>
      </c>
      <c r="V183" s="136">
        <f t="shared" si="52"/>
        <v>0.6</v>
      </c>
      <c r="W183" s="136">
        <f t="shared" si="52"/>
        <v>0.6</v>
      </c>
      <c r="X183" s="136">
        <f t="shared" si="52"/>
        <v>0.6</v>
      </c>
      <c r="Y183" s="136">
        <f t="shared" si="52"/>
        <v>0.6</v>
      </c>
      <c r="Z183" s="136">
        <f t="shared" si="52"/>
        <v>0.6</v>
      </c>
      <c r="AA183" s="136">
        <f t="shared" si="52"/>
        <v>0.6</v>
      </c>
      <c r="AB183" s="136">
        <f t="shared" si="52"/>
        <v>0.6</v>
      </c>
      <c r="AC183" s="136">
        <f t="shared" si="52"/>
        <v>0.6</v>
      </c>
      <c r="AD183" s="136">
        <f t="shared" si="52"/>
        <v>0.6</v>
      </c>
      <c r="AE183" s="136">
        <f t="shared" si="52"/>
        <v>0.6</v>
      </c>
      <c r="AF183" s="136">
        <f t="shared" si="52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50"/>
        <v>0.35</v>
      </c>
      <c r="C184" s="137">
        <v>0.35</v>
      </c>
      <c r="D184" s="136">
        <f t="shared" si="51"/>
        <v>0.35</v>
      </c>
      <c r="E184" s="136">
        <f t="shared" si="51"/>
        <v>0.35</v>
      </c>
      <c r="F184" s="136">
        <f t="shared" si="51"/>
        <v>0.35</v>
      </c>
      <c r="G184" s="136">
        <f t="shared" si="51"/>
        <v>0.35</v>
      </c>
      <c r="H184" s="136">
        <f t="shared" si="51"/>
        <v>0.35</v>
      </c>
      <c r="I184" s="136">
        <f t="shared" si="51"/>
        <v>0.35</v>
      </c>
      <c r="J184" s="136">
        <f t="shared" si="51"/>
        <v>0.35</v>
      </c>
      <c r="K184" s="136">
        <f t="shared" si="51"/>
        <v>0.35</v>
      </c>
      <c r="L184" s="136">
        <f t="shared" si="51"/>
        <v>0.35</v>
      </c>
      <c r="M184" s="136">
        <f t="shared" si="51"/>
        <v>0.35</v>
      </c>
      <c r="N184" s="136">
        <f t="shared" si="51"/>
        <v>0.35</v>
      </c>
      <c r="O184" s="136">
        <f t="shared" si="51"/>
        <v>0.35</v>
      </c>
      <c r="P184" s="136">
        <f t="shared" si="51"/>
        <v>0.35</v>
      </c>
      <c r="Q184" s="136">
        <f t="shared" si="51"/>
        <v>0.35</v>
      </c>
      <c r="R184" s="136">
        <f t="shared" si="51"/>
        <v>0.35</v>
      </c>
      <c r="S184" s="136">
        <f t="shared" si="51"/>
        <v>0.35</v>
      </c>
      <c r="T184" s="136">
        <f t="shared" si="52"/>
        <v>0.35</v>
      </c>
      <c r="U184" s="136">
        <f t="shared" si="52"/>
        <v>0.35</v>
      </c>
      <c r="V184" s="136">
        <f t="shared" si="52"/>
        <v>0.35</v>
      </c>
      <c r="W184" s="136">
        <f t="shared" si="52"/>
        <v>0.35</v>
      </c>
      <c r="X184" s="136">
        <f t="shared" si="52"/>
        <v>0.35</v>
      </c>
      <c r="Y184" s="136">
        <f t="shared" si="52"/>
        <v>0.35</v>
      </c>
      <c r="Z184" s="136">
        <f t="shared" si="52"/>
        <v>0.35</v>
      </c>
      <c r="AA184" s="136">
        <f t="shared" si="52"/>
        <v>0.35</v>
      </c>
      <c r="AB184" s="136">
        <f t="shared" si="52"/>
        <v>0.35</v>
      </c>
      <c r="AC184" s="136">
        <f t="shared" si="52"/>
        <v>0.35</v>
      </c>
      <c r="AD184" s="136">
        <f t="shared" si="52"/>
        <v>0.35</v>
      </c>
      <c r="AE184" s="136">
        <f t="shared" si="52"/>
        <v>0.35</v>
      </c>
      <c r="AF184" s="136">
        <f t="shared" si="52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50"/>
        <v>0.28999999999999998</v>
      </c>
      <c r="C185" s="137">
        <v>0.28999999999999998</v>
      </c>
      <c r="D185" s="136">
        <f t="shared" si="51"/>
        <v>0.28999999999999998</v>
      </c>
      <c r="E185" s="136">
        <f t="shared" si="51"/>
        <v>0.28999999999999998</v>
      </c>
      <c r="F185" s="136">
        <f t="shared" si="51"/>
        <v>0.28999999999999998</v>
      </c>
      <c r="G185" s="136">
        <f t="shared" si="51"/>
        <v>0.28999999999999998</v>
      </c>
      <c r="H185" s="136">
        <f t="shared" si="51"/>
        <v>0.28999999999999998</v>
      </c>
      <c r="I185" s="136">
        <f t="shared" si="51"/>
        <v>0.28999999999999998</v>
      </c>
      <c r="J185" s="136">
        <f t="shared" si="51"/>
        <v>0.28999999999999998</v>
      </c>
      <c r="K185" s="136">
        <f t="shared" si="51"/>
        <v>0.28999999999999998</v>
      </c>
      <c r="L185" s="136">
        <f t="shared" si="51"/>
        <v>0.28999999999999998</v>
      </c>
      <c r="M185" s="136">
        <f t="shared" si="51"/>
        <v>0.28999999999999998</v>
      </c>
      <c r="N185" s="136">
        <f t="shared" si="51"/>
        <v>0.28999999999999998</v>
      </c>
      <c r="O185" s="136">
        <f t="shared" si="51"/>
        <v>0.28999999999999998</v>
      </c>
      <c r="P185" s="136">
        <f t="shared" si="51"/>
        <v>0.28999999999999998</v>
      </c>
      <c r="Q185" s="136">
        <f t="shared" si="51"/>
        <v>0.28999999999999998</v>
      </c>
      <c r="R185" s="136">
        <f t="shared" si="51"/>
        <v>0.28999999999999998</v>
      </c>
      <c r="S185" s="136">
        <f t="shared" si="51"/>
        <v>0.28999999999999998</v>
      </c>
      <c r="T185" s="136">
        <f t="shared" si="52"/>
        <v>0.28999999999999998</v>
      </c>
      <c r="U185" s="136">
        <f t="shared" si="52"/>
        <v>0.28999999999999998</v>
      </c>
      <c r="V185" s="136">
        <f t="shared" si="52"/>
        <v>0.28999999999999998</v>
      </c>
      <c r="W185" s="136">
        <f t="shared" si="52"/>
        <v>0.28999999999999998</v>
      </c>
      <c r="X185" s="136">
        <f t="shared" si="52"/>
        <v>0.28999999999999998</v>
      </c>
      <c r="Y185" s="136">
        <f t="shared" si="52"/>
        <v>0.28999999999999998</v>
      </c>
      <c r="Z185" s="136">
        <f t="shared" si="52"/>
        <v>0.28999999999999998</v>
      </c>
      <c r="AA185" s="136">
        <f t="shared" si="52"/>
        <v>0.28999999999999998</v>
      </c>
      <c r="AB185" s="136">
        <f t="shared" si="52"/>
        <v>0.28999999999999998</v>
      </c>
      <c r="AC185" s="136">
        <f t="shared" si="52"/>
        <v>0.28999999999999998</v>
      </c>
      <c r="AD185" s="136">
        <f t="shared" si="52"/>
        <v>0.28999999999999998</v>
      </c>
      <c r="AE185" s="136">
        <f t="shared" si="52"/>
        <v>0.28999999999999998</v>
      </c>
      <c r="AF185" s="136">
        <f t="shared" si="52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50"/>
        <v>0.06</v>
      </c>
      <c r="C186" s="137">
        <v>0.06</v>
      </c>
      <c r="D186" s="136">
        <f t="shared" si="51"/>
        <v>0.06</v>
      </c>
      <c r="E186" s="136">
        <f t="shared" si="51"/>
        <v>0.06</v>
      </c>
      <c r="F186" s="136">
        <f t="shared" si="51"/>
        <v>0.06</v>
      </c>
      <c r="G186" s="136">
        <f t="shared" si="51"/>
        <v>0.06</v>
      </c>
      <c r="H186" s="136">
        <f t="shared" si="51"/>
        <v>0.06</v>
      </c>
      <c r="I186" s="136">
        <f t="shared" si="51"/>
        <v>0.06</v>
      </c>
      <c r="J186" s="136">
        <f t="shared" si="51"/>
        <v>0.06</v>
      </c>
      <c r="K186" s="136">
        <f t="shared" si="51"/>
        <v>0.06</v>
      </c>
      <c r="L186" s="136">
        <f t="shared" si="51"/>
        <v>0.06</v>
      </c>
      <c r="M186" s="136">
        <f t="shared" si="51"/>
        <v>0.06</v>
      </c>
      <c r="N186" s="136">
        <f t="shared" si="51"/>
        <v>0.06</v>
      </c>
      <c r="O186" s="136">
        <f t="shared" si="51"/>
        <v>0.06</v>
      </c>
      <c r="P186" s="136">
        <f t="shared" si="51"/>
        <v>0.06</v>
      </c>
      <c r="Q186" s="136">
        <f t="shared" si="51"/>
        <v>0.06</v>
      </c>
      <c r="R186" s="136">
        <f t="shared" si="51"/>
        <v>0.06</v>
      </c>
      <c r="S186" s="136">
        <f t="shared" si="51"/>
        <v>0.06</v>
      </c>
      <c r="T186" s="136">
        <f t="shared" si="52"/>
        <v>0.06</v>
      </c>
      <c r="U186" s="136">
        <f t="shared" si="52"/>
        <v>0.06</v>
      </c>
      <c r="V186" s="136">
        <f t="shared" si="52"/>
        <v>0.06</v>
      </c>
      <c r="W186" s="136">
        <f t="shared" si="52"/>
        <v>0.06</v>
      </c>
      <c r="X186" s="136">
        <f t="shared" si="52"/>
        <v>0.06</v>
      </c>
      <c r="Y186" s="136">
        <f t="shared" si="52"/>
        <v>0.06</v>
      </c>
      <c r="Z186" s="136">
        <f t="shared" si="52"/>
        <v>0.06</v>
      </c>
      <c r="AA186" s="136">
        <f t="shared" si="52"/>
        <v>0.06</v>
      </c>
      <c r="AB186" s="136">
        <f t="shared" si="52"/>
        <v>0.06</v>
      </c>
      <c r="AC186" s="136">
        <f t="shared" si="52"/>
        <v>0.06</v>
      </c>
      <c r="AD186" s="136">
        <f t="shared" si="52"/>
        <v>0.06</v>
      </c>
      <c r="AE186" s="136">
        <f t="shared" si="52"/>
        <v>0.06</v>
      </c>
      <c r="AF186" s="136">
        <f t="shared" si="52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50"/>
        <v>0.11</v>
      </c>
      <c r="C187" s="137">
        <v>0.11</v>
      </c>
      <c r="D187" s="136">
        <f t="shared" si="51"/>
        <v>0.11</v>
      </c>
      <c r="E187" s="136">
        <f t="shared" si="51"/>
        <v>0.11</v>
      </c>
      <c r="F187" s="136">
        <f t="shared" si="51"/>
        <v>0.11</v>
      </c>
      <c r="G187" s="136">
        <f t="shared" si="51"/>
        <v>0.11</v>
      </c>
      <c r="H187" s="136">
        <f t="shared" si="51"/>
        <v>0.11</v>
      </c>
      <c r="I187" s="136">
        <f t="shared" si="51"/>
        <v>0.11</v>
      </c>
      <c r="J187" s="136">
        <f t="shared" si="51"/>
        <v>0.11</v>
      </c>
      <c r="K187" s="136">
        <f t="shared" si="51"/>
        <v>0.11</v>
      </c>
      <c r="L187" s="136">
        <f t="shared" si="51"/>
        <v>0.11</v>
      </c>
      <c r="M187" s="136">
        <f t="shared" si="51"/>
        <v>0.11</v>
      </c>
      <c r="N187" s="136">
        <f t="shared" si="51"/>
        <v>0.11</v>
      </c>
      <c r="O187" s="136">
        <f t="shared" si="51"/>
        <v>0.11</v>
      </c>
      <c r="P187" s="136">
        <f t="shared" si="51"/>
        <v>0.11</v>
      </c>
      <c r="Q187" s="136">
        <f t="shared" si="51"/>
        <v>0.11</v>
      </c>
      <c r="R187" s="136">
        <f t="shared" si="51"/>
        <v>0.11</v>
      </c>
      <c r="S187" s="136">
        <f t="shared" si="51"/>
        <v>0.11</v>
      </c>
      <c r="T187" s="136">
        <f t="shared" si="52"/>
        <v>0.11</v>
      </c>
      <c r="U187" s="136">
        <f t="shared" si="52"/>
        <v>0.11</v>
      </c>
      <c r="V187" s="136">
        <f t="shared" si="52"/>
        <v>0.11</v>
      </c>
      <c r="W187" s="136">
        <f t="shared" si="52"/>
        <v>0.11</v>
      </c>
      <c r="X187" s="136">
        <f t="shared" si="52"/>
        <v>0.11</v>
      </c>
      <c r="Y187" s="136">
        <f t="shared" si="52"/>
        <v>0.11</v>
      </c>
      <c r="Z187" s="136">
        <f t="shared" si="52"/>
        <v>0.11</v>
      </c>
      <c r="AA187" s="136">
        <f t="shared" si="52"/>
        <v>0.11</v>
      </c>
      <c r="AB187" s="136">
        <f t="shared" si="52"/>
        <v>0.11</v>
      </c>
      <c r="AC187" s="136">
        <f t="shared" si="52"/>
        <v>0.11</v>
      </c>
      <c r="AD187" s="136">
        <f t="shared" si="52"/>
        <v>0.11</v>
      </c>
      <c r="AE187" s="136">
        <f t="shared" si="52"/>
        <v>0.11</v>
      </c>
      <c r="AF187" s="136">
        <f t="shared" si="52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50"/>
        <v>0.1</v>
      </c>
      <c r="C188" s="137">
        <v>0.1</v>
      </c>
      <c r="D188" s="136">
        <f t="shared" si="51"/>
        <v>0.1</v>
      </c>
      <c r="E188" s="136">
        <f t="shared" si="51"/>
        <v>0.1</v>
      </c>
      <c r="F188" s="136">
        <f t="shared" si="51"/>
        <v>0.1</v>
      </c>
      <c r="G188" s="136">
        <f t="shared" si="51"/>
        <v>0.1</v>
      </c>
      <c r="H188" s="136">
        <f t="shared" si="51"/>
        <v>0.1</v>
      </c>
      <c r="I188" s="136">
        <f t="shared" si="51"/>
        <v>0.1</v>
      </c>
      <c r="J188" s="136">
        <f t="shared" si="51"/>
        <v>0.1</v>
      </c>
      <c r="K188" s="136">
        <f t="shared" si="51"/>
        <v>0.1</v>
      </c>
      <c r="L188" s="136">
        <f t="shared" si="51"/>
        <v>0.1</v>
      </c>
      <c r="M188" s="136">
        <f t="shared" si="51"/>
        <v>0.1</v>
      </c>
      <c r="N188" s="136">
        <f t="shared" si="51"/>
        <v>0.1</v>
      </c>
      <c r="O188" s="136">
        <f t="shared" si="51"/>
        <v>0.1</v>
      </c>
      <c r="P188" s="136">
        <f t="shared" si="51"/>
        <v>0.1</v>
      </c>
      <c r="Q188" s="136">
        <f t="shared" si="51"/>
        <v>0.1</v>
      </c>
      <c r="R188" s="136">
        <f t="shared" si="51"/>
        <v>0.1</v>
      </c>
      <c r="S188" s="136">
        <f t="shared" si="52"/>
        <v>0.1</v>
      </c>
      <c r="T188" s="136">
        <f t="shared" si="52"/>
        <v>0.1</v>
      </c>
      <c r="U188" s="136">
        <f t="shared" si="52"/>
        <v>0.1</v>
      </c>
      <c r="V188" s="136">
        <f t="shared" si="52"/>
        <v>0.1</v>
      </c>
      <c r="W188" s="136">
        <f t="shared" si="52"/>
        <v>0.1</v>
      </c>
      <c r="X188" s="136">
        <f t="shared" si="52"/>
        <v>0.1</v>
      </c>
      <c r="Y188" s="136">
        <f t="shared" si="52"/>
        <v>0.1</v>
      </c>
      <c r="Z188" s="136">
        <f t="shared" si="52"/>
        <v>0.1</v>
      </c>
      <c r="AA188" s="136">
        <f t="shared" si="52"/>
        <v>0.1</v>
      </c>
      <c r="AB188" s="136">
        <f t="shared" si="52"/>
        <v>0.1</v>
      </c>
      <c r="AC188" s="136">
        <f t="shared" si="52"/>
        <v>0.1</v>
      </c>
      <c r="AD188" s="136">
        <f t="shared" si="52"/>
        <v>0.1</v>
      </c>
      <c r="AE188" s="136">
        <f t="shared" si="52"/>
        <v>0.1</v>
      </c>
      <c r="AF188" s="136">
        <f t="shared" si="52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50"/>
        <v>0.09</v>
      </c>
      <c r="C189" s="137">
        <v>0.09</v>
      </c>
      <c r="D189" s="136">
        <f t="shared" si="51"/>
        <v>0.09</v>
      </c>
      <c r="E189" s="136">
        <f t="shared" si="51"/>
        <v>0.09</v>
      </c>
      <c r="F189" s="136">
        <f t="shared" si="51"/>
        <v>0.09</v>
      </c>
      <c r="G189" s="136">
        <f t="shared" si="51"/>
        <v>0.09</v>
      </c>
      <c r="H189" s="136">
        <f t="shared" si="51"/>
        <v>0.09</v>
      </c>
      <c r="I189" s="136">
        <f t="shared" si="51"/>
        <v>0.09</v>
      </c>
      <c r="J189" s="136">
        <f t="shared" si="51"/>
        <v>0.09</v>
      </c>
      <c r="K189" s="136">
        <f t="shared" si="51"/>
        <v>0.09</v>
      </c>
      <c r="L189" s="136">
        <f t="shared" si="51"/>
        <v>0.09</v>
      </c>
      <c r="M189" s="136">
        <f t="shared" si="51"/>
        <v>0.09</v>
      </c>
      <c r="N189" s="136">
        <f t="shared" si="51"/>
        <v>0.09</v>
      </c>
      <c r="O189" s="136">
        <f t="shared" si="51"/>
        <v>0.09</v>
      </c>
      <c r="P189" s="136">
        <f t="shared" si="51"/>
        <v>0.09</v>
      </c>
      <c r="Q189" s="136">
        <f t="shared" si="51"/>
        <v>0.09</v>
      </c>
      <c r="R189" s="136">
        <f t="shared" si="51"/>
        <v>0.09</v>
      </c>
      <c r="S189" s="136">
        <f t="shared" si="52"/>
        <v>0.09</v>
      </c>
      <c r="T189" s="136">
        <f t="shared" si="52"/>
        <v>0.09</v>
      </c>
      <c r="U189" s="136">
        <f t="shared" si="52"/>
        <v>0.09</v>
      </c>
      <c r="V189" s="136">
        <f t="shared" si="52"/>
        <v>0.09</v>
      </c>
      <c r="W189" s="136">
        <f t="shared" si="52"/>
        <v>0.09</v>
      </c>
      <c r="X189" s="136">
        <f t="shared" si="52"/>
        <v>0.09</v>
      </c>
      <c r="Y189" s="136">
        <f t="shared" si="52"/>
        <v>0.09</v>
      </c>
      <c r="Z189" s="136">
        <f t="shared" si="52"/>
        <v>0.09</v>
      </c>
      <c r="AA189" s="136">
        <f t="shared" si="52"/>
        <v>0.09</v>
      </c>
      <c r="AB189" s="136">
        <f t="shared" si="52"/>
        <v>0.09</v>
      </c>
      <c r="AC189" s="136">
        <f t="shared" si="52"/>
        <v>0.09</v>
      </c>
      <c r="AD189" s="136">
        <f t="shared" si="52"/>
        <v>0.09</v>
      </c>
      <c r="AE189" s="136">
        <f t="shared" si="52"/>
        <v>0.09</v>
      </c>
      <c r="AF189" s="136">
        <f t="shared" si="52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50"/>
        <v>0.04</v>
      </c>
      <c r="C190" s="53">
        <v>0.04</v>
      </c>
      <c r="D190" s="136">
        <f t="shared" si="51"/>
        <v>0.04</v>
      </c>
      <c r="E190" s="136">
        <f t="shared" si="51"/>
        <v>0.04</v>
      </c>
      <c r="F190" s="136">
        <f t="shared" si="51"/>
        <v>0.04</v>
      </c>
      <c r="G190" s="136">
        <f t="shared" si="51"/>
        <v>0.04</v>
      </c>
      <c r="H190" s="136">
        <f t="shared" si="51"/>
        <v>0.04</v>
      </c>
      <c r="I190" s="136">
        <f t="shared" si="51"/>
        <v>0.04</v>
      </c>
      <c r="J190" s="136">
        <f t="shared" si="51"/>
        <v>0.04</v>
      </c>
      <c r="K190" s="136">
        <f t="shared" si="51"/>
        <v>0.04</v>
      </c>
      <c r="L190" s="136">
        <f t="shared" si="51"/>
        <v>0.04</v>
      </c>
      <c r="M190" s="136">
        <f t="shared" si="51"/>
        <v>0.04</v>
      </c>
      <c r="N190" s="136">
        <f t="shared" si="51"/>
        <v>0.04</v>
      </c>
      <c r="O190" s="136">
        <f t="shared" si="51"/>
        <v>0.04</v>
      </c>
      <c r="P190" s="136">
        <f t="shared" si="51"/>
        <v>0.04</v>
      </c>
      <c r="Q190" s="136">
        <f t="shared" si="51"/>
        <v>0.04</v>
      </c>
      <c r="R190" s="136">
        <f t="shared" si="51"/>
        <v>0.04</v>
      </c>
      <c r="S190" s="136">
        <f t="shared" si="52"/>
        <v>0.04</v>
      </c>
      <c r="T190" s="136">
        <f t="shared" si="52"/>
        <v>0.04</v>
      </c>
      <c r="U190" s="136">
        <f t="shared" si="52"/>
        <v>0.04</v>
      </c>
      <c r="V190" s="136">
        <f t="shared" si="52"/>
        <v>0.04</v>
      </c>
      <c r="W190" s="136">
        <f t="shared" si="52"/>
        <v>0.04</v>
      </c>
      <c r="X190" s="136">
        <f t="shared" si="52"/>
        <v>0.04</v>
      </c>
      <c r="Y190" s="136">
        <f t="shared" si="52"/>
        <v>0.04</v>
      </c>
      <c r="Z190" s="136">
        <f t="shared" si="52"/>
        <v>0.04</v>
      </c>
      <c r="AA190" s="136">
        <f t="shared" si="52"/>
        <v>0.04</v>
      </c>
      <c r="AB190" s="136">
        <f t="shared" si="52"/>
        <v>0.04</v>
      </c>
      <c r="AC190" s="136">
        <f t="shared" si="52"/>
        <v>0.04</v>
      </c>
      <c r="AD190" s="136">
        <f t="shared" si="52"/>
        <v>0.04</v>
      </c>
      <c r="AE190" s="136">
        <f t="shared" si="52"/>
        <v>0.04</v>
      </c>
      <c r="AF190" s="136">
        <f t="shared" si="52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50"/>
        <v>2.3E-2</v>
      </c>
      <c r="C191" s="53">
        <v>2.3E-2</v>
      </c>
      <c r="D191" s="136">
        <f>C191</f>
        <v>2.3E-2</v>
      </c>
      <c r="E191" s="136">
        <f t="shared" si="51"/>
        <v>2.3E-2</v>
      </c>
      <c r="F191" s="136">
        <f t="shared" si="51"/>
        <v>2.3E-2</v>
      </c>
      <c r="G191" s="136">
        <f t="shared" si="51"/>
        <v>2.3E-2</v>
      </c>
      <c r="H191" s="136">
        <f t="shared" si="51"/>
        <v>2.3E-2</v>
      </c>
      <c r="I191" s="136">
        <f t="shared" si="51"/>
        <v>2.3E-2</v>
      </c>
      <c r="J191" s="136">
        <f t="shared" si="51"/>
        <v>2.3E-2</v>
      </c>
      <c r="K191" s="136">
        <f t="shared" si="51"/>
        <v>2.3E-2</v>
      </c>
      <c r="L191" s="136">
        <f t="shared" si="51"/>
        <v>2.3E-2</v>
      </c>
      <c r="M191" s="136">
        <f t="shared" si="51"/>
        <v>2.3E-2</v>
      </c>
      <c r="N191" s="136">
        <f t="shared" si="51"/>
        <v>2.3E-2</v>
      </c>
      <c r="O191" s="136">
        <f t="shared" si="51"/>
        <v>2.3E-2</v>
      </c>
      <c r="P191" s="136">
        <f t="shared" si="51"/>
        <v>2.3E-2</v>
      </c>
      <c r="Q191" s="136">
        <f t="shared" si="51"/>
        <v>2.3E-2</v>
      </c>
      <c r="R191" s="136">
        <f t="shared" si="51"/>
        <v>2.3E-2</v>
      </c>
      <c r="S191" s="136">
        <f t="shared" si="52"/>
        <v>2.3E-2</v>
      </c>
      <c r="T191" s="136">
        <f t="shared" si="52"/>
        <v>2.3E-2</v>
      </c>
      <c r="U191" s="136">
        <f t="shared" si="52"/>
        <v>2.3E-2</v>
      </c>
      <c r="V191" s="136">
        <f t="shared" si="52"/>
        <v>2.3E-2</v>
      </c>
      <c r="W191" s="136">
        <f t="shared" si="52"/>
        <v>2.3E-2</v>
      </c>
      <c r="X191" s="136">
        <f t="shared" si="52"/>
        <v>2.3E-2</v>
      </c>
      <c r="Y191" s="136">
        <f t="shared" si="52"/>
        <v>2.3E-2</v>
      </c>
      <c r="Z191" s="136">
        <f t="shared" si="52"/>
        <v>2.3E-2</v>
      </c>
      <c r="AA191" s="136">
        <f t="shared" si="52"/>
        <v>2.3E-2</v>
      </c>
      <c r="AB191" s="136">
        <f t="shared" si="52"/>
        <v>2.3E-2</v>
      </c>
      <c r="AC191" s="136">
        <f t="shared" si="52"/>
        <v>2.3E-2</v>
      </c>
      <c r="AD191" s="136">
        <f t="shared" si="52"/>
        <v>2.3E-2</v>
      </c>
      <c r="AE191" s="136">
        <f t="shared" si="52"/>
        <v>2.3E-2</v>
      </c>
      <c r="AF191" s="136">
        <f t="shared" si="52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53">SUM(C102:C191)</f>
        <v>194.70600000000002</v>
      </c>
      <c r="D192" s="141">
        <f t="shared" si="53"/>
        <v>194.70600000000002</v>
      </c>
      <c r="E192" s="141">
        <f t="shared" si="53"/>
        <v>194.70600000000002</v>
      </c>
      <c r="F192" s="141">
        <f t="shared" si="53"/>
        <v>194.70600000000002</v>
      </c>
      <c r="G192" s="141">
        <f t="shared" si="53"/>
        <v>194.70600000000002</v>
      </c>
      <c r="H192" s="141">
        <f t="shared" si="53"/>
        <v>194.70600000000002</v>
      </c>
      <c r="I192" s="141">
        <f t="shared" si="53"/>
        <v>194.70600000000002</v>
      </c>
      <c r="J192" s="141">
        <f t="shared" si="53"/>
        <v>192.10600000000005</v>
      </c>
      <c r="K192" s="141">
        <f t="shared" si="53"/>
        <v>192.10600000000005</v>
      </c>
      <c r="L192" s="141">
        <f t="shared" si="53"/>
        <v>192.10600000000005</v>
      </c>
      <c r="M192" s="141">
        <f t="shared" si="53"/>
        <v>192.10600000000005</v>
      </c>
      <c r="N192" s="141">
        <f t="shared" si="53"/>
        <v>192.10600000000005</v>
      </c>
      <c r="O192" s="141">
        <f t="shared" si="53"/>
        <v>192.10600000000005</v>
      </c>
      <c r="P192" s="141">
        <f t="shared" si="53"/>
        <v>192.10600000000005</v>
      </c>
      <c r="Q192" s="141">
        <f t="shared" si="53"/>
        <v>192.10600000000005</v>
      </c>
      <c r="R192" s="141">
        <f t="shared" si="53"/>
        <v>192.10600000000005</v>
      </c>
      <c r="S192" s="141">
        <f t="shared" si="53"/>
        <v>192.10600000000005</v>
      </c>
      <c r="T192" s="141">
        <f t="shared" si="53"/>
        <v>192.10600000000005</v>
      </c>
      <c r="U192" s="141">
        <f t="shared" si="53"/>
        <v>192.10600000000005</v>
      </c>
      <c r="V192" s="141">
        <f t="shared" si="53"/>
        <v>192.10600000000005</v>
      </c>
      <c r="W192" s="141">
        <f t="shared" si="53"/>
        <v>192.10600000000005</v>
      </c>
      <c r="X192" s="141">
        <f t="shared" si="53"/>
        <v>192.10600000000005</v>
      </c>
      <c r="Y192" s="141">
        <f t="shared" si="53"/>
        <v>192.10600000000005</v>
      </c>
      <c r="Z192" s="141">
        <f t="shared" si="53"/>
        <v>192.10600000000005</v>
      </c>
      <c r="AA192" s="141">
        <f t="shared" si="53"/>
        <v>192.10600000000005</v>
      </c>
      <c r="AB192" s="141">
        <f t="shared" si="53"/>
        <v>192.10600000000005</v>
      </c>
      <c r="AC192" s="141">
        <f t="shared" si="53"/>
        <v>192.10600000000005</v>
      </c>
      <c r="AD192" s="141">
        <f t="shared" si="53"/>
        <v>192.10600000000005</v>
      </c>
      <c r="AE192" s="141">
        <f t="shared" si="53"/>
        <v>192.10600000000005</v>
      </c>
      <c r="AF192" s="141">
        <f t="shared" si="53"/>
        <v>192.10600000000005</v>
      </c>
      <c r="AG192" s="142">
        <f t="shared" si="53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54">AF194</f>
        <v>0.3</v>
      </c>
      <c r="C194" s="143">
        <v>0.3</v>
      </c>
      <c r="D194" s="143">
        <f t="shared" ref="D194:S199" si="55">C194</f>
        <v>0.3</v>
      </c>
      <c r="E194" s="143">
        <f t="shared" si="55"/>
        <v>0.3</v>
      </c>
      <c r="F194" s="143">
        <f t="shared" si="55"/>
        <v>0.3</v>
      </c>
      <c r="G194" s="143">
        <f t="shared" si="55"/>
        <v>0.3</v>
      </c>
      <c r="H194" s="143">
        <f t="shared" si="55"/>
        <v>0.3</v>
      </c>
      <c r="I194" s="143">
        <f t="shared" si="55"/>
        <v>0.3</v>
      </c>
      <c r="J194" s="143">
        <f t="shared" si="55"/>
        <v>0.3</v>
      </c>
      <c r="K194" s="143">
        <f t="shared" si="55"/>
        <v>0.3</v>
      </c>
      <c r="L194" s="143">
        <f t="shared" si="55"/>
        <v>0.3</v>
      </c>
      <c r="M194" s="143">
        <f t="shared" si="55"/>
        <v>0.3</v>
      </c>
      <c r="N194" s="143">
        <f t="shared" si="55"/>
        <v>0.3</v>
      </c>
      <c r="O194" s="143">
        <f t="shared" si="55"/>
        <v>0.3</v>
      </c>
      <c r="P194" s="143">
        <f t="shared" si="55"/>
        <v>0.3</v>
      </c>
      <c r="Q194" s="143">
        <f t="shared" si="55"/>
        <v>0.3</v>
      </c>
      <c r="R194" s="143">
        <f t="shared" si="55"/>
        <v>0.3</v>
      </c>
      <c r="S194" s="143">
        <f t="shared" si="55"/>
        <v>0.3</v>
      </c>
      <c r="T194" s="143">
        <f t="shared" ref="T194:AF199" si="56">S194</f>
        <v>0.3</v>
      </c>
      <c r="U194" s="143">
        <f t="shared" si="56"/>
        <v>0.3</v>
      </c>
      <c r="V194" s="143">
        <f t="shared" si="56"/>
        <v>0.3</v>
      </c>
      <c r="W194" s="143">
        <f t="shared" si="56"/>
        <v>0.3</v>
      </c>
      <c r="X194" s="143">
        <f t="shared" si="56"/>
        <v>0.3</v>
      </c>
      <c r="Y194" s="143">
        <f t="shared" si="56"/>
        <v>0.3</v>
      </c>
      <c r="Z194" s="143">
        <f t="shared" si="56"/>
        <v>0.3</v>
      </c>
      <c r="AA194" s="143">
        <f t="shared" si="56"/>
        <v>0.3</v>
      </c>
      <c r="AB194" s="143">
        <f t="shared" si="56"/>
        <v>0.3</v>
      </c>
      <c r="AC194" s="143">
        <f t="shared" si="56"/>
        <v>0.3</v>
      </c>
      <c r="AD194" s="143">
        <f t="shared" si="56"/>
        <v>0.3</v>
      </c>
      <c r="AE194" s="143">
        <f t="shared" si="56"/>
        <v>0.3</v>
      </c>
      <c r="AF194" s="143">
        <f t="shared" si="56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54"/>
        <v>0.4</v>
      </c>
      <c r="C195" s="136">
        <v>0.4</v>
      </c>
      <c r="D195" s="136">
        <f t="shared" si="55"/>
        <v>0.4</v>
      </c>
      <c r="E195" s="136">
        <f t="shared" si="55"/>
        <v>0.4</v>
      </c>
      <c r="F195" s="136">
        <f t="shared" si="55"/>
        <v>0.4</v>
      </c>
      <c r="G195" s="136">
        <f t="shared" si="55"/>
        <v>0.4</v>
      </c>
      <c r="H195" s="136">
        <f t="shared" si="55"/>
        <v>0.4</v>
      </c>
      <c r="I195" s="136">
        <f t="shared" si="55"/>
        <v>0.4</v>
      </c>
      <c r="J195" s="136">
        <f t="shared" si="55"/>
        <v>0.4</v>
      </c>
      <c r="K195" s="136">
        <f t="shared" si="55"/>
        <v>0.4</v>
      </c>
      <c r="L195" s="136">
        <f t="shared" si="55"/>
        <v>0.4</v>
      </c>
      <c r="M195" s="136">
        <f t="shared" si="55"/>
        <v>0.4</v>
      </c>
      <c r="N195" s="136">
        <f t="shared" si="55"/>
        <v>0.4</v>
      </c>
      <c r="O195" s="136">
        <f t="shared" si="55"/>
        <v>0.4</v>
      </c>
      <c r="P195" s="136">
        <f t="shared" si="55"/>
        <v>0.4</v>
      </c>
      <c r="Q195" s="136">
        <f t="shared" si="55"/>
        <v>0.4</v>
      </c>
      <c r="R195" s="136">
        <f t="shared" si="55"/>
        <v>0.4</v>
      </c>
      <c r="S195" s="136">
        <f t="shared" si="55"/>
        <v>0.4</v>
      </c>
      <c r="T195" s="136">
        <f t="shared" si="56"/>
        <v>0.4</v>
      </c>
      <c r="U195" s="136">
        <f t="shared" si="56"/>
        <v>0.4</v>
      </c>
      <c r="V195" s="136">
        <f t="shared" si="56"/>
        <v>0.4</v>
      </c>
      <c r="W195" s="136">
        <f>V195</f>
        <v>0.4</v>
      </c>
      <c r="X195" s="136">
        <f>W195</f>
        <v>0.4</v>
      </c>
      <c r="Y195" s="136">
        <f t="shared" si="56"/>
        <v>0.4</v>
      </c>
      <c r="Z195" s="136">
        <f t="shared" si="56"/>
        <v>0.4</v>
      </c>
      <c r="AA195" s="136">
        <f t="shared" si="56"/>
        <v>0.4</v>
      </c>
      <c r="AB195" s="136">
        <f t="shared" si="56"/>
        <v>0.4</v>
      </c>
      <c r="AC195" s="136">
        <f t="shared" si="56"/>
        <v>0.4</v>
      </c>
      <c r="AD195" s="136">
        <f t="shared" si="56"/>
        <v>0.4</v>
      </c>
      <c r="AE195" s="136">
        <f t="shared" si="56"/>
        <v>0.4</v>
      </c>
      <c r="AF195" s="136">
        <f t="shared" si="56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54"/>
        <v>1.5</v>
      </c>
      <c r="C196" s="136">
        <v>1.5</v>
      </c>
      <c r="D196" s="136">
        <f t="shared" si="55"/>
        <v>1.5</v>
      </c>
      <c r="E196" s="136">
        <f t="shared" si="55"/>
        <v>1.5</v>
      </c>
      <c r="F196" s="136">
        <f t="shared" si="55"/>
        <v>1.5</v>
      </c>
      <c r="G196" s="136">
        <f t="shared" si="55"/>
        <v>1.5</v>
      </c>
      <c r="H196" s="136">
        <f t="shared" si="55"/>
        <v>1.5</v>
      </c>
      <c r="I196" s="136">
        <f t="shared" si="55"/>
        <v>1.5</v>
      </c>
      <c r="J196" s="136">
        <f t="shared" si="55"/>
        <v>1.5</v>
      </c>
      <c r="K196" s="136">
        <f t="shared" si="55"/>
        <v>1.5</v>
      </c>
      <c r="L196" s="136">
        <f t="shared" si="55"/>
        <v>1.5</v>
      </c>
      <c r="M196" s="136">
        <f t="shared" si="55"/>
        <v>1.5</v>
      </c>
      <c r="N196" s="136">
        <f t="shared" si="55"/>
        <v>1.5</v>
      </c>
      <c r="O196" s="136">
        <f t="shared" si="55"/>
        <v>1.5</v>
      </c>
      <c r="P196" s="136">
        <f t="shared" si="55"/>
        <v>1.5</v>
      </c>
      <c r="Q196" s="136">
        <f t="shared" si="55"/>
        <v>1.5</v>
      </c>
      <c r="R196" s="136">
        <f t="shared" si="55"/>
        <v>1.5</v>
      </c>
      <c r="S196" s="136">
        <f t="shared" si="55"/>
        <v>1.5</v>
      </c>
      <c r="T196" s="136">
        <f t="shared" si="56"/>
        <v>1.5</v>
      </c>
      <c r="U196" s="136">
        <f t="shared" si="56"/>
        <v>1.5</v>
      </c>
      <c r="V196" s="136">
        <f t="shared" si="56"/>
        <v>1.5</v>
      </c>
      <c r="W196" s="136">
        <f t="shared" si="56"/>
        <v>1.5</v>
      </c>
      <c r="X196" s="136">
        <f t="shared" si="56"/>
        <v>1.5</v>
      </c>
      <c r="Y196" s="136">
        <f t="shared" si="56"/>
        <v>1.5</v>
      </c>
      <c r="Z196" s="136">
        <f t="shared" si="56"/>
        <v>1.5</v>
      </c>
      <c r="AA196" s="136">
        <f t="shared" si="56"/>
        <v>1.5</v>
      </c>
      <c r="AB196" s="136">
        <f t="shared" si="56"/>
        <v>1.5</v>
      </c>
      <c r="AC196" s="136">
        <f t="shared" si="56"/>
        <v>1.5</v>
      </c>
      <c r="AD196" s="136">
        <f t="shared" si="56"/>
        <v>1.5</v>
      </c>
      <c r="AE196" s="136">
        <f t="shared" si="56"/>
        <v>1.5</v>
      </c>
      <c r="AF196" s="136">
        <f t="shared" si="56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54"/>
        <v>0.3</v>
      </c>
      <c r="C197" s="136">
        <v>0.3</v>
      </c>
      <c r="D197" s="136">
        <f t="shared" si="55"/>
        <v>0.3</v>
      </c>
      <c r="E197" s="136">
        <f t="shared" si="55"/>
        <v>0.3</v>
      </c>
      <c r="F197" s="136">
        <f t="shared" si="55"/>
        <v>0.3</v>
      </c>
      <c r="G197" s="136">
        <f t="shared" si="55"/>
        <v>0.3</v>
      </c>
      <c r="H197" s="136">
        <f t="shared" si="55"/>
        <v>0.3</v>
      </c>
      <c r="I197" s="136">
        <f t="shared" si="55"/>
        <v>0.3</v>
      </c>
      <c r="J197" s="136">
        <f t="shared" si="55"/>
        <v>0.3</v>
      </c>
      <c r="K197" s="136">
        <f t="shared" si="55"/>
        <v>0.3</v>
      </c>
      <c r="L197" s="136">
        <f t="shared" si="55"/>
        <v>0.3</v>
      </c>
      <c r="M197" s="136">
        <f t="shared" si="55"/>
        <v>0.3</v>
      </c>
      <c r="N197" s="136">
        <f t="shared" si="55"/>
        <v>0.3</v>
      </c>
      <c r="O197" s="136">
        <f t="shared" si="55"/>
        <v>0.3</v>
      </c>
      <c r="P197" s="136">
        <f t="shared" si="55"/>
        <v>0.3</v>
      </c>
      <c r="Q197" s="136">
        <f t="shared" si="55"/>
        <v>0.3</v>
      </c>
      <c r="R197" s="136">
        <f t="shared" si="55"/>
        <v>0.3</v>
      </c>
      <c r="S197" s="136">
        <f t="shared" si="55"/>
        <v>0.3</v>
      </c>
      <c r="T197" s="136">
        <f t="shared" si="56"/>
        <v>0.3</v>
      </c>
      <c r="U197" s="136">
        <f t="shared" si="56"/>
        <v>0.3</v>
      </c>
      <c r="V197" s="136">
        <f t="shared" si="56"/>
        <v>0.3</v>
      </c>
      <c r="W197" s="136">
        <f t="shared" si="56"/>
        <v>0.3</v>
      </c>
      <c r="X197" s="136">
        <f t="shared" si="56"/>
        <v>0.3</v>
      </c>
      <c r="Y197" s="136">
        <f t="shared" si="56"/>
        <v>0.3</v>
      </c>
      <c r="Z197" s="136">
        <f t="shared" si="56"/>
        <v>0.3</v>
      </c>
      <c r="AA197" s="136">
        <f t="shared" si="56"/>
        <v>0.3</v>
      </c>
      <c r="AB197" s="136">
        <f t="shared" si="56"/>
        <v>0.3</v>
      </c>
      <c r="AC197" s="136">
        <f t="shared" si="56"/>
        <v>0.3</v>
      </c>
      <c r="AD197" s="136">
        <f t="shared" si="56"/>
        <v>0.3</v>
      </c>
      <c r="AE197" s="136">
        <f t="shared" si="56"/>
        <v>0.3</v>
      </c>
      <c r="AF197" s="136">
        <f t="shared" si="56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54"/>
        <v>0.4</v>
      </c>
      <c r="C198" s="136">
        <v>0.4</v>
      </c>
      <c r="D198" s="136">
        <f t="shared" si="55"/>
        <v>0.4</v>
      </c>
      <c r="E198" s="136">
        <f t="shared" si="55"/>
        <v>0.4</v>
      </c>
      <c r="F198" s="136">
        <f t="shared" si="55"/>
        <v>0.4</v>
      </c>
      <c r="G198" s="136">
        <f t="shared" si="55"/>
        <v>0.4</v>
      </c>
      <c r="H198" s="136">
        <f t="shared" si="55"/>
        <v>0.4</v>
      </c>
      <c r="I198" s="136">
        <f t="shared" si="55"/>
        <v>0.4</v>
      </c>
      <c r="J198" s="136">
        <f t="shared" si="55"/>
        <v>0.4</v>
      </c>
      <c r="K198" s="136">
        <f t="shared" si="55"/>
        <v>0.4</v>
      </c>
      <c r="L198" s="136">
        <f t="shared" si="55"/>
        <v>0.4</v>
      </c>
      <c r="M198" s="136">
        <f t="shared" si="55"/>
        <v>0.4</v>
      </c>
      <c r="N198" s="136">
        <f t="shared" si="55"/>
        <v>0.4</v>
      </c>
      <c r="O198" s="136">
        <f t="shared" si="55"/>
        <v>0.4</v>
      </c>
      <c r="P198" s="136">
        <f t="shared" si="55"/>
        <v>0.4</v>
      </c>
      <c r="Q198" s="136">
        <f t="shared" si="55"/>
        <v>0.4</v>
      </c>
      <c r="R198" s="136">
        <f t="shared" si="55"/>
        <v>0.4</v>
      </c>
      <c r="S198" s="136">
        <f t="shared" si="55"/>
        <v>0.4</v>
      </c>
      <c r="T198" s="136">
        <f t="shared" si="56"/>
        <v>0.4</v>
      </c>
      <c r="U198" s="136">
        <f t="shared" si="56"/>
        <v>0.4</v>
      </c>
      <c r="V198" s="136">
        <f t="shared" si="56"/>
        <v>0.4</v>
      </c>
      <c r="W198" s="136">
        <f t="shared" si="56"/>
        <v>0.4</v>
      </c>
      <c r="X198" s="136">
        <f t="shared" si="56"/>
        <v>0.4</v>
      </c>
      <c r="Y198" s="136">
        <f t="shared" si="56"/>
        <v>0.4</v>
      </c>
      <c r="Z198" s="136">
        <f t="shared" si="56"/>
        <v>0.4</v>
      </c>
      <c r="AA198" s="136">
        <f t="shared" si="56"/>
        <v>0.4</v>
      </c>
      <c r="AB198" s="136">
        <f t="shared" si="56"/>
        <v>0.4</v>
      </c>
      <c r="AC198" s="136">
        <f t="shared" si="56"/>
        <v>0.4</v>
      </c>
      <c r="AD198" s="136">
        <f t="shared" si="56"/>
        <v>0.4</v>
      </c>
      <c r="AE198" s="136">
        <f t="shared" si="56"/>
        <v>0.4</v>
      </c>
      <c r="AF198" s="136">
        <f t="shared" si="56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54"/>
        <v>0.64</v>
      </c>
      <c r="C199" s="146">
        <v>0.64</v>
      </c>
      <c r="D199" s="146">
        <f t="shared" si="55"/>
        <v>0.64</v>
      </c>
      <c r="E199" s="146">
        <f t="shared" si="55"/>
        <v>0.64</v>
      </c>
      <c r="F199" s="146">
        <f t="shared" si="55"/>
        <v>0.64</v>
      </c>
      <c r="G199" s="146">
        <f t="shared" si="55"/>
        <v>0.64</v>
      </c>
      <c r="H199" s="146">
        <f t="shared" si="55"/>
        <v>0.64</v>
      </c>
      <c r="I199" s="146">
        <f t="shared" si="55"/>
        <v>0.64</v>
      </c>
      <c r="J199" s="146">
        <f t="shared" si="55"/>
        <v>0.64</v>
      </c>
      <c r="K199" s="146">
        <f t="shared" si="55"/>
        <v>0.64</v>
      </c>
      <c r="L199" s="146">
        <f t="shared" si="55"/>
        <v>0.64</v>
      </c>
      <c r="M199" s="146">
        <f t="shared" si="55"/>
        <v>0.64</v>
      </c>
      <c r="N199" s="146">
        <f t="shared" si="55"/>
        <v>0.64</v>
      </c>
      <c r="O199" s="146">
        <f t="shared" si="55"/>
        <v>0.64</v>
      </c>
      <c r="P199" s="146">
        <f t="shared" si="55"/>
        <v>0.64</v>
      </c>
      <c r="Q199" s="146">
        <f t="shared" si="55"/>
        <v>0.64</v>
      </c>
      <c r="R199" s="146">
        <f t="shared" si="55"/>
        <v>0.64</v>
      </c>
      <c r="S199" s="146">
        <f t="shared" si="55"/>
        <v>0.64</v>
      </c>
      <c r="T199" s="146">
        <f t="shared" si="56"/>
        <v>0.64</v>
      </c>
      <c r="U199" s="146">
        <f t="shared" si="56"/>
        <v>0.64</v>
      </c>
      <c r="V199" s="146">
        <f t="shared" si="56"/>
        <v>0.64</v>
      </c>
      <c r="W199" s="146">
        <f t="shared" si="56"/>
        <v>0.64</v>
      </c>
      <c r="X199" s="146">
        <f t="shared" si="56"/>
        <v>0.64</v>
      </c>
      <c r="Y199" s="146">
        <f t="shared" si="56"/>
        <v>0.64</v>
      </c>
      <c r="Z199" s="146">
        <f t="shared" si="56"/>
        <v>0.64</v>
      </c>
      <c r="AA199" s="146">
        <f t="shared" si="56"/>
        <v>0.64</v>
      </c>
      <c r="AB199" s="146">
        <f t="shared" si="56"/>
        <v>0.64</v>
      </c>
      <c r="AC199" s="146">
        <f t="shared" si="56"/>
        <v>0.64</v>
      </c>
      <c r="AD199" s="146">
        <f t="shared" si="56"/>
        <v>0.64</v>
      </c>
      <c r="AE199" s="146">
        <f t="shared" si="56"/>
        <v>0.64</v>
      </c>
      <c r="AF199" s="146">
        <f t="shared" si="56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57">SUM(D194:D199)</f>
        <v>3.54</v>
      </c>
      <c r="E200" s="149">
        <f t="shared" si="57"/>
        <v>3.54</v>
      </c>
      <c r="F200" s="149">
        <f t="shared" si="57"/>
        <v>3.54</v>
      </c>
      <c r="G200" s="149">
        <f t="shared" si="57"/>
        <v>3.54</v>
      </c>
      <c r="H200" s="149">
        <f t="shared" si="57"/>
        <v>3.54</v>
      </c>
      <c r="I200" s="149">
        <f t="shared" si="57"/>
        <v>3.54</v>
      </c>
      <c r="J200" s="149">
        <f t="shared" si="57"/>
        <v>3.54</v>
      </c>
      <c r="K200" s="149">
        <f t="shared" si="57"/>
        <v>3.54</v>
      </c>
      <c r="L200" s="149">
        <f t="shared" si="57"/>
        <v>3.54</v>
      </c>
      <c r="M200" s="149">
        <f>SUM(M194:M199)</f>
        <v>3.54</v>
      </c>
      <c r="N200" s="149">
        <f t="shared" ref="N200:S200" si="58">SUM(N194:N199)</f>
        <v>3.54</v>
      </c>
      <c r="O200" s="149">
        <f t="shared" si="58"/>
        <v>3.54</v>
      </c>
      <c r="P200" s="149">
        <f t="shared" si="58"/>
        <v>3.54</v>
      </c>
      <c r="Q200" s="149">
        <f t="shared" si="58"/>
        <v>3.54</v>
      </c>
      <c r="R200" s="149">
        <f t="shared" si="58"/>
        <v>3.54</v>
      </c>
      <c r="S200" s="149">
        <f t="shared" si="58"/>
        <v>3.54</v>
      </c>
      <c r="T200" s="149">
        <f>SUM(T194:T199)</f>
        <v>3.54</v>
      </c>
      <c r="U200" s="149">
        <f t="shared" ref="U200:AG200" si="59">SUM(U194:U199)</f>
        <v>3.54</v>
      </c>
      <c r="V200" s="149">
        <f t="shared" si="59"/>
        <v>3.54</v>
      </c>
      <c r="W200" s="149">
        <f t="shared" si="59"/>
        <v>3.54</v>
      </c>
      <c r="X200" s="149">
        <f t="shared" si="59"/>
        <v>3.54</v>
      </c>
      <c r="Y200" s="149">
        <f t="shared" si="59"/>
        <v>3.54</v>
      </c>
      <c r="Z200" s="149">
        <f t="shared" si="59"/>
        <v>3.54</v>
      </c>
      <c r="AA200" s="149">
        <f t="shared" si="59"/>
        <v>3.54</v>
      </c>
      <c r="AB200" s="149">
        <f t="shared" si="59"/>
        <v>3.54</v>
      </c>
      <c r="AC200" s="149">
        <f t="shared" si="59"/>
        <v>3.54</v>
      </c>
      <c r="AD200" s="149">
        <f t="shared" si="59"/>
        <v>3.54</v>
      </c>
      <c r="AE200" s="149">
        <f t="shared" si="59"/>
        <v>3.54</v>
      </c>
      <c r="AF200" s="149">
        <f t="shared" si="59"/>
        <v>3.54</v>
      </c>
      <c r="AG200" s="150">
        <f t="shared" si="59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1403.5400000000002</v>
      </c>
      <c r="C209" s="164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2078/11/27)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60">B75</f>
        <v>900.19999999999993</v>
      </c>
      <c r="U214" s="174">
        <f t="shared" si="60"/>
        <v>968.83999999999992</v>
      </c>
      <c r="V214" s="174">
        <f t="shared" si="60"/>
        <v>970.43999999999994</v>
      </c>
      <c r="W214" s="174">
        <f t="shared" si="60"/>
        <v>960.83999999999992</v>
      </c>
      <c r="X214" s="174">
        <f t="shared" si="60"/>
        <v>978.54</v>
      </c>
      <c r="Y214" s="174">
        <f t="shared" si="60"/>
        <v>1004.65</v>
      </c>
      <c r="Z214" s="174">
        <f t="shared" si="60"/>
        <v>1100.94</v>
      </c>
      <c r="AA214" s="174">
        <f t="shared" si="60"/>
        <v>1160.1400000000001</v>
      </c>
      <c r="AB214" s="174">
        <f t="shared" si="60"/>
        <v>1283.6400000000001</v>
      </c>
      <c r="AC214" s="174">
        <f t="shared" si="60"/>
        <v>1379.14</v>
      </c>
      <c r="AD214" s="174">
        <f t="shared" si="60"/>
        <v>1403.5400000000002</v>
      </c>
      <c r="AE214" s="174">
        <f t="shared" si="60"/>
        <v>1320.63</v>
      </c>
      <c r="AF214" s="174">
        <f t="shared" si="60"/>
        <v>1378.6399999999999</v>
      </c>
      <c r="AG214" s="174">
        <f t="shared" si="60"/>
        <v>1312.14</v>
      </c>
      <c r="AH214" s="174">
        <f t="shared" si="60"/>
        <v>1282.8400000000001</v>
      </c>
      <c r="AI214" s="174">
        <f t="shared" si="60"/>
        <v>1248.6400000000001</v>
      </c>
      <c r="AJ214" s="174">
        <f t="shared" si="60"/>
        <v>1264.1399999999999</v>
      </c>
      <c r="AK214" s="174">
        <f t="shared" si="60"/>
        <v>1232.3399999999999</v>
      </c>
      <c r="AL214" s="174">
        <f t="shared" si="60"/>
        <v>1233.04</v>
      </c>
      <c r="AM214" s="174">
        <f t="shared" si="60"/>
        <v>1276.8399999999999</v>
      </c>
      <c r="AN214" s="174">
        <f t="shared" si="60"/>
        <v>1261.8399999999999</v>
      </c>
      <c r="AO214" s="174">
        <f t="shared" si="60"/>
        <v>1238.74</v>
      </c>
      <c r="AP214" s="174">
        <f t="shared" si="60"/>
        <v>1286.44</v>
      </c>
      <c r="AQ214" s="174">
        <f t="shared" si="60"/>
        <v>1431.04</v>
      </c>
      <c r="AR214" s="174">
        <f t="shared" si="60"/>
        <v>1500.64</v>
      </c>
      <c r="AS214" s="174">
        <f t="shared" si="60"/>
        <v>1415.04</v>
      </c>
      <c r="AT214" s="174">
        <f t="shared" si="60"/>
        <v>1329.34</v>
      </c>
      <c r="AU214" s="174">
        <f t="shared" si="60"/>
        <v>1278.79</v>
      </c>
      <c r="AV214" s="174">
        <f t="shared" si="60"/>
        <v>1191.94</v>
      </c>
      <c r="AW214" s="174">
        <f t="shared" si="60"/>
        <v>1142.6399999999999</v>
      </c>
      <c r="AX214" s="174">
        <f t="shared" si="60"/>
        <v>1065.3399999999999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61">C199</f>
        <v>0.64</v>
      </c>
      <c r="C235" s="177">
        <f t="shared" si="61"/>
        <v>0.64</v>
      </c>
      <c r="D235" s="177">
        <f t="shared" si="61"/>
        <v>0.64</v>
      </c>
      <c r="E235" s="177">
        <f t="shared" si="61"/>
        <v>0.64</v>
      </c>
      <c r="F235" s="177">
        <f t="shared" si="61"/>
        <v>0.64</v>
      </c>
      <c r="G235" s="177">
        <f t="shared" si="61"/>
        <v>0.64</v>
      </c>
      <c r="H235" s="177">
        <f t="shared" si="61"/>
        <v>0.64</v>
      </c>
      <c r="I235" s="177">
        <f t="shared" si="61"/>
        <v>0.64</v>
      </c>
      <c r="J235" s="177">
        <f t="shared" si="61"/>
        <v>0.64</v>
      </c>
      <c r="K235" s="177">
        <f t="shared" si="61"/>
        <v>0.64</v>
      </c>
      <c r="L235" s="177">
        <f t="shared" si="61"/>
        <v>0.64</v>
      </c>
      <c r="M235" s="177">
        <f t="shared" si="61"/>
        <v>0.64</v>
      </c>
      <c r="N235" s="177">
        <f t="shared" si="61"/>
        <v>0.64</v>
      </c>
      <c r="O235" s="177">
        <f t="shared" si="61"/>
        <v>0.64</v>
      </c>
      <c r="P235" s="177">
        <f t="shared" si="61"/>
        <v>0.64</v>
      </c>
      <c r="Q235" s="177">
        <f t="shared" si="61"/>
        <v>0.64</v>
      </c>
      <c r="R235" s="177">
        <f t="shared" si="61"/>
        <v>0.64</v>
      </c>
      <c r="S235" s="177">
        <f t="shared" si="61"/>
        <v>0.64</v>
      </c>
      <c r="T235" s="177">
        <f t="shared" si="61"/>
        <v>0.64</v>
      </c>
      <c r="U235" s="177">
        <f t="shared" si="61"/>
        <v>0.64</v>
      </c>
      <c r="V235" s="177">
        <f t="shared" si="61"/>
        <v>0.64</v>
      </c>
      <c r="W235" s="177">
        <f t="shared" si="61"/>
        <v>0.64</v>
      </c>
      <c r="X235" s="177">
        <f t="shared" si="61"/>
        <v>0.64</v>
      </c>
      <c r="Y235" s="177">
        <f t="shared" si="61"/>
        <v>0.64</v>
      </c>
      <c r="Z235" s="177">
        <f t="shared" si="61"/>
        <v>0.64</v>
      </c>
      <c r="AA235" s="177">
        <f t="shared" si="61"/>
        <v>0.64</v>
      </c>
      <c r="AB235" s="177">
        <f t="shared" si="61"/>
        <v>0.64</v>
      </c>
      <c r="AC235" s="177">
        <f t="shared" si="61"/>
        <v>0.64</v>
      </c>
      <c r="AD235" s="177">
        <f t="shared" si="61"/>
        <v>0.64</v>
      </c>
      <c r="AE235" s="177">
        <f t="shared" si="61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62">IF(C203&lt;100,"",C203-520)</f>
        <v/>
      </c>
      <c r="D236" s="120" t="str">
        <f t="shared" si="62"/>
        <v/>
      </c>
      <c r="E236" s="120" t="str">
        <f t="shared" si="62"/>
        <v/>
      </c>
      <c r="F236" s="120" t="str">
        <f t="shared" si="62"/>
        <v/>
      </c>
      <c r="G236" s="120" t="str">
        <f t="shared" si="62"/>
        <v/>
      </c>
      <c r="H236" s="120" t="str">
        <f t="shared" si="62"/>
        <v/>
      </c>
      <c r="I236" s="120" t="str">
        <f t="shared" si="62"/>
        <v/>
      </c>
      <c r="J236" s="120" t="str">
        <f t="shared" si="62"/>
        <v/>
      </c>
      <c r="K236" s="120" t="str">
        <f t="shared" si="62"/>
        <v/>
      </c>
      <c r="L236" s="120" t="str">
        <f t="shared" si="62"/>
        <v/>
      </c>
      <c r="M236" s="120" t="str">
        <f t="shared" si="62"/>
        <v/>
      </c>
      <c r="N236" s="120" t="str">
        <f t="shared" si="62"/>
        <v/>
      </c>
      <c r="O236" s="120" t="str">
        <f t="shared" si="62"/>
        <v/>
      </c>
      <c r="P236" s="120" t="str">
        <f t="shared" si="62"/>
        <v/>
      </c>
      <c r="Q236" s="120" t="str">
        <f t="shared" si="62"/>
        <v/>
      </c>
      <c r="R236" s="120" t="str">
        <f t="shared" si="62"/>
        <v/>
      </c>
      <c r="S236" s="120" t="str">
        <f t="shared" si="62"/>
        <v/>
      </c>
      <c r="T236" s="120" t="str">
        <f t="shared" si="62"/>
        <v/>
      </c>
      <c r="U236" s="120" t="str">
        <f t="shared" si="62"/>
        <v/>
      </c>
      <c r="V236" s="120" t="str">
        <f t="shared" si="62"/>
        <v/>
      </c>
      <c r="W236" s="120" t="str">
        <f t="shared" si="62"/>
        <v/>
      </c>
      <c r="X236" s="120" t="str">
        <f t="shared" si="62"/>
        <v/>
      </c>
      <c r="Y236" s="120" t="str">
        <f t="shared" si="62"/>
        <v/>
      </c>
      <c r="Z236" s="120" t="str">
        <f t="shared" si="62"/>
        <v/>
      </c>
      <c r="AA236" s="120" t="str">
        <f t="shared" si="62"/>
        <v/>
      </c>
      <c r="AB236" s="120" t="str">
        <f t="shared" si="62"/>
        <v/>
      </c>
      <c r="AC236" s="120" t="str">
        <f t="shared" si="62"/>
        <v/>
      </c>
      <c r="AD236" s="120" t="str">
        <f t="shared" si="62"/>
        <v/>
      </c>
      <c r="AE236" s="120" t="str">
        <f t="shared" si="62"/>
        <v/>
      </c>
      <c r="AF236" s="120" t="str">
        <f t="shared" si="62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63">IF(B204&lt;100,"",B204-620)</f>
        <v/>
      </c>
      <c r="C237" s="120" t="str">
        <f t="shared" si="63"/>
        <v/>
      </c>
      <c r="D237" s="120" t="str">
        <f t="shared" si="63"/>
        <v/>
      </c>
      <c r="E237" s="120" t="str">
        <f t="shared" si="63"/>
        <v/>
      </c>
      <c r="F237" s="120" t="str">
        <f t="shared" si="63"/>
        <v/>
      </c>
      <c r="G237" s="120" t="str">
        <f t="shared" si="63"/>
        <v/>
      </c>
      <c r="H237" s="120" t="str">
        <f t="shared" si="63"/>
        <v/>
      </c>
      <c r="I237" s="120" t="str">
        <f t="shared" si="63"/>
        <v/>
      </c>
      <c r="J237" s="120" t="str">
        <f t="shared" si="63"/>
        <v/>
      </c>
      <c r="K237" s="120" t="str">
        <f t="shared" si="63"/>
        <v/>
      </c>
      <c r="L237" s="120" t="str">
        <f t="shared" si="63"/>
        <v/>
      </c>
      <c r="M237" s="120" t="str">
        <f t="shared" si="63"/>
        <v/>
      </c>
      <c r="N237" s="120" t="str">
        <f t="shared" si="63"/>
        <v/>
      </c>
      <c r="O237" s="120" t="str">
        <f t="shared" si="63"/>
        <v/>
      </c>
      <c r="P237" s="120" t="str">
        <f t="shared" si="63"/>
        <v/>
      </c>
      <c r="Q237" s="120" t="str">
        <f t="shared" si="63"/>
        <v/>
      </c>
      <c r="R237" s="120" t="str">
        <f t="shared" si="63"/>
        <v/>
      </c>
      <c r="S237" s="120" t="str">
        <f t="shared" si="63"/>
        <v/>
      </c>
      <c r="T237" s="120" t="str">
        <f t="shared" si="63"/>
        <v/>
      </c>
      <c r="U237" s="120" t="str">
        <f t="shared" si="63"/>
        <v/>
      </c>
      <c r="V237" s="120" t="str">
        <f t="shared" si="63"/>
        <v/>
      </c>
      <c r="W237" s="120" t="str">
        <f t="shared" si="63"/>
        <v/>
      </c>
      <c r="X237" s="120" t="str">
        <f t="shared" si="63"/>
        <v/>
      </c>
      <c r="Y237" s="120" t="str">
        <f t="shared" si="63"/>
        <v/>
      </c>
      <c r="Z237" s="120" t="str">
        <f t="shared" si="63"/>
        <v/>
      </c>
      <c r="AA237" s="120" t="str">
        <f t="shared" si="63"/>
        <v/>
      </c>
      <c r="AB237" s="120" t="str">
        <f t="shared" si="63"/>
        <v/>
      </c>
      <c r="AC237" s="120" t="str">
        <f t="shared" si="63"/>
        <v/>
      </c>
      <c r="AD237" s="120" t="str">
        <f t="shared" si="63"/>
        <v/>
      </c>
      <c r="AE237" s="120" t="str">
        <f t="shared" si="63"/>
        <v/>
      </c>
      <c r="AF237" s="120" t="str">
        <f t="shared" si="63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64">IF(B205&lt;100,"",B205-330)</f>
        <v/>
      </c>
      <c r="C238" s="120" t="str">
        <f t="shared" si="64"/>
        <v/>
      </c>
      <c r="D238" s="120" t="str">
        <f t="shared" si="64"/>
        <v/>
      </c>
      <c r="E238" s="120" t="str">
        <f t="shared" si="64"/>
        <v/>
      </c>
      <c r="F238" s="120" t="str">
        <f t="shared" si="64"/>
        <v/>
      </c>
      <c r="G238" s="120" t="str">
        <f t="shared" si="64"/>
        <v/>
      </c>
      <c r="H238" s="120" t="str">
        <f t="shared" si="64"/>
        <v/>
      </c>
      <c r="I238" s="120" t="str">
        <f t="shared" si="64"/>
        <v/>
      </c>
      <c r="J238" s="120" t="str">
        <f t="shared" si="64"/>
        <v/>
      </c>
      <c r="K238" s="120" t="str">
        <f t="shared" si="64"/>
        <v/>
      </c>
      <c r="L238" s="120" t="str">
        <f t="shared" si="64"/>
        <v/>
      </c>
      <c r="M238" s="120" t="str">
        <f t="shared" si="64"/>
        <v/>
      </c>
      <c r="N238" s="120" t="str">
        <f t="shared" si="64"/>
        <v/>
      </c>
      <c r="O238" s="120" t="str">
        <f t="shared" si="64"/>
        <v/>
      </c>
      <c r="P238" s="120" t="str">
        <f t="shared" si="64"/>
        <v/>
      </c>
      <c r="Q238" s="120" t="str">
        <f t="shared" si="64"/>
        <v/>
      </c>
      <c r="R238" s="120" t="str">
        <f t="shared" si="64"/>
        <v/>
      </c>
      <c r="S238" s="120" t="str">
        <f t="shared" si="64"/>
        <v/>
      </c>
      <c r="T238" s="120" t="str">
        <f t="shared" si="64"/>
        <v/>
      </c>
      <c r="U238" s="120" t="str">
        <f t="shared" si="64"/>
        <v/>
      </c>
      <c r="V238" s="120" t="str">
        <f t="shared" si="64"/>
        <v/>
      </c>
      <c r="W238" s="120" t="str">
        <f t="shared" si="64"/>
        <v/>
      </c>
      <c r="X238" s="120" t="str">
        <f t="shared" si="64"/>
        <v/>
      </c>
      <c r="Y238" s="120" t="str">
        <f t="shared" si="64"/>
        <v/>
      </c>
      <c r="Z238" s="120" t="str">
        <f t="shared" si="64"/>
        <v/>
      </c>
      <c r="AA238" s="120" t="str">
        <f t="shared" si="64"/>
        <v/>
      </c>
      <c r="AB238" s="120" t="str">
        <f t="shared" si="64"/>
        <v/>
      </c>
      <c r="AC238" s="120" t="str">
        <f t="shared" si="64"/>
        <v/>
      </c>
      <c r="AD238" s="120" t="str">
        <f t="shared" si="64"/>
        <v/>
      </c>
      <c r="AE238" s="120" t="str">
        <f t="shared" si="64"/>
        <v/>
      </c>
      <c r="AF238" s="120" t="str">
        <f t="shared" si="64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65">IF(C206&lt;100,"",C206-1500)</f>
        <v/>
      </c>
      <c r="D239" s="120" t="str">
        <f t="shared" si="65"/>
        <v/>
      </c>
      <c r="E239" s="120" t="str">
        <f t="shared" si="65"/>
        <v/>
      </c>
      <c r="F239" s="120" t="str">
        <f t="shared" si="65"/>
        <v/>
      </c>
      <c r="G239" s="120" t="str">
        <f t="shared" si="65"/>
        <v/>
      </c>
      <c r="H239" s="120" t="str">
        <f t="shared" si="65"/>
        <v/>
      </c>
      <c r="I239" s="120" t="str">
        <f t="shared" si="65"/>
        <v/>
      </c>
      <c r="J239" s="120" t="str">
        <f t="shared" si="65"/>
        <v/>
      </c>
      <c r="K239" s="120" t="str">
        <f t="shared" si="65"/>
        <v/>
      </c>
      <c r="L239" s="120" t="str">
        <f t="shared" si="65"/>
        <v/>
      </c>
      <c r="M239" s="120" t="str">
        <f t="shared" si="65"/>
        <v/>
      </c>
      <c r="N239" s="120" t="str">
        <f t="shared" si="65"/>
        <v/>
      </c>
      <c r="O239" s="120" t="str">
        <f t="shared" si="65"/>
        <v/>
      </c>
      <c r="P239" s="120" t="str">
        <f t="shared" si="65"/>
        <v/>
      </c>
      <c r="Q239" s="120" t="str">
        <f t="shared" si="65"/>
        <v/>
      </c>
      <c r="R239" s="120" t="str">
        <f t="shared" si="65"/>
        <v/>
      </c>
      <c r="S239" s="120" t="str">
        <f t="shared" si="65"/>
        <v/>
      </c>
      <c r="T239" s="120" t="str">
        <f t="shared" si="65"/>
        <v/>
      </c>
      <c r="U239" s="120" t="str">
        <f t="shared" si="65"/>
        <v/>
      </c>
      <c r="V239" s="120" t="str">
        <f t="shared" si="65"/>
        <v/>
      </c>
      <c r="W239" s="120" t="str">
        <f t="shared" si="65"/>
        <v/>
      </c>
      <c r="X239" s="120" t="str">
        <f t="shared" si="65"/>
        <v/>
      </c>
      <c r="Y239" s="120" t="str">
        <f t="shared" si="65"/>
        <v/>
      </c>
      <c r="Z239" s="120" t="str">
        <f t="shared" si="65"/>
        <v/>
      </c>
      <c r="AA239" s="120" t="str">
        <f t="shared" si="65"/>
        <v/>
      </c>
      <c r="AB239" s="120" t="str">
        <f t="shared" si="65"/>
        <v/>
      </c>
      <c r="AC239" s="120" t="str">
        <f t="shared" si="65"/>
        <v/>
      </c>
      <c r="AD239" s="120" t="str">
        <f t="shared" si="65"/>
        <v/>
      </c>
      <c r="AE239" s="120" t="str">
        <f t="shared" si="65"/>
        <v/>
      </c>
      <c r="AF239" s="120" t="str">
        <f t="shared" si="65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M37:R37 C57:L59 C60:O60 P39:R39 M39:O42 C61:N61 P40:Q42 R42 R40:T41 M58:W59 X85:AA91 AB81:AF81 B81:R81 C56:AF56 B82:AF83 D194:AF200 B194:B200 C68:AF72 AB84:AF91 B84:B91 B73:AF80 B9:AF10 B192:AF192 AG73 AB94:AF100 B94:B100 U213:AF213 B53:B72 C62:G67 C53:F55 B36:L36 O61:O67 P60:R67 S39:U42 M11:AD11 U40:Y42 N45:Y48 Z40:AE43 M53:AF55 N12:AD14 Z16:AF31 Z36:AF36 AE11:AF14 AF57:AF67">
    <cfRule type="expression" dxfId="1529" priority="274">
      <formula>B$9&gt;=20/24</formula>
    </cfRule>
    <cfRule type="expression" dxfId="1528" priority="275">
      <formula>AND(B$9&gt;=14/24,B$9&lt;20/24)</formula>
    </cfRule>
    <cfRule type="expression" dxfId="1527" priority="276">
      <formula>AND(B$9&gt;=8/24,B$9&lt;14/24)</formula>
    </cfRule>
    <cfRule type="expression" dxfId="1526" priority="277">
      <formula>B$9&lt;8/24</formula>
    </cfRule>
  </conditionalFormatting>
  <conditionalFormatting sqref="AL4:AL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525" priority="269">
      <formula>M$9&gt;=20/24</formula>
    </cfRule>
    <cfRule type="expression" dxfId="1524" priority="270">
      <formula>AND(M$9&gt;=14/24,M$9&lt;20/24)</formula>
    </cfRule>
    <cfRule type="expression" dxfId="1523" priority="271">
      <formula>AND(M$9&gt;=8/24,M$9&lt;14/24)</formula>
    </cfRule>
    <cfRule type="expression" dxfId="1522" priority="272">
      <formula>M$9&lt;8/24</formula>
    </cfRule>
  </conditionalFormatting>
  <conditionalFormatting sqref="M43:U43">
    <cfRule type="expression" dxfId="1521" priority="265">
      <formula>M$9&gt;=20/24</formula>
    </cfRule>
    <cfRule type="expression" dxfId="1520" priority="266">
      <formula>AND(M$9&gt;=14/24,M$9&lt;20/24)</formula>
    </cfRule>
    <cfRule type="expression" dxfId="1519" priority="267">
      <formula>AND(M$9&gt;=8/24,M$9&lt;14/24)</formula>
    </cfRule>
    <cfRule type="expression" dxfId="1518" priority="268">
      <formula>M$9&lt;8/24</formula>
    </cfRule>
  </conditionalFormatting>
  <conditionalFormatting sqref="Z32:AF32">
    <cfRule type="expression" dxfId="1517" priority="261">
      <formula>Z$9&gt;=20/24</formula>
    </cfRule>
    <cfRule type="expression" dxfId="1516" priority="262">
      <formula>AND(Z$9&gt;=14/24,Z$9&lt;20/24)</formula>
    </cfRule>
    <cfRule type="expression" dxfId="1515" priority="263">
      <formula>AND(Z$9&gt;=8/24,Z$9&lt;14/24)</formula>
    </cfRule>
    <cfRule type="expression" dxfId="1514" priority="264">
      <formula>Z$9&lt;8/24</formula>
    </cfRule>
  </conditionalFormatting>
  <conditionalFormatting sqref="S39:AE39">
    <cfRule type="expression" dxfId="1513" priority="257">
      <formula>S$9&gt;=20/24</formula>
    </cfRule>
    <cfRule type="expression" dxfId="1512" priority="258">
      <formula>AND(S$9&gt;=14/24,S$9&lt;20/24)</formula>
    </cfRule>
    <cfRule type="expression" dxfId="1511" priority="259">
      <formula>AND(S$9&gt;=8/24,S$9&lt;14/24)</formula>
    </cfRule>
    <cfRule type="expression" dxfId="1510" priority="260">
      <formula>S$9&lt;8/24</formula>
    </cfRule>
  </conditionalFormatting>
  <conditionalFormatting sqref="S57:AE57">
    <cfRule type="expression" dxfId="1509" priority="253">
      <formula>S$9&gt;=20/24</formula>
    </cfRule>
    <cfRule type="expression" dxfId="1508" priority="254">
      <formula>AND(S$9&gt;=14/24,S$9&lt;20/24)</formula>
    </cfRule>
    <cfRule type="expression" dxfId="1507" priority="255">
      <formula>AND(S$9&gt;=8/24,S$9&lt;14/24)</formula>
    </cfRule>
    <cfRule type="expression" dxfId="1506" priority="256">
      <formula>S$9&lt;8/24</formula>
    </cfRule>
  </conditionalFormatting>
  <conditionalFormatting sqref="S81:AA81">
    <cfRule type="expression" dxfId="1505" priority="249">
      <formula>S$9&gt;=20/24</formula>
    </cfRule>
    <cfRule type="expression" dxfId="1504" priority="250">
      <formula>AND(S$9&gt;=14/24,S$9&lt;20/24)</formula>
    </cfRule>
    <cfRule type="expression" dxfId="1503" priority="251">
      <formula>AND(S$9&gt;=8/24,S$9&lt;14/24)</formula>
    </cfRule>
    <cfRule type="expression" dxfId="1502" priority="252">
      <formula>S$9&lt;8/24</formula>
    </cfRule>
  </conditionalFormatting>
  <conditionalFormatting sqref="U84:AA84">
    <cfRule type="expression" dxfId="1501" priority="245">
      <formula>U$9&gt;=20/24</formula>
    </cfRule>
    <cfRule type="expression" dxfId="1500" priority="246">
      <formula>AND(U$9&gt;=14/24,U$9&lt;20/24)</formula>
    </cfRule>
    <cfRule type="expression" dxfId="1499" priority="247">
      <formula>AND(U$9&gt;=8/24,U$9&lt;14/24)</formula>
    </cfRule>
    <cfRule type="expression" dxfId="1498" priority="248">
      <formula>U$9&lt;8/24</formula>
    </cfRule>
  </conditionalFormatting>
  <conditionalFormatting sqref="M49:Y49">
    <cfRule type="expression" dxfId="1497" priority="237">
      <formula>M$9&gt;=20/24</formula>
    </cfRule>
    <cfRule type="expression" dxfId="1496" priority="238">
      <formula>AND(M$9&gt;=14/24,M$9&lt;20/24)</formula>
    </cfRule>
    <cfRule type="expression" dxfId="1495" priority="239">
      <formula>AND(M$9&gt;=8/24,M$9&lt;14/24)</formula>
    </cfRule>
    <cfRule type="expression" dxfId="1494" priority="240">
      <formula>M$9&lt;8/24</formula>
    </cfRule>
  </conditionalFormatting>
  <conditionalFormatting sqref="M50:Y50">
    <cfRule type="expression" dxfId="1493" priority="233">
      <formula>M$9&gt;=20/24</formula>
    </cfRule>
    <cfRule type="expression" dxfId="1492" priority="234">
      <formula>AND(M$9&gt;=14/24,M$9&lt;20/24)</formula>
    </cfRule>
    <cfRule type="expression" dxfId="1491" priority="235">
      <formula>AND(M$9&gt;=8/24,M$9&lt;14/24)</formula>
    </cfRule>
    <cfRule type="expression" dxfId="1490" priority="236">
      <formula>M$9&lt;8/24</formula>
    </cfRule>
  </conditionalFormatting>
  <conditionalFormatting sqref="M45:Y48">
    <cfRule type="expression" dxfId="1489" priority="229">
      <formula>M$9&gt;=20/24</formula>
    </cfRule>
    <cfRule type="expression" dxfId="1488" priority="230">
      <formula>AND(M$9&gt;=14/24,M$9&lt;20/24)</formula>
    </cfRule>
    <cfRule type="expression" dxfId="1487" priority="231">
      <formula>AND(M$9&gt;=8/24,M$9&lt;14/24)</formula>
    </cfRule>
    <cfRule type="expression" dxfId="1486" priority="232">
      <formula>M$9&lt;8/24</formula>
    </cfRule>
  </conditionalFormatting>
  <conditionalFormatting sqref="S37:AF37">
    <cfRule type="expression" dxfId="1485" priority="225">
      <formula>S$9&gt;=20/24</formula>
    </cfRule>
    <cfRule type="expression" dxfId="1484" priority="226">
      <formula>AND(S$9&gt;=14/24,S$9&lt;20/24)</formula>
    </cfRule>
    <cfRule type="expression" dxfId="1483" priority="227">
      <formula>AND(S$9&gt;=8/24,S$9&lt;14/24)</formula>
    </cfRule>
    <cfRule type="expression" dxfId="1482" priority="228">
      <formula>S$9&lt;8/24</formula>
    </cfRule>
  </conditionalFormatting>
  <conditionalFormatting sqref="Z35:AF35">
    <cfRule type="expression" dxfId="1481" priority="221">
      <formula>Z$9&gt;=20/24</formula>
    </cfRule>
    <cfRule type="expression" dxfId="1480" priority="222">
      <formula>AND(Z$9&gt;=14/24,Z$9&lt;20/24)</formula>
    </cfRule>
    <cfRule type="expression" dxfId="1479" priority="223">
      <formula>AND(Z$9&gt;=8/24,Z$9&lt;14/24)</formula>
    </cfRule>
    <cfRule type="expression" dxfId="1478" priority="224">
      <formula>Z$9&lt;8/24</formula>
    </cfRule>
  </conditionalFormatting>
  <conditionalFormatting sqref="S42:U43 U43:Y43 S45:AF48">
    <cfRule type="expression" dxfId="1477" priority="217">
      <formula>S$9&gt;=20/24</formula>
    </cfRule>
    <cfRule type="expression" dxfId="1476" priority="218">
      <formula>AND(S$9&gt;=14/24,S$9&lt;20/24)</formula>
    </cfRule>
    <cfRule type="expression" dxfId="1475" priority="219">
      <formula>AND(S$9&gt;=8/24,S$9&lt;14/24)</formula>
    </cfRule>
    <cfRule type="expression" dxfId="1474" priority="220">
      <formula>S$9&lt;8/24</formula>
    </cfRule>
  </conditionalFormatting>
  <conditionalFormatting sqref="S49:AF49">
    <cfRule type="expression" dxfId="1473" priority="213">
      <formula>S$9&gt;=20/24</formula>
    </cfRule>
    <cfRule type="expression" dxfId="1472" priority="214">
      <formula>AND(S$9&gt;=14/24,S$9&lt;20/24)</formula>
    </cfRule>
    <cfRule type="expression" dxfId="1471" priority="215">
      <formula>AND(S$9&gt;=8/24,S$9&lt;14/24)</formula>
    </cfRule>
    <cfRule type="expression" dxfId="1470" priority="216">
      <formula>S$9&lt;8/24</formula>
    </cfRule>
  </conditionalFormatting>
  <conditionalFormatting sqref="S50:AF50">
    <cfRule type="expression" dxfId="1469" priority="209">
      <formula>S$9&gt;=20/24</formula>
    </cfRule>
    <cfRule type="expression" dxfId="1468" priority="210">
      <formula>AND(S$9&gt;=14/24,S$9&lt;20/24)</formula>
    </cfRule>
    <cfRule type="expression" dxfId="1467" priority="211">
      <formula>AND(S$9&gt;=8/24,S$9&lt;14/24)</formula>
    </cfRule>
    <cfRule type="expression" dxfId="1466" priority="212">
      <formula>S$9&lt;8/24</formula>
    </cfRule>
  </conditionalFormatting>
  <conditionalFormatting sqref="S60:T67 X60:AE67">
    <cfRule type="expression" dxfId="1465" priority="205">
      <formula>S$9&gt;=20/24</formula>
    </cfRule>
    <cfRule type="expression" dxfId="1464" priority="206">
      <formula>AND(S$9&gt;=14/24,S$9&lt;20/24)</formula>
    </cfRule>
    <cfRule type="expression" dxfId="1463" priority="207">
      <formula>AND(S$9&gt;=8/24,S$9&lt;14/24)</formula>
    </cfRule>
    <cfRule type="expression" dxfId="1462" priority="208">
      <formula>S$9&lt;8/24</formula>
    </cfRule>
  </conditionalFormatting>
  <conditionalFormatting sqref="H62:I62 I63:I67 J62:N67">
    <cfRule type="expression" dxfId="1461" priority="201">
      <formula>H$9&gt;=20/24</formula>
    </cfRule>
    <cfRule type="expression" dxfId="1460" priority="202">
      <formula>AND(H$9&gt;=14/24,H$9&lt;20/24)</formula>
    </cfRule>
    <cfRule type="expression" dxfId="1459" priority="203">
      <formula>AND(H$9&gt;=8/24,H$9&lt;14/24)</formula>
    </cfRule>
    <cfRule type="expression" dxfId="1458" priority="204">
      <formula>H$9&lt;8/24</formula>
    </cfRule>
  </conditionalFormatting>
  <conditionalFormatting sqref="U94:AA97">
    <cfRule type="expression" dxfId="1457" priority="197">
      <formula>U$9&gt;=20/24</formula>
    </cfRule>
    <cfRule type="expression" dxfId="1456" priority="198">
      <formula>AND(U$9&gt;=14/24,U$9&lt;20/24)</formula>
    </cfRule>
    <cfRule type="expression" dxfId="1455" priority="199">
      <formula>AND(U$9&gt;=8/24,U$9&lt;14/24)</formula>
    </cfRule>
    <cfRule type="expression" dxfId="1454" priority="200">
      <formula>U$9&lt;8/24</formula>
    </cfRule>
  </conditionalFormatting>
  <conditionalFormatting sqref="AG51 C11:O11 B11:B32 C12:L32 B34:L36 N12:O14 Y11:AD11 P11:X14 Y12:Y14 Z34:AD36 Z12:AD32 B37:AD37 AE11:AF32 AE34:AF37 B38:AF56">
    <cfRule type="expression" dxfId="1453" priority="196">
      <formula>B11&gt;$AG11</formula>
    </cfRule>
  </conditionalFormatting>
  <conditionalFormatting sqref="A101:A157 A84:A97 A11:A14 A16:A32 A45:A72 A80:A82 A74:A78 A35:A43 A170:A200">
    <cfRule type="expression" dxfId="1452" priority="195">
      <formula>$AH11=0</formula>
    </cfRule>
  </conditionalFormatting>
  <conditionalFormatting sqref="U98:AA98">
    <cfRule type="expression" dxfId="1451" priority="191">
      <formula>U$9&gt;=20/24</formula>
    </cfRule>
    <cfRule type="expression" dxfId="1450" priority="192">
      <formula>AND(U$9&gt;=14/24,U$9&lt;20/24)</formula>
    </cfRule>
    <cfRule type="expression" dxfId="1449" priority="193">
      <formula>AND(U$9&gt;=8/24,U$9&lt;14/24)</formula>
    </cfRule>
    <cfRule type="expression" dxfId="1448" priority="194">
      <formula>U$9&lt;8/24</formula>
    </cfRule>
  </conditionalFormatting>
  <conditionalFormatting sqref="A98">
    <cfRule type="expression" dxfId="1447" priority="190">
      <formula>$AH98=0</formula>
    </cfRule>
  </conditionalFormatting>
  <conditionalFormatting sqref="H63:H67">
    <cfRule type="expression" dxfId="1446" priority="182">
      <formula>H$9&gt;=20/24</formula>
    </cfRule>
    <cfRule type="expression" dxfId="1445" priority="183">
      <formula>AND(H$9&gt;=14/24,H$9&lt;20/24)</formula>
    </cfRule>
    <cfRule type="expression" dxfId="1444" priority="184">
      <formula>AND(H$9&gt;=8/24,H$9&lt;14/24)</formula>
    </cfRule>
    <cfRule type="expression" dxfId="1443" priority="185">
      <formula>H$9&lt;8/24</formula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Z34:AF34">
    <cfRule type="expression" dxfId="1442" priority="173">
      <formula>Z$9&gt;=20/24</formula>
    </cfRule>
    <cfRule type="expression" dxfId="1441" priority="174">
      <formula>AND(Z$9&gt;=14/24,Z$9&lt;20/24)</formula>
    </cfRule>
    <cfRule type="expression" dxfId="1440" priority="175">
      <formula>AND(Z$9&gt;=8/24,Z$9&lt;14/24)</formula>
    </cfRule>
    <cfRule type="expression" dxfId="1439" priority="176">
      <formula>Z$9&lt;8/24</formula>
    </cfRule>
  </conditionalFormatting>
  <conditionalFormatting sqref="A34">
    <cfRule type="expression" dxfId="1438" priority="164">
      <formula>$AH34=0</formula>
    </cfRule>
  </conditionalFormatting>
  <conditionalFormatting sqref="A83">
    <cfRule type="expression" dxfId="1437" priority="163">
      <formula>$AH83=0</formula>
    </cfRule>
  </conditionalFormatting>
  <conditionalFormatting sqref="Z15:AF15">
    <cfRule type="expression" dxfId="1436" priority="159">
      <formula>Z$9&gt;=20/24</formula>
    </cfRule>
    <cfRule type="expression" dxfId="1435" priority="160">
      <formula>AND(Z$9&gt;=14/24,Z$9&lt;20/24)</formula>
    </cfRule>
    <cfRule type="expression" dxfId="1434" priority="161">
      <formula>AND(Z$9&gt;=8/24,Z$9&lt;14/24)</formula>
    </cfRule>
    <cfRule type="expression" dxfId="1433" priority="162">
      <formula>Z$9&lt;8/24</formula>
    </cfRule>
  </conditionalFormatting>
  <conditionalFormatting sqref="A15">
    <cfRule type="expression" dxfId="1432" priority="153">
      <formula>$AH15=0</formula>
    </cfRule>
  </conditionalFormatting>
  <conditionalFormatting sqref="A164:A169">
    <cfRule type="expression" dxfId="1431" priority="152">
      <formula>$AH164=0</formula>
    </cfRule>
  </conditionalFormatting>
  <conditionalFormatting sqref="A158:A163">
    <cfRule type="expression" dxfId="1430" priority="151">
      <formula>$AH158=0</formula>
    </cfRule>
  </conditionalFormatting>
  <conditionalFormatting sqref="Z44:AE44">
    <cfRule type="expression" dxfId="1429" priority="147">
      <formula>Z$9&gt;=20/24</formula>
    </cfRule>
    <cfRule type="expression" dxfId="1428" priority="148">
      <formula>AND(Z$9&gt;=14/24,Z$9&lt;20/24)</formula>
    </cfRule>
    <cfRule type="expression" dxfId="1427" priority="149">
      <formula>AND(Z$9&gt;=8/24,Z$9&lt;14/24)</formula>
    </cfRule>
    <cfRule type="expression" dxfId="1426" priority="150">
      <formula>Z$9&lt;8/24</formula>
    </cfRule>
  </conditionalFormatting>
  <conditionalFormatting sqref="M44:Y44">
    <cfRule type="expression" dxfId="1425" priority="143">
      <formula>M$9&gt;=20/24</formula>
    </cfRule>
    <cfRule type="expression" dxfId="1424" priority="144">
      <formula>AND(M$9&gt;=14/24,M$9&lt;20/24)</formula>
    </cfRule>
    <cfRule type="expression" dxfId="1423" priority="145">
      <formula>AND(M$9&gt;=8/24,M$9&lt;14/24)</formula>
    </cfRule>
    <cfRule type="expression" dxfId="1422" priority="146">
      <formula>M$9&lt;8/24</formula>
    </cfRule>
  </conditionalFormatting>
  <conditionalFormatting sqref="S44:Y44">
    <cfRule type="expression" dxfId="1421" priority="139">
      <formula>S$9&gt;=20/24</formula>
    </cfRule>
    <cfRule type="expression" dxfId="1420" priority="140">
      <formula>AND(S$9&gt;=14/24,S$9&lt;20/24)</formula>
    </cfRule>
    <cfRule type="expression" dxfId="1419" priority="141">
      <formula>AND(S$9&gt;=8/24,S$9&lt;14/24)</formula>
    </cfRule>
    <cfRule type="expression" dxfId="1418" priority="142">
      <formula>S$9&lt;8/24</formula>
    </cfRule>
  </conditionalFormatting>
  <conditionalFormatting sqref="A44">
    <cfRule type="expression" dxfId="1417" priority="138">
      <formula>$AH44=0</formula>
    </cfRule>
  </conditionalFormatting>
  <conditionalFormatting sqref="A79">
    <cfRule type="expression" dxfId="1416" priority="137">
      <formula>$AH79=0</formula>
    </cfRule>
  </conditionalFormatting>
  <conditionalFormatting sqref="A73">
    <cfRule type="expression" dxfId="1415" priority="136">
      <formula>$AH73=0</formula>
    </cfRule>
  </conditionalFormatting>
  <conditionalFormatting sqref="AL34:AL35 AL7:AL31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414" priority="132">
      <formula>U$9&gt;=20/24</formula>
    </cfRule>
    <cfRule type="expression" dxfId="1413" priority="133">
      <formula>AND(U$9&gt;=14/24,U$9&lt;20/24)</formula>
    </cfRule>
    <cfRule type="expression" dxfId="1412" priority="134">
      <formula>AND(U$9&gt;=8/24,U$9&lt;14/24)</formula>
    </cfRule>
    <cfRule type="expression" dxfId="1411" priority="135">
      <formula>U$9&lt;8/24</formula>
    </cfRule>
  </conditionalFormatting>
  <conditionalFormatting sqref="U85:W91">
    <cfRule type="expression" dxfId="1410" priority="128">
      <formula>U$9&gt;=20/24</formula>
    </cfRule>
    <cfRule type="expression" dxfId="1409" priority="129">
      <formula>AND(U$9&gt;=14/24,U$9&lt;20/24)</formula>
    </cfRule>
    <cfRule type="expression" dxfId="1408" priority="130">
      <formula>AND(U$9&gt;=8/24,U$9&lt;14/24)</formula>
    </cfRule>
    <cfRule type="expression" dxfId="1407" priority="131">
      <formula>U$9&lt;8/24</formula>
    </cfRule>
  </conditionalFormatting>
  <conditionalFormatting sqref="C84:R91 S85:T91">
    <cfRule type="expression" dxfId="1406" priority="124">
      <formula>C$9&gt;=20/24</formula>
    </cfRule>
    <cfRule type="expression" dxfId="1405" priority="125">
      <formula>AND(C$9&gt;=14/24,C$9&lt;20/24)</formula>
    </cfRule>
    <cfRule type="expression" dxfId="1404" priority="126">
      <formula>AND(C$9&gt;=8/24,C$9&lt;14/24)</formula>
    </cfRule>
    <cfRule type="expression" dxfId="1403" priority="127">
      <formula>C$9&lt;8/24</formula>
    </cfRule>
  </conditionalFormatting>
  <conditionalFormatting sqref="S84:T84">
    <cfRule type="expression" dxfId="1402" priority="120">
      <formula>S$9&gt;=20/24</formula>
    </cfRule>
    <cfRule type="expression" dxfId="1401" priority="121">
      <formula>AND(S$9&gt;=14/24,S$9&lt;20/24)</formula>
    </cfRule>
    <cfRule type="expression" dxfId="1400" priority="122">
      <formula>AND(S$9&gt;=8/24,S$9&lt;14/24)</formula>
    </cfRule>
    <cfRule type="expression" dxfId="1399" priority="123">
      <formula>S$9&lt;8/24</formula>
    </cfRule>
  </conditionalFormatting>
  <conditionalFormatting sqref="C95:M97 C94:F94">
    <cfRule type="expression" dxfId="1398" priority="116">
      <formula>C$9&gt;=20/24</formula>
    </cfRule>
    <cfRule type="expression" dxfId="1397" priority="117">
      <formula>AND(C$9&gt;=14/24,C$9&lt;20/24)</formula>
    </cfRule>
    <cfRule type="expression" dxfId="1396" priority="118">
      <formula>AND(C$9&gt;=8/24,C$9&lt;14/24)</formula>
    </cfRule>
    <cfRule type="expression" dxfId="1395" priority="119">
      <formula>C$9&lt;8/24</formula>
    </cfRule>
  </conditionalFormatting>
  <conditionalFormatting sqref="N95:R97 O94:R94">
    <cfRule type="expression" dxfId="1394" priority="112">
      <formula>N$9&gt;=20/24</formula>
    </cfRule>
    <cfRule type="expression" dxfId="1393" priority="113">
      <formula>AND(N$9&gt;=14/24,N$9&lt;20/24)</formula>
    </cfRule>
    <cfRule type="expression" dxfId="1392" priority="114">
      <formula>AND(N$9&gt;=8/24,N$9&lt;14/24)</formula>
    </cfRule>
    <cfRule type="expression" dxfId="1391" priority="115">
      <formula>N$9&lt;8/24</formula>
    </cfRule>
  </conditionalFormatting>
  <conditionalFormatting sqref="S94:T97">
    <cfRule type="expression" dxfId="1390" priority="108">
      <formula>S$9&gt;=20/24</formula>
    </cfRule>
    <cfRule type="expression" dxfId="1389" priority="109">
      <formula>AND(S$9&gt;=14/24,S$9&lt;20/24)</formula>
    </cfRule>
    <cfRule type="expression" dxfId="1388" priority="110">
      <formula>AND(S$9&gt;=8/24,S$9&lt;14/24)</formula>
    </cfRule>
    <cfRule type="expression" dxfId="1387" priority="111">
      <formula>S$9&lt;8/24</formula>
    </cfRule>
  </conditionalFormatting>
  <conditionalFormatting sqref="C98:M98">
    <cfRule type="expression" dxfId="1386" priority="104">
      <formula>C$9&gt;=20/24</formula>
    </cfRule>
    <cfRule type="expression" dxfId="1385" priority="105">
      <formula>AND(C$9&gt;=14/24,C$9&lt;20/24)</formula>
    </cfRule>
    <cfRule type="expression" dxfId="1384" priority="106">
      <formula>AND(C$9&gt;=8/24,C$9&lt;14/24)</formula>
    </cfRule>
    <cfRule type="expression" dxfId="1383" priority="107">
      <formula>C$9&lt;8/24</formula>
    </cfRule>
  </conditionalFormatting>
  <conditionalFormatting sqref="N98:R98">
    <cfRule type="expression" dxfId="1382" priority="100">
      <formula>N$9&gt;=20/24</formula>
    </cfRule>
    <cfRule type="expression" dxfId="1381" priority="101">
      <formula>AND(N$9&gt;=14/24,N$9&lt;20/24)</formula>
    </cfRule>
    <cfRule type="expression" dxfId="1380" priority="102">
      <formula>AND(N$9&gt;=8/24,N$9&lt;14/24)</formula>
    </cfRule>
    <cfRule type="expression" dxfId="1379" priority="103">
      <formula>N$9&lt;8/24</formula>
    </cfRule>
  </conditionalFormatting>
  <conditionalFormatting sqref="S98:T98">
    <cfRule type="expression" dxfId="1378" priority="96">
      <formula>S$9&gt;=20/24</formula>
    </cfRule>
    <cfRule type="expression" dxfId="1377" priority="97">
      <formula>AND(S$9&gt;=14/24,S$9&lt;20/24)</formula>
    </cfRule>
    <cfRule type="expression" dxfId="1376" priority="98">
      <formula>AND(S$9&gt;=8/24,S$9&lt;14/24)</formula>
    </cfRule>
    <cfRule type="expression" dxfId="1375" priority="99">
      <formula>S$9&lt;8/24</formula>
    </cfRule>
  </conditionalFormatting>
  <conditionalFormatting sqref="M94:N94">
    <cfRule type="expression" dxfId="1374" priority="92">
      <formula>M$9&gt;=20/24</formula>
    </cfRule>
    <cfRule type="expression" dxfId="1373" priority="93">
      <formula>AND(M$9&gt;=14/24,M$9&lt;20/24)</formula>
    </cfRule>
    <cfRule type="expression" dxfId="1372" priority="94">
      <formula>AND(M$9&gt;=8/24,M$9&lt;14/24)</formula>
    </cfRule>
    <cfRule type="expression" dxfId="1371" priority="95">
      <formula>M$9&lt;8/24</formula>
    </cfRule>
  </conditionalFormatting>
  <conditionalFormatting sqref="G94:L94">
    <cfRule type="expression" dxfId="1370" priority="88">
      <formula>G$9&gt;=20/24</formula>
    </cfRule>
    <cfRule type="expression" dxfId="1369" priority="89">
      <formula>AND(G$9&gt;=14/24,G$9&lt;20/24)</formula>
    </cfRule>
    <cfRule type="expression" dxfId="1368" priority="90">
      <formula>AND(G$9&gt;=8/24,G$9&lt;14/24)</formula>
    </cfRule>
    <cfRule type="expression" dxfId="1367" priority="91">
      <formula>G$9&lt;8/24</formula>
    </cfRule>
  </conditionalFormatting>
  <conditionalFormatting sqref="U94:W94">
    <cfRule type="expression" dxfId="1366" priority="84">
      <formula>U$9&gt;=20/24</formula>
    </cfRule>
    <cfRule type="expression" dxfId="1365" priority="85">
      <formula>AND(U$9&gt;=14/24,U$9&lt;20/24)</formula>
    </cfRule>
    <cfRule type="expression" dxfId="1364" priority="86">
      <formula>AND(U$9&gt;=8/24,U$9&lt;14/24)</formula>
    </cfRule>
    <cfRule type="expression" dxfId="1363" priority="87">
      <formula>U$9&lt;8/24</formula>
    </cfRule>
  </conditionalFormatting>
  <conditionalFormatting sqref="N94:T94">
    <cfRule type="expression" dxfId="1362" priority="80">
      <formula>N$9&gt;=20/24</formula>
    </cfRule>
    <cfRule type="expression" dxfId="1361" priority="81">
      <formula>AND(N$9&gt;=14/24,N$9&lt;20/24)</formula>
    </cfRule>
    <cfRule type="expression" dxfId="1360" priority="82">
      <formula>AND(N$9&gt;=8/24,N$9&lt;14/24)</formula>
    </cfRule>
    <cfRule type="expression" dxfId="1359" priority="83">
      <formula>N$9&lt;8/24</formula>
    </cfRule>
  </conditionalFormatting>
  <conditionalFormatting sqref="U99:AA100">
    <cfRule type="expression" dxfId="1358" priority="76">
      <formula>U$9&gt;=20/24</formula>
    </cfRule>
    <cfRule type="expression" dxfId="1357" priority="77">
      <formula>AND(U$9&gt;=14/24,U$9&lt;20/24)</formula>
    </cfRule>
    <cfRule type="expression" dxfId="1356" priority="78">
      <formula>AND(U$9&gt;=8/24,U$9&lt;14/24)</formula>
    </cfRule>
    <cfRule type="expression" dxfId="1355" priority="79">
      <formula>U$9&lt;8/24</formula>
    </cfRule>
  </conditionalFormatting>
  <conditionalFormatting sqref="C99:M100">
    <cfRule type="expression" dxfId="1354" priority="72">
      <formula>C$9&gt;=20/24</formula>
    </cfRule>
    <cfRule type="expression" dxfId="1353" priority="73">
      <formula>AND(C$9&gt;=14/24,C$9&lt;20/24)</formula>
    </cfRule>
    <cfRule type="expression" dxfId="1352" priority="74">
      <formula>AND(C$9&gt;=8/24,C$9&lt;14/24)</formula>
    </cfRule>
    <cfRule type="expression" dxfId="1351" priority="75">
      <formula>C$9&lt;8/24</formula>
    </cfRule>
  </conditionalFormatting>
  <conditionalFormatting sqref="N99:R100">
    <cfRule type="expression" dxfId="1350" priority="68">
      <formula>N$9&gt;=20/24</formula>
    </cfRule>
    <cfRule type="expression" dxfId="1349" priority="69">
      <formula>AND(N$9&gt;=14/24,N$9&lt;20/24)</formula>
    </cfRule>
    <cfRule type="expression" dxfId="1348" priority="70">
      <formula>AND(N$9&gt;=8/24,N$9&lt;14/24)</formula>
    </cfRule>
    <cfRule type="expression" dxfId="1347" priority="71">
      <formula>N$9&lt;8/24</formula>
    </cfRule>
  </conditionalFormatting>
  <conditionalFormatting sqref="S99:T100">
    <cfRule type="expression" dxfId="1346" priority="64">
      <formula>S$9&gt;=20/24</formula>
    </cfRule>
    <cfRule type="expression" dxfId="1345" priority="65">
      <formula>AND(S$9&gt;=14/24,S$9&lt;20/24)</formula>
    </cfRule>
    <cfRule type="expression" dxfId="1344" priority="66">
      <formula>AND(S$9&gt;=8/24,S$9&lt;14/24)</formula>
    </cfRule>
    <cfRule type="expression" dxfId="1343" priority="67">
      <formula>S$9&lt;8/24</formula>
    </cfRule>
  </conditionalFormatting>
  <conditionalFormatting sqref="AB58:AE59">
    <cfRule type="expression" dxfId="1342" priority="48">
      <formula>AB$9&gt;=20/24</formula>
    </cfRule>
    <cfRule type="expression" dxfId="1341" priority="49">
      <formula>AND(AB$9&gt;=14/24,AB$9&lt;20/24)</formula>
    </cfRule>
    <cfRule type="expression" dxfId="1340" priority="50">
      <formula>AND(AB$9&gt;=8/24,AB$9&lt;14/24)</formula>
    </cfRule>
    <cfRule type="expression" dxfId="1339" priority="51">
      <formula>AB$9&lt;8/24</formula>
    </cfRule>
  </conditionalFormatting>
  <conditionalFormatting sqref="AL33">
    <cfRule type="iconSet" priority="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38" priority="281">
      <formula>C$9&gt;=20/24</formula>
    </cfRule>
    <cfRule type="expression" dxfId="1337" priority="282">
      <formula>AND(C$9&gt;=14/24,C$9&lt;20/24)</formula>
    </cfRule>
    <cfRule type="expression" dxfId="1336" priority="283">
      <formula>AND(C$9&gt;=8/24,C$9&lt;14/24)</formula>
    </cfRule>
    <cfRule type="expression" dxfId="1335" priority="284">
      <formula>C$9&lt;8/24</formula>
    </cfRule>
  </conditionalFormatting>
  <conditionalFormatting sqref="A201">
    <cfRule type="expression" dxfId="1334" priority="285">
      <formula>$AH201=0</formula>
    </cfRule>
  </conditionalFormatting>
  <conditionalFormatting sqref="AG213">
    <cfRule type="expression" dxfId="1333" priority="286">
      <formula>B$9&gt;=20/24</formula>
    </cfRule>
    <cfRule type="expression" dxfId="1332" priority="287">
      <formula>AND(B$9&gt;=14/24,B$9&lt;20/24)</formula>
    </cfRule>
    <cfRule type="expression" dxfId="1331" priority="288">
      <formula>AND(B$9&gt;=8/24,B$9&lt;14/24)</formula>
    </cfRule>
    <cfRule type="expression" dxfId="1330" priority="289">
      <formula>B$9&lt;8/24</formula>
    </cfRule>
  </conditionalFormatting>
  <conditionalFormatting sqref="S8">
    <cfRule type="expression" dxfId="1329" priority="42">
      <formula>U$9&gt;=20/24</formula>
    </cfRule>
    <cfRule type="expression" dxfId="1328" priority="43">
      <formula>AND(U$9&gt;=14/24,U$9&lt;20/24)</formula>
    </cfRule>
    <cfRule type="expression" dxfId="1327" priority="44">
      <formula>AND(U$9&gt;=8/24,U$9&lt;14/24)</formula>
    </cfRule>
    <cfRule type="expression" dxfId="1326" priority="45">
      <formula>U$9&lt;8/24</formula>
    </cfRule>
  </conditionalFormatting>
  <conditionalFormatting sqref="AB8">
    <cfRule type="expression" dxfId="1325" priority="38">
      <formula>AD$9&gt;=20/24</formula>
    </cfRule>
    <cfRule type="expression" dxfId="1324" priority="39">
      <formula>AND(AD$9&gt;=14/24,AD$9&lt;20/24)</formula>
    </cfRule>
    <cfRule type="expression" dxfId="1323" priority="40">
      <formula>AND(AD$9&gt;=8/24,AD$9&lt;14/24)</formula>
    </cfRule>
    <cfRule type="expression" dxfId="1322" priority="41">
      <formula>AD$9&lt;8/24</formula>
    </cfRule>
  </conditionalFormatting>
  <conditionalFormatting sqref="AH213:AX213">
    <cfRule type="expression" dxfId="1321" priority="290">
      <formula>AG$9&gt;=20/24</formula>
    </cfRule>
    <cfRule type="expression" dxfId="1320" priority="291">
      <formula>AND(AG$9&gt;=14/24,AG$9&lt;20/24)</formula>
    </cfRule>
    <cfRule type="expression" dxfId="1319" priority="292">
      <formula>AND(AG$9&gt;=8/24,AG$9&lt;14/24)</formula>
    </cfRule>
    <cfRule type="expression" dxfId="1318" priority="293">
      <formula>AG$9&lt;8/24</formula>
    </cfRule>
  </conditionalFormatting>
  <conditionalFormatting sqref="T213">
    <cfRule type="expression" dxfId="1317" priority="294">
      <formula>AX$9&gt;=20/24</formula>
    </cfRule>
    <cfRule type="expression" dxfId="1316" priority="295">
      <formula>AND(AX$9&gt;=14/24,AX$9&lt;20/24)</formula>
    </cfRule>
    <cfRule type="expression" dxfId="1315" priority="296">
      <formula>AND(AX$9&gt;=8/24,AX$9&lt;14/24)</formula>
    </cfRule>
    <cfRule type="expression" dxfId="1314" priority="297">
      <formula>AX$9&lt;8/24</formula>
    </cfRule>
  </conditionalFormatting>
  <conditionalFormatting sqref="A99:A100">
    <cfRule type="expression" dxfId="1313" priority="37">
      <formula>$AH99=0</formula>
    </cfRule>
  </conditionalFormatting>
  <conditionalFormatting sqref="Z33:AF33">
    <cfRule type="expression" dxfId="1312" priority="29">
      <formula>Z$9&gt;=20/24</formula>
    </cfRule>
    <cfRule type="expression" dxfId="1311" priority="30">
      <formula>AND(Z$9&gt;=14/24,Z$9&lt;20/24)</formula>
    </cfRule>
    <cfRule type="expression" dxfId="1310" priority="31">
      <formula>AND(Z$9&gt;=8/24,Z$9&lt;14/24)</formula>
    </cfRule>
    <cfRule type="expression" dxfId="1309" priority="32">
      <formula>Z$9&lt;8/24</formula>
    </cfRule>
  </conditionalFormatting>
  <conditionalFormatting sqref="B33:L33 Z33:AF33">
    <cfRule type="expression" dxfId="1308" priority="24">
      <formula>B33&gt;$AG33</formula>
    </cfRule>
  </conditionalFormatting>
  <conditionalFormatting sqref="M12:M14 M36:Y36 M16:Y32">
    <cfRule type="expression" dxfId="1307" priority="20">
      <formula>M$9&gt;=20/24</formula>
    </cfRule>
    <cfRule type="expression" dxfId="1306" priority="21">
      <formula>AND(M$9&gt;=14/24,M$9&lt;20/24)</formula>
    </cfRule>
    <cfRule type="expression" dxfId="1305" priority="22">
      <formula>AND(M$9&gt;=8/24,M$9&lt;14/24)</formula>
    </cfRule>
    <cfRule type="expression" dxfId="1304" priority="23">
      <formula>M$9&lt;8/24</formula>
    </cfRule>
  </conditionalFormatting>
  <conditionalFormatting sqref="M35:Y35">
    <cfRule type="expression" dxfId="1303" priority="16">
      <formula>M$9&gt;=20/24</formula>
    </cfRule>
    <cfRule type="expression" dxfId="1302" priority="17">
      <formula>AND(M$9&gt;=14/24,M$9&lt;20/24)</formula>
    </cfRule>
    <cfRule type="expression" dxfId="1301" priority="18">
      <formula>AND(M$9&gt;=8/24,M$9&lt;14/24)</formula>
    </cfRule>
    <cfRule type="expression" dxfId="1300" priority="19">
      <formula>M$9&lt;8/24</formula>
    </cfRule>
  </conditionalFormatting>
  <conditionalFormatting sqref="M12:M14 M34:Y36 M16:Y32">
    <cfRule type="expression" dxfId="1299" priority="15">
      <formula>M12&gt;$AG12</formula>
    </cfRule>
  </conditionalFormatting>
  <conditionalFormatting sqref="M34:Y34">
    <cfRule type="expression" dxfId="1298" priority="11">
      <formula>M$9&gt;=20/24</formula>
    </cfRule>
    <cfRule type="expression" dxfId="1297" priority="12">
      <formula>AND(M$9&gt;=14/24,M$9&lt;20/24)</formula>
    </cfRule>
    <cfRule type="expression" dxfId="1296" priority="13">
      <formula>AND(M$9&gt;=8/24,M$9&lt;14/24)</formula>
    </cfRule>
    <cfRule type="expression" dxfId="1295" priority="14">
      <formula>M$9&lt;8/24</formula>
    </cfRule>
  </conditionalFormatting>
  <conditionalFormatting sqref="M15:Y15">
    <cfRule type="expression" dxfId="1294" priority="7">
      <formula>M$9&gt;=20/24</formula>
    </cfRule>
    <cfRule type="expression" dxfId="1293" priority="8">
      <formula>AND(M$9&gt;=14/24,M$9&lt;20/24)</formula>
    </cfRule>
    <cfRule type="expression" dxfId="1292" priority="9">
      <formula>AND(M$9&gt;=8/24,M$9&lt;14/24)</formula>
    </cfRule>
    <cfRule type="expression" dxfId="1291" priority="10">
      <formula>M$9&lt;8/24</formula>
    </cfRule>
  </conditionalFormatting>
  <conditionalFormatting sqref="M15:Y15">
    <cfRule type="expression" dxfId="1290" priority="6">
      <formula>M15&gt;$AG15</formula>
    </cfRule>
  </conditionalFormatting>
  <conditionalFormatting sqref="M33:Y33">
    <cfRule type="expression" dxfId="1289" priority="2">
      <formula>M$9&gt;=20/24</formula>
    </cfRule>
    <cfRule type="expression" dxfId="1288" priority="3">
      <formula>AND(M$9&gt;=14/24,M$9&lt;20/24)</formula>
    </cfRule>
    <cfRule type="expression" dxfId="1287" priority="4">
      <formula>AND(M$9&gt;=8/24,M$9&lt;14/24)</formula>
    </cfRule>
    <cfRule type="expression" dxfId="1286" priority="5">
      <formula>M$9&lt;8/24</formula>
    </cfRule>
  </conditionalFormatting>
  <conditionalFormatting sqref="M33:Y33">
    <cfRule type="expression" dxfId="1285" priority="1">
      <formula>M33&gt;$AG33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" id="{A038A3EB-328D-474B-B72D-D5502DBDF88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S44" sqref="S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2078/11/28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313.5</v>
      </c>
      <c r="C5" s="32">
        <f t="shared" si="0"/>
        <v>507.8</v>
      </c>
      <c r="D5" s="32">
        <f t="shared" si="0"/>
        <v>511.1</v>
      </c>
      <c r="E5" s="32">
        <f t="shared" si="0"/>
        <v>504.6</v>
      </c>
      <c r="F5" s="32">
        <f t="shared" si="0"/>
        <v>527.5</v>
      </c>
      <c r="G5" s="32">
        <f t="shared" si="0"/>
        <v>306.32</v>
      </c>
      <c r="H5" s="32">
        <f t="shared" si="0"/>
        <v>273</v>
      </c>
      <c r="I5" s="32">
        <f t="shared" si="0"/>
        <v>306.20000000000005</v>
      </c>
      <c r="J5" s="32">
        <f t="shared" si="0"/>
        <v>337.79999999999995</v>
      </c>
      <c r="K5" s="32">
        <f t="shared" si="0"/>
        <v>328.7</v>
      </c>
      <c r="L5" s="32">
        <f t="shared" si="0"/>
        <v>326.10000000000002</v>
      </c>
      <c r="M5" s="32">
        <f t="shared" si="0"/>
        <v>366.4</v>
      </c>
      <c r="N5" s="32">
        <f t="shared" si="0"/>
        <v>627.1</v>
      </c>
      <c r="O5" s="32">
        <f t="shared" si="0"/>
        <v>625.88</v>
      </c>
      <c r="P5" s="32">
        <f t="shared" si="0"/>
        <v>598.70000000000005</v>
      </c>
      <c r="Q5" s="32">
        <f t="shared" si="0"/>
        <v>593.70000000000005</v>
      </c>
      <c r="R5" s="32">
        <f t="shared" si="0"/>
        <v>587.5</v>
      </c>
      <c r="S5" s="32">
        <f t="shared" si="0"/>
        <v>590.9</v>
      </c>
      <c r="T5" s="32">
        <f t="shared" si="0"/>
        <v>568.16</v>
      </c>
      <c r="U5" s="32">
        <f t="shared" si="0"/>
        <v>295.87</v>
      </c>
      <c r="V5" s="32">
        <f t="shared" si="0"/>
        <v>310.84000000000003</v>
      </c>
      <c r="W5" s="32">
        <f t="shared" si="0"/>
        <v>340.1</v>
      </c>
      <c r="X5" s="32">
        <f t="shared" si="0"/>
        <v>323.07000000000005</v>
      </c>
      <c r="Y5" s="32">
        <f t="shared" si="0"/>
        <v>288.60000000000002</v>
      </c>
      <c r="Z5" s="32">
        <f t="shared" si="0"/>
        <v>267.77999999999997</v>
      </c>
      <c r="AA5" s="32">
        <f t="shared" si="0"/>
        <v>311.24</v>
      </c>
      <c r="AB5" s="32">
        <f t="shared" si="0"/>
        <v>304.8</v>
      </c>
      <c r="AC5" s="32">
        <f t="shared" si="0"/>
        <v>338.9</v>
      </c>
      <c r="AD5" s="32">
        <f t="shared" si="0"/>
        <v>342.3</v>
      </c>
      <c r="AE5" s="32">
        <f t="shared" si="0"/>
        <v>315.49</v>
      </c>
      <c r="AF5" s="32">
        <f>B68</f>
        <v>601.6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1357MW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Load=961</v>
      </c>
      <c r="B7" s="37">
        <f>B75</f>
        <v>1059.24</v>
      </c>
      <c r="C7" s="37">
        <f t="shared" ref="C7:AF7" si="1">C75</f>
        <v>960.94</v>
      </c>
      <c r="D7" s="37">
        <f t="shared" si="1"/>
        <v>977.74</v>
      </c>
      <c r="E7" s="37">
        <f t="shared" si="1"/>
        <v>979.43999999999994</v>
      </c>
      <c r="F7" s="37">
        <f t="shared" si="1"/>
        <v>973.24</v>
      </c>
      <c r="G7" s="37">
        <f t="shared" si="1"/>
        <v>1023.24</v>
      </c>
      <c r="H7" s="37">
        <f t="shared" si="1"/>
        <v>1068.26</v>
      </c>
      <c r="I7" s="37">
        <f t="shared" si="1"/>
        <v>1124.1399999999999</v>
      </c>
      <c r="J7" s="37">
        <f t="shared" si="1"/>
        <v>1204.1400000000001</v>
      </c>
      <c r="K7" s="37">
        <f t="shared" si="1"/>
        <v>1260.44</v>
      </c>
      <c r="L7" s="37">
        <f t="shared" si="1"/>
        <v>1356.8400000000001</v>
      </c>
      <c r="M7" s="37">
        <f t="shared" si="1"/>
        <v>1333.94</v>
      </c>
      <c r="N7" s="37">
        <f t="shared" si="1"/>
        <v>1328.44</v>
      </c>
      <c r="O7" s="37">
        <f t="shared" si="1"/>
        <v>1289.74</v>
      </c>
      <c r="P7" s="37">
        <f t="shared" si="1"/>
        <v>1233.02</v>
      </c>
      <c r="Q7" s="37">
        <f t="shared" si="1"/>
        <v>1167.8400000000001</v>
      </c>
      <c r="R7" s="37">
        <f t="shared" si="1"/>
        <v>1148.54</v>
      </c>
      <c r="S7" s="37">
        <f t="shared" si="1"/>
        <v>1129.44</v>
      </c>
      <c r="T7" s="37">
        <f t="shared" si="1"/>
        <v>1128.44</v>
      </c>
      <c r="U7" s="37">
        <f t="shared" si="1"/>
        <v>1142.9000000000001</v>
      </c>
      <c r="V7" s="37">
        <f t="shared" si="1"/>
        <v>1110.9100000000001</v>
      </c>
      <c r="W7" s="37">
        <f t="shared" si="1"/>
        <v>1134.8799999999999</v>
      </c>
      <c r="X7" s="37">
        <f t="shared" si="1"/>
        <v>1223.94</v>
      </c>
      <c r="Y7" s="37">
        <f t="shared" si="1"/>
        <v>1401.91</v>
      </c>
      <c r="Z7" s="37">
        <f t="shared" si="1"/>
        <v>1474.1400000000003</v>
      </c>
      <c r="AA7" s="37">
        <f t="shared" si="1"/>
        <v>1357.02</v>
      </c>
      <c r="AB7" s="37">
        <f t="shared" si="1"/>
        <v>1292.3799999999999</v>
      </c>
      <c r="AC7" s="37">
        <f t="shared" si="1"/>
        <v>1250.94</v>
      </c>
      <c r="AD7" s="37">
        <f t="shared" si="1"/>
        <v>1178.8399999999999</v>
      </c>
      <c r="AE7" s="37">
        <f t="shared" si="1"/>
        <v>1091.74</v>
      </c>
      <c r="AF7" s="37">
        <f t="shared" si="1"/>
        <v>997.53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12</v>
      </c>
      <c r="C11" s="50">
        <v>100</v>
      </c>
      <c r="D11" s="49">
        <v>12</v>
      </c>
      <c r="E11" s="49">
        <v>10</v>
      </c>
      <c r="F11" s="49">
        <v>10</v>
      </c>
      <c r="G11" s="49">
        <v>10</v>
      </c>
      <c r="H11" s="49">
        <v>200</v>
      </c>
      <c r="I11" s="49">
        <v>200</v>
      </c>
      <c r="J11" s="49">
        <v>200</v>
      </c>
      <c r="K11" s="49">
        <v>150</v>
      </c>
      <c r="L11" s="49">
        <v>220</v>
      </c>
      <c r="M11" s="50">
        <v>200</v>
      </c>
      <c r="N11" s="50">
        <v>180</v>
      </c>
      <c r="O11" s="50">
        <v>20</v>
      </c>
      <c r="P11" s="50">
        <v>12</v>
      </c>
      <c r="Q11" s="50">
        <v>12</v>
      </c>
      <c r="R11" s="50">
        <v>12</v>
      </c>
      <c r="S11" s="50">
        <v>12</v>
      </c>
      <c r="T11" s="50">
        <v>12</v>
      </c>
      <c r="U11" s="50">
        <v>12</v>
      </c>
      <c r="V11" s="50">
        <v>152</v>
      </c>
      <c r="W11" s="50">
        <v>162</v>
      </c>
      <c r="X11" s="50">
        <v>182</v>
      </c>
      <c r="Y11" s="50">
        <v>228</v>
      </c>
      <c r="Z11" s="52">
        <v>334</v>
      </c>
      <c r="AA11" s="50">
        <v>280</v>
      </c>
      <c r="AB11" s="50">
        <v>230</v>
      </c>
      <c r="AC11" s="50">
        <v>190</v>
      </c>
      <c r="AD11" s="50">
        <v>120</v>
      </c>
      <c r="AE11" s="50">
        <v>50</v>
      </c>
      <c r="AF11" s="50">
        <v>30</v>
      </c>
      <c r="AG11" s="53">
        <v>456</v>
      </c>
      <c r="AH11" s="54">
        <f>MAX(B11:AF11)</f>
        <v>334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0">
        <v>31</v>
      </c>
      <c r="C12" s="50">
        <v>31</v>
      </c>
      <c r="D12" s="50">
        <v>31</v>
      </c>
      <c r="E12" s="50">
        <v>31</v>
      </c>
      <c r="F12" s="50">
        <v>31</v>
      </c>
      <c r="G12" s="50">
        <v>31</v>
      </c>
      <c r="H12" s="50">
        <v>31</v>
      </c>
      <c r="I12" s="50">
        <v>31</v>
      </c>
      <c r="J12" s="50">
        <v>31</v>
      </c>
      <c r="K12" s="50">
        <v>31</v>
      </c>
      <c r="L12" s="50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49">
        <v>31</v>
      </c>
      <c r="AA12" s="49">
        <v>31</v>
      </c>
      <c r="AB12" s="49">
        <v>31</v>
      </c>
      <c r="AC12" s="49">
        <v>31</v>
      </c>
      <c r="AD12" s="49">
        <v>31</v>
      </c>
      <c r="AE12" s="49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16.7</v>
      </c>
      <c r="C13" s="50">
        <v>16.8</v>
      </c>
      <c r="D13" s="50">
        <v>17.100000000000001</v>
      </c>
      <c r="E13" s="50">
        <v>17.100000000000001</v>
      </c>
      <c r="F13" s="50">
        <v>17.100000000000001</v>
      </c>
      <c r="G13" s="50">
        <v>17.100000000000001</v>
      </c>
      <c r="H13" s="50">
        <v>17.100000000000001</v>
      </c>
      <c r="I13" s="50">
        <v>17.100000000000001</v>
      </c>
      <c r="J13" s="50">
        <v>17.100000000000001</v>
      </c>
      <c r="K13" s="50">
        <v>17.100000000000001</v>
      </c>
      <c r="L13" s="50">
        <v>17.100000000000001</v>
      </c>
      <c r="M13" s="50">
        <v>17.100000000000001</v>
      </c>
      <c r="N13" s="50">
        <v>17.100000000000001</v>
      </c>
      <c r="O13" s="50">
        <v>17.100000000000001</v>
      </c>
      <c r="P13" s="50">
        <v>17.100000000000001</v>
      </c>
      <c r="Q13" s="49">
        <v>17.2</v>
      </c>
      <c r="R13" s="49">
        <v>17.2</v>
      </c>
      <c r="S13" s="58">
        <v>16.2</v>
      </c>
      <c r="T13" s="58">
        <v>14.5</v>
      </c>
      <c r="U13" s="58">
        <v>15.1</v>
      </c>
      <c r="V13" s="58">
        <v>13.3</v>
      </c>
      <c r="W13" s="58">
        <v>13.2</v>
      </c>
      <c r="X13" s="58">
        <v>15.8</v>
      </c>
      <c r="Y13" s="58">
        <v>15</v>
      </c>
      <c r="Z13" s="50">
        <v>15.1</v>
      </c>
      <c r="AA13" s="50">
        <v>15.1</v>
      </c>
      <c r="AB13" s="50">
        <v>15.1</v>
      </c>
      <c r="AC13" s="50">
        <v>15.1</v>
      </c>
      <c r="AD13" s="50">
        <v>15.1</v>
      </c>
      <c r="AE13" s="50">
        <v>16.5</v>
      </c>
      <c r="AF13" s="50">
        <v>16.600000000000001</v>
      </c>
      <c r="AG13" s="59">
        <v>52.4</v>
      </c>
      <c r="AH13" s="54">
        <f t="shared" si="2"/>
        <v>17.2</v>
      </c>
      <c r="AI13" s="55">
        <f t="shared" si="3"/>
        <v>13.2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33.9</v>
      </c>
      <c r="C14" s="50">
        <v>34</v>
      </c>
      <c r="D14" s="50">
        <v>33.6</v>
      </c>
      <c r="E14" s="50">
        <v>33.6</v>
      </c>
      <c r="F14" s="50">
        <v>33.6</v>
      </c>
      <c r="G14" s="50">
        <v>33.6</v>
      </c>
      <c r="H14" s="50">
        <v>33.6</v>
      </c>
      <c r="I14" s="50">
        <v>33.6</v>
      </c>
      <c r="J14" s="50">
        <v>33.6</v>
      </c>
      <c r="K14" s="50">
        <v>33.6</v>
      </c>
      <c r="L14" s="50">
        <v>33.6</v>
      </c>
      <c r="M14" s="50">
        <v>33.6</v>
      </c>
      <c r="N14" s="50">
        <v>33.6</v>
      </c>
      <c r="O14" s="50">
        <v>33.6</v>
      </c>
      <c r="P14" s="50">
        <v>33.6</v>
      </c>
      <c r="Q14" s="50">
        <v>34.6</v>
      </c>
      <c r="R14" s="50">
        <v>34.6</v>
      </c>
      <c r="S14" s="60">
        <v>34.6</v>
      </c>
      <c r="T14" s="60">
        <v>34.700000000000003</v>
      </c>
      <c r="U14" s="60">
        <v>34.299999999999997</v>
      </c>
      <c r="V14" s="60">
        <v>34.4</v>
      </c>
      <c r="W14" s="60">
        <v>31</v>
      </c>
      <c r="X14" s="60">
        <v>34.5</v>
      </c>
      <c r="Y14" s="60">
        <v>35.200000000000003</v>
      </c>
      <c r="Z14" s="50">
        <v>34.4</v>
      </c>
      <c r="AA14" s="50">
        <v>31</v>
      </c>
      <c r="AB14" s="50">
        <v>31</v>
      </c>
      <c r="AC14" s="50">
        <v>31</v>
      </c>
      <c r="AD14" s="50">
        <v>31</v>
      </c>
      <c r="AE14" s="50">
        <v>33.799999999999997</v>
      </c>
      <c r="AF14" s="50">
        <v>35.1</v>
      </c>
      <c r="AG14" s="59">
        <v>50</v>
      </c>
      <c r="AH14" s="54">
        <f t="shared" si="2"/>
        <v>35.200000000000003</v>
      </c>
      <c r="AI14" s="55">
        <f t="shared" si="3"/>
        <v>31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22</v>
      </c>
      <c r="C15" s="50">
        <v>22</v>
      </c>
      <c r="D15" s="50">
        <v>22</v>
      </c>
      <c r="E15" s="50">
        <v>22</v>
      </c>
      <c r="F15" s="50">
        <v>22</v>
      </c>
      <c r="G15" s="50">
        <v>22</v>
      </c>
      <c r="H15" s="50">
        <v>22</v>
      </c>
      <c r="I15" s="50">
        <v>22</v>
      </c>
      <c r="J15" s="50">
        <v>22</v>
      </c>
      <c r="K15" s="50">
        <v>22</v>
      </c>
      <c r="L15" s="50">
        <v>22</v>
      </c>
      <c r="M15" s="50">
        <v>22</v>
      </c>
      <c r="N15" s="50">
        <v>22</v>
      </c>
      <c r="O15" s="50">
        <v>22</v>
      </c>
      <c r="P15" s="50">
        <v>22</v>
      </c>
      <c r="Q15" s="50">
        <v>18</v>
      </c>
      <c r="R15" s="50">
        <v>18</v>
      </c>
      <c r="S15" s="60">
        <v>18.8</v>
      </c>
      <c r="T15" s="60">
        <v>20.3</v>
      </c>
      <c r="U15" s="60">
        <v>19.399999999999999</v>
      </c>
      <c r="V15" s="60">
        <v>21.1</v>
      </c>
      <c r="W15" s="60">
        <v>21.3</v>
      </c>
      <c r="X15" s="60">
        <v>21.3</v>
      </c>
      <c r="Y15" s="60">
        <v>22.6</v>
      </c>
      <c r="Z15" s="50">
        <v>22.6</v>
      </c>
      <c r="AA15" s="50">
        <v>23</v>
      </c>
      <c r="AB15" s="50">
        <v>23</v>
      </c>
      <c r="AC15" s="50">
        <v>23</v>
      </c>
      <c r="AD15" s="50">
        <v>23</v>
      </c>
      <c r="AE15" s="50">
        <v>23.1</v>
      </c>
      <c r="AF15" s="50">
        <v>23.1</v>
      </c>
      <c r="AG15" s="62">
        <v>45</v>
      </c>
      <c r="AH15" s="54">
        <f t="shared" si="2"/>
        <v>23.1</v>
      </c>
      <c r="AI15" s="55">
        <f t="shared" si="3"/>
        <v>18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50">
        <v>8.5</v>
      </c>
      <c r="T16" s="50">
        <v>8.5</v>
      </c>
      <c r="U16" s="50">
        <v>8.5</v>
      </c>
      <c r="V16" s="50">
        <v>8.5</v>
      </c>
      <c r="W16" s="50">
        <v>8.5</v>
      </c>
      <c r="X16" s="50">
        <v>8.5</v>
      </c>
      <c r="Y16" s="50">
        <v>8.5</v>
      </c>
      <c r="Z16" s="50">
        <v>8.5</v>
      </c>
      <c r="AA16" s="50">
        <v>8.5</v>
      </c>
      <c r="AB16" s="50">
        <v>8.5</v>
      </c>
      <c r="AC16" s="50">
        <v>8.5</v>
      </c>
      <c r="AD16" s="50">
        <v>8.5</v>
      </c>
      <c r="AE16" s="50">
        <v>8.5</v>
      </c>
      <c r="AF16" s="50">
        <v>8.5</v>
      </c>
      <c r="AG16" s="59">
        <v>45</v>
      </c>
      <c r="AH16" s="54">
        <f t="shared" si="2"/>
        <v>8.5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50">
        <v>6.5</v>
      </c>
      <c r="AA17" s="50">
        <v>6.5</v>
      </c>
      <c r="AB17" s="50">
        <v>6.5</v>
      </c>
      <c r="AC17" s="50">
        <v>6.5</v>
      </c>
      <c r="AD17" s="50">
        <v>6.5</v>
      </c>
      <c r="AE17" s="50">
        <v>6.5</v>
      </c>
      <c r="AF17" s="5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10.9</v>
      </c>
      <c r="C19" s="50">
        <v>10.8</v>
      </c>
      <c r="D19" s="50">
        <v>10.6</v>
      </c>
      <c r="E19" s="50">
        <v>10.6</v>
      </c>
      <c r="F19" s="50">
        <v>10.6</v>
      </c>
      <c r="G19" s="50">
        <v>10.6</v>
      </c>
      <c r="H19" s="50">
        <v>10.6</v>
      </c>
      <c r="I19" s="50">
        <v>10.6</v>
      </c>
      <c r="J19" s="50">
        <v>10.6</v>
      </c>
      <c r="K19" s="50">
        <v>10.6</v>
      </c>
      <c r="L19" s="50">
        <v>10.6</v>
      </c>
      <c r="M19" s="50">
        <v>10.6</v>
      </c>
      <c r="N19" s="50">
        <v>10.6</v>
      </c>
      <c r="O19" s="50">
        <v>10.6</v>
      </c>
      <c r="P19" s="50">
        <v>10.6</v>
      </c>
      <c r="Q19" s="50">
        <v>10.6</v>
      </c>
      <c r="R19" s="50">
        <v>10.6</v>
      </c>
      <c r="S19" s="50">
        <v>8.9</v>
      </c>
      <c r="T19" s="50">
        <v>9</v>
      </c>
      <c r="U19" s="50">
        <v>10.5</v>
      </c>
      <c r="V19" s="50">
        <v>10.1</v>
      </c>
      <c r="W19" s="50">
        <v>9.1999999999999993</v>
      </c>
      <c r="X19" s="50">
        <v>9.4</v>
      </c>
      <c r="Y19" s="50">
        <v>9.4</v>
      </c>
      <c r="Z19" s="50">
        <v>9.4</v>
      </c>
      <c r="AA19" s="50">
        <v>9.3000000000000007</v>
      </c>
      <c r="AB19" s="50">
        <v>9.3000000000000007</v>
      </c>
      <c r="AC19" s="50">
        <v>9.3000000000000007</v>
      </c>
      <c r="AD19" s="50">
        <v>9.3000000000000007</v>
      </c>
      <c r="AE19" s="50">
        <v>10.8</v>
      </c>
      <c r="AF19" s="50">
        <v>10.6</v>
      </c>
      <c r="AG19" s="59">
        <v>30</v>
      </c>
      <c r="AH19" s="54">
        <f t="shared" si="2"/>
        <v>10.9</v>
      </c>
      <c r="AI19" s="55">
        <f t="shared" si="3"/>
        <v>8.9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10</v>
      </c>
      <c r="C20" s="50">
        <v>10</v>
      </c>
      <c r="D20" s="50">
        <v>10</v>
      </c>
      <c r="E20" s="50">
        <v>10</v>
      </c>
      <c r="F20" s="50">
        <v>10</v>
      </c>
      <c r="G20" s="50">
        <v>10</v>
      </c>
      <c r="H20" s="50">
        <v>10</v>
      </c>
      <c r="I20" s="50">
        <v>10</v>
      </c>
      <c r="J20" s="50">
        <v>10</v>
      </c>
      <c r="K20" s="50">
        <v>10</v>
      </c>
      <c r="L20" s="50">
        <v>10</v>
      </c>
      <c r="M20" s="50">
        <v>10</v>
      </c>
      <c r="N20" s="50">
        <v>10</v>
      </c>
      <c r="O20" s="50">
        <v>10</v>
      </c>
      <c r="P20" s="50">
        <v>10</v>
      </c>
      <c r="Q20" s="50">
        <v>0</v>
      </c>
      <c r="R20" s="50">
        <v>0</v>
      </c>
      <c r="S20" s="50">
        <v>8.4</v>
      </c>
      <c r="T20" s="50">
        <v>8.4</v>
      </c>
      <c r="U20" s="50">
        <v>8.4</v>
      </c>
      <c r="V20" s="50">
        <v>8.4</v>
      </c>
      <c r="W20" s="50">
        <v>8.4</v>
      </c>
      <c r="X20" s="50">
        <v>8.4</v>
      </c>
      <c r="Y20" s="50">
        <v>8.4</v>
      </c>
      <c r="Z20" s="50">
        <v>8.4</v>
      </c>
      <c r="AA20" s="50">
        <v>8.4</v>
      </c>
      <c r="AB20" s="50">
        <v>8.4</v>
      </c>
      <c r="AC20" s="50">
        <v>8.4</v>
      </c>
      <c r="AD20" s="50">
        <v>8.4</v>
      </c>
      <c r="AE20" s="50">
        <v>8.4</v>
      </c>
      <c r="AF20" s="50">
        <v>8.4</v>
      </c>
      <c r="AG20" s="59">
        <v>27</v>
      </c>
      <c r="AH20" s="54">
        <f t="shared" si="2"/>
        <v>10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4</v>
      </c>
      <c r="AA21" s="50">
        <v>4</v>
      </c>
      <c r="AB21" s="50">
        <v>4</v>
      </c>
      <c r="AC21" s="50">
        <v>4</v>
      </c>
      <c r="AD21" s="50">
        <v>4</v>
      </c>
      <c r="AE21" s="50">
        <v>4</v>
      </c>
      <c r="AF21" s="50">
        <v>4</v>
      </c>
      <c r="AG21" s="59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12.2</v>
      </c>
      <c r="C22" s="50">
        <v>12.2</v>
      </c>
      <c r="D22" s="50">
        <v>12.3</v>
      </c>
      <c r="E22" s="50">
        <v>12.3</v>
      </c>
      <c r="F22" s="50">
        <v>12.3</v>
      </c>
      <c r="G22" s="50">
        <v>12.3</v>
      </c>
      <c r="H22" s="50">
        <v>12.3</v>
      </c>
      <c r="I22" s="50">
        <v>12.3</v>
      </c>
      <c r="J22" s="50">
        <v>12.3</v>
      </c>
      <c r="K22" s="50">
        <v>12.3</v>
      </c>
      <c r="L22" s="50">
        <v>12.3</v>
      </c>
      <c r="M22" s="50">
        <v>12.3</v>
      </c>
      <c r="N22" s="50">
        <v>12.3</v>
      </c>
      <c r="O22" s="50">
        <v>12.3</v>
      </c>
      <c r="P22" s="50">
        <v>12.3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12.1</v>
      </c>
      <c r="X22" s="50">
        <v>11.8</v>
      </c>
      <c r="Y22" s="50">
        <v>11.6</v>
      </c>
      <c r="Z22" s="50">
        <v>11.6</v>
      </c>
      <c r="AA22" s="50">
        <v>11.4</v>
      </c>
      <c r="AB22" s="50">
        <v>11.4</v>
      </c>
      <c r="AC22" s="50">
        <v>11.4</v>
      </c>
      <c r="AD22" s="50">
        <v>11.4</v>
      </c>
      <c r="AE22" s="50">
        <v>11.7</v>
      </c>
      <c r="AF22" s="50">
        <v>11.9</v>
      </c>
      <c r="AG22" s="59">
        <v>25</v>
      </c>
      <c r="AH22" s="54">
        <f t="shared" si="2"/>
        <v>12.3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10.5</v>
      </c>
      <c r="C24" s="50">
        <v>10.5</v>
      </c>
      <c r="D24" s="50">
        <v>9</v>
      </c>
      <c r="E24" s="50">
        <v>9</v>
      </c>
      <c r="F24" s="50">
        <v>9</v>
      </c>
      <c r="G24" s="50">
        <v>9</v>
      </c>
      <c r="H24" s="50">
        <v>9</v>
      </c>
      <c r="I24" s="50">
        <v>9</v>
      </c>
      <c r="J24" s="50">
        <v>9</v>
      </c>
      <c r="K24" s="50">
        <v>9</v>
      </c>
      <c r="L24" s="50">
        <v>9</v>
      </c>
      <c r="M24" s="50">
        <v>9</v>
      </c>
      <c r="N24" s="50">
        <v>9</v>
      </c>
      <c r="O24" s="50">
        <v>9</v>
      </c>
      <c r="P24" s="50">
        <v>9</v>
      </c>
      <c r="Q24" s="50">
        <v>9</v>
      </c>
      <c r="R24" s="50">
        <v>9</v>
      </c>
      <c r="S24" s="50">
        <v>5.7</v>
      </c>
      <c r="T24" s="50">
        <v>5.3</v>
      </c>
      <c r="U24" s="50">
        <v>5.3</v>
      </c>
      <c r="V24" s="50">
        <v>5.3</v>
      </c>
      <c r="W24" s="50">
        <v>4.7</v>
      </c>
      <c r="X24" s="50">
        <v>5</v>
      </c>
      <c r="Y24" s="50">
        <v>6.7</v>
      </c>
      <c r="Z24" s="50">
        <v>6.7</v>
      </c>
      <c r="AA24" s="50">
        <v>6.7</v>
      </c>
      <c r="AB24" s="50">
        <v>6.7</v>
      </c>
      <c r="AC24" s="50">
        <v>6.7</v>
      </c>
      <c r="AD24" s="50">
        <v>6.7</v>
      </c>
      <c r="AE24" s="50">
        <v>11</v>
      </c>
      <c r="AF24" s="50">
        <v>11</v>
      </c>
      <c r="AG24" s="59">
        <v>25</v>
      </c>
      <c r="AH24" s="54">
        <f t="shared" si="2"/>
        <v>11</v>
      </c>
      <c r="AI24" s="55">
        <f t="shared" si="3"/>
        <v>4.7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5.5</v>
      </c>
      <c r="AA25" s="50">
        <v>5.5</v>
      </c>
      <c r="AB25" s="50">
        <v>5.5</v>
      </c>
      <c r="AC25" s="50">
        <v>5.5</v>
      </c>
      <c r="AD25" s="50">
        <v>5.5</v>
      </c>
      <c r="AE25" s="50">
        <v>5.5</v>
      </c>
      <c r="AF25" s="50">
        <v>5.5</v>
      </c>
      <c r="AG25" s="59">
        <v>24.2</v>
      </c>
      <c r="AH25" s="54">
        <f t="shared" si="2"/>
        <v>5.5</v>
      </c>
      <c r="AI25" s="55">
        <f t="shared" si="3"/>
        <v>5.5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6.2</v>
      </c>
      <c r="AA26" s="50">
        <v>6.2</v>
      </c>
      <c r="AB26" s="50">
        <v>6.2</v>
      </c>
      <c r="AC26" s="50">
        <v>6.2</v>
      </c>
      <c r="AD26" s="50">
        <v>6.2</v>
      </c>
      <c r="AE26" s="50">
        <v>6.2</v>
      </c>
      <c r="AF26" s="50">
        <v>6.2</v>
      </c>
      <c r="AG26" s="59">
        <v>20</v>
      </c>
      <c r="AH26" s="54">
        <f t="shared" si="2"/>
        <v>6.2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3</v>
      </c>
      <c r="AA29" s="50">
        <v>3</v>
      </c>
      <c r="AB29" s="50">
        <v>3</v>
      </c>
      <c r="AC29" s="50">
        <v>3</v>
      </c>
      <c r="AD29" s="50">
        <v>3</v>
      </c>
      <c r="AE29" s="50">
        <v>3</v>
      </c>
      <c r="AF29" s="50">
        <v>3</v>
      </c>
      <c r="AG29" s="59">
        <v>22.1</v>
      </c>
      <c r="AH29" s="54">
        <f t="shared" si="2"/>
        <v>3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5</v>
      </c>
      <c r="AA32" s="50">
        <v>5</v>
      </c>
      <c r="AB32" s="50">
        <v>5</v>
      </c>
      <c r="AC32" s="50">
        <v>5</v>
      </c>
      <c r="AD32" s="50">
        <v>5</v>
      </c>
      <c r="AE32" s="50">
        <v>5</v>
      </c>
      <c r="AF32" s="50">
        <v>5</v>
      </c>
      <c r="AG32" s="67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130</v>
      </c>
      <c r="C36" s="61">
        <v>130</v>
      </c>
      <c r="D36" s="61">
        <v>130</v>
      </c>
      <c r="E36" s="61">
        <v>130</v>
      </c>
      <c r="F36" s="61">
        <v>130</v>
      </c>
      <c r="G36" s="61">
        <v>130</v>
      </c>
      <c r="H36" s="61">
        <v>130</v>
      </c>
      <c r="I36" s="61">
        <v>130</v>
      </c>
      <c r="J36" s="61">
        <v>130</v>
      </c>
      <c r="K36" s="61">
        <v>130</v>
      </c>
      <c r="L36" s="61">
        <v>130</v>
      </c>
      <c r="M36" s="61">
        <v>130</v>
      </c>
      <c r="N36" s="61">
        <v>130</v>
      </c>
      <c r="O36" s="61">
        <v>130</v>
      </c>
      <c r="P36" s="61">
        <v>130</v>
      </c>
      <c r="Q36" s="61">
        <v>130</v>
      </c>
      <c r="R36" s="61">
        <v>130</v>
      </c>
      <c r="S36" s="61">
        <v>130</v>
      </c>
      <c r="T36" s="61">
        <v>130</v>
      </c>
      <c r="U36" s="61">
        <v>130</v>
      </c>
      <c r="V36" s="61">
        <v>130</v>
      </c>
      <c r="W36" s="61">
        <v>130</v>
      </c>
      <c r="X36" s="61">
        <v>130</v>
      </c>
      <c r="Y36" s="61">
        <v>130</v>
      </c>
      <c r="Z36" s="61">
        <v>130</v>
      </c>
      <c r="AA36" s="61">
        <v>130</v>
      </c>
      <c r="AB36" s="61">
        <v>130</v>
      </c>
      <c r="AC36" s="61">
        <v>130</v>
      </c>
      <c r="AD36" s="61">
        <v>130</v>
      </c>
      <c r="AE36" s="61">
        <v>130</v>
      </c>
      <c r="AF36" s="61">
        <v>130</v>
      </c>
      <c r="AG36" s="67">
        <v>85</v>
      </c>
      <c r="AH36" s="54">
        <f t="shared" si="2"/>
        <v>130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70">
        <f>10.4+18.6</f>
        <v>29</v>
      </c>
      <c r="C37" s="70">
        <f>10.6+19</f>
        <v>29.6</v>
      </c>
      <c r="D37" s="70">
        <f>11.9+21.5</f>
        <v>33.4</v>
      </c>
      <c r="E37" s="61">
        <f>13+23.1</f>
        <v>36.1</v>
      </c>
      <c r="F37" s="61">
        <f>13.5+23.6</f>
        <v>37.1</v>
      </c>
      <c r="G37" s="61">
        <f>13.5+22.5</f>
        <v>36</v>
      </c>
      <c r="H37" s="61">
        <f>12.4+21.5</f>
        <v>33.9</v>
      </c>
      <c r="I37" s="61">
        <v>33</v>
      </c>
      <c r="J37" s="61">
        <f>11.7+19.3</f>
        <v>31</v>
      </c>
      <c r="K37" s="61">
        <f>11.1+18.6</f>
        <v>29.700000000000003</v>
      </c>
      <c r="L37" s="61">
        <f>11.3+19</f>
        <v>30.3</v>
      </c>
      <c r="M37" s="70">
        <f>11.3+19.1</f>
        <v>30.400000000000002</v>
      </c>
      <c r="N37" s="70">
        <f>11.3+19.1</f>
        <v>30.400000000000002</v>
      </c>
      <c r="O37" s="70">
        <f>11.3+19.1</f>
        <v>30.400000000000002</v>
      </c>
      <c r="P37" s="70">
        <f>11.3+19.1</f>
        <v>30.400000000000002</v>
      </c>
      <c r="Q37" s="70">
        <v>39</v>
      </c>
      <c r="R37" s="70">
        <v>39</v>
      </c>
      <c r="S37" s="70">
        <v>24.6</v>
      </c>
      <c r="T37" s="70">
        <v>30</v>
      </c>
      <c r="U37" s="70">
        <v>30.6</v>
      </c>
      <c r="V37" s="70">
        <v>29.4</v>
      </c>
      <c r="W37" s="70">
        <v>27.8</v>
      </c>
      <c r="X37" s="70">
        <v>25.5</v>
      </c>
      <c r="Y37" s="70">
        <v>19.600000000000001</v>
      </c>
      <c r="Z37" s="70">
        <v>25.3</v>
      </c>
      <c r="AA37" s="70">
        <v>26.4</v>
      </c>
      <c r="AB37" s="70">
        <v>28.2</v>
      </c>
      <c r="AC37" s="70"/>
      <c r="AD37" s="70"/>
      <c r="AE37" s="70">
        <f>10.6+18.1</f>
        <v>28.700000000000003</v>
      </c>
      <c r="AF37" s="70">
        <f>11+19.2</f>
        <v>30.2</v>
      </c>
      <c r="AG37" s="67">
        <v>240</v>
      </c>
      <c r="AH37" s="54">
        <f t="shared" si="2"/>
        <v>39</v>
      </c>
      <c r="AI37" s="55">
        <f t="shared" si="3"/>
        <v>19.600000000000001</v>
      </c>
      <c r="AK37" s="56"/>
    </row>
    <row r="38" spans="1:88" ht="15.75" thickBot="1" x14ac:dyDescent="0.3">
      <c r="A38" s="71" t="s">
        <v>46</v>
      </c>
      <c r="B38" s="72">
        <f t="shared" ref="B38" si="4">SUM(B11:B36)</f>
        <v>363.4</v>
      </c>
      <c r="C38" s="72">
        <f t="shared" ref="C38:AF38" si="5">SUM(C11:C36)</f>
        <v>451.5</v>
      </c>
      <c r="D38" s="72">
        <f t="shared" si="5"/>
        <v>361.79999999999995</v>
      </c>
      <c r="E38" s="72">
        <f t="shared" si="5"/>
        <v>359.79999999999995</v>
      </c>
      <c r="F38" s="72">
        <f t="shared" si="5"/>
        <v>359.79999999999995</v>
      </c>
      <c r="G38" s="72">
        <f t="shared" si="5"/>
        <v>359.79999999999995</v>
      </c>
      <c r="H38" s="72">
        <f t="shared" si="5"/>
        <v>549.79999999999995</v>
      </c>
      <c r="I38" s="72">
        <f t="shared" si="5"/>
        <v>549.79999999999995</v>
      </c>
      <c r="J38" s="72">
        <f t="shared" si="5"/>
        <v>549.79999999999995</v>
      </c>
      <c r="K38" s="72">
        <f t="shared" si="5"/>
        <v>499.8</v>
      </c>
      <c r="L38" s="72">
        <f t="shared" si="5"/>
        <v>569.80000000000007</v>
      </c>
      <c r="M38" s="72">
        <f t="shared" si="5"/>
        <v>549.79999999999995</v>
      </c>
      <c r="N38" s="72">
        <f t="shared" si="5"/>
        <v>529.79999999999995</v>
      </c>
      <c r="O38" s="72">
        <f t="shared" si="5"/>
        <v>369.79999999999995</v>
      </c>
      <c r="P38" s="72">
        <f t="shared" si="5"/>
        <v>361.79999999999995</v>
      </c>
      <c r="Q38" s="72">
        <f t="shared" si="5"/>
        <v>336.6</v>
      </c>
      <c r="R38" s="72">
        <f t="shared" si="5"/>
        <v>336.6</v>
      </c>
      <c r="S38" s="72">
        <f t="shared" si="5"/>
        <v>339.8</v>
      </c>
      <c r="T38" s="72">
        <f t="shared" si="5"/>
        <v>339.4</v>
      </c>
      <c r="U38" s="72">
        <f t="shared" si="5"/>
        <v>340.20000000000005</v>
      </c>
      <c r="V38" s="72">
        <f t="shared" si="5"/>
        <v>479.8</v>
      </c>
      <c r="W38" s="72">
        <f t="shared" si="5"/>
        <v>497.09999999999997</v>
      </c>
      <c r="X38" s="72">
        <f t="shared" si="5"/>
        <v>523.4</v>
      </c>
      <c r="Y38" s="72">
        <f t="shared" si="5"/>
        <v>572.09999999999991</v>
      </c>
      <c r="Z38" s="72">
        <f t="shared" si="5"/>
        <v>677.40000000000009</v>
      </c>
      <c r="AA38" s="72">
        <f t="shared" si="5"/>
        <v>620.09999999999991</v>
      </c>
      <c r="AB38" s="72">
        <f t="shared" si="5"/>
        <v>570.09999999999991</v>
      </c>
      <c r="AC38" s="72">
        <f t="shared" si="5"/>
        <v>530.09999999999991</v>
      </c>
      <c r="AD38" s="72">
        <f t="shared" si="5"/>
        <v>460.09999999999997</v>
      </c>
      <c r="AE38" s="72">
        <f t="shared" si="5"/>
        <v>400.5</v>
      </c>
      <c r="AF38" s="72">
        <f t="shared" si="5"/>
        <v>381.9</v>
      </c>
      <c r="AG38" s="67">
        <f>SUM(AG11:AG37)</f>
        <v>1492.8299999999997</v>
      </c>
      <c r="AH38" s="54">
        <f t="shared" si="2"/>
        <v>677.40000000000009</v>
      </c>
      <c r="AI38" s="55">
        <f t="shared" si="3"/>
        <v>336.6</v>
      </c>
      <c r="AK38" s="56"/>
    </row>
    <row r="39" spans="1:88" x14ac:dyDescent="0.25">
      <c r="A39" s="57" t="s">
        <v>47</v>
      </c>
      <c r="B39" s="49">
        <v>0</v>
      </c>
      <c r="C39" s="61">
        <v>46.9</v>
      </c>
      <c r="D39" s="61">
        <v>0</v>
      </c>
      <c r="E39" s="61">
        <v>0</v>
      </c>
      <c r="F39" s="61">
        <v>0</v>
      </c>
      <c r="G39" s="61">
        <v>0</v>
      </c>
      <c r="H39" s="61">
        <v>30.7</v>
      </c>
      <c r="I39" s="61">
        <v>48.4</v>
      </c>
      <c r="J39" s="61">
        <v>78.599999999999994</v>
      </c>
      <c r="K39" s="61">
        <v>132.1</v>
      </c>
      <c r="L39" s="61">
        <v>145.30000000000001</v>
      </c>
      <c r="M39" s="50">
        <v>145.30000000000001</v>
      </c>
      <c r="N39" s="50">
        <v>145</v>
      </c>
      <c r="O39" s="50">
        <v>100</v>
      </c>
      <c r="P39" s="50">
        <v>71</v>
      </c>
      <c r="Q39" s="50">
        <v>70.7</v>
      </c>
      <c r="R39" s="50">
        <v>61</v>
      </c>
      <c r="S39" s="50">
        <v>62.2</v>
      </c>
      <c r="T39" s="50">
        <v>0</v>
      </c>
      <c r="U39" s="50">
        <v>0</v>
      </c>
      <c r="V39" s="50">
        <v>70.8</v>
      </c>
      <c r="W39" s="50">
        <v>61</v>
      </c>
      <c r="X39" s="50">
        <v>81.3</v>
      </c>
      <c r="Y39" s="50">
        <v>145.9</v>
      </c>
      <c r="Z39" s="50">
        <v>145.4</v>
      </c>
      <c r="AA39" s="50">
        <v>131.69999999999999</v>
      </c>
      <c r="AB39" s="50">
        <v>112.2</v>
      </c>
      <c r="AC39" s="50">
        <v>112.2</v>
      </c>
      <c r="AD39" s="50">
        <v>112.2</v>
      </c>
      <c r="AE39" s="50">
        <v>101.6</v>
      </c>
      <c r="AF39" s="49">
        <v>90.7</v>
      </c>
      <c r="AG39" s="62">
        <v>144</v>
      </c>
      <c r="AH39" s="54">
        <f t="shared" si="2"/>
        <v>145.9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34.9</v>
      </c>
      <c r="D40" s="61">
        <v>0</v>
      </c>
      <c r="E40" s="61">
        <v>0</v>
      </c>
      <c r="F40" s="61">
        <v>0</v>
      </c>
      <c r="G40" s="61">
        <v>0</v>
      </c>
      <c r="H40" s="61">
        <v>22.3</v>
      </c>
      <c r="I40" s="61">
        <v>52.3</v>
      </c>
      <c r="J40" s="61">
        <v>51.6</v>
      </c>
      <c r="K40" s="61">
        <v>60.6</v>
      </c>
      <c r="L40" s="61">
        <v>71.2</v>
      </c>
      <c r="M40" s="73">
        <v>71.2</v>
      </c>
      <c r="N40" s="73">
        <v>59.5</v>
      </c>
      <c r="O40" s="73">
        <v>34.700000000000003</v>
      </c>
      <c r="P40" s="73">
        <v>34</v>
      </c>
      <c r="Q40" s="73">
        <v>30</v>
      </c>
      <c r="R40" s="73">
        <v>35</v>
      </c>
      <c r="S40" s="73">
        <v>24.9</v>
      </c>
      <c r="T40" s="73">
        <v>22.4</v>
      </c>
      <c r="U40" s="73">
        <v>22.6</v>
      </c>
      <c r="V40" s="73">
        <v>43.9</v>
      </c>
      <c r="W40" s="73">
        <v>45.3</v>
      </c>
      <c r="X40" s="73">
        <v>46.3</v>
      </c>
      <c r="Y40" s="73">
        <v>70.099999999999994</v>
      </c>
      <c r="Z40" s="73">
        <v>71.7</v>
      </c>
      <c r="AA40" s="73">
        <v>61.3</v>
      </c>
      <c r="AB40" s="73">
        <v>44.7</v>
      </c>
      <c r="AC40" s="73">
        <v>44.7</v>
      </c>
      <c r="AD40" s="73">
        <v>45.4</v>
      </c>
      <c r="AE40" s="73">
        <v>45.4</v>
      </c>
      <c r="AF40" s="61">
        <v>24.9</v>
      </c>
      <c r="AG40" s="67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0</v>
      </c>
      <c r="C41" s="61">
        <v>21.7</v>
      </c>
      <c r="D41" s="61">
        <v>16</v>
      </c>
      <c r="E41" s="61">
        <v>16.399999999999999</v>
      </c>
      <c r="F41" s="61">
        <v>16.7</v>
      </c>
      <c r="G41" s="61">
        <v>23.2</v>
      </c>
      <c r="H41" s="61">
        <v>23</v>
      </c>
      <c r="I41" s="61">
        <v>44.4</v>
      </c>
      <c r="J41" s="61">
        <v>53</v>
      </c>
      <c r="K41" s="61">
        <v>51.8</v>
      </c>
      <c r="L41" s="61">
        <v>65</v>
      </c>
      <c r="M41" s="73">
        <v>66.599999999999994</v>
      </c>
      <c r="N41" s="73">
        <v>66.599999999999994</v>
      </c>
      <c r="O41" s="73">
        <v>47.2</v>
      </c>
      <c r="P41" s="73">
        <v>39</v>
      </c>
      <c r="Q41" s="73">
        <v>33.6</v>
      </c>
      <c r="R41" s="73">
        <v>34</v>
      </c>
      <c r="S41" s="73">
        <v>17.600000000000001</v>
      </c>
      <c r="T41" s="73">
        <v>17.100000000000001</v>
      </c>
      <c r="U41" s="73">
        <v>22.9</v>
      </c>
      <c r="V41" s="73">
        <v>16.7</v>
      </c>
      <c r="W41" s="73">
        <v>16.8</v>
      </c>
      <c r="X41" s="73">
        <v>32.5</v>
      </c>
      <c r="Y41" s="73">
        <v>68.5</v>
      </c>
      <c r="Z41" s="73">
        <v>68.3</v>
      </c>
      <c r="AA41" s="73">
        <v>62</v>
      </c>
      <c r="AB41" s="73">
        <v>50</v>
      </c>
      <c r="AC41" s="73">
        <v>60</v>
      </c>
      <c r="AD41" s="73">
        <v>53.5</v>
      </c>
      <c r="AE41" s="73">
        <v>52.3</v>
      </c>
      <c r="AF41" s="61">
        <v>51.8</v>
      </c>
      <c r="AG41" s="67">
        <v>69</v>
      </c>
      <c r="AH41" s="54">
        <f t="shared" si="2"/>
        <v>68.5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49.9</v>
      </c>
      <c r="C42" s="61">
        <v>48.1</v>
      </c>
      <c r="D42" s="61">
        <v>47.8</v>
      </c>
      <c r="E42" s="61">
        <v>47.8</v>
      </c>
      <c r="F42" s="61">
        <v>47.8</v>
      </c>
      <c r="G42" s="61">
        <v>47.8</v>
      </c>
      <c r="H42" s="61">
        <v>47.8</v>
      </c>
      <c r="I42" s="61">
        <v>50.2</v>
      </c>
      <c r="J42" s="61">
        <v>48.3</v>
      </c>
      <c r="K42" s="61">
        <v>46.1</v>
      </c>
      <c r="L42" s="61">
        <v>46.4</v>
      </c>
      <c r="M42" s="73">
        <v>46.6</v>
      </c>
      <c r="N42" s="73">
        <v>46.6</v>
      </c>
      <c r="O42" s="73">
        <v>46.6</v>
      </c>
      <c r="P42" s="73">
        <v>47</v>
      </c>
      <c r="Q42" s="73">
        <v>43.9</v>
      </c>
      <c r="R42" s="73">
        <v>43.9</v>
      </c>
      <c r="S42" s="73">
        <v>46.1</v>
      </c>
      <c r="T42" s="73">
        <v>36.799999999999997</v>
      </c>
      <c r="U42" s="73">
        <v>38.299999999999997</v>
      </c>
      <c r="V42" s="73">
        <v>45.3</v>
      </c>
      <c r="W42" s="73">
        <v>45.3</v>
      </c>
      <c r="X42" s="73">
        <v>50.4</v>
      </c>
      <c r="Y42" s="73">
        <v>48.3</v>
      </c>
      <c r="Z42" s="73">
        <v>48.3</v>
      </c>
      <c r="AA42" s="73">
        <v>46.4</v>
      </c>
      <c r="AB42" s="73">
        <v>46.4</v>
      </c>
      <c r="AC42" s="73">
        <v>46.4</v>
      </c>
      <c r="AD42" s="73">
        <v>50.4</v>
      </c>
      <c r="AE42" s="73">
        <v>50.2</v>
      </c>
      <c r="AF42" s="61">
        <v>48.1</v>
      </c>
      <c r="AG42" s="67">
        <v>60</v>
      </c>
      <c r="AH42" s="54">
        <f t="shared" si="2"/>
        <v>50.4</v>
      </c>
      <c r="AI42" s="55">
        <f t="shared" si="3"/>
        <v>36.799999999999997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10</v>
      </c>
      <c r="I43" s="61">
        <v>20</v>
      </c>
      <c r="J43" s="61">
        <v>30</v>
      </c>
      <c r="K43" s="61">
        <v>25</v>
      </c>
      <c r="L43" s="61">
        <v>28</v>
      </c>
      <c r="M43" s="50">
        <v>20</v>
      </c>
      <c r="N43" s="50">
        <v>20</v>
      </c>
      <c r="O43" s="50">
        <v>20</v>
      </c>
      <c r="P43" s="50">
        <v>10</v>
      </c>
      <c r="Q43" s="50">
        <v>10</v>
      </c>
      <c r="R43" s="50">
        <v>0</v>
      </c>
      <c r="S43" s="50">
        <v>0</v>
      </c>
      <c r="T43" s="50">
        <v>0</v>
      </c>
      <c r="U43" s="50">
        <v>0</v>
      </c>
      <c r="V43" s="50">
        <v>15</v>
      </c>
      <c r="W43" s="50">
        <v>15</v>
      </c>
      <c r="X43" s="50">
        <v>6</v>
      </c>
      <c r="Y43" s="50">
        <v>30</v>
      </c>
      <c r="Z43" s="73">
        <v>30</v>
      </c>
      <c r="AA43" s="73">
        <v>25</v>
      </c>
      <c r="AB43" s="73">
        <v>15</v>
      </c>
      <c r="AC43" s="73">
        <v>10</v>
      </c>
      <c r="AD43" s="73">
        <v>10</v>
      </c>
      <c r="AE43" s="73">
        <v>0</v>
      </c>
      <c r="AF43" s="61">
        <v>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7</v>
      </c>
      <c r="T44" s="50">
        <v>7</v>
      </c>
      <c r="U44" s="50">
        <v>7</v>
      </c>
      <c r="V44" s="50">
        <v>0</v>
      </c>
      <c r="W44" s="50">
        <v>0</v>
      </c>
      <c r="X44" s="50">
        <v>0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61">
        <v>0</v>
      </c>
      <c r="AG44" s="67">
        <v>25</v>
      </c>
      <c r="AH44" s="54">
        <f t="shared" si="2"/>
        <v>7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13</v>
      </c>
      <c r="C45" s="50">
        <v>13</v>
      </c>
      <c r="D45" s="50">
        <v>13</v>
      </c>
      <c r="E45" s="50">
        <v>13</v>
      </c>
      <c r="F45" s="50">
        <v>13</v>
      </c>
      <c r="G45" s="50">
        <v>13</v>
      </c>
      <c r="H45" s="50">
        <v>13</v>
      </c>
      <c r="I45" s="50">
        <v>13</v>
      </c>
      <c r="J45" s="50">
        <v>13</v>
      </c>
      <c r="K45" s="50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50">
        <v>5.5</v>
      </c>
      <c r="C46" s="50">
        <v>5.5</v>
      </c>
      <c r="D46" s="50">
        <v>5.5</v>
      </c>
      <c r="E46" s="50">
        <v>5.5</v>
      </c>
      <c r="F46" s="50">
        <v>5.5</v>
      </c>
      <c r="G46" s="50">
        <v>5.5</v>
      </c>
      <c r="H46" s="50">
        <v>5.5</v>
      </c>
      <c r="I46" s="50">
        <v>5.5</v>
      </c>
      <c r="J46" s="50">
        <v>5.5</v>
      </c>
      <c r="K46" s="50">
        <v>5.5</v>
      </c>
      <c r="L46" s="50">
        <v>5.5</v>
      </c>
      <c r="M46" s="50">
        <v>5.5</v>
      </c>
      <c r="N46" s="50">
        <v>5.5</v>
      </c>
      <c r="O46" s="50">
        <v>5.5</v>
      </c>
      <c r="P46" s="50">
        <v>5.5</v>
      </c>
      <c r="Q46" s="50">
        <v>5.5</v>
      </c>
      <c r="R46" s="50">
        <v>5.5</v>
      </c>
      <c r="S46" s="50">
        <v>5.5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5.5</v>
      </c>
      <c r="AA46" s="50">
        <v>5.5</v>
      </c>
      <c r="AB46" s="50">
        <v>5.5</v>
      </c>
      <c r="AC46" s="50">
        <v>5.5</v>
      </c>
      <c r="AD46" s="50">
        <v>5.5</v>
      </c>
      <c r="AE46" s="50">
        <v>5.5</v>
      </c>
      <c r="AF46" s="50">
        <v>5.5</v>
      </c>
      <c r="AG46" s="67">
        <v>15</v>
      </c>
      <c r="AH46" s="54">
        <f t="shared" si="2"/>
        <v>5.5</v>
      </c>
      <c r="AI46" s="55">
        <f t="shared" si="3"/>
        <v>5.5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10</v>
      </c>
      <c r="H47" s="50">
        <v>10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4.8</v>
      </c>
      <c r="C49" s="50">
        <v>4.8</v>
      </c>
      <c r="D49" s="50">
        <v>4.8</v>
      </c>
      <c r="E49" s="50">
        <v>4.8</v>
      </c>
      <c r="F49" s="50">
        <v>4.8</v>
      </c>
      <c r="G49" s="50">
        <v>4.8</v>
      </c>
      <c r="H49" s="50">
        <v>4.8</v>
      </c>
      <c r="I49" s="50">
        <v>4.8</v>
      </c>
      <c r="J49" s="50">
        <v>4.8</v>
      </c>
      <c r="K49" s="50">
        <v>4.8</v>
      </c>
      <c r="L49" s="50">
        <v>4.8</v>
      </c>
      <c r="M49" s="50">
        <v>4.8</v>
      </c>
      <c r="N49" s="50">
        <v>4.8</v>
      </c>
      <c r="O49" s="50">
        <v>4.8</v>
      </c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4.8</v>
      </c>
      <c r="AA49" s="50">
        <v>4.8</v>
      </c>
      <c r="AB49" s="50">
        <v>4.8</v>
      </c>
      <c r="AC49" s="50">
        <v>4.8</v>
      </c>
      <c r="AD49" s="50">
        <v>4.8</v>
      </c>
      <c r="AE49" s="50">
        <v>4.8</v>
      </c>
      <c r="AF49" s="50">
        <v>4.8</v>
      </c>
      <c r="AG49" s="67">
        <v>10.050000000000001</v>
      </c>
      <c r="AH49" s="54">
        <f t="shared" si="2"/>
        <v>4.8</v>
      </c>
      <c r="AI49" s="55">
        <f t="shared" si="3"/>
        <v>4.8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6">B200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7">U200</f>
        <v>3.54</v>
      </c>
      <c r="V51" s="77">
        <f t="shared" si="7"/>
        <v>3.54</v>
      </c>
      <c r="W51" s="77">
        <f t="shared" si="7"/>
        <v>3.54</v>
      </c>
      <c r="X51" s="77">
        <f t="shared" si="7"/>
        <v>3.54</v>
      </c>
      <c r="Y51" s="77">
        <f t="shared" si="7"/>
        <v>3.54</v>
      </c>
      <c r="Z51" s="77">
        <v>3.54</v>
      </c>
      <c r="AA51" s="77">
        <f t="shared" si="7"/>
        <v>3.54</v>
      </c>
      <c r="AB51" s="77">
        <f t="shared" si="7"/>
        <v>3.54</v>
      </c>
      <c r="AC51" s="77">
        <f t="shared" si="7"/>
        <v>3.54</v>
      </c>
      <c r="AD51" s="77">
        <f t="shared" si="7"/>
        <v>3.54</v>
      </c>
      <c r="AE51" s="77">
        <f t="shared" si="7"/>
        <v>3.54</v>
      </c>
      <c r="AF51" s="77">
        <f t="shared" si="7"/>
        <v>3.54</v>
      </c>
      <c r="AG51" s="77">
        <f t="shared" si="7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8">SUM(B39:B51)</f>
        <v>94.240000000000009</v>
      </c>
      <c r="C52" s="72">
        <f t="shared" ref="C52:AF52" si="9">SUM(C39:C51)</f>
        <v>195.94</v>
      </c>
      <c r="D52" s="72">
        <f t="shared" si="9"/>
        <v>108.14</v>
      </c>
      <c r="E52" s="72">
        <f t="shared" si="9"/>
        <v>108.53999999999999</v>
      </c>
      <c r="F52" s="72">
        <f t="shared" si="9"/>
        <v>108.84</v>
      </c>
      <c r="G52" s="72">
        <f t="shared" si="9"/>
        <v>115.34</v>
      </c>
      <c r="H52" s="72">
        <f t="shared" si="9"/>
        <v>178.14000000000001</v>
      </c>
      <c r="I52" s="72">
        <f t="shared" si="9"/>
        <v>259.64000000000004</v>
      </c>
      <c r="J52" s="72">
        <f t="shared" si="9"/>
        <v>305.84000000000003</v>
      </c>
      <c r="K52" s="72">
        <f t="shared" si="9"/>
        <v>359.94000000000005</v>
      </c>
      <c r="L52" s="72">
        <f t="shared" si="9"/>
        <v>400.24</v>
      </c>
      <c r="M52" s="72">
        <f t="shared" si="9"/>
        <v>394.04000000000008</v>
      </c>
      <c r="N52" s="72">
        <f t="shared" si="9"/>
        <v>382.04000000000008</v>
      </c>
      <c r="O52" s="72">
        <f t="shared" si="9"/>
        <v>292.84000000000003</v>
      </c>
      <c r="P52" s="72">
        <f t="shared" si="9"/>
        <v>245.34</v>
      </c>
      <c r="Q52" s="72">
        <f t="shared" si="9"/>
        <v>232.54000000000002</v>
      </c>
      <c r="R52" s="72">
        <f t="shared" si="9"/>
        <v>218.24</v>
      </c>
      <c r="S52" s="72">
        <f t="shared" si="9"/>
        <v>202.14</v>
      </c>
      <c r="T52" s="72">
        <f t="shared" si="9"/>
        <v>127.64</v>
      </c>
      <c r="U52" s="72">
        <f t="shared" si="9"/>
        <v>135.13999999999999</v>
      </c>
      <c r="V52" s="72">
        <f t="shared" si="9"/>
        <v>236.04</v>
      </c>
      <c r="W52" s="72">
        <f t="shared" si="9"/>
        <v>227.73999999999998</v>
      </c>
      <c r="X52" s="72">
        <f t="shared" si="9"/>
        <v>260.84000000000003</v>
      </c>
      <c r="Y52" s="72">
        <f t="shared" si="9"/>
        <v>407.14000000000004</v>
      </c>
      <c r="Z52" s="72">
        <f t="shared" si="9"/>
        <v>408.04000000000008</v>
      </c>
      <c r="AA52" s="72">
        <f t="shared" si="9"/>
        <v>370.74</v>
      </c>
      <c r="AB52" s="72">
        <f t="shared" si="9"/>
        <v>312.64000000000004</v>
      </c>
      <c r="AC52" s="72">
        <f t="shared" si="9"/>
        <v>317.64000000000004</v>
      </c>
      <c r="AD52" s="72">
        <f t="shared" si="9"/>
        <v>315.84000000000003</v>
      </c>
      <c r="AE52" s="72">
        <f t="shared" si="9"/>
        <v>293.84000000000003</v>
      </c>
      <c r="AF52" s="72">
        <f t="shared" si="9"/>
        <v>259.83999999999997</v>
      </c>
      <c r="AG52" s="78">
        <f>SUM(AG39:AG51)</f>
        <v>489.91</v>
      </c>
      <c r="AH52" s="54">
        <f t="shared" si="2"/>
        <v>408.04000000000008</v>
      </c>
      <c r="AI52" s="55">
        <f t="shared" si="3"/>
        <v>94.240000000000009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14</v>
      </c>
      <c r="H53" s="61">
        <v>20.3</v>
      </c>
      <c r="I53" s="61">
        <v>25.2</v>
      </c>
      <c r="J53" s="61">
        <v>25.8</v>
      </c>
      <c r="K53" s="61">
        <v>39.799999999999997</v>
      </c>
      <c r="L53" s="61">
        <v>36.4</v>
      </c>
      <c r="M53" s="79">
        <v>40.5</v>
      </c>
      <c r="N53" s="79">
        <v>30</v>
      </c>
      <c r="O53" s="79">
        <v>0</v>
      </c>
      <c r="P53" s="79">
        <v>0</v>
      </c>
      <c r="Q53" s="79">
        <v>0</v>
      </c>
      <c r="R53" s="79">
        <v>0</v>
      </c>
      <c r="S53" s="50">
        <v>0</v>
      </c>
      <c r="T53" s="50">
        <v>40</v>
      </c>
      <c r="U53" s="50">
        <v>60</v>
      </c>
      <c r="V53" s="50">
        <v>60</v>
      </c>
      <c r="W53" s="50">
        <v>60</v>
      </c>
      <c r="X53" s="50">
        <v>60</v>
      </c>
      <c r="Y53" s="50">
        <v>60</v>
      </c>
      <c r="Z53" s="50">
        <v>60</v>
      </c>
      <c r="AA53" s="50">
        <v>60</v>
      </c>
      <c r="AB53" s="50">
        <v>60</v>
      </c>
      <c r="AC53" s="50">
        <v>60</v>
      </c>
      <c r="AD53" s="50">
        <v>40</v>
      </c>
      <c r="AE53" s="50">
        <v>35</v>
      </c>
      <c r="AF53" s="50">
        <v>20.2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4.8</v>
      </c>
      <c r="H54" s="61">
        <v>10</v>
      </c>
      <c r="I54" s="61">
        <v>12.1</v>
      </c>
      <c r="J54" s="61">
        <v>12.1</v>
      </c>
      <c r="K54" s="61">
        <v>16.899999999999999</v>
      </c>
      <c r="L54" s="61">
        <v>15.9</v>
      </c>
      <c r="M54" s="79">
        <v>17.2</v>
      </c>
      <c r="N54" s="79">
        <v>14.8</v>
      </c>
      <c r="O54" s="79">
        <v>0</v>
      </c>
      <c r="P54" s="79">
        <v>0</v>
      </c>
      <c r="Q54" s="79">
        <v>0</v>
      </c>
      <c r="R54" s="79">
        <v>0</v>
      </c>
      <c r="S54" s="50">
        <v>0</v>
      </c>
      <c r="T54" s="50">
        <v>22.3</v>
      </c>
      <c r="U54" s="50">
        <v>28.9</v>
      </c>
      <c r="V54" s="73">
        <v>28.7</v>
      </c>
      <c r="W54" s="73">
        <v>28.7</v>
      </c>
      <c r="X54" s="73">
        <v>29</v>
      </c>
      <c r="Y54" s="73">
        <v>29</v>
      </c>
      <c r="Z54" s="73">
        <v>29.5</v>
      </c>
      <c r="AA54" s="73">
        <v>27.8</v>
      </c>
      <c r="AB54" s="73">
        <v>27.8</v>
      </c>
      <c r="AC54" s="73">
        <v>27.8</v>
      </c>
      <c r="AD54" s="73">
        <v>17.600000000000001</v>
      </c>
      <c r="AE54" s="73">
        <v>14.7</v>
      </c>
      <c r="AF54" s="73">
        <v>14.7</v>
      </c>
      <c r="AG54" s="67">
        <v>32</v>
      </c>
      <c r="AH54" s="54">
        <f t="shared" si="2"/>
        <v>29.5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1.8</v>
      </c>
      <c r="H55" s="74">
        <v>3.7</v>
      </c>
      <c r="I55" s="74">
        <v>4.4000000000000004</v>
      </c>
      <c r="J55" s="74">
        <v>4.4000000000000004</v>
      </c>
      <c r="K55" s="74">
        <v>6.2</v>
      </c>
      <c r="L55" s="74">
        <v>5.8</v>
      </c>
      <c r="M55" s="81">
        <v>6.3</v>
      </c>
      <c r="N55" s="81">
        <v>5.4</v>
      </c>
      <c r="O55" s="81">
        <v>0</v>
      </c>
      <c r="P55" s="81">
        <v>0</v>
      </c>
      <c r="Q55" s="81">
        <v>0</v>
      </c>
      <c r="R55" s="81">
        <v>0</v>
      </c>
      <c r="S55" s="50">
        <v>0</v>
      </c>
      <c r="T55" s="50">
        <v>8.1999999999999993</v>
      </c>
      <c r="U55" s="50">
        <v>10.5</v>
      </c>
      <c r="V55" s="80">
        <v>10.5</v>
      </c>
      <c r="W55" s="80">
        <v>10.5</v>
      </c>
      <c r="X55" s="80">
        <v>10.6</v>
      </c>
      <c r="Y55" s="80">
        <v>10.6</v>
      </c>
      <c r="Z55" s="80">
        <v>10.6</v>
      </c>
      <c r="AA55" s="80">
        <v>10.6</v>
      </c>
      <c r="AB55" s="80">
        <v>10.6</v>
      </c>
      <c r="AC55" s="80">
        <v>10.6</v>
      </c>
      <c r="AD55" s="80">
        <v>6.4</v>
      </c>
      <c r="AE55" s="80">
        <v>5.4</v>
      </c>
      <c r="AF55" s="80">
        <v>5.4</v>
      </c>
      <c r="AG55" s="82">
        <v>14</v>
      </c>
      <c r="AH55" s="54">
        <f t="shared" si="2"/>
        <v>10.6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0">SUM(B53:B55)</f>
        <v>0</v>
      </c>
      <c r="C56" s="72">
        <f>SUM(C53:C55)</f>
        <v>0</v>
      </c>
      <c r="D56" s="72">
        <f t="shared" ref="D56:AF56" si="11">SUM(D53:D55)</f>
        <v>0</v>
      </c>
      <c r="E56" s="72">
        <f t="shared" si="11"/>
        <v>0</v>
      </c>
      <c r="F56" s="72">
        <f t="shared" si="11"/>
        <v>0</v>
      </c>
      <c r="G56" s="72">
        <f t="shared" si="11"/>
        <v>20.6</v>
      </c>
      <c r="H56" s="72">
        <f t="shared" si="11"/>
        <v>34</v>
      </c>
      <c r="I56" s="72">
        <f t="shared" si="11"/>
        <v>41.699999999999996</v>
      </c>
      <c r="J56" s="72">
        <f t="shared" si="11"/>
        <v>42.3</v>
      </c>
      <c r="K56" s="72">
        <f t="shared" si="11"/>
        <v>62.9</v>
      </c>
      <c r="L56" s="72">
        <f t="shared" si="11"/>
        <v>58.099999999999994</v>
      </c>
      <c r="M56" s="72">
        <f t="shared" si="11"/>
        <v>64</v>
      </c>
      <c r="N56" s="72">
        <f t="shared" si="11"/>
        <v>50.199999999999996</v>
      </c>
      <c r="O56" s="72">
        <f t="shared" si="11"/>
        <v>0</v>
      </c>
      <c r="P56" s="72">
        <f t="shared" si="11"/>
        <v>0</v>
      </c>
      <c r="Q56" s="72">
        <f t="shared" si="11"/>
        <v>0</v>
      </c>
      <c r="R56" s="72">
        <f t="shared" si="11"/>
        <v>0</v>
      </c>
      <c r="S56" s="72">
        <f t="shared" si="11"/>
        <v>0</v>
      </c>
      <c r="T56" s="72">
        <f t="shared" si="11"/>
        <v>70.5</v>
      </c>
      <c r="U56" s="72">
        <f t="shared" si="11"/>
        <v>99.4</v>
      </c>
      <c r="V56" s="72">
        <f t="shared" si="11"/>
        <v>99.2</v>
      </c>
      <c r="W56" s="72">
        <f t="shared" si="11"/>
        <v>99.2</v>
      </c>
      <c r="X56" s="72">
        <f t="shared" si="11"/>
        <v>99.6</v>
      </c>
      <c r="Y56" s="72">
        <f t="shared" si="11"/>
        <v>99.6</v>
      </c>
      <c r="Z56" s="72">
        <f t="shared" si="11"/>
        <v>100.1</v>
      </c>
      <c r="AA56" s="72">
        <f t="shared" si="11"/>
        <v>98.399999999999991</v>
      </c>
      <c r="AB56" s="72">
        <f t="shared" si="11"/>
        <v>98.399999999999991</v>
      </c>
      <c r="AC56" s="72">
        <f t="shared" si="11"/>
        <v>98.399999999999991</v>
      </c>
      <c r="AD56" s="72">
        <f t="shared" si="11"/>
        <v>64</v>
      </c>
      <c r="AE56" s="72">
        <f t="shared" si="11"/>
        <v>55.1</v>
      </c>
      <c r="AF56" s="72">
        <f t="shared" si="11"/>
        <v>40.299999999999997</v>
      </c>
      <c r="AG56" s="78">
        <f>SUM(AG53:AG55)</f>
        <v>106</v>
      </c>
      <c r="AH56" s="54">
        <f t="shared" si="2"/>
        <v>100.1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69.2</v>
      </c>
      <c r="C57" s="50">
        <v>63.2</v>
      </c>
      <c r="D57" s="50">
        <v>72.599999999999994</v>
      </c>
      <c r="E57" s="50">
        <v>69.3</v>
      </c>
      <c r="F57" s="50">
        <v>67</v>
      </c>
      <c r="G57" s="50">
        <v>73.599999999999994</v>
      </c>
      <c r="H57" s="50">
        <v>70.52</v>
      </c>
      <c r="I57" s="50">
        <v>29.4</v>
      </c>
      <c r="J57" s="50">
        <v>26.3</v>
      </c>
      <c r="K57" s="50">
        <v>30.6</v>
      </c>
      <c r="L57" s="50">
        <v>23.5</v>
      </c>
      <c r="M57" s="50">
        <v>16</v>
      </c>
      <c r="N57" s="50">
        <v>66</v>
      </c>
      <c r="O57" s="50">
        <v>72</v>
      </c>
      <c r="P57" s="50">
        <v>70.180000000000007</v>
      </c>
      <c r="Q57" s="50">
        <v>68</v>
      </c>
      <c r="R57" s="50">
        <v>74</v>
      </c>
      <c r="S57" s="50">
        <v>70.2</v>
      </c>
      <c r="T57" s="50">
        <v>74.099999999999994</v>
      </c>
      <c r="U57" s="50">
        <v>74.56</v>
      </c>
      <c r="V57" s="50">
        <v>59.97</v>
      </c>
      <c r="W57" s="50">
        <v>41.74</v>
      </c>
      <c r="X57" s="50">
        <v>26.2</v>
      </c>
      <c r="Y57" s="50">
        <v>35.57</v>
      </c>
      <c r="Z57" s="50">
        <v>16.8</v>
      </c>
      <c r="AA57" s="50">
        <v>16.079999999999998</v>
      </c>
      <c r="AB57" s="50">
        <v>21.64</v>
      </c>
      <c r="AC57" s="50">
        <v>20.3</v>
      </c>
      <c r="AD57" s="50">
        <v>21</v>
      </c>
      <c r="AE57" s="50">
        <v>56.8</v>
      </c>
      <c r="AF57" s="50">
        <v>52.49</v>
      </c>
      <c r="AG57" s="62"/>
      <c r="AH57" s="54">
        <f t="shared" si="2"/>
        <v>74.56</v>
      </c>
      <c r="AI57" s="55">
        <f t="shared" si="3"/>
        <v>16</v>
      </c>
      <c r="AK57" s="56"/>
    </row>
    <row r="58" spans="1:37" x14ac:dyDescent="0.25">
      <c r="A58" s="66" t="s">
        <v>66</v>
      </c>
      <c r="B58" s="73">
        <v>61</v>
      </c>
      <c r="C58" s="73">
        <v>92</v>
      </c>
      <c r="D58" s="73">
        <v>0</v>
      </c>
      <c r="E58" s="73">
        <v>0</v>
      </c>
      <c r="F58" s="73">
        <v>0</v>
      </c>
      <c r="G58" s="73">
        <v>0</v>
      </c>
      <c r="H58" s="73">
        <v>90</v>
      </c>
      <c r="I58" s="73">
        <v>97</v>
      </c>
      <c r="J58" s="73">
        <v>105</v>
      </c>
      <c r="K58" s="73">
        <v>109</v>
      </c>
      <c r="L58" s="73">
        <v>118</v>
      </c>
      <c r="M58" s="50">
        <v>121</v>
      </c>
      <c r="N58" s="50">
        <v>121</v>
      </c>
      <c r="O58" s="50">
        <v>121</v>
      </c>
      <c r="P58" s="50">
        <v>120</v>
      </c>
      <c r="Q58" s="50">
        <v>78</v>
      </c>
      <c r="R58" s="50">
        <v>75</v>
      </c>
      <c r="S58" s="50">
        <v>0</v>
      </c>
      <c r="T58" s="50">
        <v>0</v>
      </c>
      <c r="U58" s="50">
        <v>0</v>
      </c>
      <c r="V58" s="50">
        <v>91.8</v>
      </c>
      <c r="W58" s="50">
        <v>95.2</v>
      </c>
      <c r="X58" s="83">
        <v>115.5</v>
      </c>
      <c r="Y58" s="83">
        <v>97.2</v>
      </c>
      <c r="Z58" s="83">
        <v>93.5</v>
      </c>
      <c r="AA58" s="83">
        <v>85.8</v>
      </c>
      <c r="AB58" s="73">
        <v>97.5</v>
      </c>
      <c r="AC58" s="73">
        <v>100</v>
      </c>
      <c r="AD58" s="73">
        <v>130</v>
      </c>
      <c r="AE58" s="73">
        <f>98.9+49</f>
        <v>147.9</v>
      </c>
      <c r="AF58" s="73">
        <f>90.8+42</f>
        <v>132.80000000000001</v>
      </c>
      <c r="AG58" s="67"/>
      <c r="AH58" s="54">
        <f t="shared" si="2"/>
        <v>147.9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345</v>
      </c>
      <c r="C59" s="73">
        <v>25.3</v>
      </c>
      <c r="D59" s="73">
        <v>385</v>
      </c>
      <c r="E59" s="73">
        <v>393.8</v>
      </c>
      <c r="F59" s="73">
        <v>391.6</v>
      </c>
      <c r="G59" s="73">
        <v>405.9</v>
      </c>
      <c r="H59" s="50">
        <v>9.6</v>
      </c>
      <c r="I59" s="50">
        <v>10.7</v>
      </c>
      <c r="J59" s="50">
        <v>40.9</v>
      </c>
      <c r="K59" s="50">
        <v>61</v>
      </c>
      <c r="L59" s="50">
        <v>49.2</v>
      </c>
      <c r="M59" s="73">
        <v>55</v>
      </c>
      <c r="N59" s="73">
        <v>45.3</v>
      </c>
      <c r="O59" s="73">
        <v>300</v>
      </c>
      <c r="P59" s="73">
        <v>306</v>
      </c>
      <c r="Q59" s="73">
        <v>316</v>
      </c>
      <c r="R59" s="73">
        <v>308</v>
      </c>
      <c r="S59" s="73">
        <v>385.7</v>
      </c>
      <c r="T59" s="73">
        <v>387.7</v>
      </c>
      <c r="U59" s="73">
        <v>372</v>
      </c>
      <c r="V59" s="73">
        <v>34</v>
      </c>
      <c r="W59" s="73">
        <v>56.6</v>
      </c>
      <c r="X59" s="84">
        <v>60.6</v>
      </c>
      <c r="Y59" s="84">
        <v>51.7</v>
      </c>
      <c r="Z59" s="84">
        <v>45.3</v>
      </c>
      <c r="AA59" s="84">
        <v>35.5</v>
      </c>
      <c r="AB59" s="73">
        <v>59.4</v>
      </c>
      <c r="AC59" s="73">
        <v>52</v>
      </c>
      <c r="AD59" s="73">
        <v>52.9</v>
      </c>
      <c r="AE59" s="73">
        <v>2.4</v>
      </c>
      <c r="AF59" s="73">
        <v>4.5</v>
      </c>
      <c r="AG59" s="85"/>
      <c r="AH59" s="54">
        <f t="shared" si="2"/>
        <v>405.9</v>
      </c>
      <c r="AI59" s="55">
        <f t="shared" si="3"/>
        <v>2.4</v>
      </c>
      <c r="AK59" s="56"/>
    </row>
    <row r="60" spans="1:37" x14ac:dyDescent="0.25">
      <c r="A60" s="66" t="s">
        <v>68</v>
      </c>
      <c r="B60" s="58">
        <v>54</v>
      </c>
      <c r="C60" s="58">
        <v>49.8</v>
      </c>
      <c r="D60" s="58">
        <v>50.2</v>
      </c>
      <c r="E60" s="58">
        <v>48</v>
      </c>
      <c r="F60" s="58">
        <v>46</v>
      </c>
      <c r="G60" s="58">
        <v>48</v>
      </c>
      <c r="H60" s="58">
        <v>51.2</v>
      </c>
      <c r="I60" s="58">
        <v>54.1</v>
      </c>
      <c r="J60" s="58">
        <v>55</v>
      </c>
      <c r="K60" s="58">
        <v>50.8</v>
      </c>
      <c r="L60" s="58">
        <v>53</v>
      </c>
      <c r="M60" s="73">
        <v>54</v>
      </c>
      <c r="N60" s="73">
        <v>54</v>
      </c>
      <c r="O60" s="73">
        <v>54</v>
      </c>
      <c r="P60" s="73">
        <v>51.8</v>
      </c>
      <c r="Q60" s="73">
        <v>58.5</v>
      </c>
      <c r="R60" s="73">
        <v>58.5</v>
      </c>
      <c r="S60" s="73">
        <v>50.7</v>
      </c>
      <c r="T60" s="73">
        <v>46.2</v>
      </c>
      <c r="U60" s="73">
        <v>46.2</v>
      </c>
      <c r="V60" s="73">
        <v>46.8</v>
      </c>
      <c r="W60" s="73">
        <v>51.2</v>
      </c>
      <c r="X60" s="73">
        <v>51.2</v>
      </c>
      <c r="Y60" s="73">
        <v>52.2</v>
      </c>
      <c r="Z60" s="73">
        <v>52.9</v>
      </c>
      <c r="AA60" s="73">
        <v>53.2</v>
      </c>
      <c r="AB60" s="73">
        <v>53.2</v>
      </c>
      <c r="AC60" s="73">
        <v>52</v>
      </c>
      <c r="AD60" s="73">
        <v>51</v>
      </c>
      <c r="AE60" s="73">
        <v>53.2</v>
      </c>
      <c r="AF60" s="58">
        <v>50.8</v>
      </c>
      <c r="AG60" s="85"/>
      <c r="AH60" s="54">
        <f t="shared" si="2"/>
        <v>58.5</v>
      </c>
      <c r="AI60" s="55">
        <f t="shared" si="3"/>
        <v>46</v>
      </c>
      <c r="AK60" s="56"/>
    </row>
    <row r="61" spans="1:37" x14ac:dyDescent="0.25">
      <c r="A61" s="66" t="s">
        <v>69</v>
      </c>
      <c r="B61" s="50">
        <v>72.400000000000006</v>
      </c>
      <c r="C61" s="58">
        <v>83.2</v>
      </c>
      <c r="D61" s="58">
        <v>0</v>
      </c>
      <c r="E61" s="58">
        <v>0</v>
      </c>
      <c r="F61" s="58">
        <v>0</v>
      </c>
      <c r="G61" s="58">
        <v>0</v>
      </c>
      <c r="H61" s="58">
        <v>85</v>
      </c>
      <c r="I61" s="58">
        <v>81.8</v>
      </c>
      <c r="J61" s="58">
        <v>79</v>
      </c>
      <c r="K61" s="58">
        <v>86.4</v>
      </c>
      <c r="L61" s="58">
        <v>85</v>
      </c>
      <c r="M61" s="50">
        <v>80.099999999999994</v>
      </c>
      <c r="N61" s="50">
        <v>80.099999999999994</v>
      </c>
      <c r="O61" s="50">
        <v>80.099999999999994</v>
      </c>
      <c r="P61" s="50">
        <v>77.900000000000006</v>
      </c>
      <c r="Q61" s="50">
        <v>78.2</v>
      </c>
      <c r="R61" s="50">
        <v>78.2</v>
      </c>
      <c r="S61" s="50">
        <v>80.900000000000006</v>
      </c>
      <c r="T61" s="50">
        <v>82.9</v>
      </c>
      <c r="U61" s="50">
        <v>75.400000000000006</v>
      </c>
      <c r="V61" s="50">
        <v>63.3</v>
      </c>
      <c r="W61" s="50">
        <v>66.099999999999994</v>
      </c>
      <c r="X61" s="50">
        <v>86.6</v>
      </c>
      <c r="Y61" s="50">
        <v>86.4</v>
      </c>
      <c r="Z61" s="50">
        <v>80.099999999999994</v>
      </c>
      <c r="AA61" s="50">
        <v>77.2</v>
      </c>
      <c r="AB61" s="50">
        <v>79.5</v>
      </c>
      <c r="AC61" s="50">
        <v>80.5</v>
      </c>
      <c r="AD61" s="50">
        <v>84</v>
      </c>
      <c r="AE61" s="50">
        <v>82</v>
      </c>
      <c r="AF61" s="50">
        <v>74.900000000000006</v>
      </c>
      <c r="AG61" s="85"/>
      <c r="AH61" s="54">
        <f t="shared" si="2"/>
        <v>86.6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73">
        <v>0</v>
      </c>
      <c r="E62" s="73">
        <v>0</v>
      </c>
      <c r="F62" s="73">
        <v>0</v>
      </c>
      <c r="G62" s="73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60">
        <v>0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58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60">
        <v>0</v>
      </c>
      <c r="AF64" s="60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60">
        <v>0</v>
      </c>
      <c r="AF65" s="60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58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63">
        <v>0</v>
      </c>
      <c r="R66" s="63">
        <v>0</v>
      </c>
      <c r="S66" s="63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0">
        <v>0</v>
      </c>
      <c r="AF66" s="60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58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63">
        <v>0</v>
      </c>
      <c r="R67" s="63">
        <v>0</v>
      </c>
      <c r="S67" s="63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0">
        <v>0</v>
      </c>
      <c r="AF67" s="60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2">SUM(B57:B67)</f>
        <v>601.6</v>
      </c>
      <c r="C68" s="72">
        <f>SUM(C57:C67)</f>
        <v>313.5</v>
      </c>
      <c r="D68" s="72">
        <f t="shared" ref="D68:AF68" si="13">SUM(D57:D67)</f>
        <v>507.8</v>
      </c>
      <c r="E68" s="72">
        <f t="shared" si="13"/>
        <v>511.1</v>
      </c>
      <c r="F68" s="72">
        <f t="shared" si="13"/>
        <v>504.6</v>
      </c>
      <c r="G68" s="72">
        <f t="shared" si="13"/>
        <v>527.5</v>
      </c>
      <c r="H68" s="72">
        <f t="shared" si="13"/>
        <v>306.32</v>
      </c>
      <c r="I68" s="72">
        <f t="shared" si="13"/>
        <v>273</v>
      </c>
      <c r="J68" s="72">
        <f t="shared" si="13"/>
        <v>306.20000000000005</v>
      </c>
      <c r="K68" s="72">
        <f t="shared" si="13"/>
        <v>337.79999999999995</v>
      </c>
      <c r="L68" s="72">
        <f t="shared" si="13"/>
        <v>328.7</v>
      </c>
      <c r="M68" s="72">
        <f t="shared" si="13"/>
        <v>326.10000000000002</v>
      </c>
      <c r="N68" s="72">
        <f t="shared" si="13"/>
        <v>366.4</v>
      </c>
      <c r="O68" s="72">
        <f t="shared" si="13"/>
        <v>627.1</v>
      </c>
      <c r="P68" s="72">
        <f t="shared" si="13"/>
        <v>625.88</v>
      </c>
      <c r="Q68" s="72">
        <f t="shared" si="13"/>
        <v>598.70000000000005</v>
      </c>
      <c r="R68" s="72">
        <f t="shared" si="13"/>
        <v>593.70000000000005</v>
      </c>
      <c r="S68" s="72">
        <f t="shared" si="13"/>
        <v>587.5</v>
      </c>
      <c r="T68" s="72">
        <f t="shared" si="13"/>
        <v>590.9</v>
      </c>
      <c r="U68" s="72">
        <f t="shared" si="13"/>
        <v>568.16</v>
      </c>
      <c r="V68" s="72">
        <f t="shared" si="13"/>
        <v>295.87</v>
      </c>
      <c r="W68" s="72">
        <f t="shared" si="13"/>
        <v>310.84000000000003</v>
      </c>
      <c r="X68" s="72">
        <f t="shared" si="13"/>
        <v>340.1</v>
      </c>
      <c r="Y68" s="72">
        <f t="shared" si="13"/>
        <v>323.07000000000005</v>
      </c>
      <c r="Z68" s="72">
        <f t="shared" si="13"/>
        <v>288.60000000000002</v>
      </c>
      <c r="AA68" s="72">
        <f t="shared" si="13"/>
        <v>267.77999999999997</v>
      </c>
      <c r="AB68" s="72">
        <f t="shared" si="13"/>
        <v>311.24</v>
      </c>
      <c r="AC68" s="72">
        <f>SUM(AC57:AC67)</f>
        <v>304.8</v>
      </c>
      <c r="AD68" s="72">
        <f t="shared" si="13"/>
        <v>338.9</v>
      </c>
      <c r="AE68" s="72">
        <f t="shared" si="13"/>
        <v>342.3</v>
      </c>
      <c r="AF68" s="72">
        <f t="shared" si="13"/>
        <v>315.49</v>
      </c>
      <c r="AG68" s="78">
        <f>SUM(AG57:AG67)</f>
        <v>0</v>
      </c>
      <c r="AH68" s="54">
        <f t="shared" si="2"/>
        <v>627.1</v>
      </c>
      <c r="AI68" s="55">
        <f t="shared" si="3"/>
        <v>267.77999999999997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4">SUM(B69:B71)</f>
        <v>0</v>
      </c>
      <c r="C72" s="72">
        <f>SUM(C69:C71)</f>
        <v>0</v>
      </c>
      <c r="D72" s="72">
        <f t="shared" ref="D72:AF72" si="15">SUM(D69:D71)</f>
        <v>0</v>
      </c>
      <c r="E72" s="72">
        <f t="shared" si="15"/>
        <v>0</v>
      </c>
      <c r="F72" s="72">
        <f t="shared" si="15"/>
        <v>0</v>
      </c>
      <c r="G72" s="72">
        <f t="shared" si="15"/>
        <v>0</v>
      </c>
      <c r="H72" s="72">
        <f t="shared" si="15"/>
        <v>0</v>
      </c>
      <c r="I72" s="72">
        <f t="shared" si="15"/>
        <v>0</v>
      </c>
      <c r="J72" s="72">
        <f t="shared" si="15"/>
        <v>0</v>
      </c>
      <c r="K72" s="72">
        <f t="shared" si="15"/>
        <v>0</v>
      </c>
      <c r="L72" s="72">
        <f t="shared" si="15"/>
        <v>0</v>
      </c>
      <c r="M72" s="72">
        <f t="shared" si="15"/>
        <v>0</v>
      </c>
      <c r="N72" s="72">
        <f t="shared" si="15"/>
        <v>0</v>
      </c>
      <c r="O72" s="72">
        <f t="shared" si="15"/>
        <v>0</v>
      </c>
      <c r="P72" s="72">
        <f t="shared" si="15"/>
        <v>0</v>
      </c>
      <c r="Q72" s="72">
        <f t="shared" si="15"/>
        <v>0</v>
      </c>
      <c r="R72" s="72">
        <f t="shared" si="15"/>
        <v>0</v>
      </c>
      <c r="S72" s="72">
        <f t="shared" si="15"/>
        <v>0</v>
      </c>
      <c r="T72" s="72">
        <f t="shared" si="15"/>
        <v>0</v>
      </c>
      <c r="U72" s="72">
        <f t="shared" si="15"/>
        <v>0</v>
      </c>
      <c r="V72" s="72">
        <f t="shared" si="15"/>
        <v>0</v>
      </c>
      <c r="W72" s="72">
        <f t="shared" si="15"/>
        <v>0</v>
      </c>
      <c r="X72" s="72">
        <f t="shared" si="15"/>
        <v>0</v>
      </c>
      <c r="Y72" s="72">
        <f t="shared" si="15"/>
        <v>0</v>
      </c>
      <c r="Z72" s="72">
        <v>0</v>
      </c>
      <c r="AA72" s="72">
        <f t="shared" si="15"/>
        <v>0</v>
      </c>
      <c r="AB72" s="72">
        <f t="shared" si="15"/>
        <v>0</v>
      </c>
      <c r="AC72" s="72">
        <f t="shared" si="15"/>
        <v>0</v>
      </c>
      <c r="AD72" s="72">
        <f t="shared" si="15"/>
        <v>0</v>
      </c>
      <c r="AE72" s="72">
        <f t="shared" si="15"/>
        <v>0</v>
      </c>
      <c r="AF72" s="72">
        <f t="shared" si="15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16">B68+B56+B52+B38+B72</f>
        <v>1059.24</v>
      </c>
      <c r="C73" s="89">
        <f>C68+C56+C52+C38+C72</f>
        <v>960.94</v>
      </c>
      <c r="D73" s="89">
        <f t="shared" ref="D73:AG73" si="17">D68+D56+D52+D38+D72</f>
        <v>977.74</v>
      </c>
      <c r="E73" s="89">
        <f t="shared" si="17"/>
        <v>979.43999999999994</v>
      </c>
      <c r="F73" s="89">
        <f t="shared" si="17"/>
        <v>973.24</v>
      </c>
      <c r="G73" s="89">
        <f t="shared" si="17"/>
        <v>1023.24</v>
      </c>
      <c r="H73" s="89">
        <f t="shared" si="17"/>
        <v>1068.26</v>
      </c>
      <c r="I73" s="89">
        <f t="shared" si="17"/>
        <v>1124.1399999999999</v>
      </c>
      <c r="J73" s="89">
        <f t="shared" si="17"/>
        <v>1204.1400000000001</v>
      </c>
      <c r="K73" s="89">
        <f t="shared" si="17"/>
        <v>1260.44</v>
      </c>
      <c r="L73" s="89">
        <f t="shared" si="17"/>
        <v>1356.8400000000001</v>
      </c>
      <c r="M73" s="89">
        <f t="shared" si="17"/>
        <v>1333.94</v>
      </c>
      <c r="N73" s="89">
        <f t="shared" si="17"/>
        <v>1328.44</v>
      </c>
      <c r="O73" s="89">
        <f t="shared" si="17"/>
        <v>1289.74</v>
      </c>
      <c r="P73" s="89">
        <f t="shared" si="17"/>
        <v>1233.02</v>
      </c>
      <c r="Q73" s="89">
        <f t="shared" si="17"/>
        <v>1167.8400000000001</v>
      </c>
      <c r="R73" s="89">
        <f t="shared" si="17"/>
        <v>1148.54</v>
      </c>
      <c r="S73" s="89">
        <f t="shared" si="17"/>
        <v>1129.44</v>
      </c>
      <c r="T73" s="89">
        <f t="shared" si="17"/>
        <v>1128.44</v>
      </c>
      <c r="U73" s="89">
        <f t="shared" si="17"/>
        <v>1142.9000000000001</v>
      </c>
      <c r="V73" s="89">
        <f t="shared" si="17"/>
        <v>1110.9100000000001</v>
      </c>
      <c r="W73" s="89">
        <f t="shared" si="17"/>
        <v>1134.8799999999999</v>
      </c>
      <c r="X73" s="89">
        <f t="shared" si="17"/>
        <v>1223.94</v>
      </c>
      <c r="Y73" s="89">
        <f t="shared" si="17"/>
        <v>1401.91</v>
      </c>
      <c r="Z73" s="89">
        <f t="shared" si="17"/>
        <v>1474.1400000000003</v>
      </c>
      <c r="AA73" s="89">
        <f t="shared" si="17"/>
        <v>1357.02</v>
      </c>
      <c r="AB73" s="89">
        <f t="shared" si="17"/>
        <v>1292.3799999999999</v>
      </c>
      <c r="AC73" s="89">
        <f t="shared" si="17"/>
        <v>1250.94</v>
      </c>
      <c r="AD73" s="89">
        <f t="shared" si="17"/>
        <v>1178.8399999999999</v>
      </c>
      <c r="AE73" s="89">
        <f t="shared" si="17"/>
        <v>1091.74</v>
      </c>
      <c r="AF73" s="89">
        <f t="shared" si="17"/>
        <v>997.53</v>
      </c>
      <c r="AG73" s="89">
        <f t="shared" si="17"/>
        <v>2144.14</v>
      </c>
      <c r="AH73" s="54">
        <f t="shared" si="2"/>
        <v>1474.1400000000003</v>
      </c>
      <c r="AI73" s="55">
        <f t="shared" si="3"/>
        <v>960.94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18">B72+B68+B56+B52+B38+B74</f>
        <v>1059.24</v>
      </c>
      <c r="C75" s="89">
        <f>C73+C74</f>
        <v>960.94</v>
      </c>
      <c r="D75" s="89">
        <f t="shared" ref="D75:AF75" si="19">D72+D68+D56+D52+D38+D74</f>
        <v>977.74</v>
      </c>
      <c r="E75" s="89">
        <f t="shared" si="19"/>
        <v>979.43999999999994</v>
      </c>
      <c r="F75" s="89">
        <f t="shared" si="19"/>
        <v>973.24</v>
      </c>
      <c r="G75" s="89">
        <f t="shared" si="19"/>
        <v>1023.24</v>
      </c>
      <c r="H75" s="89">
        <f t="shared" si="19"/>
        <v>1068.26</v>
      </c>
      <c r="I75" s="89">
        <f t="shared" si="19"/>
        <v>1124.1399999999999</v>
      </c>
      <c r="J75" s="89">
        <f t="shared" si="19"/>
        <v>1204.1400000000001</v>
      </c>
      <c r="K75" s="89">
        <f t="shared" si="19"/>
        <v>1260.44</v>
      </c>
      <c r="L75" s="89">
        <f t="shared" si="19"/>
        <v>1356.8400000000001</v>
      </c>
      <c r="M75" s="89">
        <f t="shared" si="19"/>
        <v>1333.94</v>
      </c>
      <c r="N75" s="89">
        <f t="shared" si="19"/>
        <v>1328.44</v>
      </c>
      <c r="O75" s="89">
        <f t="shared" si="19"/>
        <v>1289.74</v>
      </c>
      <c r="P75" s="89">
        <f t="shared" si="19"/>
        <v>1233.02</v>
      </c>
      <c r="Q75" s="89">
        <f t="shared" si="19"/>
        <v>1167.8400000000001</v>
      </c>
      <c r="R75" s="89">
        <f t="shared" si="19"/>
        <v>1148.54</v>
      </c>
      <c r="S75" s="89">
        <f t="shared" si="19"/>
        <v>1129.44</v>
      </c>
      <c r="T75" s="89">
        <f t="shared" si="19"/>
        <v>1128.44</v>
      </c>
      <c r="U75" s="89">
        <f t="shared" si="19"/>
        <v>1142.9000000000001</v>
      </c>
      <c r="V75" s="89">
        <f t="shared" si="19"/>
        <v>1110.9100000000001</v>
      </c>
      <c r="W75" s="89">
        <f t="shared" si="19"/>
        <v>1134.8799999999999</v>
      </c>
      <c r="X75" s="89">
        <f t="shared" si="19"/>
        <v>1223.94</v>
      </c>
      <c r="Y75" s="89">
        <f t="shared" si="19"/>
        <v>1401.91</v>
      </c>
      <c r="Z75" s="89">
        <f t="shared" si="19"/>
        <v>1474.1400000000003</v>
      </c>
      <c r="AA75" s="89">
        <f t="shared" si="19"/>
        <v>1357.02</v>
      </c>
      <c r="AB75" s="89">
        <f t="shared" si="19"/>
        <v>1292.3799999999999</v>
      </c>
      <c r="AC75" s="89">
        <f t="shared" si="19"/>
        <v>1250.94</v>
      </c>
      <c r="AD75" s="89">
        <f t="shared" si="19"/>
        <v>1178.8399999999999</v>
      </c>
      <c r="AE75" s="89">
        <f t="shared" si="19"/>
        <v>1091.74</v>
      </c>
      <c r="AF75" s="89">
        <f t="shared" si="19"/>
        <v>997.53</v>
      </c>
      <c r="AG75" s="78">
        <f>AG72+AG68+AG56+AG52+AG38+AG74</f>
        <v>2144.14</v>
      </c>
      <c r="AH75" s="54">
        <f t="shared" si="2"/>
        <v>1474.1400000000003</v>
      </c>
      <c r="AI75" s="55">
        <f t="shared" si="3"/>
        <v>960.94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0">IF(B60&lt;0,B60*-1,0)</f>
        <v>0</v>
      </c>
      <c r="C76" s="58">
        <f>IF(C60&lt;0,C60*-1,0)</f>
        <v>0</v>
      </c>
      <c r="D76" s="58">
        <f t="shared" ref="D76:AF76" si="21">IF(D60&lt;0,D60*-1,0)</f>
        <v>0</v>
      </c>
      <c r="E76" s="58">
        <f t="shared" si="21"/>
        <v>0</v>
      </c>
      <c r="F76" s="58">
        <f t="shared" si="21"/>
        <v>0</v>
      </c>
      <c r="G76" s="58">
        <f t="shared" si="21"/>
        <v>0</v>
      </c>
      <c r="H76" s="58">
        <f t="shared" si="21"/>
        <v>0</v>
      </c>
      <c r="I76" s="58">
        <f t="shared" si="21"/>
        <v>0</v>
      </c>
      <c r="J76" s="58">
        <f t="shared" si="21"/>
        <v>0</v>
      </c>
      <c r="K76" s="58">
        <f t="shared" si="21"/>
        <v>0</v>
      </c>
      <c r="L76" s="58">
        <f t="shared" si="21"/>
        <v>0</v>
      </c>
      <c r="M76" s="58">
        <f t="shared" si="21"/>
        <v>0</v>
      </c>
      <c r="N76" s="58">
        <f t="shared" si="21"/>
        <v>0</v>
      </c>
      <c r="O76" s="58">
        <f t="shared" si="21"/>
        <v>0</v>
      </c>
      <c r="P76" s="58">
        <f t="shared" si="21"/>
        <v>0</v>
      </c>
      <c r="Q76" s="58">
        <f t="shared" si="21"/>
        <v>0</v>
      </c>
      <c r="R76" s="58">
        <f t="shared" si="21"/>
        <v>0</v>
      </c>
      <c r="S76" s="58">
        <f t="shared" si="21"/>
        <v>0</v>
      </c>
      <c r="T76" s="58">
        <f t="shared" si="21"/>
        <v>0</v>
      </c>
      <c r="U76" s="58">
        <f t="shared" si="21"/>
        <v>0</v>
      </c>
      <c r="V76" s="58">
        <f t="shared" si="21"/>
        <v>0</v>
      </c>
      <c r="W76" s="58">
        <f t="shared" si="21"/>
        <v>0</v>
      </c>
      <c r="X76" s="58">
        <f t="shared" si="21"/>
        <v>0</v>
      </c>
      <c r="Y76" s="58">
        <f t="shared" si="21"/>
        <v>0</v>
      </c>
      <c r="Z76" s="58">
        <v>0</v>
      </c>
      <c r="AA76" s="58">
        <f t="shared" si="21"/>
        <v>0</v>
      </c>
      <c r="AB76" s="58">
        <f t="shared" si="21"/>
        <v>0</v>
      </c>
      <c r="AC76" s="58">
        <f t="shared" si="21"/>
        <v>0</v>
      </c>
      <c r="AD76" s="58">
        <f t="shared" si="21"/>
        <v>0</v>
      </c>
      <c r="AE76" s="58">
        <f t="shared" si="21"/>
        <v>0</v>
      </c>
      <c r="AF76" s="58">
        <f t="shared" si="21"/>
        <v>0</v>
      </c>
      <c r="AG76" s="62"/>
      <c r="AH76" s="54">
        <f t="shared" ref="AH76:AH91" si="22">MAX(B76:AF76)</f>
        <v>0</v>
      </c>
      <c r="AI76" s="55">
        <f t="shared" ref="AI76:AI91" si="2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24">IF(B58&lt;0,B58*-1,0)</f>
        <v>0</v>
      </c>
      <c r="C77" s="58">
        <f>IF(C58&lt;0,C58*-1,0)</f>
        <v>0</v>
      </c>
      <c r="D77" s="58">
        <f t="shared" ref="D77:AF77" si="25">IF(D58&lt;0,D58*-1,0)</f>
        <v>0</v>
      </c>
      <c r="E77" s="58">
        <f t="shared" si="25"/>
        <v>0</v>
      </c>
      <c r="F77" s="58">
        <f t="shared" si="25"/>
        <v>0</v>
      </c>
      <c r="G77" s="58">
        <f t="shared" si="25"/>
        <v>0</v>
      </c>
      <c r="H77" s="58">
        <f t="shared" si="25"/>
        <v>0</v>
      </c>
      <c r="I77" s="58">
        <f t="shared" si="25"/>
        <v>0</v>
      </c>
      <c r="J77" s="58">
        <f t="shared" si="25"/>
        <v>0</v>
      </c>
      <c r="K77" s="58">
        <f t="shared" si="25"/>
        <v>0</v>
      </c>
      <c r="L77" s="58">
        <f t="shared" si="25"/>
        <v>0</v>
      </c>
      <c r="M77" s="58">
        <f t="shared" si="25"/>
        <v>0</v>
      </c>
      <c r="N77" s="58">
        <f t="shared" si="25"/>
        <v>0</v>
      </c>
      <c r="O77" s="58">
        <f t="shared" si="25"/>
        <v>0</v>
      </c>
      <c r="P77" s="58">
        <f t="shared" si="25"/>
        <v>0</v>
      </c>
      <c r="Q77" s="58">
        <f t="shared" si="25"/>
        <v>0</v>
      </c>
      <c r="R77" s="58">
        <f t="shared" si="25"/>
        <v>0</v>
      </c>
      <c r="S77" s="58">
        <f t="shared" si="25"/>
        <v>0</v>
      </c>
      <c r="T77" s="58">
        <f t="shared" si="25"/>
        <v>0</v>
      </c>
      <c r="U77" s="58">
        <f t="shared" si="25"/>
        <v>0</v>
      </c>
      <c r="V77" s="58">
        <f t="shared" si="25"/>
        <v>0</v>
      </c>
      <c r="W77" s="58">
        <f t="shared" si="25"/>
        <v>0</v>
      </c>
      <c r="X77" s="58">
        <f t="shared" si="25"/>
        <v>0</v>
      </c>
      <c r="Y77" s="58">
        <f t="shared" si="25"/>
        <v>0</v>
      </c>
      <c r="Z77" s="58">
        <v>0</v>
      </c>
      <c r="AA77" s="58">
        <f t="shared" si="25"/>
        <v>0</v>
      </c>
      <c r="AB77" s="58">
        <f t="shared" si="25"/>
        <v>0</v>
      </c>
      <c r="AC77" s="58">
        <f t="shared" si="25"/>
        <v>0</v>
      </c>
      <c r="AD77" s="58">
        <f t="shared" si="25"/>
        <v>0</v>
      </c>
      <c r="AE77" s="58">
        <f t="shared" si="25"/>
        <v>0</v>
      </c>
      <c r="AF77" s="58">
        <f t="shared" si="25"/>
        <v>0</v>
      </c>
      <c r="AG77" s="67"/>
      <c r="AH77" s="54">
        <f t="shared" si="22"/>
        <v>0</v>
      </c>
      <c r="AI77" s="55">
        <f t="shared" si="2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26">IF(B61&lt;0,B61*-1,0)</f>
        <v>0</v>
      </c>
      <c r="C78" s="58">
        <f>IF(C61&lt;0,C61*-1,0)</f>
        <v>0</v>
      </c>
      <c r="D78" s="58">
        <f t="shared" ref="D78:AF78" si="27">IF(D61&lt;0,D61*-1,0)</f>
        <v>0</v>
      </c>
      <c r="E78" s="58">
        <f t="shared" si="27"/>
        <v>0</v>
      </c>
      <c r="F78" s="58">
        <f t="shared" si="27"/>
        <v>0</v>
      </c>
      <c r="G78" s="58">
        <f t="shared" si="27"/>
        <v>0</v>
      </c>
      <c r="H78" s="58">
        <f t="shared" si="27"/>
        <v>0</v>
      </c>
      <c r="I78" s="58">
        <f t="shared" si="27"/>
        <v>0</v>
      </c>
      <c r="J78" s="58">
        <f t="shared" si="27"/>
        <v>0</v>
      </c>
      <c r="K78" s="58">
        <f t="shared" si="27"/>
        <v>0</v>
      </c>
      <c r="L78" s="58">
        <f t="shared" si="27"/>
        <v>0</v>
      </c>
      <c r="M78" s="58">
        <f t="shared" si="27"/>
        <v>0</v>
      </c>
      <c r="N78" s="58">
        <f t="shared" si="27"/>
        <v>0</v>
      </c>
      <c r="O78" s="58">
        <f t="shared" si="27"/>
        <v>0</v>
      </c>
      <c r="P78" s="58">
        <f t="shared" si="27"/>
        <v>0</v>
      </c>
      <c r="Q78" s="58">
        <f t="shared" si="27"/>
        <v>0</v>
      </c>
      <c r="R78" s="58">
        <f t="shared" si="27"/>
        <v>0</v>
      </c>
      <c r="S78" s="58">
        <f t="shared" si="27"/>
        <v>0</v>
      </c>
      <c r="T78" s="58">
        <f t="shared" si="27"/>
        <v>0</v>
      </c>
      <c r="U78" s="58">
        <f t="shared" si="27"/>
        <v>0</v>
      </c>
      <c r="V78" s="58">
        <f t="shared" si="27"/>
        <v>0</v>
      </c>
      <c r="W78" s="58">
        <f t="shared" si="27"/>
        <v>0</v>
      </c>
      <c r="X78" s="58">
        <f t="shared" si="27"/>
        <v>0</v>
      </c>
      <c r="Y78" s="58">
        <f t="shared" si="27"/>
        <v>0</v>
      </c>
      <c r="Z78" s="58">
        <v>0</v>
      </c>
      <c r="AA78" s="58">
        <f t="shared" si="27"/>
        <v>0</v>
      </c>
      <c r="AB78" s="58">
        <f t="shared" si="27"/>
        <v>0</v>
      </c>
      <c r="AC78" s="58">
        <f t="shared" si="27"/>
        <v>0</v>
      </c>
      <c r="AD78" s="58">
        <f t="shared" si="27"/>
        <v>0</v>
      </c>
      <c r="AE78" s="58">
        <f t="shared" si="27"/>
        <v>0</v>
      </c>
      <c r="AF78" s="58">
        <f t="shared" si="27"/>
        <v>0</v>
      </c>
      <c r="AG78" s="92"/>
      <c r="AH78" s="54">
        <f t="shared" si="22"/>
        <v>0</v>
      </c>
      <c r="AI78" s="55">
        <f t="shared" si="2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28">IF(B59&lt;0,B59*-1,0)</f>
        <v>0</v>
      </c>
      <c r="C79" s="58">
        <f>IF(C59&lt;0,C59*-1,0)</f>
        <v>0</v>
      </c>
      <c r="D79" s="58">
        <f t="shared" ref="D79:AF79" si="29">IF(D59&lt;0,D59*-1,0)</f>
        <v>0</v>
      </c>
      <c r="E79" s="58">
        <f t="shared" si="29"/>
        <v>0</v>
      </c>
      <c r="F79" s="58">
        <f t="shared" si="29"/>
        <v>0</v>
      </c>
      <c r="G79" s="58">
        <f t="shared" si="29"/>
        <v>0</v>
      </c>
      <c r="H79" s="58">
        <f t="shared" si="29"/>
        <v>0</v>
      </c>
      <c r="I79" s="58">
        <f t="shared" si="29"/>
        <v>0</v>
      </c>
      <c r="J79" s="58">
        <f t="shared" si="29"/>
        <v>0</v>
      </c>
      <c r="K79" s="58">
        <f t="shared" si="29"/>
        <v>0</v>
      </c>
      <c r="L79" s="58">
        <f t="shared" si="29"/>
        <v>0</v>
      </c>
      <c r="M79" s="58">
        <f t="shared" si="29"/>
        <v>0</v>
      </c>
      <c r="N79" s="58">
        <f t="shared" si="29"/>
        <v>0</v>
      </c>
      <c r="O79" s="58">
        <f t="shared" si="29"/>
        <v>0</v>
      </c>
      <c r="P79" s="58">
        <f t="shared" si="29"/>
        <v>0</v>
      </c>
      <c r="Q79" s="58">
        <f t="shared" si="29"/>
        <v>0</v>
      </c>
      <c r="R79" s="58">
        <f t="shared" si="29"/>
        <v>0</v>
      </c>
      <c r="S79" s="58">
        <f t="shared" si="29"/>
        <v>0</v>
      </c>
      <c r="T79" s="58">
        <f t="shared" si="29"/>
        <v>0</v>
      </c>
      <c r="U79" s="58">
        <f t="shared" si="29"/>
        <v>0</v>
      </c>
      <c r="V79" s="58">
        <f t="shared" si="29"/>
        <v>0</v>
      </c>
      <c r="W79" s="58">
        <f t="shared" si="29"/>
        <v>0</v>
      </c>
      <c r="X79" s="58">
        <f t="shared" si="29"/>
        <v>0</v>
      </c>
      <c r="Y79" s="58">
        <f t="shared" si="29"/>
        <v>0</v>
      </c>
      <c r="Z79" s="58">
        <v>0</v>
      </c>
      <c r="AA79" s="58">
        <f t="shared" si="29"/>
        <v>0</v>
      </c>
      <c r="AB79" s="58">
        <f t="shared" si="29"/>
        <v>0</v>
      </c>
      <c r="AC79" s="58">
        <f t="shared" si="29"/>
        <v>0</v>
      </c>
      <c r="AD79" s="58">
        <f t="shared" si="29"/>
        <v>0</v>
      </c>
      <c r="AE79" s="58">
        <f t="shared" si="29"/>
        <v>0</v>
      </c>
      <c r="AF79" s="58">
        <f t="shared" si="29"/>
        <v>0</v>
      </c>
      <c r="AG79" s="92"/>
      <c r="AH79" s="54">
        <f t="shared" si="22"/>
        <v>0</v>
      </c>
      <c r="AI79" s="55">
        <f t="shared" si="2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0">IF(B57&lt;0,B57*-1,0)</f>
        <v>0</v>
      </c>
      <c r="C80" s="58">
        <f>IF(C57&lt;0,C57*-1,0)</f>
        <v>0</v>
      </c>
      <c r="D80" s="58">
        <f t="shared" ref="D80:AF80" si="31">IF(D57&lt;0,D57*-1,0)</f>
        <v>0</v>
      </c>
      <c r="E80" s="58">
        <f t="shared" si="31"/>
        <v>0</v>
      </c>
      <c r="F80" s="58">
        <f t="shared" si="31"/>
        <v>0</v>
      </c>
      <c r="G80" s="58">
        <f t="shared" si="31"/>
        <v>0</v>
      </c>
      <c r="H80" s="58">
        <f t="shared" si="31"/>
        <v>0</v>
      </c>
      <c r="I80" s="58">
        <f t="shared" si="31"/>
        <v>0</v>
      </c>
      <c r="J80" s="58">
        <f t="shared" si="31"/>
        <v>0</v>
      </c>
      <c r="K80" s="58">
        <f t="shared" si="31"/>
        <v>0</v>
      </c>
      <c r="L80" s="58">
        <f t="shared" si="31"/>
        <v>0</v>
      </c>
      <c r="M80" s="58">
        <f t="shared" si="31"/>
        <v>0</v>
      </c>
      <c r="N80" s="58">
        <f t="shared" si="31"/>
        <v>0</v>
      </c>
      <c r="O80" s="58">
        <f t="shared" si="31"/>
        <v>0</v>
      </c>
      <c r="P80" s="58">
        <f t="shared" si="31"/>
        <v>0</v>
      </c>
      <c r="Q80" s="58">
        <f t="shared" si="31"/>
        <v>0</v>
      </c>
      <c r="R80" s="58">
        <f t="shared" si="31"/>
        <v>0</v>
      </c>
      <c r="S80" s="58">
        <f t="shared" si="31"/>
        <v>0</v>
      </c>
      <c r="T80" s="58">
        <f t="shared" si="31"/>
        <v>0</v>
      </c>
      <c r="U80" s="58">
        <f t="shared" si="31"/>
        <v>0</v>
      </c>
      <c r="V80" s="58">
        <f t="shared" si="31"/>
        <v>0</v>
      </c>
      <c r="W80" s="58">
        <f t="shared" si="31"/>
        <v>0</v>
      </c>
      <c r="X80" s="58">
        <f t="shared" si="31"/>
        <v>0</v>
      </c>
      <c r="Y80" s="58">
        <f t="shared" si="31"/>
        <v>0</v>
      </c>
      <c r="Z80" s="58">
        <v>0</v>
      </c>
      <c r="AA80" s="58">
        <f t="shared" si="31"/>
        <v>0</v>
      </c>
      <c r="AB80" s="58">
        <f t="shared" si="31"/>
        <v>0</v>
      </c>
      <c r="AC80" s="58">
        <f t="shared" si="31"/>
        <v>0</v>
      </c>
      <c r="AD80" s="58">
        <f t="shared" si="31"/>
        <v>0</v>
      </c>
      <c r="AE80" s="58">
        <f t="shared" si="31"/>
        <v>0</v>
      </c>
      <c r="AF80" s="58">
        <f t="shared" si="31"/>
        <v>0</v>
      </c>
      <c r="AG80" s="92"/>
      <c r="AH80" s="54">
        <f t="shared" si="22"/>
        <v>0</v>
      </c>
      <c r="AI80" s="55">
        <f t="shared" si="2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22"/>
        <v>0</v>
      </c>
      <c r="AI81" s="55">
        <f t="shared" si="2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2">SUM(B76:B81)</f>
        <v>0</v>
      </c>
      <c r="C82" s="72">
        <f t="shared" ref="C82:AG82" si="33">SUM(C76:C81)</f>
        <v>0</v>
      </c>
      <c r="D82" s="72">
        <f t="shared" si="33"/>
        <v>0</v>
      </c>
      <c r="E82" s="72">
        <f t="shared" si="33"/>
        <v>0</v>
      </c>
      <c r="F82" s="72">
        <f t="shared" si="33"/>
        <v>0</v>
      </c>
      <c r="G82" s="72">
        <f t="shared" si="33"/>
        <v>0</v>
      </c>
      <c r="H82" s="72">
        <f t="shared" si="33"/>
        <v>0</v>
      </c>
      <c r="I82" s="72">
        <f t="shared" si="33"/>
        <v>0</v>
      </c>
      <c r="J82" s="72">
        <f t="shared" si="33"/>
        <v>0</v>
      </c>
      <c r="K82" s="72">
        <f t="shared" si="33"/>
        <v>0</v>
      </c>
      <c r="L82" s="72">
        <f t="shared" si="33"/>
        <v>0</v>
      </c>
      <c r="M82" s="72">
        <f t="shared" si="33"/>
        <v>0</v>
      </c>
      <c r="N82" s="72">
        <f t="shared" si="33"/>
        <v>0</v>
      </c>
      <c r="O82" s="72">
        <f t="shared" si="33"/>
        <v>0</v>
      </c>
      <c r="P82" s="72">
        <f t="shared" si="33"/>
        <v>0</v>
      </c>
      <c r="Q82" s="72">
        <f t="shared" si="33"/>
        <v>0</v>
      </c>
      <c r="R82" s="72">
        <f t="shared" si="33"/>
        <v>0</v>
      </c>
      <c r="S82" s="72">
        <f t="shared" si="33"/>
        <v>0</v>
      </c>
      <c r="T82" s="72">
        <f t="shared" si="33"/>
        <v>0</v>
      </c>
      <c r="U82" s="72">
        <f t="shared" si="33"/>
        <v>0</v>
      </c>
      <c r="V82" s="72">
        <f t="shared" si="33"/>
        <v>0</v>
      </c>
      <c r="W82" s="72">
        <f t="shared" si="33"/>
        <v>0</v>
      </c>
      <c r="X82" s="72">
        <f t="shared" si="33"/>
        <v>0</v>
      </c>
      <c r="Y82" s="72">
        <f t="shared" si="33"/>
        <v>0</v>
      </c>
      <c r="Z82" s="72">
        <v>0</v>
      </c>
      <c r="AA82" s="72">
        <f t="shared" si="33"/>
        <v>0</v>
      </c>
      <c r="AB82" s="72">
        <f t="shared" si="33"/>
        <v>0</v>
      </c>
      <c r="AC82" s="72">
        <f t="shared" si="33"/>
        <v>0</v>
      </c>
      <c r="AD82" s="72">
        <f t="shared" si="33"/>
        <v>0</v>
      </c>
      <c r="AE82" s="72">
        <f t="shared" si="33"/>
        <v>0</v>
      </c>
      <c r="AF82" s="72">
        <f t="shared" si="33"/>
        <v>0</v>
      </c>
      <c r="AG82" s="78">
        <f t="shared" si="33"/>
        <v>0</v>
      </c>
      <c r="AH82" s="54">
        <f t="shared" si="22"/>
        <v>0</v>
      </c>
      <c r="AI82" s="55">
        <f t="shared" si="23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34">SUM(B70:B82)</f>
        <v>2118.48</v>
      </c>
      <c r="C83" s="72">
        <f t="shared" ref="C83:AG83" si="35">SUM(C70:C82)</f>
        <v>1921.88</v>
      </c>
      <c r="D83" s="72">
        <f t="shared" si="35"/>
        <v>1955.48</v>
      </c>
      <c r="E83" s="72">
        <f t="shared" si="35"/>
        <v>1958.8799999999999</v>
      </c>
      <c r="F83" s="72">
        <f t="shared" si="35"/>
        <v>1946.48</v>
      </c>
      <c r="G83" s="72">
        <f t="shared" si="35"/>
        <v>2046.48</v>
      </c>
      <c r="H83" s="72">
        <f t="shared" si="35"/>
        <v>2136.52</v>
      </c>
      <c r="I83" s="72">
        <f t="shared" si="35"/>
        <v>2248.2799999999997</v>
      </c>
      <c r="J83" s="72">
        <f t="shared" si="35"/>
        <v>2408.2800000000002</v>
      </c>
      <c r="K83" s="72">
        <f t="shared" si="35"/>
        <v>2520.88</v>
      </c>
      <c r="L83" s="72">
        <f t="shared" si="35"/>
        <v>2713.6800000000003</v>
      </c>
      <c r="M83" s="72">
        <f t="shared" si="35"/>
        <v>2667.88</v>
      </c>
      <c r="N83" s="72">
        <f t="shared" si="35"/>
        <v>2656.88</v>
      </c>
      <c r="O83" s="72">
        <f t="shared" si="35"/>
        <v>2579.48</v>
      </c>
      <c r="P83" s="72">
        <f t="shared" si="35"/>
        <v>2466.04</v>
      </c>
      <c r="Q83" s="72">
        <f t="shared" si="35"/>
        <v>2335.6800000000003</v>
      </c>
      <c r="R83" s="72">
        <f t="shared" si="35"/>
        <v>2297.08</v>
      </c>
      <c r="S83" s="72">
        <f t="shared" si="35"/>
        <v>2258.88</v>
      </c>
      <c r="T83" s="72">
        <f t="shared" si="35"/>
        <v>2256.88</v>
      </c>
      <c r="U83" s="72">
        <f t="shared" si="35"/>
        <v>2285.8000000000002</v>
      </c>
      <c r="V83" s="72">
        <f t="shared" si="35"/>
        <v>2221.8200000000002</v>
      </c>
      <c r="W83" s="72">
        <f t="shared" si="35"/>
        <v>2269.7599999999998</v>
      </c>
      <c r="X83" s="72">
        <f t="shared" si="35"/>
        <v>2447.88</v>
      </c>
      <c r="Y83" s="72">
        <f t="shared" si="35"/>
        <v>2803.82</v>
      </c>
      <c r="Z83" s="72">
        <f t="shared" si="35"/>
        <v>2948.2800000000007</v>
      </c>
      <c r="AA83" s="72">
        <f t="shared" si="35"/>
        <v>2714.04</v>
      </c>
      <c r="AB83" s="72">
        <f t="shared" si="35"/>
        <v>2584.7599999999998</v>
      </c>
      <c r="AC83" s="72">
        <f t="shared" si="35"/>
        <v>2501.88</v>
      </c>
      <c r="AD83" s="72">
        <f t="shared" si="35"/>
        <v>2357.6799999999998</v>
      </c>
      <c r="AE83" s="72">
        <f t="shared" si="35"/>
        <v>2183.48</v>
      </c>
      <c r="AF83" s="72">
        <f t="shared" si="35"/>
        <v>1995.06</v>
      </c>
      <c r="AG83" s="78">
        <f t="shared" si="35"/>
        <v>4360.08</v>
      </c>
      <c r="AH83" s="54">
        <f t="shared" si="22"/>
        <v>2948.2800000000007</v>
      </c>
      <c r="AI83" s="55">
        <f t="shared" si="23"/>
        <v>1921.88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49.99</v>
      </c>
      <c r="C84" s="96">
        <v>50.02</v>
      </c>
      <c r="D84" s="96">
        <v>50.03</v>
      </c>
      <c r="E84" s="96">
        <v>50.042000000000002</v>
      </c>
      <c r="F84" s="96">
        <v>49.957000000000001</v>
      </c>
      <c r="G84" s="96">
        <v>49.999000000000002</v>
      </c>
      <c r="H84" s="96">
        <v>49.945</v>
      </c>
      <c r="I84" s="96">
        <v>49.972999999999999</v>
      </c>
      <c r="J84" s="96">
        <v>49.965000000000003</v>
      </c>
      <c r="K84" s="96">
        <v>49.972999999999999</v>
      </c>
      <c r="L84" s="96">
        <v>50.015999999999998</v>
      </c>
      <c r="M84" s="96">
        <v>50.04</v>
      </c>
      <c r="N84" s="96">
        <v>50.04</v>
      </c>
      <c r="O84" s="96">
        <v>50.05</v>
      </c>
      <c r="P84" s="96">
        <v>49.923999999999999</v>
      </c>
      <c r="Q84" s="96">
        <v>49.99</v>
      </c>
      <c r="R84" s="96">
        <v>49.92</v>
      </c>
      <c r="S84" s="96">
        <v>49.968000000000004</v>
      </c>
      <c r="T84" s="96">
        <v>49.951000000000001</v>
      </c>
      <c r="U84" s="96">
        <v>49.844999999999999</v>
      </c>
      <c r="V84" s="96">
        <v>50.058</v>
      </c>
      <c r="W84" s="96">
        <v>49.951000000000001</v>
      </c>
      <c r="X84" s="96">
        <v>49.915999999999997</v>
      </c>
      <c r="Y84" s="96">
        <v>49.945999999999998</v>
      </c>
      <c r="Z84" s="96">
        <v>49.904000000000003</v>
      </c>
      <c r="AA84" s="96">
        <v>49.878999999999998</v>
      </c>
      <c r="AB84" s="96">
        <v>50.011000000000003</v>
      </c>
      <c r="AC84" s="96">
        <v>50.052999999999997</v>
      </c>
      <c r="AD84" s="96">
        <v>49.987000000000002</v>
      </c>
      <c r="AE84" s="96">
        <v>49.95</v>
      </c>
      <c r="AF84" s="96">
        <v>49.98</v>
      </c>
      <c r="AG84" s="97"/>
      <c r="AH84" s="54">
        <f t="shared" si="22"/>
        <v>50.058</v>
      </c>
      <c r="AI84" s="55">
        <f t="shared" si="23"/>
        <v>49.844999999999999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126.8</v>
      </c>
      <c r="C85" s="73">
        <v>130.19999999999999</v>
      </c>
      <c r="D85" s="73">
        <v>122</v>
      </c>
      <c r="E85" s="73">
        <v>123.7</v>
      </c>
      <c r="F85" s="73">
        <v>123.4</v>
      </c>
      <c r="G85" s="73">
        <v>124.1</v>
      </c>
      <c r="H85" s="73">
        <v>128.9</v>
      </c>
      <c r="I85" s="73">
        <v>127.5</v>
      </c>
      <c r="J85" s="73">
        <v>126.3</v>
      </c>
      <c r="K85" s="73">
        <v>126.8</v>
      </c>
      <c r="L85" s="73">
        <v>126</v>
      </c>
      <c r="M85" s="73">
        <v>126.1</v>
      </c>
      <c r="N85" s="73">
        <v>126.1</v>
      </c>
      <c r="O85" s="73">
        <v>121.9</v>
      </c>
      <c r="P85" s="73">
        <v>123.2</v>
      </c>
      <c r="Q85" s="73">
        <v>126.5</v>
      </c>
      <c r="R85" s="73">
        <v>126.5</v>
      </c>
      <c r="S85" s="73">
        <v>123.7</v>
      </c>
      <c r="T85" s="73">
        <v>126.7</v>
      </c>
      <c r="U85" s="100">
        <v>127</v>
      </c>
      <c r="V85" s="100">
        <v>129.4</v>
      </c>
      <c r="W85" s="100">
        <v>128.4</v>
      </c>
      <c r="X85" s="100">
        <v>126.7</v>
      </c>
      <c r="Y85" s="100">
        <v>127.3</v>
      </c>
      <c r="Z85" s="100">
        <v>127.5</v>
      </c>
      <c r="AA85" s="100">
        <v>129</v>
      </c>
      <c r="AB85" s="73">
        <v>128.30000000000001</v>
      </c>
      <c r="AC85" s="73">
        <v>127.9</v>
      </c>
      <c r="AD85" s="73">
        <v>129.6</v>
      </c>
      <c r="AE85" s="73">
        <v>129.5</v>
      </c>
      <c r="AF85" s="73">
        <v>129.5</v>
      </c>
      <c r="AG85" s="101"/>
      <c r="AH85" s="54">
        <f t="shared" si="22"/>
        <v>130.19999999999999</v>
      </c>
      <c r="AI85" s="55">
        <f t="shared" si="23"/>
        <v>121.9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131.1</v>
      </c>
      <c r="C86" s="73">
        <v>133.80000000000001</v>
      </c>
      <c r="D86" s="73">
        <v>127</v>
      </c>
      <c r="E86" s="73">
        <v>128.9</v>
      </c>
      <c r="F86" s="73">
        <v>128.5</v>
      </c>
      <c r="G86" s="73">
        <v>129</v>
      </c>
      <c r="H86" s="73">
        <v>132.6</v>
      </c>
      <c r="I86" s="73">
        <v>130.9</v>
      </c>
      <c r="J86" s="73">
        <v>129.69999999999999</v>
      </c>
      <c r="K86" s="73">
        <v>130</v>
      </c>
      <c r="L86" s="73">
        <v>129</v>
      </c>
      <c r="M86" s="73">
        <v>128.9</v>
      </c>
      <c r="N86" s="73">
        <v>128.9</v>
      </c>
      <c r="O86" s="73">
        <v>125.3</v>
      </c>
      <c r="P86" s="73">
        <v>126.2</v>
      </c>
      <c r="Q86" s="73">
        <v>128.9</v>
      </c>
      <c r="R86" s="73">
        <v>128.9</v>
      </c>
      <c r="S86" s="73">
        <v>127</v>
      </c>
      <c r="T86" s="73">
        <v>129.80000000000001</v>
      </c>
      <c r="U86" s="100">
        <v>130.19999999999999</v>
      </c>
      <c r="V86" s="100">
        <v>131.80000000000001</v>
      </c>
      <c r="W86" s="100">
        <v>130.9</v>
      </c>
      <c r="X86" s="100">
        <v>129.6</v>
      </c>
      <c r="Y86" s="100">
        <v>129.69999999999999</v>
      </c>
      <c r="Z86" s="100">
        <v>129.80000000000001</v>
      </c>
      <c r="AA86" s="100">
        <v>131.9</v>
      </c>
      <c r="AB86" s="73">
        <v>131.30000000000001</v>
      </c>
      <c r="AC86" s="73">
        <v>131.1</v>
      </c>
      <c r="AD86" s="73">
        <v>132.6</v>
      </c>
      <c r="AE86" s="73">
        <v>133</v>
      </c>
      <c r="AF86" s="73">
        <v>132.9</v>
      </c>
      <c r="AG86" s="101"/>
      <c r="AH86" s="54">
        <f t="shared" si="22"/>
        <v>133.80000000000001</v>
      </c>
      <c r="AI86" s="55">
        <f t="shared" si="23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130</v>
      </c>
      <c r="C87" s="73">
        <v>132.6</v>
      </c>
      <c r="D87" s="73">
        <v>123.6</v>
      </c>
      <c r="E87" s="73">
        <v>129.9</v>
      </c>
      <c r="F87" s="73">
        <v>130.19999999999999</v>
      </c>
      <c r="G87" s="73">
        <v>129.9</v>
      </c>
      <c r="H87" s="73">
        <v>132.5</v>
      </c>
      <c r="I87" s="73">
        <v>131.30000000000001</v>
      </c>
      <c r="J87" s="73">
        <v>130.9</v>
      </c>
      <c r="K87" s="73">
        <v>129.5</v>
      </c>
      <c r="L87" s="73">
        <v>128.5</v>
      </c>
      <c r="M87" s="73">
        <v>128.30000000000001</v>
      </c>
      <c r="N87" s="73">
        <v>128.30000000000001</v>
      </c>
      <c r="O87" s="73">
        <v>124.6</v>
      </c>
      <c r="P87" s="73">
        <v>130.6</v>
      </c>
      <c r="Q87" s="73">
        <v>131</v>
      </c>
      <c r="R87" s="73">
        <v>131</v>
      </c>
      <c r="S87" s="73">
        <v>124.5</v>
      </c>
      <c r="T87" s="73">
        <v>127.3</v>
      </c>
      <c r="U87" s="73">
        <v>127.7</v>
      </c>
      <c r="V87" s="73">
        <v>130.4</v>
      </c>
      <c r="W87" s="73">
        <v>132.9</v>
      </c>
      <c r="X87" s="100">
        <v>126.8</v>
      </c>
      <c r="Y87" s="100">
        <v>126.3</v>
      </c>
      <c r="Z87" s="100">
        <v>128</v>
      </c>
      <c r="AA87" s="100">
        <v>130.1</v>
      </c>
      <c r="AB87" s="73">
        <v>130.19999999999999</v>
      </c>
      <c r="AC87" s="73">
        <v>130</v>
      </c>
      <c r="AD87" s="73">
        <v>127.3</v>
      </c>
      <c r="AE87" s="73">
        <v>132.1</v>
      </c>
      <c r="AF87" s="73">
        <v>130.9</v>
      </c>
      <c r="AG87" s="101"/>
      <c r="AH87" s="54">
        <f t="shared" si="22"/>
        <v>132.9</v>
      </c>
      <c r="AI87" s="55">
        <f t="shared" si="23"/>
        <v>123.6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132.30000000000001</v>
      </c>
      <c r="C88" s="73">
        <v>134.5</v>
      </c>
      <c r="D88" s="73">
        <v>126.8</v>
      </c>
      <c r="E88" s="73">
        <v>133.1</v>
      </c>
      <c r="F88" s="73">
        <v>133.5</v>
      </c>
      <c r="G88" s="73">
        <v>132.6</v>
      </c>
      <c r="H88" s="73">
        <v>134.5</v>
      </c>
      <c r="I88" s="73">
        <v>132.6</v>
      </c>
      <c r="J88" s="73">
        <v>133.6</v>
      </c>
      <c r="K88" s="73">
        <v>131.6</v>
      </c>
      <c r="L88" s="73">
        <v>129.9</v>
      </c>
      <c r="M88" s="73">
        <v>129.80000000000001</v>
      </c>
      <c r="N88" s="73">
        <v>129.80000000000001</v>
      </c>
      <c r="O88" s="73">
        <v>126.8</v>
      </c>
      <c r="P88" s="73">
        <v>132.5</v>
      </c>
      <c r="Q88" s="73">
        <v>134.1</v>
      </c>
      <c r="R88" s="73">
        <v>134.1</v>
      </c>
      <c r="S88" s="73">
        <v>126.8</v>
      </c>
      <c r="T88" s="73">
        <v>129.9</v>
      </c>
      <c r="U88" s="73">
        <v>130.19999999999999</v>
      </c>
      <c r="V88" s="73">
        <v>132.30000000000001</v>
      </c>
      <c r="W88" s="73">
        <v>134.30000000000001</v>
      </c>
      <c r="X88" s="100">
        <v>128</v>
      </c>
      <c r="Y88" s="100">
        <v>124.7</v>
      </c>
      <c r="Z88" s="100">
        <v>129.80000000000001</v>
      </c>
      <c r="AA88" s="100">
        <v>132.69999999999999</v>
      </c>
      <c r="AB88" s="73">
        <v>132.5</v>
      </c>
      <c r="AC88" s="73">
        <v>130</v>
      </c>
      <c r="AD88" s="73">
        <v>130.19999999999999</v>
      </c>
      <c r="AE88" s="73">
        <v>134.30000000000001</v>
      </c>
      <c r="AF88" s="73">
        <v>134.19999999999999</v>
      </c>
      <c r="AG88" s="101"/>
      <c r="AH88" s="54">
        <f t="shared" si="22"/>
        <v>134.5</v>
      </c>
      <c r="AI88" s="55">
        <f t="shared" si="23"/>
        <v>124.7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132.80000000000001</v>
      </c>
      <c r="C89" s="104">
        <v>134.9</v>
      </c>
      <c r="D89" s="104">
        <v>128.30000000000001</v>
      </c>
      <c r="E89" s="104">
        <v>129.80000000000001</v>
      </c>
      <c r="F89" s="104">
        <v>129.9</v>
      </c>
      <c r="G89" s="104">
        <v>128.80000000000001</v>
      </c>
      <c r="H89" s="104">
        <v>135.19999999999999</v>
      </c>
      <c r="I89" s="104">
        <v>129.4</v>
      </c>
      <c r="J89" s="104">
        <v>131.6</v>
      </c>
      <c r="K89" s="104">
        <v>134.9</v>
      </c>
      <c r="L89" s="104">
        <v>134.69999999999999</v>
      </c>
      <c r="M89" s="104">
        <v>134.30000000000001</v>
      </c>
      <c r="N89" s="104">
        <v>134.30000000000001</v>
      </c>
      <c r="O89" s="104">
        <v>129.80000000000001</v>
      </c>
      <c r="P89" s="104">
        <v>133.6</v>
      </c>
      <c r="Q89" s="104">
        <v>134.5</v>
      </c>
      <c r="R89" s="104">
        <v>134.5</v>
      </c>
      <c r="S89" s="104">
        <v>130.6</v>
      </c>
      <c r="T89" s="104">
        <v>129.69999999999999</v>
      </c>
      <c r="U89" s="104">
        <v>127.1</v>
      </c>
      <c r="V89" s="104">
        <v>135.5</v>
      </c>
      <c r="W89" s="104">
        <v>131.5</v>
      </c>
      <c r="X89" s="100">
        <v>133.1</v>
      </c>
      <c r="Y89" s="100">
        <v>135.80000000000001</v>
      </c>
      <c r="Z89" s="100">
        <v>136.5</v>
      </c>
      <c r="AA89" s="100">
        <v>134.19999999999999</v>
      </c>
      <c r="AB89" s="104">
        <v>134.5</v>
      </c>
      <c r="AC89" s="104">
        <v>132.4</v>
      </c>
      <c r="AD89" s="104">
        <v>134.30000000000001</v>
      </c>
      <c r="AE89" s="104">
        <v>134.69999999999999</v>
      </c>
      <c r="AF89" s="104">
        <v>135.5</v>
      </c>
      <c r="AG89" s="105"/>
      <c r="AH89" s="54">
        <f t="shared" si="22"/>
        <v>136.5</v>
      </c>
      <c r="AI89" s="55">
        <f t="shared" si="23"/>
        <v>127.1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132.80000000000001</v>
      </c>
      <c r="C90" s="73">
        <v>134.4</v>
      </c>
      <c r="D90" s="73">
        <v>136.80000000000001</v>
      </c>
      <c r="E90" s="73">
        <v>138</v>
      </c>
      <c r="F90" s="73">
        <v>138.5</v>
      </c>
      <c r="G90" s="73">
        <v>137.19999999999999</v>
      </c>
      <c r="H90" s="73">
        <v>134.80000000000001</v>
      </c>
      <c r="I90" s="73">
        <v>128.19999999999999</v>
      </c>
      <c r="J90" s="73">
        <v>128.6</v>
      </c>
      <c r="K90" s="73">
        <v>131</v>
      </c>
      <c r="L90" s="73">
        <v>133.9</v>
      </c>
      <c r="M90" s="73">
        <v>133.6</v>
      </c>
      <c r="N90" s="73">
        <v>133.6</v>
      </c>
      <c r="O90" s="73">
        <v>132.5</v>
      </c>
      <c r="P90" s="73">
        <v>132.5</v>
      </c>
      <c r="Q90" s="73">
        <v>136.19999999999999</v>
      </c>
      <c r="R90" s="73">
        <v>136.19999999999999</v>
      </c>
      <c r="S90" s="73">
        <v>134.4</v>
      </c>
      <c r="T90" s="73">
        <v>132.19999999999999</v>
      </c>
      <c r="U90" s="73">
        <v>127</v>
      </c>
      <c r="V90" s="73">
        <v>133.80000000000001</v>
      </c>
      <c r="W90" s="73">
        <v>129.9</v>
      </c>
      <c r="X90" s="100">
        <v>130.80000000000001</v>
      </c>
      <c r="Y90" s="100">
        <v>135.69999999999999</v>
      </c>
      <c r="Z90" s="100">
        <v>132.5</v>
      </c>
      <c r="AA90" s="100">
        <v>132.4</v>
      </c>
      <c r="AB90" s="73">
        <v>135.9</v>
      </c>
      <c r="AC90" s="73">
        <v>136.4</v>
      </c>
      <c r="AD90" s="73">
        <v>132</v>
      </c>
      <c r="AE90" s="73">
        <v>136.5</v>
      </c>
      <c r="AF90" s="73">
        <v>136.9</v>
      </c>
      <c r="AG90" s="101"/>
      <c r="AH90" s="54">
        <f t="shared" si="22"/>
        <v>138.5</v>
      </c>
      <c r="AI90" s="55">
        <f t="shared" si="23"/>
        <v>127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66.099999999999994</v>
      </c>
      <c r="C91" s="107">
        <v>67.5</v>
      </c>
      <c r="D91" s="107">
        <v>64.2</v>
      </c>
      <c r="E91" s="107">
        <v>65</v>
      </c>
      <c r="F91" s="107">
        <v>65</v>
      </c>
      <c r="G91" s="107">
        <v>65.3</v>
      </c>
      <c r="H91" s="107">
        <v>67.3</v>
      </c>
      <c r="I91" s="107">
        <v>66</v>
      </c>
      <c r="J91" s="107">
        <v>65.3</v>
      </c>
      <c r="K91" s="107">
        <v>65.8</v>
      </c>
      <c r="L91" s="107">
        <v>65.3</v>
      </c>
      <c r="M91" s="107">
        <v>65.099999999999994</v>
      </c>
      <c r="N91" s="107">
        <v>65.099999999999994</v>
      </c>
      <c r="O91" s="107">
        <v>62.9</v>
      </c>
      <c r="P91" s="107">
        <v>64.099999999999994</v>
      </c>
      <c r="Q91" s="107">
        <v>64.8</v>
      </c>
      <c r="R91" s="107">
        <v>64.8</v>
      </c>
      <c r="S91" s="107">
        <v>63.8</v>
      </c>
      <c r="T91" s="107">
        <v>65.900000000000006</v>
      </c>
      <c r="U91" s="107">
        <v>66.099999999999994</v>
      </c>
      <c r="V91" s="107">
        <v>66.7</v>
      </c>
      <c r="W91" s="107">
        <v>66.2</v>
      </c>
      <c r="X91" s="107">
        <v>65.400000000000006</v>
      </c>
      <c r="Y91" s="107">
        <v>65.599999999999994</v>
      </c>
      <c r="Z91" s="107">
        <v>65.599999999999994</v>
      </c>
      <c r="AA91" s="107">
        <v>66.7</v>
      </c>
      <c r="AB91" s="107">
        <v>66.099999999999994</v>
      </c>
      <c r="AC91" s="107">
        <v>66.099999999999994</v>
      </c>
      <c r="AD91" s="107">
        <v>66.900000000000006</v>
      </c>
      <c r="AE91" s="107">
        <v>67.2</v>
      </c>
      <c r="AF91" s="107">
        <v>67.099999999999994</v>
      </c>
      <c r="AG91" s="108"/>
      <c r="AH91" s="54">
        <f t="shared" si="22"/>
        <v>67.5</v>
      </c>
      <c r="AI91" s="55">
        <f t="shared" si="23"/>
        <v>62.9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Y93" si="36">SUM(B15,B18,B21:B22,B42,B44:B45,B47,B49,B94:B97,B103,B109,B115,B124,B126,B138,B145,B148:B149,B156,B158,B160,B164:B166,B168:B170,B175,B181:B182,B184:B186,B194,B199)</f>
        <v>174.64</v>
      </c>
      <c r="C93" s="114">
        <f t="shared" si="36"/>
        <v>163.44</v>
      </c>
      <c r="D93" s="114">
        <f t="shared" si="36"/>
        <v>157.63999999999999</v>
      </c>
      <c r="E93" s="114">
        <f t="shared" si="36"/>
        <v>157.23999999999998</v>
      </c>
      <c r="F93" s="114">
        <f t="shared" si="36"/>
        <v>162.13999999999996</v>
      </c>
      <c r="G93" s="113">
        <f t="shared" si="36"/>
        <v>180.13999999999996</v>
      </c>
      <c r="H93" s="113">
        <f t="shared" si="36"/>
        <v>199.33999999999997</v>
      </c>
      <c r="I93" s="113">
        <f t="shared" si="36"/>
        <v>231.73999999999995</v>
      </c>
      <c r="J93" s="113">
        <f t="shared" si="36"/>
        <v>266.24</v>
      </c>
      <c r="K93" s="113">
        <f t="shared" si="36"/>
        <v>295.34000000000003</v>
      </c>
      <c r="L93" s="113">
        <f t="shared" si="36"/>
        <v>316.44</v>
      </c>
      <c r="M93" s="113">
        <f t="shared" si="36"/>
        <v>319.14</v>
      </c>
      <c r="N93" s="113">
        <f t="shared" si="36"/>
        <v>366.64</v>
      </c>
      <c r="O93" s="113">
        <f t="shared" si="36"/>
        <v>310.54000000000002</v>
      </c>
      <c r="P93" s="113">
        <f t="shared" si="36"/>
        <v>292.94000000000005</v>
      </c>
      <c r="Q93" s="113">
        <f t="shared" si="36"/>
        <v>283.04000000000002</v>
      </c>
      <c r="R93" s="113">
        <f t="shared" si="36"/>
        <v>253.53999999999996</v>
      </c>
      <c r="S93" s="113">
        <f t="shared" si="36"/>
        <v>250.44</v>
      </c>
      <c r="T93" s="113">
        <f t="shared" si="36"/>
        <v>256.73999999999995</v>
      </c>
      <c r="U93" s="113">
        <f t="shared" si="36"/>
        <v>257.14</v>
      </c>
      <c r="V93" s="113">
        <f t="shared" si="36"/>
        <v>248.73999999999998</v>
      </c>
      <c r="W93" s="113">
        <f t="shared" si="36"/>
        <v>265.24</v>
      </c>
      <c r="X93" s="113">
        <f t="shared" si="36"/>
        <v>338.04000000000008</v>
      </c>
      <c r="Y93" s="113">
        <f t="shared" si="36"/>
        <v>362.44000000000005</v>
      </c>
      <c r="Z93" s="113">
        <v>371.59708333333339</v>
      </c>
      <c r="AA93" s="113">
        <v>371.59708333333339</v>
      </c>
      <c r="AB93" s="113">
        <v>371.59708333333339</v>
      </c>
      <c r="AC93" s="113">
        <v>371.59708333333339</v>
      </c>
      <c r="AD93" s="113">
        <v>371.59708333333339</v>
      </c>
      <c r="AE93" s="113">
        <f>SUM(AE15,AE18,AE21:AE22,AE42,AE44:AE45,AE47,AE49,AE94:AE97,AE103,AE109,AE115,AE124,AE126,AE138,AE145,AE148:AE149,AE156,AE158,AE160,AE164:AE166,AE168:AE170,AE175,AE181:AE182,AE184:AE186,AE194,AE199)</f>
        <v>218.93999999999994</v>
      </c>
      <c r="AF93" s="113">
        <f>SUM(AF15,AF18,AF21:AF22,AF42,AF44:AF45,AF47,AF49,AF94:AF97,AF103,AF109,AF115,AF124,AF126,AF138,AF145,AF148:AF149,AF156,AF158,AF160,AF164:AF166,AF168:AF170,AF175,AF181:AF182,AF184:AF186,AF194,AF199)</f>
        <v>180.03999999999994</v>
      </c>
      <c r="AG93" s="115"/>
      <c r="AH93" s="54">
        <f>MAX(C93:AF93)</f>
        <v>371.59708333333339</v>
      </c>
      <c r="AI93" s="55">
        <f>MIN(C93:AF93)</f>
        <v>157.23999999999998</v>
      </c>
    </row>
    <row r="94" spans="1:88" x14ac:dyDescent="0.25">
      <c r="A94" s="116" t="s">
        <v>98</v>
      </c>
      <c r="B94" s="119">
        <v>-41.4</v>
      </c>
      <c r="C94" s="58">
        <v>17.5</v>
      </c>
      <c r="D94" s="58">
        <v>-37.299999999999997</v>
      </c>
      <c r="E94" s="58">
        <v>-30</v>
      </c>
      <c r="F94" s="58">
        <v>-27.2</v>
      </c>
      <c r="G94" s="118">
        <v>-30.7</v>
      </c>
      <c r="H94" s="118">
        <v>-7.9</v>
      </c>
      <c r="I94" s="118">
        <v>8.6999999999999993</v>
      </c>
      <c r="J94" s="118">
        <v>15.8</v>
      </c>
      <c r="K94" s="118">
        <v>34.799999999999997</v>
      </c>
      <c r="L94" s="118">
        <v>34.700000000000003</v>
      </c>
      <c r="M94" s="119">
        <v>38.4</v>
      </c>
      <c r="N94" s="119">
        <v>64.2</v>
      </c>
      <c r="O94" s="119">
        <v>28.4</v>
      </c>
      <c r="P94" s="118">
        <v>12</v>
      </c>
      <c r="Q94" s="118">
        <v>16</v>
      </c>
      <c r="R94" s="118">
        <v>5</v>
      </c>
      <c r="S94" s="118">
        <v>5</v>
      </c>
      <c r="T94" s="118">
        <v>0</v>
      </c>
      <c r="U94" s="119">
        <v>0</v>
      </c>
      <c r="V94" s="119">
        <v>0</v>
      </c>
      <c r="W94" s="119">
        <v>0</v>
      </c>
      <c r="X94" s="118">
        <v>15.5</v>
      </c>
      <c r="Y94" s="118">
        <v>43.1</v>
      </c>
      <c r="Z94" s="118">
        <v>24.6</v>
      </c>
      <c r="AA94" s="118">
        <v>29.5</v>
      </c>
      <c r="AB94" s="119">
        <v>15.5</v>
      </c>
      <c r="AC94" s="119">
        <v>35.5</v>
      </c>
      <c r="AD94" s="119">
        <v>28.1</v>
      </c>
      <c r="AE94" s="119">
        <v>50.8</v>
      </c>
      <c r="AF94" s="119">
        <v>43.9</v>
      </c>
      <c r="AG94" s="120">
        <v>75</v>
      </c>
      <c r="AH94" s="54">
        <f t="shared" ref="AH94:AH100" si="37">IF(ABS(MAX(C94:AF94))&gt;ABS(MIN(C94:AF94)),MAX(C94:AF94),MIN(C94:AF94))</f>
        <v>64.2</v>
      </c>
      <c r="AI94" s="121">
        <f t="shared" ref="AI94:AI100" si="38">INDEX($C$9:$AF$9,1,MATCH(AH94,C94:AF94,0))</f>
        <v>0.375</v>
      </c>
    </row>
    <row r="95" spans="1:88" x14ac:dyDescent="0.25">
      <c r="A95" s="122" t="s">
        <v>99</v>
      </c>
      <c r="B95" s="73">
        <f>-11-12.3</f>
        <v>-23.3</v>
      </c>
      <c r="C95" s="60">
        <f>-18.3-23.2</f>
        <v>-41.5</v>
      </c>
      <c r="D95" s="60">
        <f>-21.7-24.2</f>
        <v>-45.9</v>
      </c>
      <c r="E95" s="60">
        <v>-46</v>
      </c>
      <c r="F95" s="60">
        <v>-46</v>
      </c>
      <c r="G95" s="60">
        <v>-38.9</v>
      </c>
      <c r="H95" s="60">
        <v>-23</v>
      </c>
      <c r="I95" s="60">
        <v>-16</v>
      </c>
      <c r="J95" s="60">
        <v>-3</v>
      </c>
      <c r="K95" s="60">
        <v>9.3000000000000007</v>
      </c>
      <c r="L95" s="60">
        <v>13.6</v>
      </c>
      <c r="M95" s="60">
        <v>14.5</v>
      </c>
      <c r="N95" s="60">
        <f>6+11.2</f>
        <v>17.2</v>
      </c>
      <c r="O95" s="60">
        <f>10+11</f>
        <v>21</v>
      </c>
      <c r="P95" s="60">
        <v>36</v>
      </c>
      <c r="Q95" s="60">
        <v>42.5</v>
      </c>
      <c r="R95" s="60">
        <v>36</v>
      </c>
      <c r="S95" s="60">
        <v>0.2</v>
      </c>
      <c r="T95" s="60">
        <v>6.1</v>
      </c>
      <c r="U95" s="60">
        <v>3.7</v>
      </c>
      <c r="V95" s="60">
        <v>15.7</v>
      </c>
      <c r="W95" s="60">
        <v>8.1</v>
      </c>
      <c r="X95" s="60">
        <v>27.5</v>
      </c>
      <c r="Y95" s="60">
        <v>29.8</v>
      </c>
      <c r="Z95" s="60">
        <v>33.700000000000003</v>
      </c>
      <c r="AA95" s="60">
        <v>25.2</v>
      </c>
      <c r="AB95" s="73">
        <v>25</v>
      </c>
      <c r="AC95" s="73">
        <v>27</v>
      </c>
      <c r="AD95" s="73">
        <v>1</v>
      </c>
      <c r="AE95" s="73">
        <f>-13.6-19.3</f>
        <v>-32.9</v>
      </c>
      <c r="AF95" s="73">
        <f>-15-21.2</f>
        <v>-36.200000000000003</v>
      </c>
      <c r="AG95" s="120">
        <v>240</v>
      </c>
      <c r="AH95" s="54">
        <f t="shared" si="37"/>
        <v>-46</v>
      </c>
      <c r="AI95" s="121">
        <f t="shared" si="38"/>
        <v>0.125</v>
      </c>
    </row>
    <row r="96" spans="1:88" x14ac:dyDescent="0.25">
      <c r="A96" s="122" t="s">
        <v>100</v>
      </c>
      <c r="B96" s="73">
        <v>-7.3</v>
      </c>
      <c r="C96" s="60">
        <v>6.1</v>
      </c>
      <c r="D96" s="60">
        <v>-8.8000000000000007</v>
      </c>
      <c r="E96" s="60">
        <v>-13.8</v>
      </c>
      <c r="F96" s="60">
        <v>-11.9</v>
      </c>
      <c r="G96" s="60">
        <v>0</v>
      </c>
      <c r="H96" s="60">
        <v>6.3</v>
      </c>
      <c r="I96" s="60">
        <v>6.6</v>
      </c>
      <c r="J96" s="60">
        <v>12.6</v>
      </c>
      <c r="K96" s="60">
        <v>24.3</v>
      </c>
      <c r="L96" s="60">
        <v>23.5</v>
      </c>
      <c r="M96" s="60">
        <v>25.7</v>
      </c>
      <c r="N96" s="60">
        <v>16.100000000000001</v>
      </c>
      <c r="O96" s="60">
        <v>0</v>
      </c>
      <c r="P96" s="60">
        <v>0</v>
      </c>
      <c r="Q96" s="60">
        <v>0</v>
      </c>
      <c r="R96" s="60">
        <v>0</v>
      </c>
      <c r="S96" s="60">
        <v>0</v>
      </c>
      <c r="T96" s="60">
        <v>14</v>
      </c>
      <c r="U96" s="60">
        <v>27.9</v>
      </c>
      <c r="V96" s="60">
        <v>37.4</v>
      </c>
      <c r="W96" s="60">
        <v>34.299999999999997</v>
      </c>
      <c r="X96" s="60">
        <v>38.4</v>
      </c>
      <c r="Y96" s="60">
        <v>41.4</v>
      </c>
      <c r="Z96" s="60">
        <v>40.6</v>
      </c>
      <c r="AA96" s="60">
        <v>41.9</v>
      </c>
      <c r="AB96" s="73">
        <v>42.3</v>
      </c>
      <c r="AC96" s="73">
        <v>27.9</v>
      </c>
      <c r="AD96" s="73">
        <v>27.3</v>
      </c>
      <c r="AE96" s="73">
        <v>9.6999999999999993</v>
      </c>
      <c r="AF96" s="73">
        <v>0.7</v>
      </c>
      <c r="AG96" s="120">
        <v>60</v>
      </c>
      <c r="AH96" s="54">
        <f t="shared" si="37"/>
        <v>42.3</v>
      </c>
      <c r="AI96" s="121">
        <f t="shared" si="38"/>
        <v>0.83333333333333337</v>
      </c>
    </row>
    <row r="97" spans="1:37" x14ac:dyDescent="0.25">
      <c r="A97" s="124" t="s">
        <v>101</v>
      </c>
      <c r="B97" s="126">
        <v>87.9</v>
      </c>
      <c r="C97" s="63">
        <v>24.4</v>
      </c>
      <c r="D97" s="63">
        <v>92.9</v>
      </c>
      <c r="E97" s="63">
        <v>90.3</v>
      </c>
      <c r="F97" s="63">
        <v>90.5</v>
      </c>
      <c r="G97" s="63">
        <v>93</v>
      </c>
      <c r="H97" s="63">
        <v>67.2</v>
      </c>
      <c r="I97" s="63">
        <v>73.3</v>
      </c>
      <c r="J97" s="63">
        <v>83.6</v>
      </c>
      <c r="K97" s="63">
        <v>71.900000000000006</v>
      </c>
      <c r="L97" s="63">
        <v>89.3</v>
      </c>
      <c r="M97" s="63">
        <v>85</v>
      </c>
      <c r="N97" s="63">
        <v>113.6</v>
      </c>
      <c r="O97" s="63">
        <v>105.6</v>
      </c>
      <c r="P97" s="63">
        <v>89</v>
      </c>
      <c r="Q97" s="63">
        <v>88</v>
      </c>
      <c r="R97" s="63">
        <v>76</v>
      </c>
      <c r="S97" s="63">
        <v>98.7</v>
      </c>
      <c r="T97" s="63">
        <v>97.9</v>
      </c>
      <c r="U97" s="63">
        <v>86.2</v>
      </c>
      <c r="V97" s="63">
        <v>54.6</v>
      </c>
      <c r="W97" s="63">
        <v>69.5</v>
      </c>
      <c r="X97" s="63">
        <v>98.5</v>
      </c>
      <c r="Y97" s="63">
        <v>91</v>
      </c>
      <c r="Z97" s="63">
        <v>109.8</v>
      </c>
      <c r="AA97" s="63">
        <v>95.6</v>
      </c>
      <c r="AB97" s="126">
        <v>84</v>
      </c>
      <c r="AC97" s="126">
        <v>56.6</v>
      </c>
      <c r="AD97" s="126">
        <v>29</v>
      </c>
      <c r="AE97" s="126">
        <v>31.7</v>
      </c>
      <c r="AF97" s="126">
        <v>13.9</v>
      </c>
      <c r="AG97" s="127">
        <v>120</v>
      </c>
      <c r="AH97" s="54">
        <f t="shared" si="37"/>
        <v>113.6</v>
      </c>
      <c r="AI97" s="121">
        <f t="shared" si="38"/>
        <v>0.375</v>
      </c>
    </row>
    <row r="98" spans="1:37" x14ac:dyDescent="0.25">
      <c r="A98" s="124" t="s">
        <v>102</v>
      </c>
      <c r="B98" s="126">
        <v>89.4</v>
      </c>
      <c r="C98" s="63">
        <v>25.9</v>
      </c>
      <c r="D98" s="63">
        <v>107.2</v>
      </c>
      <c r="E98" s="63">
        <v>103.5</v>
      </c>
      <c r="F98" s="63">
        <v>103.5</v>
      </c>
      <c r="G98" s="63">
        <v>105.8</v>
      </c>
      <c r="H98" s="63">
        <v>55.1</v>
      </c>
      <c r="I98" s="63">
        <v>58.1</v>
      </c>
      <c r="J98" s="63">
        <v>66</v>
      </c>
      <c r="K98" s="63">
        <v>55.1</v>
      </c>
      <c r="L98" s="63">
        <v>66</v>
      </c>
      <c r="M98" s="63">
        <v>62.9</v>
      </c>
      <c r="N98" s="63">
        <v>22.4</v>
      </c>
      <c r="O98" s="63">
        <v>93.2</v>
      </c>
      <c r="P98" s="63">
        <v>98</v>
      </c>
      <c r="Q98" s="63">
        <v>93</v>
      </c>
      <c r="R98" s="63">
        <v>96</v>
      </c>
      <c r="S98" s="63">
        <v>88.1</v>
      </c>
      <c r="T98" s="63">
        <v>87.9</v>
      </c>
      <c r="U98" s="63">
        <v>80.5</v>
      </c>
      <c r="V98" s="63">
        <v>35.6</v>
      </c>
      <c r="W98" s="63">
        <v>53.7</v>
      </c>
      <c r="X98" s="63">
        <v>70.900000000000006</v>
      </c>
      <c r="Y98" s="63">
        <v>57.9</v>
      </c>
      <c r="Z98" s="63">
        <v>71.8</v>
      </c>
      <c r="AA98" s="63">
        <v>56.6</v>
      </c>
      <c r="AB98" s="126">
        <v>58.5</v>
      </c>
      <c r="AC98" s="126">
        <v>68.099999999999994</v>
      </c>
      <c r="AD98" s="126">
        <v>42.2</v>
      </c>
      <c r="AE98" s="126">
        <v>12.1</v>
      </c>
      <c r="AF98" s="126">
        <v>12.5</v>
      </c>
      <c r="AG98" s="127"/>
      <c r="AH98" s="54">
        <f t="shared" si="37"/>
        <v>107.2</v>
      </c>
      <c r="AI98" s="121">
        <f t="shared" si="38"/>
        <v>8.3333333333333301E-2</v>
      </c>
    </row>
    <row r="99" spans="1:37" x14ac:dyDescent="0.25">
      <c r="A99" s="124" t="s">
        <v>103</v>
      </c>
      <c r="B99" s="126">
        <v>67.2</v>
      </c>
      <c r="C99" s="63">
        <v>31.7</v>
      </c>
      <c r="D99" s="63">
        <v>58.8</v>
      </c>
      <c r="E99" s="63">
        <v>59.9</v>
      </c>
      <c r="F99" s="63">
        <v>57.5</v>
      </c>
      <c r="G99" s="63">
        <v>63.3</v>
      </c>
      <c r="H99" s="63">
        <v>49.9</v>
      </c>
      <c r="I99" s="63">
        <v>61.6</v>
      </c>
      <c r="J99" s="63">
        <v>57.5</v>
      </c>
      <c r="K99" s="63">
        <v>38.1</v>
      </c>
      <c r="L99" s="63">
        <v>45.5</v>
      </c>
      <c r="M99" s="63">
        <v>45.4</v>
      </c>
      <c r="N99" s="63">
        <v>10.9</v>
      </c>
      <c r="O99" s="63">
        <v>32.799999999999997</v>
      </c>
      <c r="P99" s="63">
        <v>42.5</v>
      </c>
      <c r="Q99" s="63">
        <v>45.5</v>
      </c>
      <c r="R99" s="63">
        <v>47</v>
      </c>
      <c r="S99" s="63">
        <v>37.5</v>
      </c>
      <c r="T99" s="63">
        <v>59.3</v>
      </c>
      <c r="U99" s="63">
        <v>70.099999999999994</v>
      </c>
      <c r="V99" s="63">
        <v>32</v>
      </c>
      <c r="W99" s="63">
        <v>49.4</v>
      </c>
      <c r="X99" s="63">
        <v>63</v>
      </c>
      <c r="Y99" s="63">
        <v>34.1</v>
      </c>
      <c r="Z99" s="63">
        <v>55.7</v>
      </c>
      <c r="AA99" s="63">
        <v>40.1</v>
      </c>
      <c r="AB99" s="126">
        <v>50</v>
      </c>
      <c r="AC99" s="126">
        <v>27.8</v>
      </c>
      <c r="AD99" s="126">
        <v>40</v>
      </c>
      <c r="AE99" s="126">
        <v>13.8</v>
      </c>
      <c r="AF99" s="126">
        <v>15.2</v>
      </c>
      <c r="AG99" s="128"/>
      <c r="AH99" s="54">
        <f t="shared" si="37"/>
        <v>70.099999999999994</v>
      </c>
      <c r="AI99" s="121">
        <f t="shared" si="38"/>
        <v>0.66666666666666696</v>
      </c>
    </row>
    <row r="100" spans="1:37" ht="15.75" thickBot="1" x14ac:dyDescent="0.3">
      <c r="A100" s="181" t="s">
        <v>222</v>
      </c>
      <c r="B100" s="104">
        <v>45.3</v>
      </c>
      <c r="C100" s="60">
        <v>32</v>
      </c>
      <c r="D100" s="60">
        <v>66.8</v>
      </c>
      <c r="E100" s="60">
        <v>66</v>
      </c>
      <c r="F100" s="60">
        <v>63.7</v>
      </c>
      <c r="G100" s="60">
        <v>66.900000000000006</v>
      </c>
      <c r="H100" s="60">
        <v>30.4</v>
      </c>
      <c r="I100" s="60">
        <v>27.7</v>
      </c>
      <c r="J100" s="60">
        <v>25.6</v>
      </c>
      <c r="K100" s="60">
        <v>27.4</v>
      </c>
      <c r="L100" s="60">
        <v>33.700000000000003</v>
      </c>
      <c r="M100" s="60">
        <v>36</v>
      </c>
      <c r="N100" s="60">
        <v>39.9</v>
      </c>
      <c r="O100" s="60">
        <v>28.6</v>
      </c>
      <c r="P100" s="60">
        <v>29</v>
      </c>
      <c r="Q100" s="60">
        <v>45</v>
      </c>
      <c r="R100" s="60">
        <v>40</v>
      </c>
      <c r="S100" s="60">
        <v>77.3</v>
      </c>
      <c r="T100" s="60">
        <v>79.099999999999994</v>
      </c>
      <c r="U100" s="60">
        <v>79.400000000000006</v>
      </c>
      <c r="V100" s="60">
        <v>48.7</v>
      </c>
      <c r="W100" s="60">
        <v>12</v>
      </c>
      <c r="X100" s="60">
        <v>56.2</v>
      </c>
      <c r="Y100" s="60">
        <v>63.1</v>
      </c>
      <c r="Z100" s="60">
        <v>60.5</v>
      </c>
      <c r="AA100" s="60">
        <v>55.8</v>
      </c>
      <c r="AB100" s="104">
        <v>41.1</v>
      </c>
      <c r="AC100" s="104">
        <v>33.4</v>
      </c>
      <c r="AD100" s="104">
        <v>13.4</v>
      </c>
      <c r="AE100" s="104">
        <v>2.2999999999999998</v>
      </c>
      <c r="AF100" s="104">
        <v>4.0999999999999996</v>
      </c>
      <c r="AG100" s="128"/>
      <c r="AH100" s="54">
        <f t="shared" si="37"/>
        <v>79.400000000000006</v>
      </c>
      <c r="AI100" s="121">
        <f t="shared" si="38"/>
        <v>0.66666666666666696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39">AF102</f>
        <v>9.9</v>
      </c>
      <c r="C102" s="53">
        <v>9.9</v>
      </c>
      <c r="D102" s="134">
        <f t="shared" ref="D102:S107" si="40">C102</f>
        <v>9.9</v>
      </c>
      <c r="E102" s="134">
        <f t="shared" si="40"/>
        <v>9.9</v>
      </c>
      <c r="F102" s="134">
        <f t="shared" si="40"/>
        <v>9.9</v>
      </c>
      <c r="G102" s="134">
        <f t="shared" si="40"/>
        <v>9.9</v>
      </c>
      <c r="H102" s="134">
        <f t="shared" si="40"/>
        <v>9.9</v>
      </c>
      <c r="I102" s="134">
        <f t="shared" si="40"/>
        <v>9.9</v>
      </c>
      <c r="J102" s="134">
        <f t="shared" si="40"/>
        <v>9.9</v>
      </c>
      <c r="K102" s="134">
        <f t="shared" si="40"/>
        <v>9.9</v>
      </c>
      <c r="L102" s="134">
        <f t="shared" si="40"/>
        <v>9.9</v>
      </c>
      <c r="M102" s="134">
        <f t="shared" si="40"/>
        <v>9.9</v>
      </c>
      <c r="N102" s="134">
        <f t="shared" si="40"/>
        <v>9.9</v>
      </c>
      <c r="O102" s="134">
        <f t="shared" si="40"/>
        <v>9.9</v>
      </c>
      <c r="P102" s="134">
        <f t="shared" si="40"/>
        <v>9.9</v>
      </c>
      <c r="Q102" s="134">
        <f t="shared" si="40"/>
        <v>9.9</v>
      </c>
      <c r="R102" s="134">
        <f t="shared" si="40"/>
        <v>9.9</v>
      </c>
      <c r="S102" s="134">
        <f t="shared" si="40"/>
        <v>9.9</v>
      </c>
      <c r="T102" s="134">
        <f t="shared" ref="T102:AF107" si="41">S102</f>
        <v>9.9</v>
      </c>
      <c r="U102" s="134">
        <f t="shared" si="41"/>
        <v>9.9</v>
      </c>
      <c r="V102" s="134">
        <f t="shared" si="41"/>
        <v>9.9</v>
      </c>
      <c r="W102" s="134">
        <f t="shared" si="41"/>
        <v>9.9</v>
      </c>
      <c r="X102" s="134">
        <f t="shared" si="41"/>
        <v>9.9</v>
      </c>
      <c r="Y102" s="134">
        <f t="shared" si="41"/>
        <v>9.9</v>
      </c>
      <c r="Z102" s="134">
        <f t="shared" si="41"/>
        <v>9.9</v>
      </c>
      <c r="AA102" s="134">
        <f t="shared" si="41"/>
        <v>9.9</v>
      </c>
      <c r="AB102" s="134">
        <f t="shared" si="41"/>
        <v>9.9</v>
      </c>
      <c r="AC102" s="134">
        <f t="shared" si="41"/>
        <v>9.9</v>
      </c>
      <c r="AD102" s="134">
        <f t="shared" si="41"/>
        <v>9.9</v>
      </c>
      <c r="AE102" s="134">
        <f t="shared" si="41"/>
        <v>9.9</v>
      </c>
      <c r="AF102" s="134">
        <f t="shared" si="41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39"/>
        <v>9.6</v>
      </c>
      <c r="C103" s="137">
        <v>9.6</v>
      </c>
      <c r="D103" s="136">
        <f t="shared" si="40"/>
        <v>9.6</v>
      </c>
      <c r="E103" s="136">
        <f t="shared" si="40"/>
        <v>9.6</v>
      </c>
      <c r="F103" s="136">
        <f t="shared" si="40"/>
        <v>9.6</v>
      </c>
      <c r="G103" s="136">
        <f t="shared" si="40"/>
        <v>9.6</v>
      </c>
      <c r="H103" s="136">
        <f t="shared" si="40"/>
        <v>9.6</v>
      </c>
      <c r="I103" s="136">
        <f t="shared" si="40"/>
        <v>9.6</v>
      </c>
      <c r="J103" s="136">
        <f t="shared" si="40"/>
        <v>9.6</v>
      </c>
      <c r="K103" s="136">
        <f t="shared" si="40"/>
        <v>9.6</v>
      </c>
      <c r="L103" s="136">
        <f t="shared" si="40"/>
        <v>9.6</v>
      </c>
      <c r="M103" s="136">
        <f t="shared" si="40"/>
        <v>9.6</v>
      </c>
      <c r="N103" s="136">
        <f t="shared" si="40"/>
        <v>9.6</v>
      </c>
      <c r="O103" s="136">
        <f t="shared" si="40"/>
        <v>9.6</v>
      </c>
      <c r="P103" s="136">
        <f t="shared" si="40"/>
        <v>9.6</v>
      </c>
      <c r="Q103" s="136">
        <f t="shared" si="40"/>
        <v>9.6</v>
      </c>
      <c r="R103" s="136">
        <f t="shared" si="40"/>
        <v>9.6</v>
      </c>
      <c r="S103" s="136">
        <f t="shared" si="40"/>
        <v>9.6</v>
      </c>
      <c r="T103" s="136">
        <f t="shared" si="41"/>
        <v>9.6</v>
      </c>
      <c r="U103" s="136">
        <f t="shared" si="41"/>
        <v>9.6</v>
      </c>
      <c r="V103" s="136">
        <f t="shared" si="41"/>
        <v>9.6</v>
      </c>
      <c r="W103" s="136">
        <f t="shared" si="41"/>
        <v>9.6</v>
      </c>
      <c r="X103" s="136">
        <f t="shared" si="41"/>
        <v>9.6</v>
      </c>
      <c r="Y103" s="136">
        <f t="shared" si="41"/>
        <v>9.6</v>
      </c>
      <c r="Z103" s="136">
        <f t="shared" si="41"/>
        <v>9.6</v>
      </c>
      <c r="AA103" s="136">
        <f t="shared" si="41"/>
        <v>9.6</v>
      </c>
      <c r="AB103" s="136">
        <f t="shared" si="41"/>
        <v>9.6</v>
      </c>
      <c r="AC103" s="136">
        <f t="shared" si="41"/>
        <v>9.6</v>
      </c>
      <c r="AD103" s="136">
        <f t="shared" si="41"/>
        <v>9.6</v>
      </c>
      <c r="AE103" s="136">
        <f t="shared" si="41"/>
        <v>9.6</v>
      </c>
      <c r="AF103" s="136">
        <f t="shared" si="41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39"/>
        <v>9.98</v>
      </c>
      <c r="C104" s="137">
        <v>9.98</v>
      </c>
      <c r="D104" s="136">
        <f t="shared" si="40"/>
        <v>9.98</v>
      </c>
      <c r="E104" s="136">
        <f t="shared" si="40"/>
        <v>9.98</v>
      </c>
      <c r="F104" s="136">
        <f t="shared" si="40"/>
        <v>9.98</v>
      </c>
      <c r="G104" s="136">
        <f t="shared" si="40"/>
        <v>9.98</v>
      </c>
      <c r="H104" s="136">
        <f t="shared" si="40"/>
        <v>9.98</v>
      </c>
      <c r="I104" s="136">
        <f t="shared" si="40"/>
        <v>9.98</v>
      </c>
      <c r="J104" s="136">
        <f t="shared" si="40"/>
        <v>9.98</v>
      </c>
      <c r="K104" s="136">
        <f t="shared" si="40"/>
        <v>9.98</v>
      </c>
      <c r="L104" s="136">
        <f t="shared" si="40"/>
        <v>9.98</v>
      </c>
      <c r="M104" s="136">
        <f t="shared" si="40"/>
        <v>9.98</v>
      </c>
      <c r="N104" s="136">
        <f t="shared" si="40"/>
        <v>9.98</v>
      </c>
      <c r="O104" s="136">
        <f t="shared" si="40"/>
        <v>9.98</v>
      </c>
      <c r="P104" s="136">
        <f t="shared" si="40"/>
        <v>9.98</v>
      </c>
      <c r="Q104" s="136">
        <f t="shared" si="40"/>
        <v>9.98</v>
      </c>
      <c r="R104" s="136">
        <f t="shared" si="40"/>
        <v>9.98</v>
      </c>
      <c r="S104" s="136">
        <f t="shared" si="40"/>
        <v>9.98</v>
      </c>
      <c r="T104" s="136">
        <f t="shared" si="41"/>
        <v>9.98</v>
      </c>
      <c r="U104" s="136">
        <f t="shared" si="41"/>
        <v>9.98</v>
      </c>
      <c r="V104" s="136">
        <f t="shared" si="41"/>
        <v>9.98</v>
      </c>
      <c r="W104" s="136">
        <f t="shared" si="41"/>
        <v>9.98</v>
      </c>
      <c r="X104" s="136">
        <f t="shared" si="41"/>
        <v>9.98</v>
      </c>
      <c r="Y104" s="136">
        <f t="shared" si="41"/>
        <v>9.98</v>
      </c>
      <c r="Z104" s="136">
        <f t="shared" si="41"/>
        <v>9.98</v>
      </c>
      <c r="AA104" s="136">
        <f t="shared" si="41"/>
        <v>9.98</v>
      </c>
      <c r="AB104" s="136">
        <f t="shared" si="41"/>
        <v>9.98</v>
      </c>
      <c r="AC104" s="136">
        <f t="shared" si="41"/>
        <v>9.98</v>
      </c>
      <c r="AD104" s="136">
        <f t="shared" si="41"/>
        <v>9.98</v>
      </c>
      <c r="AE104" s="136">
        <f t="shared" si="41"/>
        <v>9.98</v>
      </c>
      <c r="AF104" s="136">
        <f t="shared" si="41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39"/>
        <v>9.1</v>
      </c>
      <c r="C105" s="137">
        <v>9.1</v>
      </c>
      <c r="D105" s="136">
        <f t="shared" si="40"/>
        <v>9.1</v>
      </c>
      <c r="E105" s="136">
        <f t="shared" si="40"/>
        <v>9.1</v>
      </c>
      <c r="F105" s="136">
        <f t="shared" si="40"/>
        <v>9.1</v>
      </c>
      <c r="G105" s="136">
        <f t="shared" si="40"/>
        <v>9.1</v>
      </c>
      <c r="H105" s="136">
        <f t="shared" si="40"/>
        <v>9.1</v>
      </c>
      <c r="I105" s="136">
        <f t="shared" si="40"/>
        <v>9.1</v>
      </c>
      <c r="J105" s="136">
        <f t="shared" si="40"/>
        <v>9.1</v>
      </c>
      <c r="K105" s="136">
        <f t="shared" si="40"/>
        <v>9.1</v>
      </c>
      <c r="L105" s="136">
        <f t="shared" si="40"/>
        <v>9.1</v>
      </c>
      <c r="M105" s="136">
        <f t="shared" si="40"/>
        <v>9.1</v>
      </c>
      <c r="N105" s="136">
        <f t="shared" si="40"/>
        <v>9.1</v>
      </c>
      <c r="O105" s="136">
        <f t="shared" si="40"/>
        <v>9.1</v>
      </c>
      <c r="P105" s="136">
        <f t="shared" si="40"/>
        <v>9.1</v>
      </c>
      <c r="Q105" s="136">
        <f t="shared" si="40"/>
        <v>9.1</v>
      </c>
      <c r="R105" s="136">
        <f t="shared" si="40"/>
        <v>9.1</v>
      </c>
      <c r="S105" s="136">
        <f t="shared" si="40"/>
        <v>9.1</v>
      </c>
      <c r="T105" s="136">
        <f t="shared" si="41"/>
        <v>9.1</v>
      </c>
      <c r="U105" s="136">
        <f t="shared" si="41"/>
        <v>9.1</v>
      </c>
      <c r="V105" s="136">
        <f t="shared" si="41"/>
        <v>9.1</v>
      </c>
      <c r="W105" s="136">
        <f t="shared" si="41"/>
        <v>9.1</v>
      </c>
      <c r="X105" s="136">
        <f t="shared" si="41"/>
        <v>9.1</v>
      </c>
      <c r="Y105" s="136">
        <f t="shared" si="41"/>
        <v>9.1</v>
      </c>
      <c r="Z105" s="136">
        <f t="shared" si="41"/>
        <v>9.1</v>
      </c>
      <c r="AA105" s="136">
        <f t="shared" si="41"/>
        <v>9.1</v>
      </c>
      <c r="AB105" s="136">
        <f t="shared" si="41"/>
        <v>9.1</v>
      </c>
      <c r="AC105" s="136">
        <f t="shared" si="41"/>
        <v>9.1</v>
      </c>
      <c r="AD105" s="136">
        <f t="shared" si="41"/>
        <v>9.1</v>
      </c>
      <c r="AE105" s="136">
        <f t="shared" si="41"/>
        <v>9.1</v>
      </c>
      <c r="AF105" s="136">
        <f t="shared" si="41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39"/>
        <v>9.18</v>
      </c>
      <c r="C106" s="137">
        <v>9.18</v>
      </c>
      <c r="D106" s="136">
        <f t="shared" si="40"/>
        <v>9.18</v>
      </c>
      <c r="E106" s="136">
        <f t="shared" si="40"/>
        <v>9.18</v>
      </c>
      <c r="F106" s="136">
        <f t="shared" si="40"/>
        <v>9.18</v>
      </c>
      <c r="G106" s="136">
        <f t="shared" si="40"/>
        <v>9.18</v>
      </c>
      <c r="H106" s="136">
        <f t="shared" si="40"/>
        <v>9.18</v>
      </c>
      <c r="I106" s="136">
        <f t="shared" si="40"/>
        <v>9.18</v>
      </c>
      <c r="J106" s="136">
        <f t="shared" si="40"/>
        <v>9.18</v>
      </c>
      <c r="K106" s="136">
        <f t="shared" si="40"/>
        <v>9.18</v>
      </c>
      <c r="L106" s="136">
        <f t="shared" si="40"/>
        <v>9.18</v>
      </c>
      <c r="M106" s="136">
        <f t="shared" si="40"/>
        <v>9.18</v>
      </c>
      <c r="N106" s="136">
        <f t="shared" si="40"/>
        <v>9.18</v>
      </c>
      <c r="O106" s="136">
        <f t="shared" si="40"/>
        <v>9.18</v>
      </c>
      <c r="P106" s="136">
        <f t="shared" si="40"/>
        <v>9.18</v>
      </c>
      <c r="Q106" s="136">
        <f t="shared" si="40"/>
        <v>9.18</v>
      </c>
      <c r="R106" s="136">
        <f t="shared" si="40"/>
        <v>9.18</v>
      </c>
      <c r="S106" s="136">
        <f t="shared" si="40"/>
        <v>9.18</v>
      </c>
      <c r="T106" s="136">
        <f t="shared" si="41"/>
        <v>9.18</v>
      </c>
      <c r="U106" s="136">
        <f t="shared" si="41"/>
        <v>9.18</v>
      </c>
      <c r="V106" s="136">
        <f t="shared" si="41"/>
        <v>9.18</v>
      </c>
      <c r="W106" s="136">
        <f t="shared" si="41"/>
        <v>9.18</v>
      </c>
      <c r="X106" s="136">
        <f t="shared" si="41"/>
        <v>9.18</v>
      </c>
      <c r="Y106" s="136">
        <f t="shared" si="41"/>
        <v>9.18</v>
      </c>
      <c r="Z106" s="136">
        <f t="shared" si="41"/>
        <v>9.18</v>
      </c>
      <c r="AA106" s="136">
        <f t="shared" si="41"/>
        <v>9.18</v>
      </c>
      <c r="AB106" s="136">
        <f t="shared" si="41"/>
        <v>9.18</v>
      </c>
      <c r="AC106" s="136">
        <f t="shared" si="41"/>
        <v>9.18</v>
      </c>
      <c r="AD106" s="136">
        <f t="shared" si="41"/>
        <v>9.18</v>
      </c>
      <c r="AE106" s="136">
        <f t="shared" si="41"/>
        <v>9.18</v>
      </c>
      <c r="AF106" s="136">
        <f t="shared" si="41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39"/>
        <v>7</v>
      </c>
      <c r="C107" s="137">
        <v>7</v>
      </c>
      <c r="D107" s="136">
        <f t="shared" si="40"/>
        <v>7</v>
      </c>
      <c r="E107" s="136">
        <f t="shared" si="40"/>
        <v>7</v>
      </c>
      <c r="F107" s="136">
        <f t="shared" si="40"/>
        <v>7</v>
      </c>
      <c r="G107" s="136">
        <f t="shared" si="40"/>
        <v>7</v>
      </c>
      <c r="H107" s="136">
        <f t="shared" si="40"/>
        <v>7</v>
      </c>
      <c r="I107" s="136">
        <f t="shared" si="40"/>
        <v>7</v>
      </c>
      <c r="J107" s="136">
        <f t="shared" si="40"/>
        <v>7</v>
      </c>
      <c r="K107" s="136">
        <f t="shared" si="40"/>
        <v>7</v>
      </c>
      <c r="L107" s="136">
        <f t="shared" si="40"/>
        <v>7</v>
      </c>
      <c r="M107" s="136">
        <f t="shared" si="40"/>
        <v>7</v>
      </c>
      <c r="N107" s="136">
        <f t="shared" si="40"/>
        <v>7</v>
      </c>
      <c r="O107" s="136">
        <f t="shared" si="40"/>
        <v>7</v>
      </c>
      <c r="P107" s="136">
        <f t="shared" si="40"/>
        <v>7</v>
      </c>
      <c r="Q107" s="136">
        <f t="shared" si="40"/>
        <v>7</v>
      </c>
      <c r="R107" s="136">
        <f t="shared" si="40"/>
        <v>7</v>
      </c>
      <c r="S107" s="136">
        <f t="shared" si="40"/>
        <v>7</v>
      </c>
      <c r="T107" s="136">
        <f t="shared" si="41"/>
        <v>7</v>
      </c>
      <c r="U107" s="136">
        <f t="shared" si="41"/>
        <v>7</v>
      </c>
      <c r="V107" s="136">
        <f t="shared" si="41"/>
        <v>7</v>
      </c>
      <c r="W107" s="136">
        <f t="shared" si="41"/>
        <v>7</v>
      </c>
      <c r="X107" s="136">
        <f t="shared" si="41"/>
        <v>7</v>
      </c>
      <c r="Y107" s="136">
        <f t="shared" si="41"/>
        <v>7</v>
      </c>
      <c r="Z107" s="136">
        <f t="shared" si="41"/>
        <v>7</v>
      </c>
      <c r="AA107" s="136">
        <f t="shared" si="41"/>
        <v>7</v>
      </c>
      <c r="AB107" s="136">
        <f t="shared" si="41"/>
        <v>7</v>
      </c>
      <c r="AC107" s="136">
        <f t="shared" si="41"/>
        <v>7</v>
      </c>
      <c r="AD107" s="136">
        <f t="shared" si="41"/>
        <v>7</v>
      </c>
      <c r="AE107" s="136">
        <f t="shared" si="41"/>
        <v>7</v>
      </c>
      <c r="AF107" s="136">
        <f t="shared" si="41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42">C109</f>
        <v>2.25</v>
      </c>
      <c r="E109" s="136">
        <f t="shared" si="42"/>
        <v>2.25</v>
      </c>
      <c r="F109" s="136">
        <f t="shared" si="42"/>
        <v>2.25</v>
      </c>
      <c r="G109" s="136">
        <f t="shared" si="42"/>
        <v>2.25</v>
      </c>
      <c r="H109" s="136">
        <f t="shared" si="42"/>
        <v>2.25</v>
      </c>
      <c r="I109" s="136">
        <f t="shared" si="42"/>
        <v>2.25</v>
      </c>
      <c r="J109" s="136">
        <f t="shared" si="42"/>
        <v>2.25</v>
      </c>
      <c r="K109" s="136">
        <f t="shared" si="42"/>
        <v>2.25</v>
      </c>
      <c r="L109" s="136">
        <f t="shared" si="42"/>
        <v>2.25</v>
      </c>
      <c r="M109" s="136">
        <f t="shared" si="42"/>
        <v>2.25</v>
      </c>
      <c r="N109" s="136">
        <f t="shared" si="42"/>
        <v>2.25</v>
      </c>
      <c r="O109" s="136">
        <f t="shared" si="42"/>
        <v>2.25</v>
      </c>
      <c r="P109" s="136">
        <f t="shared" si="42"/>
        <v>2.25</v>
      </c>
      <c r="Q109" s="136">
        <f t="shared" si="42"/>
        <v>2.25</v>
      </c>
      <c r="R109" s="136">
        <f t="shared" si="42"/>
        <v>2.25</v>
      </c>
      <c r="S109" s="136">
        <f t="shared" si="42"/>
        <v>2.25</v>
      </c>
      <c r="T109" s="136">
        <f t="shared" ref="T109:AF110" si="43">S109</f>
        <v>2.25</v>
      </c>
      <c r="U109" s="136">
        <f t="shared" si="43"/>
        <v>2.25</v>
      </c>
      <c r="V109" s="136">
        <f t="shared" si="43"/>
        <v>2.25</v>
      </c>
      <c r="W109" s="136">
        <f t="shared" si="43"/>
        <v>2.25</v>
      </c>
      <c r="X109" s="136">
        <f t="shared" si="43"/>
        <v>2.25</v>
      </c>
      <c r="Y109" s="136">
        <f t="shared" si="43"/>
        <v>2.25</v>
      </c>
      <c r="Z109" s="136">
        <f t="shared" si="43"/>
        <v>2.25</v>
      </c>
      <c r="AA109" s="136">
        <f t="shared" si="43"/>
        <v>2.25</v>
      </c>
      <c r="AB109" s="136">
        <f t="shared" si="43"/>
        <v>2.25</v>
      </c>
      <c r="AC109" s="136">
        <f t="shared" si="43"/>
        <v>2.25</v>
      </c>
      <c r="AD109" s="136">
        <f t="shared" si="43"/>
        <v>2.25</v>
      </c>
      <c r="AE109" s="136">
        <f t="shared" si="43"/>
        <v>2.25</v>
      </c>
      <c r="AF109" s="136">
        <f t="shared" si="43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42"/>
        <v>1.64</v>
      </c>
      <c r="E110" s="136">
        <f t="shared" si="42"/>
        <v>1.64</v>
      </c>
      <c r="F110" s="136">
        <f t="shared" si="42"/>
        <v>1.64</v>
      </c>
      <c r="G110" s="136">
        <f t="shared" si="42"/>
        <v>1.64</v>
      </c>
      <c r="H110" s="136">
        <f t="shared" si="42"/>
        <v>1.64</v>
      </c>
      <c r="I110" s="136">
        <f t="shared" si="42"/>
        <v>1.64</v>
      </c>
      <c r="J110" s="136">
        <f t="shared" si="42"/>
        <v>1.64</v>
      </c>
      <c r="K110" s="136">
        <f t="shared" si="42"/>
        <v>1.64</v>
      </c>
      <c r="L110" s="136">
        <f t="shared" si="42"/>
        <v>1.64</v>
      </c>
      <c r="M110" s="136">
        <f t="shared" si="42"/>
        <v>1.64</v>
      </c>
      <c r="N110" s="136">
        <f t="shared" si="42"/>
        <v>1.64</v>
      </c>
      <c r="O110" s="136">
        <f t="shared" si="42"/>
        <v>1.64</v>
      </c>
      <c r="P110" s="136">
        <f t="shared" si="42"/>
        <v>1.64</v>
      </c>
      <c r="Q110" s="136">
        <f t="shared" si="42"/>
        <v>1.64</v>
      </c>
      <c r="R110" s="136">
        <f t="shared" si="42"/>
        <v>1.64</v>
      </c>
      <c r="S110" s="136">
        <f t="shared" si="42"/>
        <v>1.64</v>
      </c>
      <c r="T110" s="136">
        <f t="shared" si="43"/>
        <v>1.64</v>
      </c>
      <c r="U110" s="136">
        <f t="shared" si="43"/>
        <v>1.64</v>
      </c>
      <c r="V110" s="136">
        <f t="shared" si="43"/>
        <v>1.64</v>
      </c>
      <c r="W110" s="136">
        <f t="shared" si="43"/>
        <v>1.64</v>
      </c>
      <c r="X110" s="136">
        <f t="shared" si="43"/>
        <v>1.64</v>
      </c>
      <c r="Y110" s="136">
        <f t="shared" si="43"/>
        <v>1.64</v>
      </c>
      <c r="Z110" s="136">
        <f t="shared" si="43"/>
        <v>1.64</v>
      </c>
      <c r="AA110" s="136">
        <f t="shared" si="43"/>
        <v>1.64</v>
      </c>
      <c r="AB110" s="136">
        <f t="shared" si="43"/>
        <v>1.64</v>
      </c>
      <c r="AC110" s="136">
        <f t="shared" si="43"/>
        <v>1.64</v>
      </c>
      <c r="AD110" s="136">
        <f t="shared" si="43"/>
        <v>1.64</v>
      </c>
      <c r="AE110" s="136">
        <f t="shared" si="43"/>
        <v>1.64</v>
      </c>
      <c r="AF110" s="136">
        <f t="shared" si="43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44">AF112</f>
        <v>1.62</v>
      </c>
      <c r="C112" s="137">
        <v>1.62</v>
      </c>
      <c r="D112" s="136">
        <f t="shared" ref="D112:S119" si="45">C112</f>
        <v>1.62</v>
      </c>
      <c r="E112" s="136">
        <f t="shared" si="45"/>
        <v>1.62</v>
      </c>
      <c r="F112" s="136">
        <f t="shared" si="45"/>
        <v>1.62</v>
      </c>
      <c r="G112" s="136">
        <f t="shared" si="45"/>
        <v>1.62</v>
      </c>
      <c r="H112" s="136">
        <f t="shared" si="45"/>
        <v>1.62</v>
      </c>
      <c r="I112" s="136">
        <f t="shared" si="45"/>
        <v>1.62</v>
      </c>
      <c r="J112" s="136">
        <f t="shared" si="45"/>
        <v>1.62</v>
      </c>
      <c r="K112" s="136">
        <f t="shared" si="45"/>
        <v>1.62</v>
      </c>
      <c r="L112" s="136">
        <f t="shared" si="45"/>
        <v>1.62</v>
      </c>
      <c r="M112" s="136">
        <f t="shared" si="45"/>
        <v>1.62</v>
      </c>
      <c r="N112" s="136">
        <f t="shared" si="45"/>
        <v>1.62</v>
      </c>
      <c r="O112" s="136">
        <f t="shared" si="45"/>
        <v>1.62</v>
      </c>
      <c r="P112" s="136">
        <f t="shared" si="45"/>
        <v>1.62</v>
      </c>
      <c r="Q112" s="136">
        <f t="shared" si="45"/>
        <v>1.62</v>
      </c>
      <c r="R112" s="136">
        <f t="shared" si="45"/>
        <v>1.62</v>
      </c>
      <c r="S112" s="136">
        <f t="shared" si="45"/>
        <v>1.62</v>
      </c>
      <c r="T112" s="136">
        <f t="shared" ref="T112:AF127" si="46">S112</f>
        <v>1.62</v>
      </c>
      <c r="U112" s="136">
        <f t="shared" si="46"/>
        <v>1.62</v>
      </c>
      <c r="V112" s="136">
        <f t="shared" si="46"/>
        <v>1.62</v>
      </c>
      <c r="W112" s="136">
        <f t="shared" si="46"/>
        <v>1.62</v>
      </c>
      <c r="X112" s="136">
        <f t="shared" si="46"/>
        <v>1.62</v>
      </c>
      <c r="Y112" s="136">
        <f t="shared" si="46"/>
        <v>1.62</v>
      </c>
      <c r="Z112" s="136">
        <f t="shared" si="46"/>
        <v>1.62</v>
      </c>
      <c r="AA112" s="136">
        <f t="shared" si="46"/>
        <v>1.62</v>
      </c>
      <c r="AB112" s="136">
        <f t="shared" si="46"/>
        <v>1.62</v>
      </c>
      <c r="AC112" s="136">
        <f t="shared" si="46"/>
        <v>1.62</v>
      </c>
      <c r="AD112" s="136">
        <f t="shared" si="46"/>
        <v>1.62</v>
      </c>
      <c r="AE112" s="136">
        <f t="shared" si="46"/>
        <v>1.62</v>
      </c>
      <c r="AF112" s="136">
        <f t="shared" si="46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44"/>
        <v>8.36</v>
      </c>
      <c r="C113" s="137">
        <v>8.36</v>
      </c>
      <c r="D113" s="136">
        <f t="shared" si="45"/>
        <v>8.36</v>
      </c>
      <c r="E113" s="136">
        <f t="shared" si="45"/>
        <v>8.36</v>
      </c>
      <c r="F113" s="136">
        <f t="shared" si="45"/>
        <v>8.36</v>
      </c>
      <c r="G113" s="136">
        <f t="shared" si="45"/>
        <v>8.36</v>
      </c>
      <c r="H113" s="136">
        <f t="shared" si="45"/>
        <v>8.36</v>
      </c>
      <c r="I113" s="136">
        <f t="shared" si="45"/>
        <v>8.36</v>
      </c>
      <c r="J113" s="136">
        <f t="shared" si="45"/>
        <v>8.36</v>
      </c>
      <c r="K113" s="136">
        <f t="shared" si="45"/>
        <v>8.36</v>
      </c>
      <c r="L113" s="136">
        <f t="shared" si="45"/>
        <v>8.36</v>
      </c>
      <c r="M113" s="136">
        <f t="shared" si="45"/>
        <v>8.36</v>
      </c>
      <c r="N113" s="136">
        <f t="shared" si="45"/>
        <v>8.36</v>
      </c>
      <c r="O113" s="136">
        <f t="shared" si="45"/>
        <v>8.36</v>
      </c>
      <c r="P113" s="136">
        <f t="shared" si="45"/>
        <v>8.36</v>
      </c>
      <c r="Q113" s="136">
        <f t="shared" si="45"/>
        <v>8.36</v>
      </c>
      <c r="R113" s="136">
        <f t="shared" si="45"/>
        <v>8.36</v>
      </c>
      <c r="S113" s="136">
        <f t="shared" si="45"/>
        <v>8.36</v>
      </c>
      <c r="T113" s="136">
        <f t="shared" si="46"/>
        <v>8.36</v>
      </c>
      <c r="U113" s="136">
        <f t="shared" si="46"/>
        <v>8.36</v>
      </c>
      <c r="V113" s="136">
        <f t="shared" si="46"/>
        <v>8.36</v>
      </c>
      <c r="W113" s="136">
        <f t="shared" si="46"/>
        <v>8.36</v>
      </c>
      <c r="X113" s="136">
        <f t="shared" si="46"/>
        <v>8.36</v>
      </c>
      <c r="Y113" s="136">
        <f t="shared" si="46"/>
        <v>8.36</v>
      </c>
      <c r="Z113" s="136">
        <f t="shared" si="46"/>
        <v>8.36</v>
      </c>
      <c r="AA113" s="136">
        <f t="shared" si="46"/>
        <v>8.36</v>
      </c>
      <c r="AB113" s="136">
        <f t="shared" si="46"/>
        <v>8.36</v>
      </c>
      <c r="AC113" s="136">
        <f t="shared" si="46"/>
        <v>8.36</v>
      </c>
      <c r="AD113" s="136">
        <f t="shared" si="46"/>
        <v>8.36</v>
      </c>
      <c r="AE113" s="136">
        <f t="shared" si="46"/>
        <v>8.36</v>
      </c>
      <c r="AF113" s="136">
        <f t="shared" si="46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44"/>
        <v>5.4</v>
      </c>
      <c r="C114" s="137">
        <v>8</v>
      </c>
      <c r="D114" s="136">
        <f t="shared" si="45"/>
        <v>8</v>
      </c>
      <c r="E114" s="136">
        <f t="shared" si="45"/>
        <v>8</v>
      </c>
      <c r="F114" s="136">
        <f t="shared" si="45"/>
        <v>8</v>
      </c>
      <c r="G114" s="136">
        <f t="shared" si="45"/>
        <v>8</v>
      </c>
      <c r="H114" s="136">
        <f t="shared" si="45"/>
        <v>8</v>
      </c>
      <c r="I114" s="136">
        <f t="shared" si="45"/>
        <v>8</v>
      </c>
      <c r="J114" s="136">
        <v>5.4</v>
      </c>
      <c r="K114" s="136">
        <f t="shared" si="45"/>
        <v>5.4</v>
      </c>
      <c r="L114" s="136">
        <f t="shared" si="45"/>
        <v>5.4</v>
      </c>
      <c r="M114" s="136">
        <f t="shared" si="45"/>
        <v>5.4</v>
      </c>
      <c r="N114" s="136">
        <f t="shared" si="45"/>
        <v>5.4</v>
      </c>
      <c r="O114" s="136">
        <f t="shared" si="45"/>
        <v>5.4</v>
      </c>
      <c r="P114" s="136">
        <f t="shared" si="45"/>
        <v>5.4</v>
      </c>
      <c r="Q114" s="136">
        <f t="shared" si="45"/>
        <v>5.4</v>
      </c>
      <c r="R114" s="136">
        <f t="shared" si="45"/>
        <v>5.4</v>
      </c>
      <c r="S114" s="136">
        <f t="shared" si="45"/>
        <v>5.4</v>
      </c>
      <c r="T114" s="136">
        <f t="shared" si="46"/>
        <v>5.4</v>
      </c>
      <c r="U114" s="136">
        <f t="shared" si="46"/>
        <v>5.4</v>
      </c>
      <c r="V114" s="136">
        <f t="shared" si="46"/>
        <v>5.4</v>
      </c>
      <c r="W114" s="136">
        <f t="shared" si="46"/>
        <v>5.4</v>
      </c>
      <c r="X114" s="136">
        <f t="shared" si="46"/>
        <v>5.4</v>
      </c>
      <c r="Y114" s="136">
        <f t="shared" si="46"/>
        <v>5.4</v>
      </c>
      <c r="Z114" s="136">
        <f t="shared" si="46"/>
        <v>5.4</v>
      </c>
      <c r="AA114" s="136">
        <f t="shared" si="46"/>
        <v>5.4</v>
      </c>
      <c r="AB114" s="136">
        <f t="shared" si="46"/>
        <v>5.4</v>
      </c>
      <c r="AC114" s="136">
        <f t="shared" si="46"/>
        <v>5.4</v>
      </c>
      <c r="AD114" s="136">
        <f t="shared" si="46"/>
        <v>5.4</v>
      </c>
      <c r="AE114" s="136">
        <f t="shared" si="46"/>
        <v>5.4</v>
      </c>
      <c r="AF114" s="136">
        <f t="shared" si="46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44"/>
        <v>6.57</v>
      </c>
      <c r="C115" s="137">
        <v>6.57</v>
      </c>
      <c r="D115" s="136">
        <f t="shared" si="45"/>
        <v>6.57</v>
      </c>
      <c r="E115" s="136">
        <f t="shared" si="45"/>
        <v>6.57</v>
      </c>
      <c r="F115" s="136">
        <f t="shared" si="45"/>
        <v>6.57</v>
      </c>
      <c r="G115" s="136">
        <f t="shared" si="45"/>
        <v>6.57</v>
      </c>
      <c r="H115" s="136">
        <f t="shared" si="45"/>
        <v>6.57</v>
      </c>
      <c r="I115" s="136">
        <f t="shared" si="45"/>
        <v>6.57</v>
      </c>
      <c r="J115" s="136">
        <f t="shared" si="45"/>
        <v>6.57</v>
      </c>
      <c r="K115" s="136">
        <f t="shared" si="45"/>
        <v>6.57</v>
      </c>
      <c r="L115" s="136">
        <f t="shared" si="45"/>
        <v>6.57</v>
      </c>
      <c r="M115" s="136">
        <f t="shared" si="45"/>
        <v>6.57</v>
      </c>
      <c r="N115" s="136">
        <f t="shared" si="45"/>
        <v>6.57</v>
      </c>
      <c r="O115" s="136">
        <f t="shared" si="45"/>
        <v>6.57</v>
      </c>
      <c r="P115" s="136">
        <f t="shared" si="45"/>
        <v>6.57</v>
      </c>
      <c r="Q115" s="136">
        <f t="shared" si="45"/>
        <v>6.57</v>
      </c>
      <c r="R115" s="136">
        <f t="shared" si="45"/>
        <v>6.57</v>
      </c>
      <c r="S115" s="136">
        <f t="shared" si="45"/>
        <v>6.57</v>
      </c>
      <c r="T115" s="136">
        <f t="shared" si="46"/>
        <v>6.57</v>
      </c>
      <c r="U115" s="136">
        <f t="shared" si="46"/>
        <v>6.57</v>
      </c>
      <c r="V115" s="136">
        <f t="shared" si="46"/>
        <v>6.57</v>
      </c>
      <c r="W115" s="136">
        <f t="shared" si="46"/>
        <v>6.57</v>
      </c>
      <c r="X115" s="136">
        <f t="shared" si="46"/>
        <v>6.57</v>
      </c>
      <c r="Y115" s="136">
        <f t="shared" si="46"/>
        <v>6.57</v>
      </c>
      <c r="Z115" s="136">
        <f t="shared" si="46"/>
        <v>6.57</v>
      </c>
      <c r="AA115" s="136">
        <f t="shared" si="46"/>
        <v>6.57</v>
      </c>
      <c r="AB115" s="136">
        <f t="shared" si="46"/>
        <v>6.57</v>
      </c>
      <c r="AC115" s="136">
        <f t="shared" si="46"/>
        <v>6.57</v>
      </c>
      <c r="AD115" s="136">
        <f t="shared" si="46"/>
        <v>6.57</v>
      </c>
      <c r="AE115" s="136">
        <f t="shared" si="46"/>
        <v>6.57</v>
      </c>
      <c r="AF115" s="136">
        <f t="shared" si="46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44"/>
        <v>3.43</v>
      </c>
      <c r="C116" s="137">
        <v>3.43</v>
      </c>
      <c r="D116" s="136">
        <f t="shared" si="45"/>
        <v>3.43</v>
      </c>
      <c r="E116" s="136">
        <f t="shared" si="45"/>
        <v>3.43</v>
      </c>
      <c r="F116" s="136">
        <f t="shared" si="45"/>
        <v>3.43</v>
      </c>
      <c r="G116" s="136">
        <f t="shared" si="45"/>
        <v>3.43</v>
      </c>
      <c r="H116" s="136">
        <f t="shared" si="45"/>
        <v>3.43</v>
      </c>
      <c r="I116" s="136">
        <f t="shared" si="45"/>
        <v>3.43</v>
      </c>
      <c r="J116" s="136">
        <f t="shared" si="45"/>
        <v>3.43</v>
      </c>
      <c r="K116" s="136">
        <f t="shared" si="45"/>
        <v>3.43</v>
      </c>
      <c r="L116" s="136">
        <f t="shared" si="45"/>
        <v>3.43</v>
      </c>
      <c r="M116" s="136">
        <f t="shared" si="45"/>
        <v>3.43</v>
      </c>
      <c r="N116" s="136">
        <f t="shared" si="45"/>
        <v>3.43</v>
      </c>
      <c r="O116" s="136">
        <f t="shared" si="45"/>
        <v>3.43</v>
      </c>
      <c r="P116" s="136">
        <f t="shared" si="45"/>
        <v>3.43</v>
      </c>
      <c r="Q116" s="136">
        <f t="shared" si="45"/>
        <v>3.43</v>
      </c>
      <c r="R116" s="136">
        <f t="shared" si="45"/>
        <v>3.43</v>
      </c>
      <c r="S116" s="136">
        <f t="shared" si="45"/>
        <v>3.43</v>
      </c>
      <c r="T116" s="136">
        <f t="shared" si="46"/>
        <v>3.43</v>
      </c>
      <c r="U116" s="136">
        <f t="shared" si="46"/>
        <v>3.43</v>
      </c>
      <c r="V116" s="136">
        <f t="shared" si="46"/>
        <v>3.43</v>
      </c>
      <c r="W116" s="136">
        <f t="shared" si="46"/>
        <v>3.43</v>
      </c>
      <c r="X116" s="136">
        <f t="shared" si="46"/>
        <v>3.43</v>
      </c>
      <c r="Y116" s="136">
        <f t="shared" si="46"/>
        <v>3.43</v>
      </c>
      <c r="Z116" s="136">
        <f t="shared" si="46"/>
        <v>3.43</v>
      </c>
      <c r="AA116" s="136">
        <f t="shared" si="46"/>
        <v>3.43</v>
      </c>
      <c r="AB116" s="136">
        <f t="shared" si="46"/>
        <v>3.43</v>
      </c>
      <c r="AC116" s="136">
        <f t="shared" si="46"/>
        <v>3.43</v>
      </c>
      <c r="AD116" s="136">
        <f t="shared" si="46"/>
        <v>3.43</v>
      </c>
      <c r="AE116" s="136">
        <f t="shared" si="46"/>
        <v>3.43</v>
      </c>
      <c r="AF116" s="136">
        <f t="shared" si="46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44"/>
        <v>2.96</v>
      </c>
      <c r="C117" s="137">
        <v>2.96</v>
      </c>
      <c r="D117" s="136">
        <f t="shared" si="45"/>
        <v>2.96</v>
      </c>
      <c r="E117" s="136">
        <f t="shared" si="45"/>
        <v>2.96</v>
      </c>
      <c r="F117" s="136">
        <f t="shared" si="45"/>
        <v>2.96</v>
      </c>
      <c r="G117" s="136">
        <f t="shared" si="45"/>
        <v>2.96</v>
      </c>
      <c r="H117" s="136">
        <f t="shared" si="45"/>
        <v>2.96</v>
      </c>
      <c r="I117" s="136">
        <f t="shared" si="45"/>
        <v>2.96</v>
      </c>
      <c r="J117" s="136">
        <f t="shared" si="45"/>
        <v>2.96</v>
      </c>
      <c r="K117" s="136">
        <f t="shared" si="45"/>
        <v>2.96</v>
      </c>
      <c r="L117" s="136">
        <f t="shared" si="45"/>
        <v>2.96</v>
      </c>
      <c r="M117" s="136">
        <f t="shared" si="45"/>
        <v>2.96</v>
      </c>
      <c r="N117" s="136">
        <f t="shared" si="45"/>
        <v>2.96</v>
      </c>
      <c r="O117" s="136">
        <f t="shared" si="45"/>
        <v>2.96</v>
      </c>
      <c r="P117" s="136">
        <f t="shared" si="45"/>
        <v>2.96</v>
      </c>
      <c r="Q117" s="136">
        <f t="shared" si="45"/>
        <v>2.96</v>
      </c>
      <c r="R117" s="136">
        <f t="shared" si="45"/>
        <v>2.96</v>
      </c>
      <c r="S117" s="136">
        <f t="shared" si="45"/>
        <v>2.96</v>
      </c>
      <c r="T117" s="136">
        <f t="shared" si="46"/>
        <v>2.96</v>
      </c>
      <c r="U117" s="136">
        <f t="shared" si="46"/>
        <v>2.96</v>
      </c>
      <c r="V117" s="136">
        <f t="shared" si="46"/>
        <v>2.96</v>
      </c>
      <c r="W117" s="136">
        <f t="shared" si="46"/>
        <v>2.96</v>
      </c>
      <c r="X117" s="136">
        <f t="shared" si="46"/>
        <v>2.96</v>
      </c>
      <c r="Y117" s="136">
        <f t="shared" si="46"/>
        <v>2.96</v>
      </c>
      <c r="Z117" s="136">
        <f t="shared" si="46"/>
        <v>2.96</v>
      </c>
      <c r="AA117" s="136">
        <f t="shared" si="46"/>
        <v>2.96</v>
      </c>
      <c r="AB117" s="136">
        <f t="shared" si="46"/>
        <v>2.96</v>
      </c>
      <c r="AC117" s="136">
        <f t="shared" si="46"/>
        <v>2.96</v>
      </c>
      <c r="AD117" s="136">
        <f t="shared" si="46"/>
        <v>2.96</v>
      </c>
      <c r="AE117" s="136">
        <f t="shared" si="46"/>
        <v>2.96</v>
      </c>
      <c r="AF117" s="136">
        <f t="shared" si="46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44"/>
        <v>8</v>
      </c>
      <c r="C118" s="137">
        <v>8</v>
      </c>
      <c r="D118" s="136">
        <f t="shared" si="45"/>
        <v>8</v>
      </c>
      <c r="E118" s="136">
        <f t="shared" si="45"/>
        <v>8</v>
      </c>
      <c r="F118" s="136">
        <f t="shared" si="45"/>
        <v>8</v>
      </c>
      <c r="G118" s="136">
        <f t="shared" si="45"/>
        <v>8</v>
      </c>
      <c r="H118" s="136">
        <f t="shared" si="45"/>
        <v>8</v>
      </c>
      <c r="I118" s="136">
        <f t="shared" si="45"/>
        <v>8</v>
      </c>
      <c r="J118" s="136">
        <f t="shared" si="45"/>
        <v>8</v>
      </c>
      <c r="K118" s="136">
        <f t="shared" si="45"/>
        <v>8</v>
      </c>
      <c r="L118" s="136">
        <f t="shared" si="45"/>
        <v>8</v>
      </c>
      <c r="M118" s="136">
        <f t="shared" si="45"/>
        <v>8</v>
      </c>
      <c r="N118" s="136">
        <f t="shared" si="45"/>
        <v>8</v>
      </c>
      <c r="O118" s="136">
        <f t="shared" si="45"/>
        <v>8</v>
      </c>
      <c r="P118" s="136">
        <f t="shared" si="45"/>
        <v>8</v>
      </c>
      <c r="Q118" s="136">
        <f t="shared" si="45"/>
        <v>8</v>
      </c>
      <c r="R118" s="136">
        <f t="shared" si="45"/>
        <v>8</v>
      </c>
      <c r="S118" s="136">
        <f t="shared" si="45"/>
        <v>8</v>
      </c>
      <c r="T118" s="136">
        <f t="shared" si="46"/>
        <v>8</v>
      </c>
      <c r="U118" s="136">
        <f t="shared" si="46"/>
        <v>8</v>
      </c>
      <c r="V118" s="136">
        <f t="shared" si="46"/>
        <v>8</v>
      </c>
      <c r="W118" s="136">
        <f t="shared" si="46"/>
        <v>8</v>
      </c>
      <c r="X118" s="136">
        <f t="shared" si="46"/>
        <v>8</v>
      </c>
      <c r="Y118" s="136">
        <f t="shared" si="46"/>
        <v>8</v>
      </c>
      <c r="Z118" s="136">
        <f t="shared" si="46"/>
        <v>8</v>
      </c>
      <c r="AA118" s="136">
        <f t="shared" si="46"/>
        <v>8</v>
      </c>
      <c r="AB118" s="136">
        <f t="shared" si="46"/>
        <v>8</v>
      </c>
      <c r="AC118" s="136">
        <f t="shared" si="46"/>
        <v>8</v>
      </c>
      <c r="AD118" s="136">
        <f t="shared" si="46"/>
        <v>8</v>
      </c>
      <c r="AE118" s="136">
        <f t="shared" si="46"/>
        <v>8</v>
      </c>
      <c r="AF118" s="136">
        <f t="shared" si="46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44"/>
        <v>7</v>
      </c>
      <c r="C119" s="137">
        <v>7</v>
      </c>
      <c r="D119" s="136">
        <f>C119</f>
        <v>7</v>
      </c>
      <c r="E119" s="136">
        <f t="shared" si="45"/>
        <v>7</v>
      </c>
      <c r="F119" s="136">
        <f t="shared" si="45"/>
        <v>7</v>
      </c>
      <c r="G119" s="136">
        <f t="shared" si="45"/>
        <v>7</v>
      </c>
      <c r="H119" s="136">
        <f t="shared" si="45"/>
        <v>7</v>
      </c>
      <c r="I119" s="136">
        <f t="shared" si="45"/>
        <v>7</v>
      </c>
      <c r="J119" s="136">
        <f t="shared" si="45"/>
        <v>7</v>
      </c>
      <c r="K119" s="136">
        <f t="shared" si="45"/>
        <v>7</v>
      </c>
      <c r="L119" s="136">
        <f t="shared" si="45"/>
        <v>7</v>
      </c>
      <c r="M119" s="136">
        <f t="shared" si="45"/>
        <v>7</v>
      </c>
      <c r="N119" s="136">
        <f t="shared" si="45"/>
        <v>7</v>
      </c>
      <c r="O119" s="136">
        <f t="shared" si="45"/>
        <v>7</v>
      </c>
      <c r="P119" s="136">
        <f t="shared" si="45"/>
        <v>7</v>
      </c>
      <c r="Q119" s="136">
        <f t="shared" si="45"/>
        <v>7</v>
      </c>
      <c r="R119" s="136">
        <f t="shared" si="45"/>
        <v>7</v>
      </c>
      <c r="S119" s="136">
        <f t="shared" si="45"/>
        <v>7</v>
      </c>
      <c r="T119" s="136">
        <f t="shared" si="46"/>
        <v>7</v>
      </c>
      <c r="U119" s="136">
        <f t="shared" si="46"/>
        <v>7</v>
      </c>
      <c r="V119" s="136">
        <f t="shared" si="46"/>
        <v>7</v>
      </c>
      <c r="W119" s="136">
        <f t="shared" si="46"/>
        <v>7</v>
      </c>
      <c r="X119" s="136">
        <f t="shared" si="46"/>
        <v>7</v>
      </c>
      <c r="Y119" s="136">
        <f t="shared" si="46"/>
        <v>7</v>
      </c>
      <c r="Z119" s="136">
        <f t="shared" si="46"/>
        <v>7</v>
      </c>
      <c r="AA119" s="136">
        <f t="shared" si="46"/>
        <v>7</v>
      </c>
      <c r="AB119" s="136">
        <f t="shared" si="46"/>
        <v>7</v>
      </c>
      <c r="AC119" s="136">
        <f t="shared" si="46"/>
        <v>7</v>
      </c>
      <c r="AD119" s="136">
        <f t="shared" si="46"/>
        <v>7</v>
      </c>
      <c r="AE119" s="136">
        <f t="shared" si="46"/>
        <v>7</v>
      </c>
      <c r="AF119" s="136">
        <f t="shared" si="46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44"/>
        <v>3.47</v>
      </c>
      <c r="C120" s="137">
        <v>3.47</v>
      </c>
      <c r="D120" s="136">
        <f t="shared" ref="D120:S129" si="47">C120</f>
        <v>3.47</v>
      </c>
      <c r="E120" s="136">
        <f t="shared" si="47"/>
        <v>3.47</v>
      </c>
      <c r="F120" s="136">
        <f t="shared" si="47"/>
        <v>3.47</v>
      </c>
      <c r="G120" s="136">
        <f t="shared" si="47"/>
        <v>3.47</v>
      </c>
      <c r="H120" s="136">
        <f t="shared" si="47"/>
        <v>3.47</v>
      </c>
      <c r="I120" s="136">
        <f t="shared" si="47"/>
        <v>3.47</v>
      </c>
      <c r="J120" s="136">
        <f t="shared" si="47"/>
        <v>3.47</v>
      </c>
      <c r="K120" s="136">
        <f t="shared" si="47"/>
        <v>3.47</v>
      </c>
      <c r="L120" s="136">
        <f t="shared" si="47"/>
        <v>3.47</v>
      </c>
      <c r="M120" s="136">
        <f t="shared" si="47"/>
        <v>3.47</v>
      </c>
      <c r="N120" s="136">
        <f t="shared" si="47"/>
        <v>3.47</v>
      </c>
      <c r="O120" s="136">
        <f t="shared" si="47"/>
        <v>3.47</v>
      </c>
      <c r="P120" s="136">
        <f t="shared" si="47"/>
        <v>3.47</v>
      </c>
      <c r="Q120" s="136">
        <f t="shared" si="47"/>
        <v>3.47</v>
      </c>
      <c r="R120" s="136">
        <f t="shared" si="47"/>
        <v>3.47</v>
      </c>
      <c r="S120" s="136">
        <f t="shared" si="47"/>
        <v>3.47</v>
      </c>
      <c r="T120" s="136">
        <f t="shared" si="46"/>
        <v>3.47</v>
      </c>
      <c r="U120" s="136">
        <f t="shared" si="46"/>
        <v>3.47</v>
      </c>
      <c r="V120" s="136">
        <f t="shared" si="46"/>
        <v>3.47</v>
      </c>
      <c r="W120" s="136">
        <f t="shared" si="46"/>
        <v>3.47</v>
      </c>
      <c r="X120" s="136">
        <f t="shared" si="46"/>
        <v>3.47</v>
      </c>
      <c r="Y120" s="136">
        <f t="shared" si="46"/>
        <v>3.47</v>
      </c>
      <c r="Z120" s="136">
        <f t="shared" si="46"/>
        <v>3.47</v>
      </c>
      <c r="AA120" s="136">
        <f t="shared" si="46"/>
        <v>3.47</v>
      </c>
      <c r="AB120" s="136">
        <f t="shared" si="46"/>
        <v>3.47</v>
      </c>
      <c r="AC120" s="136">
        <f t="shared" si="46"/>
        <v>3.47</v>
      </c>
      <c r="AD120" s="136">
        <f t="shared" si="46"/>
        <v>3.47</v>
      </c>
      <c r="AE120" s="136">
        <f t="shared" si="46"/>
        <v>3.47</v>
      </c>
      <c r="AF120" s="136">
        <f t="shared" si="46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44"/>
        <v>2.1</v>
      </c>
      <c r="C121" s="137">
        <v>2.1</v>
      </c>
      <c r="D121" s="136">
        <f t="shared" si="47"/>
        <v>2.1</v>
      </c>
      <c r="E121" s="136">
        <f t="shared" si="47"/>
        <v>2.1</v>
      </c>
      <c r="F121" s="136">
        <f t="shared" si="47"/>
        <v>2.1</v>
      </c>
      <c r="G121" s="136">
        <f t="shared" si="47"/>
        <v>2.1</v>
      </c>
      <c r="H121" s="136">
        <f t="shared" si="47"/>
        <v>2.1</v>
      </c>
      <c r="I121" s="136">
        <f t="shared" si="47"/>
        <v>2.1</v>
      </c>
      <c r="J121" s="136">
        <f t="shared" si="47"/>
        <v>2.1</v>
      </c>
      <c r="K121" s="136">
        <f t="shared" si="47"/>
        <v>2.1</v>
      </c>
      <c r="L121" s="136">
        <f t="shared" si="47"/>
        <v>2.1</v>
      </c>
      <c r="M121" s="136">
        <f t="shared" si="47"/>
        <v>2.1</v>
      </c>
      <c r="N121" s="136">
        <f t="shared" si="47"/>
        <v>2.1</v>
      </c>
      <c r="O121" s="136">
        <f t="shared" si="47"/>
        <v>2.1</v>
      </c>
      <c r="P121" s="136">
        <f t="shared" si="47"/>
        <v>2.1</v>
      </c>
      <c r="Q121" s="136">
        <f t="shared" si="47"/>
        <v>2.1</v>
      </c>
      <c r="R121" s="136">
        <f t="shared" si="47"/>
        <v>2.1</v>
      </c>
      <c r="S121" s="136">
        <f t="shared" si="47"/>
        <v>2.1</v>
      </c>
      <c r="T121" s="136">
        <f t="shared" si="46"/>
        <v>2.1</v>
      </c>
      <c r="U121" s="136">
        <f t="shared" si="46"/>
        <v>2.1</v>
      </c>
      <c r="V121" s="136">
        <f t="shared" si="46"/>
        <v>2.1</v>
      </c>
      <c r="W121" s="136">
        <f t="shared" si="46"/>
        <v>2.1</v>
      </c>
      <c r="X121" s="136">
        <f t="shared" si="46"/>
        <v>2.1</v>
      </c>
      <c r="Y121" s="136">
        <f t="shared" si="46"/>
        <v>2.1</v>
      </c>
      <c r="Z121" s="136">
        <f t="shared" si="46"/>
        <v>2.1</v>
      </c>
      <c r="AA121" s="136">
        <f t="shared" si="46"/>
        <v>2.1</v>
      </c>
      <c r="AB121" s="136">
        <f t="shared" si="46"/>
        <v>2.1</v>
      </c>
      <c r="AC121" s="136">
        <f t="shared" si="46"/>
        <v>2.1</v>
      </c>
      <c r="AD121" s="136">
        <f t="shared" si="46"/>
        <v>2.1</v>
      </c>
      <c r="AE121" s="136">
        <f t="shared" si="46"/>
        <v>2.1</v>
      </c>
      <c r="AF121" s="136">
        <f t="shared" si="46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44"/>
        <v>9.3000000000000007</v>
      </c>
      <c r="C122" s="137">
        <v>9.3000000000000007</v>
      </c>
      <c r="D122" s="136">
        <f t="shared" si="47"/>
        <v>9.3000000000000007</v>
      </c>
      <c r="E122" s="136">
        <f t="shared" si="47"/>
        <v>9.3000000000000007</v>
      </c>
      <c r="F122" s="136">
        <f t="shared" si="47"/>
        <v>9.3000000000000007</v>
      </c>
      <c r="G122" s="136">
        <f t="shared" si="47"/>
        <v>9.3000000000000007</v>
      </c>
      <c r="H122" s="136">
        <f t="shared" si="47"/>
        <v>9.3000000000000007</v>
      </c>
      <c r="I122" s="136">
        <f t="shared" si="47"/>
        <v>9.3000000000000007</v>
      </c>
      <c r="J122" s="136">
        <f t="shared" si="47"/>
        <v>9.3000000000000007</v>
      </c>
      <c r="K122" s="136">
        <f t="shared" si="47"/>
        <v>9.3000000000000007</v>
      </c>
      <c r="L122" s="136">
        <f t="shared" si="47"/>
        <v>9.3000000000000007</v>
      </c>
      <c r="M122" s="136">
        <f t="shared" si="47"/>
        <v>9.3000000000000007</v>
      </c>
      <c r="N122" s="136">
        <f t="shared" si="47"/>
        <v>9.3000000000000007</v>
      </c>
      <c r="O122" s="136">
        <f t="shared" si="47"/>
        <v>9.3000000000000007</v>
      </c>
      <c r="P122" s="136">
        <f t="shared" si="47"/>
        <v>9.3000000000000007</v>
      </c>
      <c r="Q122" s="136">
        <f t="shared" si="47"/>
        <v>9.3000000000000007</v>
      </c>
      <c r="R122" s="136">
        <f t="shared" si="47"/>
        <v>9.3000000000000007</v>
      </c>
      <c r="S122" s="136">
        <f t="shared" si="47"/>
        <v>9.3000000000000007</v>
      </c>
      <c r="T122" s="136">
        <f t="shared" si="46"/>
        <v>9.3000000000000007</v>
      </c>
      <c r="U122" s="136">
        <f t="shared" si="46"/>
        <v>9.3000000000000007</v>
      </c>
      <c r="V122" s="136">
        <f t="shared" si="46"/>
        <v>9.3000000000000007</v>
      </c>
      <c r="W122" s="136">
        <f t="shared" si="46"/>
        <v>9.3000000000000007</v>
      </c>
      <c r="X122" s="136">
        <f t="shared" si="46"/>
        <v>9.3000000000000007</v>
      </c>
      <c r="Y122" s="136">
        <f t="shared" si="46"/>
        <v>9.3000000000000007</v>
      </c>
      <c r="Z122" s="136">
        <f t="shared" si="46"/>
        <v>9.3000000000000007</v>
      </c>
      <c r="AA122" s="136">
        <f t="shared" si="46"/>
        <v>9.3000000000000007</v>
      </c>
      <c r="AB122" s="136">
        <f t="shared" si="46"/>
        <v>9.3000000000000007</v>
      </c>
      <c r="AC122" s="136">
        <f t="shared" si="46"/>
        <v>9.3000000000000007</v>
      </c>
      <c r="AD122" s="136">
        <f t="shared" si="46"/>
        <v>9.3000000000000007</v>
      </c>
      <c r="AE122" s="136">
        <f t="shared" si="46"/>
        <v>9.3000000000000007</v>
      </c>
      <c r="AF122" s="136">
        <f t="shared" si="46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44"/>
        <v>0</v>
      </c>
      <c r="C123" s="137">
        <v>0</v>
      </c>
      <c r="D123" s="136">
        <f t="shared" si="47"/>
        <v>0</v>
      </c>
      <c r="E123" s="136">
        <f t="shared" si="47"/>
        <v>0</v>
      </c>
      <c r="F123" s="136">
        <f t="shared" si="47"/>
        <v>0</v>
      </c>
      <c r="G123" s="136">
        <f t="shared" si="47"/>
        <v>0</v>
      </c>
      <c r="H123" s="136">
        <f t="shared" si="47"/>
        <v>0</v>
      </c>
      <c r="I123" s="136">
        <f t="shared" si="47"/>
        <v>0</v>
      </c>
      <c r="J123" s="136">
        <f t="shared" si="47"/>
        <v>0</v>
      </c>
      <c r="K123" s="136">
        <f t="shared" si="47"/>
        <v>0</v>
      </c>
      <c r="L123" s="136">
        <f t="shared" si="47"/>
        <v>0</v>
      </c>
      <c r="M123" s="136">
        <f t="shared" si="47"/>
        <v>0</v>
      </c>
      <c r="N123" s="136">
        <f t="shared" si="47"/>
        <v>0</v>
      </c>
      <c r="O123" s="136">
        <f t="shared" si="47"/>
        <v>0</v>
      </c>
      <c r="P123" s="136">
        <f t="shared" si="47"/>
        <v>0</v>
      </c>
      <c r="Q123" s="136">
        <f t="shared" si="47"/>
        <v>0</v>
      </c>
      <c r="R123" s="136">
        <f t="shared" si="47"/>
        <v>0</v>
      </c>
      <c r="S123" s="136">
        <f t="shared" si="47"/>
        <v>0</v>
      </c>
      <c r="T123" s="136">
        <f t="shared" si="46"/>
        <v>0</v>
      </c>
      <c r="U123" s="136">
        <f t="shared" si="46"/>
        <v>0</v>
      </c>
      <c r="V123" s="136">
        <f t="shared" si="46"/>
        <v>0</v>
      </c>
      <c r="W123" s="136">
        <f t="shared" si="46"/>
        <v>0</v>
      </c>
      <c r="X123" s="136">
        <f t="shared" si="46"/>
        <v>0</v>
      </c>
      <c r="Y123" s="136">
        <f t="shared" si="46"/>
        <v>0</v>
      </c>
      <c r="Z123" s="136">
        <f t="shared" si="46"/>
        <v>0</v>
      </c>
      <c r="AA123" s="136">
        <f t="shared" si="46"/>
        <v>0</v>
      </c>
      <c r="AB123" s="136">
        <f t="shared" si="46"/>
        <v>0</v>
      </c>
      <c r="AC123" s="136">
        <f t="shared" si="46"/>
        <v>0</v>
      </c>
      <c r="AD123" s="136">
        <f t="shared" si="46"/>
        <v>0</v>
      </c>
      <c r="AE123" s="136">
        <f t="shared" si="46"/>
        <v>0</v>
      </c>
      <c r="AF123" s="136">
        <f t="shared" si="46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44"/>
        <v>0</v>
      </c>
      <c r="C124" s="137">
        <v>0</v>
      </c>
      <c r="D124" s="136">
        <f t="shared" si="47"/>
        <v>0</v>
      </c>
      <c r="E124" s="136">
        <f t="shared" si="47"/>
        <v>0</v>
      </c>
      <c r="F124" s="136">
        <f t="shared" si="47"/>
        <v>0</v>
      </c>
      <c r="G124" s="136">
        <f t="shared" si="47"/>
        <v>0</v>
      </c>
      <c r="H124" s="136">
        <f t="shared" si="47"/>
        <v>0</v>
      </c>
      <c r="I124" s="136">
        <f t="shared" si="47"/>
        <v>0</v>
      </c>
      <c r="J124" s="136">
        <f t="shared" si="47"/>
        <v>0</v>
      </c>
      <c r="K124" s="136">
        <f t="shared" si="47"/>
        <v>0</v>
      </c>
      <c r="L124" s="136">
        <f t="shared" si="47"/>
        <v>0</v>
      </c>
      <c r="M124" s="136">
        <f t="shared" si="47"/>
        <v>0</v>
      </c>
      <c r="N124" s="136">
        <f t="shared" si="47"/>
        <v>0</v>
      </c>
      <c r="O124" s="136">
        <f t="shared" si="47"/>
        <v>0</v>
      </c>
      <c r="P124" s="136">
        <f t="shared" si="47"/>
        <v>0</v>
      </c>
      <c r="Q124" s="136">
        <f t="shared" si="47"/>
        <v>0</v>
      </c>
      <c r="R124" s="136">
        <f t="shared" si="47"/>
        <v>0</v>
      </c>
      <c r="S124" s="136">
        <f t="shared" si="47"/>
        <v>0</v>
      </c>
      <c r="T124" s="136">
        <f t="shared" si="46"/>
        <v>0</v>
      </c>
      <c r="U124" s="136">
        <f t="shared" si="46"/>
        <v>0</v>
      </c>
      <c r="V124" s="136">
        <f t="shared" si="46"/>
        <v>0</v>
      </c>
      <c r="W124" s="136">
        <f t="shared" si="46"/>
        <v>0</v>
      </c>
      <c r="X124" s="136">
        <f t="shared" si="46"/>
        <v>0</v>
      </c>
      <c r="Y124" s="136">
        <f t="shared" si="46"/>
        <v>0</v>
      </c>
      <c r="Z124" s="136">
        <f t="shared" si="46"/>
        <v>0</v>
      </c>
      <c r="AA124" s="136">
        <f t="shared" si="46"/>
        <v>0</v>
      </c>
      <c r="AB124" s="136">
        <f t="shared" si="46"/>
        <v>0</v>
      </c>
      <c r="AC124" s="136">
        <f t="shared" si="46"/>
        <v>0</v>
      </c>
      <c r="AD124" s="136">
        <f t="shared" si="46"/>
        <v>0</v>
      </c>
      <c r="AE124" s="136">
        <f t="shared" si="46"/>
        <v>0</v>
      </c>
      <c r="AF124" s="136">
        <f t="shared" si="46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44"/>
        <v>5</v>
      </c>
      <c r="C125" s="137">
        <v>5</v>
      </c>
      <c r="D125" s="136">
        <f t="shared" si="47"/>
        <v>5</v>
      </c>
      <c r="E125" s="136">
        <f t="shared" si="47"/>
        <v>5</v>
      </c>
      <c r="F125" s="136">
        <f t="shared" si="47"/>
        <v>5</v>
      </c>
      <c r="G125" s="136">
        <f t="shared" si="47"/>
        <v>5</v>
      </c>
      <c r="H125" s="136">
        <f t="shared" si="47"/>
        <v>5</v>
      </c>
      <c r="I125" s="136">
        <f t="shared" si="47"/>
        <v>5</v>
      </c>
      <c r="J125" s="136">
        <f t="shared" si="47"/>
        <v>5</v>
      </c>
      <c r="K125" s="136">
        <f t="shared" si="47"/>
        <v>5</v>
      </c>
      <c r="L125" s="136">
        <f t="shared" si="47"/>
        <v>5</v>
      </c>
      <c r="M125" s="136">
        <f t="shared" si="47"/>
        <v>5</v>
      </c>
      <c r="N125" s="136">
        <f t="shared" si="47"/>
        <v>5</v>
      </c>
      <c r="O125" s="136">
        <f t="shared" si="47"/>
        <v>5</v>
      </c>
      <c r="P125" s="136">
        <f t="shared" si="47"/>
        <v>5</v>
      </c>
      <c r="Q125" s="136">
        <f t="shared" si="47"/>
        <v>5</v>
      </c>
      <c r="R125" s="136">
        <f t="shared" si="47"/>
        <v>5</v>
      </c>
      <c r="S125" s="136">
        <f t="shared" si="47"/>
        <v>5</v>
      </c>
      <c r="T125" s="136">
        <f t="shared" si="46"/>
        <v>5</v>
      </c>
      <c r="U125" s="136">
        <f t="shared" si="46"/>
        <v>5</v>
      </c>
      <c r="V125" s="136">
        <f t="shared" si="46"/>
        <v>5</v>
      </c>
      <c r="W125" s="136">
        <f t="shared" si="46"/>
        <v>5</v>
      </c>
      <c r="X125" s="136">
        <f t="shared" si="46"/>
        <v>5</v>
      </c>
      <c r="Y125" s="136">
        <f t="shared" si="46"/>
        <v>5</v>
      </c>
      <c r="Z125" s="136">
        <f t="shared" si="46"/>
        <v>5</v>
      </c>
      <c r="AA125" s="136">
        <f t="shared" si="46"/>
        <v>5</v>
      </c>
      <c r="AB125" s="136">
        <f t="shared" si="46"/>
        <v>5</v>
      </c>
      <c r="AC125" s="136">
        <f t="shared" si="46"/>
        <v>5</v>
      </c>
      <c r="AD125" s="136">
        <f t="shared" si="46"/>
        <v>5</v>
      </c>
      <c r="AE125" s="136">
        <f t="shared" si="46"/>
        <v>5</v>
      </c>
      <c r="AF125" s="136">
        <f t="shared" si="46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44"/>
        <v>1</v>
      </c>
      <c r="C126" s="137">
        <v>1</v>
      </c>
      <c r="D126" s="136">
        <f t="shared" si="47"/>
        <v>1</v>
      </c>
      <c r="E126" s="136">
        <f t="shared" si="47"/>
        <v>1</v>
      </c>
      <c r="F126" s="136">
        <f t="shared" si="47"/>
        <v>1</v>
      </c>
      <c r="G126" s="136">
        <f t="shared" si="47"/>
        <v>1</v>
      </c>
      <c r="H126" s="136">
        <f t="shared" si="47"/>
        <v>1</v>
      </c>
      <c r="I126" s="136">
        <f t="shared" si="47"/>
        <v>1</v>
      </c>
      <c r="J126" s="136">
        <f t="shared" si="47"/>
        <v>1</v>
      </c>
      <c r="K126" s="136">
        <f t="shared" si="47"/>
        <v>1</v>
      </c>
      <c r="L126" s="136">
        <f t="shared" si="47"/>
        <v>1</v>
      </c>
      <c r="M126" s="136">
        <f t="shared" si="47"/>
        <v>1</v>
      </c>
      <c r="N126" s="136">
        <f t="shared" si="47"/>
        <v>1</v>
      </c>
      <c r="O126" s="136">
        <f t="shared" si="47"/>
        <v>1</v>
      </c>
      <c r="P126" s="136">
        <f t="shared" si="47"/>
        <v>1</v>
      </c>
      <c r="Q126" s="136">
        <f t="shared" si="47"/>
        <v>1</v>
      </c>
      <c r="R126" s="136">
        <f t="shared" si="47"/>
        <v>1</v>
      </c>
      <c r="S126" s="136">
        <f t="shared" si="47"/>
        <v>1</v>
      </c>
      <c r="T126" s="136">
        <f t="shared" si="46"/>
        <v>1</v>
      </c>
      <c r="U126" s="136">
        <f t="shared" si="46"/>
        <v>1</v>
      </c>
      <c r="V126" s="136">
        <f t="shared" si="46"/>
        <v>1</v>
      </c>
      <c r="W126" s="136">
        <f t="shared" si="46"/>
        <v>1</v>
      </c>
      <c r="X126" s="136">
        <f t="shared" si="46"/>
        <v>1</v>
      </c>
      <c r="Y126" s="136">
        <f t="shared" si="46"/>
        <v>1</v>
      </c>
      <c r="Z126" s="136">
        <f t="shared" si="46"/>
        <v>1</v>
      </c>
      <c r="AA126" s="136">
        <f t="shared" si="46"/>
        <v>1</v>
      </c>
      <c r="AB126" s="136">
        <f t="shared" si="46"/>
        <v>1</v>
      </c>
      <c r="AC126" s="136">
        <f t="shared" si="46"/>
        <v>1</v>
      </c>
      <c r="AD126" s="136">
        <f t="shared" si="46"/>
        <v>1</v>
      </c>
      <c r="AE126" s="136">
        <f t="shared" si="46"/>
        <v>1</v>
      </c>
      <c r="AF126" s="136">
        <f t="shared" si="46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44"/>
        <v>1.58</v>
      </c>
      <c r="C127" s="137">
        <v>1.58</v>
      </c>
      <c r="D127" s="136">
        <f t="shared" si="47"/>
        <v>1.58</v>
      </c>
      <c r="E127" s="136">
        <f t="shared" si="47"/>
        <v>1.58</v>
      </c>
      <c r="F127" s="136">
        <f t="shared" si="47"/>
        <v>1.58</v>
      </c>
      <c r="G127" s="136">
        <f t="shared" si="47"/>
        <v>1.58</v>
      </c>
      <c r="H127" s="136">
        <f t="shared" si="47"/>
        <v>1.58</v>
      </c>
      <c r="I127" s="136">
        <f t="shared" si="47"/>
        <v>1.58</v>
      </c>
      <c r="J127" s="136">
        <f t="shared" si="47"/>
        <v>1.58</v>
      </c>
      <c r="K127" s="136">
        <f t="shared" si="47"/>
        <v>1.58</v>
      </c>
      <c r="L127" s="136">
        <f t="shared" si="47"/>
        <v>1.58</v>
      </c>
      <c r="M127" s="136">
        <f t="shared" si="47"/>
        <v>1.58</v>
      </c>
      <c r="N127" s="136">
        <f t="shared" si="47"/>
        <v>1.58</v>
      </c>
      <c r="O127" s="136">
        <f t="shared" si="47"/>
        <v>1.58</v>
      </c>
      <c r="P127" s="136">
        <f t="shared" si="47"/>
        <v>1.58</v>
      </c>
      <c r="Q127" s="136">
        <f t="shared" si="47"/>
        <v>1.58</v>
      </c>
      <c r="R127" s="136">
        <f t="shared" si="47"/>
        <v>1.58</v>
      </c>
      <c r="S127" s="136">
        <f t="shared" si="47"/>
        <v>1.58</v>
      </c>
      <c r="T127" s="136">
        <f t="shared" si="46"/>
        <v>1.58</v>
      </c>
      <c r="U127" s="136">
        <f t="shared" si="46"/>
        <v>1.58</v>
      </c>
      <c r="V127" s="136">
        <f t="shared" si="46"/>
        <v>1.58</v>
      </c>
      <c r="W127" s="136">
        <f t="shared" si="46"/>
        <v>1.58</v>
      </c>
      <c r="X127" s="136">
        <f t="shared" si="46"/>
        <v>1.58</v>
      </c>
      <c r="Y127" s="136">
        <f t="shared" si="46"/>
        <v>1.58</v>
      </c>
      <c r="Z127" s="136">
        <f t="shared" si="46"/>
        <v>1.58</v>
      </c>
      <c r="AA127" s="136">
        <f t="shared" si="46"/>
        <v>1.58</v>
      </c>
      <c r="AB127" s="136">
        <f t="shared" si="46"/>
        <v>1.58</v>
      </c>
      <c r="AC127" s="136">
        <f t="shared" si="46"/>
        <v>1.58</v>
      </c>
      <c r="AD127" s="136">
        <f t="shared" si="46"/>
        <v>1.58</v>
      </c>
      <c r="AE127" s="136">
        <f t="shared" si="46"/>
        <v>1.58</v>
      </c>
      <c r="AF127" s="136">
        <f t="shared" si="46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44"/>
        <v>1.46</v>
      </c>
      <c r="C128" s="137">
        <v>1.46</v>
      </c>
      <c r="D128" s="136">
        <f t="shared" si="47"/>
        <v>1.46</v>
      </c>
      <c r="E128" s="136">
        <f t="shared" si="47"/>
        <v>1.46</v>
      </c>
      <c r="F128" s="136">
        <f t="shared" si="47"/>
        <v>1.46</v>
      </c>
      <c r="G128" s="136">
        <f t="shared" si="47"/>
        <v>1.46</v>
      </c>
      <c r="H128" s="136">
        <f t="shared" si="47"/>
        <v>1.46</v>
      </c>
      <c r="I128" s="136">
        <f t="shared" si="47"/>
        <v>1.46</v>
      </c>
      <c r="J128" s="136">
        <f t="shared" si="47"/>
        <v>1.46</v>
      </c>
      <c r="K128" s="136">
        <f t="shared" si="47"/>
        <v>1.46</v>
      </c>
      <c r="L128" s="136">
        <f t="shared" si="47"/>
        <v>1.46</v>
      </c>
      <c r="M128" s="136">
        <f t="shared" si="47"/>
        <v>1.46</v>
      </c>
      <c r="N128" s="136">
        <f t="shared" si="47"/>
        <v>1.46</v>
      </c>
      <c r="O128" s="136">
        <f t="shared" si="47"/>
        <v>1.46</v>
      </c>
      <c r="P128" s="136">
        <f t="shared" si="47"/>
        <v>1.46</v>
      </c>
      <c r="Q128" s="136">
        <f t="shared" si="47"/>
        <v>1.46</v>
      </c>
      <c r="R128" s="136">
        <f t="shared" si="47"/>
        <v>1.46</v>
      </c>
      <c r="S128" s="136">
        <f t="shared" si="47"/>
        <v>1.46</v>
      </c>
      <c r="T128" s="136">
        <f t="shared" ref="T128:AF129" si="48">S128</f>
        <v>1.46</v>
      </c>
      <c r="U128" s="136">
        <f t="shared" si="48"/>
        <v>1.46</v>
      </c>
      <c r="V128" s="136">
        <f t="shared" si="48"/>
        <v>1.46</v>
      </c>
      <c r="W128" s="136">
        <f t="shared" si="48"/>
        <v>1.46</v>
      </c>
      <c r="X128" s="136">
        <f t="shared" si="48"/>
        <v>1.46</v>
      </c>
      <c r="Y128" s="136">
        <f t="shared" si="48"/>
        <v>1.46</v>
      </c>
      <c r="Z128" s="136">
        <f t="shared" si="48"/>
        <v>1.46</v>
      </c>
      <c r="AA128" s="136">
        <f t="shared" si="48"/>
        <v>1.46</v>
      </c>
      <c r="AB128" s="136">
        <f t="shared" si="48"/>
        <v>1.46</v>
      </c>
      <c r="AC128" s="136">
        <f t="shared" si="48"/>
        <v>1.46</v>
      </c>
      <c r="AD128" s="136">
        <f t="shared" si="48"/>
        <v>1.46</v>
      </c>
      <c r="AE128" s="136">
        <f t="shared" si="48"/>
        <v>1.46</v>
      </c>
      <c r="AF128" s="136">
        <f t="shared" si="48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44"/>
        <v>1.48</v>
      </c>
      <c r="C129" s="137">
        <v>1.48</v>
      </c>
      <c r="D129" s="136">
        <f t="shared" si="47"/>
        <v>1.48</v>
      </c>
      <c r="E129" s="136">
        <f t="shared" si="47"/>
        <v>1.48</v>
      </c>
      <c r="F129" s="136">
        <f t="shared" si="47"/>
        <v>1.48</v>
      </c>
      <c r="G129" s="136">
        <f t="shared" si="47"/>
        <v>1.48</v>
      </c>
      <c r="H129" s="136">
        <f t="shared" si="47"/>
        <v>1.48</v>
      </c>
      <c r="I129" s="136">
        <f t="shared" si="47"/>
        <v>1.48</v>
      </c>
      <c r="J129" s="136">
        <f t="shared" si="47"/>
        <v>1.48</v>
      </c>
      <c r="K129" s="136">
        <f t="shared" si="47"/>
        <v>1.48</v>
      </c>
      <c r="L129" s="136">
        <f t="shared" si="47"/>
        <v>1.48</v>
      </c>
      <c r="M129" s="136">
        <f t="shared" si="47"/>
        <v>1.48</v>
      </c>
      <c r="N129" s="136">
        <f t="shared" si="47"/>
        <v>1.48</v>
      </c>
      <c r="O129" s="136">
        <f t="shared" si="47"/>
        <v>1.48</v>
      </c>
      <c r="P129" s="136">
        <f t="shared" si="47"/>
        <v>1.48</v>
      </c>
      <c r="Q129" s="136">
        <f t="shared" si="47"/>
        <v>1.48</v>
      </c>
      <c r="R129" s="136">
        <f t="shared" si="47"/>
        <v>1.48</v>
      </c>
      <c r="S129" s="136">
        <f t="shared" si="47"/>
        <v>1.48</v>
      </c>
      <c r="T129" s="136">
        <f t="shared" si="48"/>
        <v>1.48</v>
      </c>
      <c r="U129" s="136">
        <f t="shared" si="48"/>
        <v>1.48</v>
      </c>
      <c r="V129" s="136">
        <f t="shared" si="48"/>
        <v>1.48</v>
      </c>
      <c r="W129" s="136">
        <f t="shared" si="48"/>
        <v>1.48</v>
      </c>
      <c r="X129" s="136">
        <f t="shared" si="48"/>
        <v>1.48</v>
      </c>
      <c r="Y129" s="136">
        <f t="shared" si="48"/>
        <v>1.48</v>
      </c>
      <c r="Z129" s="136">
        <f t="shared" si="48"/>
        <v>1.48</v>
      </c>
      <c r="AA129" s="136">
        <f t="shared" si="48"/>
        <v>1.48</v>
      </c>
      <c r="AB129" s="136">
        <f t="shared" si="48"/>
        <v>1.48</v>
      </c>
      <c r="AC129" s="136">
        <f t="shared" si="48"/>
        <v>1.48</v>
      </c>
      <c r="AD129" s="136">
        <f t="shared" si="48"/>
        <v>1.48</v>
      </c>
      <c r="AE129" s="136">
        <f t="shared" si="48"/>
        <v>1.48</v>
      </c>
      <c r="AF129" s="136">
        <f t="shared" si="48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49">AF131</f>
        <v>2.2000000000000002</v>
      </c>
      <c r="C131" s="137">
        <v>2.2000000000000002</v>
      </c>
      <c r="D131" s="136">
        <f t="shared" ref="D131:S138" si="50">C131</f>
        <v>2.2000000000000002</v>
      </c>
      <c r="E131" s="136">
        <f t="shared" si="50"/>
        <v>2.2000000000000002</v>
      </c>
      <c r="F131" s="136">
        <f t="shared" si="50"/>
        <v>2.2000000000000002</v>
      </c>
      <c r="G131" s="136">
        <f t="shared" si="50"/>
        <v>2.2000000000000002</v>
      </c>
      <c r="H131" s="136">
        <f t="shared" si="50"/>
        <v>2.2000000000000002</v>
      </c>
      <c r="I131" s="136">
        <f t="shared" si="50"/>
        <v>2.2000000000000002</v>
      </c>
      <c r="J131" s="136">
        <f t="shared" si="50"/>
        <v>2.2000000000000002</v>
      </c>
      <c r="K131" s="136">
        <f t="shared" si="50"/>
        <v>2.2000000000000002</v>
      </c>
      <c r="L131" s="136">
        <f t="shared" si="50"/>
        <v>2.2000000000000002</v>
      </c>
      <c r="M131" s="136">
        <f t="shared" si="50"/>
        <v>2.2000000000000002</v>
      </c>
      <c r="N131" s="136">
        <f t="shared" si="50"/>
        <v>2.2000000000000002</v>
      </c>
      <c r="O131" s="136">
        <f t="shared" si="50"/>
        <v>2.2000000000000002</v>
      </c>
      <c r="P131" s="136">
        <f t="shared" si="50"/>
        <v>2.2000000000000002</v>
      </c>
      <c r="Q131" s="136">
        <f t="shared" si="50"/>
        <v>2.2000000000000002</v>
      </c>
      <c r="R131" s="136">
        <f t="shared" si="50"/>
        <v>2.2000000000000002</v>
      </c>
      <c r="S131" s="136">
        <f t="shared" si="50"/>
        <v>2.2000000000000002</v>
      </c>
      <c r="T131" s="136">
        <f t="shared" ref="T131:AF138" si="51">S131</f>
        <v>2.2000000000000002</v>
      </c>
      <c r="U131" s="136">
        <f t="shared" si="51"/>
        <v>2.2000000000000002</v>
      </c>
      <c r="V131" s="136">
        <f t="shared" si="51"/>
        <v>2.2000000000000002</v>
      </c>
      <c r="W131" s="136">
        <f t="shared" si="51"/>
        <v>2.2000000000000002</v>
      </c>
      <c r="X131" s="136">
        <f t="shared" si="51"/>
        <v>2.2000000000000002</v>
      </c>
      <c r="Y131" s="136">
        <f t="shared" si="51"/>
        <v>2.2000000000000002</v>
      </c>
      <c r="Z131" s="136">
        <f t="shared" si="51"/>
        <v>2.2000000000000002</v>
      </c>
      <c r="AA131" s="136">
        <f t="shared" si="51"/>
        <v>2.2000000000000002</v>
      </c>
      <c r="AB131" s="136">
        <f t="shared" si="51"/>
        <v>2.2000000000000002</v>
      </c>
      <c r="AC131" s="136">
        <f t="shared" si="51"/>
        <v>2.2000000000000002</v>
      </c>
      <c r="AD131" s="136">
        <f t="shared" si="51"/>
        <v>2.2000000000000002</v>
      </c>
      <c r="AE131" s="136">
        <f t="shared" si="51"/>
        <v>2.2000000000000002</v>
      </c>
      <c r="AF131" s="136">
        <f t="shared" si="51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49"/>
        <v>2</v>
      </c>
      <c r="C132" s="137">
        <v>2</v>
      </c>
      <c r="D132" s="136">
        <f t="shared" si="50"/>
        <v>2</v>
      </c>
      <c r="E132" s="136">
        <f t="shared" si="50"/>
        <v>2</v>
      </c>
      <c r="F132" s="136">
        <f t="shared" si="50"/>
        <v>2</v>
      </c>
      <c r="G132" s="136">
        <f t="shared" si="50"/>
        <v>2</v>
      </c>
      <c r="H132" s="136">
        <f t="shared" si="50"/>
        <v>2</v>
      </c>
      <c r="I132" s="136">
        <f t="shared" si="50"/>
        <v>2</v>
      </c>
      <c r="J132" s="136">
        <f t="shared" si="50"/>
        <v>2</v>
      </c>
      <c r="K132" s="136">
        <f t="shared" si="50"/>
        <v>2</v>
      </c>
      <c r="L132" s="136">
        <f t="shared" si="50"/>
        <v>2</v>
      </c>
      <c r="M132" s="136">
        <f t="shared" si="50"/>
        <v>2</v>
      </c>
      <c r="N132" s="136">
        <f t="shared" si="50"/>
        <v>2</v>
      </c>
      <c r="O132" s="136">
        <f t="shared" si="50"/>
        <v>2</v>
      </c>
      <c r="P132" s="136">
        <f t="shared" si="50"/>
        <v>2</v>
      </c>
      <c r="Q132" s="136">
        <f t="shared" si="50"/>
        <v>2</v>
      </c>
      <c r="R132" s="136">
        <f t="shared" si="50"/>
        <v>2</v>
      </c>
      <c r="S132" s="136">
        <f t="shared" si="50"/>
        <v>2</v>
      </c>
      <c r="T132" s="136">
        <f t="shared" si="51"/>
        <v>2</v>
      </c>
      <c r="U132" s="136">
        <f t="shared" si="51"/>
        <v>2</v>
      </c>
      <c r="V132" s="136">
        <f t="shared" si="51"/>
        <v>2</v>
      </c>
      <c r="W132" s="136">
        <f t="shared" si="51"/>
        <v>2</v>
      </c>
      <c r="X132" s="136">
        <f t="shared" si="51"/>
        <v>2</v>
      </c>
      <c r="Y132" s="136">
        <f t="shared" si="51"/>
        <v>2</v>
      </c>
      <c r="Z132" s="136">
        <f t="shared" si="51"/>
        <v>2</v>
      </c>
      <c r="AA132" s="136">
        <f t="shared" si="51"/>
        <v>2</v>
      </c>
      <c r="AB132" s="136">
        <f t="shared" si="51"/>
        <v>2</v>
      </c>
      <c r="AC132" s="136">
        <f t="shared" si="51"/>
        <v>2</v>
      </c>
      <c r="AD132" s="136">
        <f t="shared" si="51"/>
        <v>2</v>
      </c>
      <c r="AE132" s="136">
        <f t="shared" si="51"/>
        <v>2</v>
      </c>
      <c r="AF132" s="136">
        <f t="shared" si="51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49"/>
        <v>1.25</v>
      </c>
      <c r="C133" s="137">
        <v>1.25</v>
      </c>
      <c r="D133" s="136">
        <f t="shared" si="50"/>
        <v>1.25</v>
      </c>
      <c r="E133" s="136">
        <f t="shared" si="50"/>
        <v>1.25</v>
      </c>
      <c r="F133" s="136">
        <f t="shared" si="50"/>
        <v>1.25</v>
      </c>
      <c r="G133" s="136">
        <f t="shared" si="50"/>
        <v>1.25</v>
      </c>
      <c r="H133" s="136">
        <f t="shared" si="50"/>
        <v>1.25</v>
      </c>
      <c r="I133" s="136">
        <f t="shared" si="50"/>
        <v>1.25</v>
      </c>
      <c r="J133" s="136">
        <f t="shared" si="50"/>
        <v>1.25</v>
      </c>
      <c r="K133" s="136">
        <f t="shared" si="50"/>
        <v>1.25</v>
      </c>
      <c r="L133" s="136">
        <f t="shared" si="50"/>
        <v>1.25</v>
      </c>
      <c r="M133" s="136">
        <f t="shared" si="50"/>
        <v>1.25</v>
      </c>
      <c r="N133" s="136">
        <f t="shared" si="50"/>
        <v>1.25</v>
      </c>
      <c r="O133" s="136">
        <f t="shared" si="50"/>
        <v>1.25</v>
      </c>
      <c r="P133" s="136">
        <f t="shared" si="50"/>
        <v>1.25</v>
      </c>
      <c r="Q133" s="136">
        <f t="shared" si="50"/>
        <v>1.25</v>
      </c>
      <c r="R133" s="136">
        <f t="shared" si="50"/>
        <v>1.25</v>
      </c>
      <c r="S133" s="136">
        <f t="shared" si="50"/>
        <v>1.25</v>
      </c>
      <c r="T133" s="136">
        <f t="shared" si="51"/>
        <v>1.25</v>
      </c>
      <c r="U133" s="136">
        <f t="shared" si="51"/>
        <v>1.25</v>
      </c>
      <c r="V133" s="136">
        <f t="shared" si="51"/>
        <v>1.25</v>
      </c>
      <c r="W133" s="136">
        <f t="shared" si="51"/>
        <v>1.25</v>
      </c>
      <c r="X133" s="136">
        <f t="shared" si="51"/>
        <v>1.25</v>
      </c>
      <c r="Y133" s="136">
        <f t="shared" si="51"/>
        <v>1.25</v>
      </c>
      <c r="Z133" s="136">
        <f t="shared" si="51"/>
        <v>1.25</v>
      </c>
      <c r="AA133" s="136">
        <f t="shared" si="51"/>
        <v>1.25</v>
      </c>
      <c r="AB133" s="136">
        <f t="shared" si="51"/>
        <v>1.25</v>
      </c>
      <c r="AC133" s="136">
        <f t="shared" si="51"/>
        <v>1.25</v>
      </c>
      <c r="AD133" s="136">
        <f t="shared" si="51"/>
        <v>1.25</v>
      </c>
      <c r="AE133" s="136">
        <f t="shared" si="51"/>
        <v>1.25</v>
      </c>
      <c r="AF133" s="136">
        <f t="shared" si="51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49"/>
        <v>1.1499999999999999</v>
      </c>
      <c r="C134" s="137">
        <v>1.1499999999999999</v>
      </c>
      <c r="D134" s="136">
        <f t="shared" si="50"/>
        <v>1.1499999999999999</v>
      </c>
      <c r="E134" s="136">
        <f t="shared" si="50"/>
        <v>1.1499999999999999</v>
      </c>
      <c r="F134" s="136">
        <f t="shared" si="50"/>
        <v>1.1499999999999999</v>
      </c>
      <c r="G134" s="136">
        <f t="shared" si="50"/>
        <v>1.1499999999999999</v>
      </c>
      <c r="H134" s="136">
        <f t="shared" si="50"/>
        <v>1.1499999999999999</v>
      </c>
      <c r="I134" s="136">
        <f t="shared" si="50"/>
        <v>1.1499999999999999</v>
      </c>
      <c r="J134" s="136">
        <f t="shared" si="50"/>
        <v>1.1499999999999999</v>
      </c>
      <c r="K134" s="136">
        <f t="shared" si="50"/>
        <v>1.1499999999999999</v>
      </c>
      <c r="L134" s="136">
        <f t="shared" si="50"/>
        <v>1.1499999999999999</v>
      </c>
      <c r="M134" s="136">
        <f t="shared" si="50"/>
        <v>1.1499999999999999</v>
      </c>
      <c r="N134" s="136">
        <f t="shared" si="50"/>
        <v>1.1499999999999999</v>
      </c>
      <c r="O134" s="136">
        <f t="shared" si="50"/>
        <v>1.1499999999999999</v>
      </c>
      <c r="P134" s="136">
        <f t="shared" si="50"/>
        <v>1.1499999999999999</v>
      </c>
      <c r="Q134" s="136">
        <f t="shared" si="50"/>
        <v>1.1499999999999999</v>
      </c>
      <c r="R134" s="136">
        <f t="shared" si="50"/>
        <v>1.1499999999999999</v>
      </c>
      <c r="S134" s="136">
        <f t="shared" si="50"/>
        <v>1.1499999999999999</v>
      </c>
      <c r="T134" s="136">
        <f t="shared" si="51"/>
        <v>1.1499999999999999</v>
      </c>
      <c r="U134" s="136">
        <f t="shared" si="51"/>
        <v>1.1499999999999999</v>
      </c>
      <c r="V134" s="136">
        <f t="shared" si="51"/>
        <v>1.1499999999999999</v>
      </c>
      <c r="W134" s="136">
        <f t="shared" si="51"/>
        <v>1.1499999999999999</v>
      </c>
      <c r="X134" s="136">
        <f t="shared" si="51"/>
        <v>1.1499999999999999</v>
      </c>
      <c r="Y134" s="136">
        <f t="shared" si="51"/>
        <v>1.1499999999999999</v>
      </c>
      <c r="Z134" s="136">
        <f t="shared" si="51"/>
        <v>1.1499999999999999</v>
      </c>
      <c r="AA134" s="136">
        <f t="shared" si="51"/>
        <v>1.1499999999999999</v>
      </c>
      <c r="AB134" s="136">
        <f t="shared" si="51"/>
        <v>1.1499999999999999</v>
      </c>
      <c r="AC134" s="136">
        <f t="shared" si="51"/>
        <v>1.1499999999999999</v>
      </c>
      <c r="AD134" s="136">
        <f t="shared" si="51"/>
        <v>1.1499999999999999</v>
      </c>
      <c r="AE134" s="136">
        <f t="shared" si="51"/>
        <v>1.1499999999999999</v>
      </c>
      <c r="AF134" s="136">
        <f t="shared" si="51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49"/>
        <v>2.133</v>
      </c>
      <c r="C135" s="137">
        <v>2.133</v>
      </c>
      <c r="D135" s="136">
        <f t="shared" si="50"/>
        <v>2.133</v>
      </c>
      <c r="E135" s="136">
        <f t="shared" si="50"/>
        <v>2.133</v>
      </c>
      <c r="F135" s="136">
        <f t="shared" si="50"/>
        <v>2.133</v>
      </c>
      <c r="G135" s="136">
        <f t="shared" si="50"/>
        <v>2.133</v>
      </c>
      <c r="H135" s="136">
        <f t="shared" si="50"/>
        <v>2.133</v>
      </c>
      <c r="I135" s="136">
        <f t="shared" si="50"/>
        <v>2.133</v>
      </c>
      <c r="J135" s="136">
        <f t="shared" si="50"/>
        <v>2.133</v>
      </c>
      <c r="K135" s="136">
        <f t="shared" si="50"/>
        <v>2.133</v>
      </c>
      <c r="L135" s="136">
        <f t="shared" si="50"/>
        <v>2.133</v>
      </c>
      <c r="M135" s="136">
        <f t="shared" si="50"/>
        <v>2.133</v>
      </c>
      <c r="N135" s="136">
        <f t="shared" si="50"/>
        <v>2.133</v>
      </c>
      <c r="O135" s="136">
        <f t="shared" si="50"/>
        <v>2.133</v>
      </c>
      <c r="P135" s="136">
        <f t="shared" si="50"/>
        <v>2.133</v>
      </c>
      <c r="Q135" s="136">
        <f t="shared" si="50"/>
        <v>2.133</v>
      </c>
      <c r="R135" s="136">
        <f t="shared" si="50"/>
        <v>2.133</v>
      </c>
      <c r="S135" s="136">
        <f t="shared" si="50"/>
        <v>2.133</v>
      </c>
      <c r="T135" s="136">
        <f t="shared" si="51"/>
        <v>2.133</v>
      </c>
      <c r="U135" s="136">
        <f t="shared" si="51"/>
        <v>2.133</v>
      </c>
      <c r="V135" s="136">
        <f t="shared" si="51"/>
        <v>2.133</v>
      </c>
      <c r="W135" s="136">
        <f t="shared" si="51"/>
        <v>2.133</v>
      </c>
      <c r="X135" s="136">
        <f t="shared" si="51"/>
        <v>2.133</v>
      </c>
      <c r="Y135" s="136">
        <f t="shared" si="51"/>
        <v>2.133</v>
      </c>
      <c r="Z135" s="136">
        <f t="shared" si="51"/>
        <v>2.133</v>
      </c>
      <c r="AA135" s="136">
        <f t="shared" si="51"/>
        <v>2.133</v>
      </c>
      <c r="AB135" s="136">
        <f t="shared" si="51"/>
        <v>2.133</v>
      </c>
      <c r="AC135" s="136">
        <f t="shared" si="51"/>
        <v>2.133</v>
      </c>
      <c r="AD135" s="136">
        <f t="shared" si="51"/>
        <v>2.133</v>
      </c>
      <c r="AE135" s="136">
        <f t="shared" si="51"/>
        <v>2.133</v>
      </c>
      <c r="AF135" s="136">
        <f t="shared" si="51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49"/>
        <v>2.09</v>
      </c>
      <c r="C136" s="137">
        <v>2.09</v>
      </c>
      <c r="D136" s="136">
        <f t="shared" si="50"/>
        <v>2.09</v>
      </c>
      <c r="E136" s="136">
        <f t="shared" si="50"/>
        <v>2.09</v>
      </c>
      <c r="F136" s="136">
        <f t="shared" si="50"/>
        <v>2.09</v>
      </c>
      <c r="G136" s="136">
        <f t="shared" si="50"/>
        <v>2.09</v>
      </c>
      <c r="H136" s="136">
        <f t="shared" si="50"/>
        <v>2.09</v>
      </c>
      <c r="I136" s="136">
        <f t="shared" si="50"/>
        <v>2.09</v>
      </c>
      <c r="J136" s="136">
        <f t="shared" si="50"/>
        <v>2.09</v>
      </c>
      <c r="K136" s="136">
        <f t="shared" si="50"/>
        <v>2.09</v>
      </c>
      <c r="L136" s="136">
        <f t="shared" si="50"/>
        <v>2.09</v>
      </c>
      <c r="M136" s="136">
        <f t="shared" si="50"/>
        <v>2.09</v>
      </c>
      <c r="N136" s="136">
        <f t="shared" si="50"/>
        <v>2.09</v>
      </c>
      <c r="O136" s="136">
        <f t="shared" si="50"/>
        <v>2.09</v>
      </c>
      <c r="P136" s="136">
        <f t="shared" si="50"/>
        <v>2.09</v>
      </c>
      <c r="Q136" s="136">
        <f t="shared" si="50"/>
        <v>2.09</v>
      </c>
      <c r="R136" s="136">
        <f t="shared" si="50"/>
        <v>2.09</v>
      </c>
      <c r="S136" s="136">
        <f t="shared" si="50"/>
        <v>2.09</v>
      </c>
      <c r="T136" s="136">
        <f t="shared" si="51"/>
        <v>2.09</v>
      </c>
      <c r="U136" s="136">
        <f t="shared" si="51"/>
        <v>2.09</v>
      </c>
      <c r="V136" s="136">
        <f t="shared" si="51"/>
        <v>2.09</v>
      </c>
      <c r="W136" s="136">
        <f t="shared" si="51"/>
        <v>2.09</v>
      </c>
      <c r="X136" s="136">
        <f t="shared" si="51"/>
        <v>2.09</v>
      </c>
      <c r="Y136" s="136">
        <f t="shared" si="51"/>
        <v>2.09</v>
      </c>
      <c r="Z136" s="136">
        <f t="shared" si="51"/>
        <v>2.09</v>
      </c>
      <c r="AA136" s="136">
        <f t="shared" si="51"/>
        <v>2.09</v>
      </c>
      <c r="AB136" s="136">
        <f t="shared" si="51"/>
        <v>2.09</v>
      </c>
      <c r="AC136" s="136">
        <f t="shared" si="51"/>
        <v>2.09</v>
      </c>
      <c r="AD136" s="136">
        <f t="shared" si="51"/>
        <v>2.09</v>
      </c>
      <c r="AE136" s="136">
        <f t="shared" si="51"/>
        <v>2.09</v>
      </c>
      <c r="AF136" s="136">
        <f t="shared" si="51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49"/>
        <v>1.1399999999999999</v>
      </c>
      <c r="C137" s="137">
        <v>1.1399999999999999</v>
      </c>
      <c r="D137" s="136">
        <f t="shared" si="50"/>
        <v>1.1399999999999999</v>
      </c>
      <c r="E137" s="136">
        <f t="shared" si="50"/>
        <v>1.1399999999999999</v>
      </c>
      <c r="F137" s="136">
        <f t="shared" si="50"/>
        <v>1.1399999999999999</v>
      </c>
      <c r="G137" s="136">
        <f t="shared" si="50"/>
        <v>1.1399999999999999</v>
      </c>
      <c r="H137" s="136">
        <f t="shared" si="50"/>
        <v>1.1399999999999999</v>
      </c>
      <c r="I137" s="136">
        <f t="shared" si="50"/>
        <v>1.1399999999999999</v>
      </c>
      <c r="J137" s="136">
        <f t="shared" si="50"/>
        <v>1.1399999999999999</v>
      </c>
      <c r="K137" s="136">
        <f t="shared" si="50"/>
        <v>1.1399999999999999</v>
      </c>
      <c r="L137" s="136">
        <f t="shared" si="50"/>
        <v>1.1399999999999999</v>
      </c>
      <c r="M137" s="136">
        <f t="shared" si="50"/>
        <v>1.1399999999999999</v>
      </c>
      <c r="N137" s="136">
        <f t="shared" si="50"/>
        <v>1.1399999999999999</v>
      </c>
      <c r="O137" s="136">
        <f t="shared" si="50"/>
        <v>1.1399999999999999</v>
      </c>
      <c r="P137" s="136">
        <f t="shared" si="50"/>
        <v>1.1399999999999999</v>
      </c>
      <c r="Q137" s="136">
        <f t="shared" si="50"/>
        <v>1.1399999999999999</v>
      </c>
      <c r="R137" s="136">
        <f t="shared" si="50"/>
        <v>1.1399999999999999</v>
      </c>
      <c r="S137" s="136">
        <f t="shared" si="50"/>
        <v>1.1399999999999999</v>
      </c>
      <c r="T137" s="136">
        <f t="shared" si="51"/>
        <v>1.1399999999999999</v>
      </c>
      <c r="U137" s="136">
        <f t="shared" si="51"/>
        <v>1.1399999999999999</v>
      </c>
      <c r="V137" s="136">
        <f t="shared" si="51"/>
        <v>1.1399999999999999</v>
      </c>
      <c r="W137" s="136">
        <f t="shared" si="51"/>
        <v>1.1399999999999999</v>
      </c>
      <c r="X137" s="136">
        <f t="shared" si="51"/>
        <v>1.1399999999999999</v>
      </c>
      <c r="Y137" s="136">
        <f t="shared" si="51"/>
        <v>1.1399999999999999</v>
      </c>
      <c r="Z137" s="136">
        <f t="shared" si="51"/>
        <v>1.1399999999999999</v>
      </c>
      <c r="AA137" s="136">
        <f t="shared" si="51"/>
        <v>1.1399999999999999</v>
      </c>
      <c r="AB137" s="136">
        <f t="shared" si="51"/>
        <v>1.1399999999999999</v>
      </c>
      <c r="AC137" s="136">
        <f t="shared" si="51"/>
        <v>1.1399999999999999</v>
      </c>
      <c r="AD137" s="136">
        <f t="shared" si="51"/>
        <v>1.1399999999999999</v>
      </c>
      <c r="AE137" s="136">
        <f t="shared" si="51"/>
        <v>1.1399999999999999</v>
      </c>
      <c r="AF137" s="136">
        <f t="shared" si="51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49"/>
        <v>0.82</v>
      </c>
      <c r="C138" s="137">
        <v>0.82</v>
      </c>
      <c r="D138" s="136">
        <f t="shared" si="50"/>
        <v>0.82</v>
      </c>
      <c r="E138" s="136">
        <f t="shared" si="50"/>
        <v>0.82</v>
      </c>
      <c r="F138" s="136">
        <f t="shared" si="50"/>
        <v>0.82</v>
      </c>
      <c r="G138" s="136">
        <f t="shared" si="50"/>
        <v>0.82</v>
      </c>
      <c r="H138" s="136">
        <f t="shared" si="50"/>
        <v>0.82</v>
      </c>
      <c r="I138" s="136">
        <f t="shared" si="50"/>
        <v>0.82</v>
      </c>
      <c r="J138" s="136">
        <f t="shared" si="50"/>
        <v>0.82</v>
      </c>
      <c r="K138" s="136">
        <f t="shared" si="50"/>
        <v>0.82</v>
      </c>
      <c r="L138" s="136">
        <f t="shared" si="50"/>
        <v>0.82</v>
      </c>
      <c r="M138" s="136">
        <f t="shared" si="50"/>
        <v>0.82</v>
      </c>
      <c r="N138" s="136">
        <f t="shared" si="50"/>
        <v>0.82</v>
      </c>
      <c r="O138" s="136">
        <f t="shared" si="50"/>
        <v>0.82</v>
      </c>
      <c r="P138" s="136">
        <f t="shared" si="50"/>
        <v>0.82</v>
      </c>
      <c r="Q138" s="136">
        <f t="shared" si="50"/>
        <v>0.82</v>
      </c>
      <c r="R138" s="136">
        <f t="shared" si="50"/>
        <v>0.82</v>
      </c>
      <c r="S138" s="136">
        <f t="shared" si="50"/>
        <v>0.82</v>
      </c>
      <c r="T138" s="136">
        <f t="shared" si="51"/>
        <v>0.82</v>
      </c>
      <c r="U138" s="136">
        <f t="shared" si="51"/>
        <v>0.82</v>
      </c>
      <c r="V138" s="136">
        <f t="shared" si="51"/>
        <v>0.82</v>
      </c>
      <c r="W138" s="136">
        <f t="shared" si="51"/>
        <v>0.82</v>
      </c>
      <c r="X138" s="136">
        <f t="shared" si="51"/>
        <v>0.82</v>
      </c>
      <c r="Y138" s="136">
        <f t="shared" si="51"/>
        <v>0.82</v>
      </c>
      <c r="Z138" s="136">
        <f t="shared" si="51"/>
        <v>0.82</v>
      </c>
      <c r="AA138" s="136">
        <f t="shared" si="51"/>
        <v>0.82</v>
      </c>
      <c r="AB138" s="136">
        <f t="shared" si="51"/>
        <v>0.82</v>
      </c>
      <c r="AC138" s="136">
        <f t="shared" si="51"/>
        <v>0.82</v>
      </c>
      <c r="AD138" s="136">
        <f t="shared" si="51"/>
        <v>0.82</v>
      </c>
      <c r="AE138" s="136">
        <f t="shared" si="51"/>
        <v>0.82</v>
      </c>
      <c r="AF138" s="136">
        <f t="shared" si="51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52">AF140</f>
        <v>2</v>
      </c>
      <c r="C140" s="137">
        <v>2</v>
      </c>
      <c r="D140" s="136">
        <f t="shared" ref="D140:S146" si="53">C140</f>
        <v>2</v>
      </c>
      <c r="E140" s="136">
        <f t="shared" si="53"/>
        <v>2</v>
      </c>
      <c r="F140" s="136">
        <f t="shared" si="53"/>
        <v>2</v>
      </c>
      <c r="G140" s="136">
        <f t="shared" si="53"/>
        <v>2</v>
      </c>
      <c r="H140" s="136">
        <f t="shared" si="53"/>
        <v>2</v>
      </c>
      <c r="I140" s="136">
        <f t="shared" si="53"/>
        <v>2</v>
      </c>
      <c r="J140" s="136">
        <f t="shared" si="53"/>
        <v>2</v>
      </c>
      <c r="K140" s="136">
        <f t="shared" si="53"/>
        <v>2</v>
      </c>
      <c r="L140" s="136">
        <f t="shared" si="53"/>
        <v>2</v>
      </c>
      <c r="M140" s="136">
        <f t="shared" si="53"/>
        <v>2</v>
      </c>
      <c r="N140" s="136">
        <f t="shared" si="53"/>
        <v>2</v>
      </c>
      <c r="O140" s="136">
        <f t="shared" si="53"/>
        <v>2</v>
      </c>
      <c r="P140" s="136">
        <f t="shared" si="53"/>
        <v>2</v>
      </c>
      <c r="Q140" s="136">
        <f t="shared" si="53"/>
        <v>2</v>
      </c>
      <c r="R140" s="136">
        <f t="shared" si="53"/>
        <v>2</v>
      </c>
      <c r="S140" s="136">
        <f t="shared" si="53"/>
        <v>2</v>
      </c>
      <c r="T140" s="136">
        <f t="shared" ref="T140:AF146" si="54">S140</f>
        <v>2</v>
      </c>
      <c r="U140" s="136">
        <f t="shared" si="54"/>
        <v>2</v>
      </c>
      <c r="V140" s="136">
        <f t="shared" si="54"/>
        <v>2</v>
      </c>
      <c r="W140" s="136">
        <f t="shared" si="54"/>
        <v>2</v>
      </c>
      <c r="X140" s="136">
        <f t="shared" si="54"/>
        <v>2</v>
      </c>
      <c r="Y140" s="136">
        <f t="shared" si="54"/>
        <v>2</v>
      </c>
      <c r="Z140" s="136">
        <f t="shared" si="54"/>
        <v>2</v>
      </c>
      <c r="AA140" s="136">
        <f t="shared" si="54"/>
        <v>2</v>
      </c>
      <c r="AB140" s="136">
        <f t="shared" si="54"/>
        <v>2</v>
      </c>
      <c r="AC140" s="136">
        <f t="shared" si="54"/>
        <v>2</v>
      </c>
      <c r="AD140" s="136">
        <f t="shared" si="54"/>
        <v>2</v>
      </c>
      <c r="AE140" s="136">
        <f t="shared" si="54"/>
        <v>2</v>
      </c>
      <c r="AF140" s="136">
        <f t="shared" si="54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52"/>
        <v>5.61</v>
      </c>
      <c r="C141" s="137">
        <v>5.61</v>
      </c>
      <c r="D141" s="136">
        <f t="shared" si="53"/>
        <v>5.61</v>
      </c>
      <c r="E141" s="136">
        <f t="shared" si="53"/>
        <v>5.61</v>
      </c>
      <c r="F141" s="136">
        <f t="shared" si="53"/>
        <v>5.61</v>
      </c>
      <c r="G141" s="136">
        <f t="shared" si="53"/>
        <v>5.61</v>
      </c>
      <c r="H141" s="136">
        <f t="shared" si="53"/>
        <v>5.61</v>
      </c>
      <c r="I141" s="136">
        <f t="shared" si="53"/>
        <v>5.61</v>
      </c>
      <c r="J141" s="136">
        <f t="shared" si="53"/>
        <v>5.61</v>
      </c>
      <c r="K141" s="136">
        <f t="shared" si="53"/>
        <v>5.61</v>
      </c>
      <c r="L141" s="136">
        <f t="shared" si="53"/>
        <v>5.61</v>
      </c>
      <c r="M141" s="136">
        <f t="shared" si="53"/>
        <v>5.61</v>
      </c>
      <c r="N141" s="136">
        <f t="shared" si="53"/>
        <v>5.61</v>
      </c>
      <c r="O141" s="136">
        <f t="shared" si="53"/>
        <v>5.61</v>
      </c>
      <c r="P141" s="136">
        <f t="shared" si="53"/>
        <v>5.61</v>
      </c>
      <c r="Q141" s="136">
        <f t="shared" si="53"/>
        <v>5.61</v>
      </c>
      <c r="R141" s="136">
        <f t="shared" si="53"/>
        <v>5.61</v>
      </c>
      <c r="S141" s="136">
        <f t="shared" si="53"/>
        <v>5.61</v>
      </c>
      <c r="T141" s="136">
        <f t="shared" si="54"/>
        <v>5.61</v>
      </c>
      <c r="U141" s="136">
        <f t="shared" si="54"/>
        <v>5.61</v>
      </c>
      <c r="V141" s="136">
        <f t="shared" si="54"/>
        <v>5.61</v>
      </c>
      <c r="W141" s="136">
        <f t="shared" si="54"/>
        <v>5.61</v>
      </c>
      <c r="X141" s="136">
        <f t="shared" si="54"/>
        <v>5.61</v>
      </c>
      <c r="Y141" s="136">
        <f t="shared" si="54"/>
        <v>5.61</v>
      </c>
      <c r="Z141" s="136">
        <f t="shared" si="54"/>
        <v>5.61</v>
      </c>
      <c r="AA141" s="136">
        <f t="shared" si="54"/>
        <v>5.61</v>
      </c>
      <c r="AB141" s="136">
        <f t="shared" si="54"/>
        <v>5.61</v>
      </c>
      <c r="AC141" s="136">
        <f t="shared" si="54"/>
        <v>5.61</v>
      </c>
      <c r="AD141" s="136">
        <f t="shared" si="54"/>
        <v>5.61</v>
      </c>
      <c r="AE141" s="136">
        <f t="shared" si="54"/>
        <v>5.61</v>
      </c>
      <c r="AF141" s="136">
        <f t="shared" si="54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52"/>
        <v>1.25</v>
      </c>
      <c r="C142" s="137">
        <v>1.25</v>
      </c>
      <c r="D142" s="136">
        <f t="shared" si="53"/>
        <v>1.25</v>
      </c>
      <c r="E142" s="136">
        <f t="shared" si="53"/>
        <v>1.25</v>
      </c>
      <c r="F142" s="136">
        <f t="shared" si="53"/>
        <v>1.25</v>
      </c>
      <c r="G142" s="136">
        <f t="shared" si="53"/>
        <v>1.25</v>
      </c>
      <c r="H142" s="136">
        <f t="shared" si="53"/>
        <v>1.25</v>
      </c>
      <c r="I142" s="136">
        <f t="shared" si="53"/>
        <v>1.25</v>
      </c>
      <c r="J142" s="136">
        <f t="shared" si="53"/>
        <v>1.25</v>
      </c>
      <c r="K142" s="136">
        <f t="shared" si="53"/>
        <v>1.25</v>
      </c>
      <c r="L142" s="136">
        <f t="shared" si="53"/>
        <v>1.25</v>
      </c>
      <c r="M142" s="136">
        <f t="shared" si="53"/>
        <v>1.25</v>
      </c>
      <c r="N142" s="136">
        <f t="shared" si="53"/>
        <v>1.25</v>
      </c>
      <c r="O142" s="136">
        <f t="shared" si="53"/>
        <v>1.25</v>
      </c>
      <c r="P142" s="136">
        <f t="shared" si="53"/>
        <v>1.25</v>
      </c>
      <c r="Q142" s="136">
        <f t="shared" si="53"/>
        <v>1.25</v>
      </c>
      <c r="R142" s="136">
        <f t="shared" si="53"/>
        <v>1.25</v>
      </c>
      <c r="S142" s="136">
        <f t="shared" si="53"/>
        <v>1.25</v>
      </c>
      <c r="T142" s="136">
        <f t="shared" si="54"/>
        <v>1.25</v>
      </c>
      <c r="U142" s="136">
        <f t="shared" si="54"/>
        <v>1.25</v>
      </c>
      <c r="V142" s="136">
        <f t="shared" si="54"/>
        <v>1.25</v>
      </c>
      <c r="W142" s="136">
        <f t="shared" si="54"/>
        <v>1.25</v>
      </c>
      <c r="X142" s="136">
        <f t="shared" si="54"/>
        <v>1.25</v>
      </c>
      <c r="Y142" s="136">
        <f t="shared" si="54"/>
        <v>1.25</v>
      </c>
      <c r="Z142" s="136">
        <f t="shared" si="54"/>
        <v>1.25</v>
      </c>
      <c r="AA142" s="136">
        <f t="shared" si="54"/>
        <v>1.25</v>
      </c>
      <c r="AB142" s="136">
        <f t="shared" si="54"/>
        <v>1.25</v>
      </c>
      <c r="AC142" s="136">
        <f t="shared" si="54"/>
        <v>1.25</v>
      </c>
      <c r="AD142" s="136">
        <f t="shared" si="54"/>
        <v>1.25</v>
      </c>
      <c r="AE142" s="136">
        <f t="shared" si="54"/>
        <v>1.25</v>
      </c>
      <c r="AF142" s="136">
        <f t="shared" si="54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52"/>
        <v>1.25</v>
      </c>
      <c r="C143" s="137">
        <v>1.25</v>
      </c>
      <c r="D143" s="136">
        <f t="shared" si="53"/>
        <v>1.25</v>
      </c>
      <c r="E143" s="136">
        <f t="shared" si="53"/>
        <v>1.25</v>
      </c>
      <c r="F143" s="136">
        <f t="shared" si="53"/>
        <v>1.25</v>
      </c>
      <c r="G143" s="136">
        <f t="shared" si="53"/>
        <v>1.25</v>
      </c>
      <c r="H143" s="136">
        <f t="shared" si="53"/>
        <v>1.25</v>
      </c>
      <c r="I143" s="136">
        <f t="shared" si="53"/>
        <v>1.25</v>
      </c>
      <c r="J143" s="136">
        <f t="shared" si="53"/>
        <v>1.25</v>
      </c>
      <c r="K143" s="136">
        <f t="shared" si="53"/>
        <v>1.25</v>
      </c>
      <c r="L143" s="136">
        <f t="shared" si="53"/>
        <v>1.25</v>
      </c>
      <c r="M143" s="136">
        <f t="shared" si="53"/>
        <v>1.25</v>
      </c>
      <c r="N143" s="136">
        <f t="shared" si="53"/>
        <v>1.25</v>
      </c>
      <c r="O143" s="136">
        <f t="shared" si="53"/>
        <v>1.25</v>
      </c>
      <c r="P143" s="136">
        <f t="shared" si="53"/>
        <v>1.25</v>
      </c>
      <c r="Q143" s="136">
        <f t="shared" si="53"/>
        <v>1.25</v>
      </c>
      <c r="R143" s="136">
        <f t="shared" si="53"/>
        <v>1.25</v>
      </c>
      <c r="S143" s="136">
        <f t="shared" si="53"/>
        <v>1.25</v>
      </c>
      <c r="T143" s="136">
        <f t="shared" si="54"/>
        <v>1.25</v>
      </c>
      <c r="U143" s="136">
        <f t="shared" si="54"/>
        <v>1.25</v>
      </c>
      <c r="V143" s="136">
        <f t="shared" si="54"/>
        <v>1.25</v>
      </c>
      <c r="W143" s="136">
        <f t="shared" si="54"/>
        <v>1.25</v>
      </c>
      <c r="X143" s="136">
        <f t="shared" si="54"/>
        <v>1.25</v>
      </c>
      <c r="Y143" s="136">
        <f t="shared" si="54"/>
        <v>1.25</v>
      </c>
      <c r="Z143" s="136">
        <f t="shared" si="54"/>
        <v>1.25</v>
      </c>
      <c r="AA143" s="136">
        <f t="shared" si="54"/>
        <v>1.25</v>
      </c>
      <c r="AB143" s="136">
        <f t="shared" si="54"/>
        <v>1.25</v>
      </c>
      <c r="AC143" s="136">
        <f t="shared" si="54"/>
        <v>1.25</v>
      </c>
      <c r="AD143" s="136">
        <f t="shared" si="54"/>
        <v>1.25</v>
      </c>
      <c r="AE143" s="136">
        <f t="shared" si="54"/>
        <v>1.25</v>
      </c>
      <c r="AF143" s="136">
        <f t="shared" si="54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52"/>
        <v>1.46</v>
      </c>
      <c r="C144" s="137">
        <v>1.46</v>
      </c>
      <c r="D144" s="136">
        <f t="shared" si="53"/>
        <v>1.46</v>
      </c>
      <c r="E144" s="136">
        <f t="shared" si="53"/>
        <v>1.46</v>
      </c>
      <c r="F144" s="136">
        <f t="shared" si="53"/>
        <v>1.46</v>
      </c>
      <c r="G144" s="136">
        <f t="shared" si="53"/>
        <v>1.46</v>
      </c>
      <c r="H144" s="136">
        <f t="shared" si="53"/>
        <v>1.46</v>
      </c>
      <c r="I144" s="136">
        <f t="shared" si="53"/>
        <v>1.46</v>
      </c>
      <c r="J144" s="136">
        <f t="shared" si="53"/>
        <v>1.46</v>
      </c>
      <c r="K144" s="136">
        <f t="shared" si="53"/>
        <v>1.46</v>
      </c>
      <c r="L144" s="136">
        <f t="shared" si="53"/>
        <v>1.46</v>
      </c>
      <c r="M144" s="136">
        <f t="shared" si="53"/>
        <v>1.46</v>
      </c>
      <c r="N144" s="136">
        <f t="shared" si="53"/>
        <v>1.46</v>
      </c>
      <c r="O144" s="136">
        <f t="shared" si="53"/>
        <v>1.46</v>
      </c>
      <c r="P144" s="136">
        <f t="shared" si="53"/>
        <v>1.46</v>
      </c>
      <c r="Q144" s="136">
        <f t="shared" si="53"/>
        <v>1.46</v>
      </c>
      <c r="R144" s="136">
        <f t="shared" si="53"/>
        <v>1.46</v>
      </c>
      <c r="S144" s="136">
        <f t="shared" si="53"/>
        <v>1.46</v>
      </c>
      <c r="T144" s="136">
        <f t="shared" si="54"/>
        <v>1.46</v>
      </c>
      <c r="U144" s="136">
        <f t="shared" si="54"/>
        <v>1.46</v>
      </c>
      <c r="V144" s="136">
        <f t="shared" si="54"/>
        <v>1.46</v>
      </c>
      <c r="W144" s="136">
        <f t="shared" si="54"/>
        <v>1.46</v>
      </c>
      <c r="X144" s="136">
        <f t="shared" si="54"/>
        <v>1.46</v>
      </c>
      <c r="Y144" s="136">
        <f t="shared" si="54"/>
        <v>1.46</v>
      </c>
      <c r="Z144" s="136">
        <f t="shared" si="54"/>
        <v>1.46</v>
      </c>
      <c r="AA144" s="136">
        <f t="shared" si="54"/>
        <v>1.46</v>
      </c>
      <c r="AB144" s="136">
        <f t="shared" si="54"/>
        <v>1.46</v>
      </c>
      <c r="AC144" s="136">
        <f t="shared" si="54"/>
        <v>1.46</v>
      </c>
      <c r="AD144" s="136">
        <f t="shared" si="54"/>
        <v>1.46</v>
      </c>
      <c r="AE144" s="136">
        <f t="shared" si="54"/>
        <v>1.46</v>
      </c>
      <c r="AF144" s="136">
        <f t="shared" si="54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52"/>
        <v>3</v>
      </c>
      <c r="C145" s="137">
        <v>3</v>
      </c>
      <c r="D145" s="136">
        <f t="shared" si="53"/>
        <v>3</v>
      </c>
      <c r="E145" s="136">
        <f t="shared" si="53"/>
        <v>3</v>
      </c>
      <c r="F145" s="136">
        <f t="shared" si="53"/>
        <v>3</v>
      </c>
      <c r="G145" s="136">
        <f t="shared" si="53"/>
        <v>3</v>
      </c>
      <c r="H145" s="136">
        <f t="shared" si="53"/>
        <v>3</v>
      </c>
      <c r="I145" s="136">
        <f t="shared" si="53"/>
        <v>3</v>
      </c>
      <c r="J145" s="136">
        <f t="shared" si="53"/>
        <v>3</v>
      </c>
      <c r="K145" s="136">
        <f t="shared" si="53"/>
        <v>3</v>
      </c>
      <c r="L145" s="136">
        <f t="shared" si="53"/>
        <v>3</v>
      </c>
      <c r="M145" s="136">
        <f t="shared" si="53"/>
        <v>3</v>
      </c>
      <c r="N145" s="136">
        <f t="shared" si="53"/>
        <v>3</v>
      </c>
      <c r="O145" s="136">
        <f t="shared" si="53"/>
        <v>3</v>
      </c>
      <c r="P145" s="136">
        <f t="shared" si="53"/>
        <v>3</v>
      </c>
      <c r="Q145" s="136">
        <f t="shared" si="53"/>
        <v>3</v>
      </c>
      <c r="R145" s="136">
        <f t="shared" si="53"/>
        <v>3</v>
      </c>
      <c r="S145" s="136">
        <f t="shared" si="53"/>
        <v>3</v>
      </c>
      <c r="T145" s="136">
        <f t="shared" si="54"/>
        <v>3</v>
      </c>
      <c r="U145" s="136">
        <f t="shared" si="54"/>
        <v>3</v>
      </c>
      <c r="V145" s="136">
        <f t="shared" si="54"/>
        <v>3</v>
      </c>
      <c r="W145" s="136">
        <f t="shared" si="54"/>
        <v>3</v>
      </c>
      <c r="X145" s="136">
        <f t="shared" si="54"/>
        <v>3</v>
      </c>
      <c r="Y145" s="136">
        <f t="shared" si="54"/>
        <v>3</v>
      </c>
      <c r="Z145" s="136">
        <f t="shared" si="54"/>
        <v>3</v>
      </c>
      <c r="AA145" s="136">
        <f t="shared" si="54"/>
        <v>3</v>
      </c>
      <c r="AB145" s="136">
        <f t="shared" si="54"/>
        <v>3</v>
      </c>
      <c r="AC145" s="136">
        <f t="shared" si="54"/>
        <v>3</v>
      </c>
      <c r="AD145" s="136">
        <f t="shared" si="54"/>
        <v>3</v>
      </c>
      <c r="AE145" s="136">
        <f t="shared" si="54"/>
        <v>3</v>
      </c>
      <c r="AF145" s="136">
        <f t="shared" si="54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52"/>
        <v>3.3</v>
      </c>
      <c r="C146" s="137">
        <v>3.3</v>
      </c>
      <c r="D146" s="136">
        <f t="shared" si="53"/>
        <v>3.3</v>
      </c>
      <c r="E146" s="136">
        <f t="shared" si="53"/>
        <v>3.3</v>
      </c>
      <c r="F146" s="136">
        <f t="shared" si="53"/>
        <v>3.3</v>
      </c>
      <c r="G146" s="136">
        <f t="shared" si="53"/>
        <v>3.3</v>
      </c>
      <c r="H146" s="136">
        <f t="shared" si="53"/>
        <v>3.3</v>
      </c>
      <c r="I146" s="136">
        <f t="shared" si="53"/>
        <v>3.3</v>
      </c>
      <c r="J146" s="136">
        <f t="shared" si="53"/>
        <v>3.3</v>
      </c>
      <c r="K146" s="136">
        <f t="shared" si="53"/>
        <v>3.3</v>
      </c>
      <c r="L146" s="136">
        <f t="shared" si="53"/>
        <v>3.3</v>
      </c>
      <c r="M146" s="136">
        <f t="shared" si="53"/>
        <v>3.3</v>
      </c>
      <c r="N146" s="136">
        <f t="shared" si="53"/>
        <v>3.3</v>
      </c>
      <c r="O146" s="136">
        <f t="shared" si="53"/>
        <v>3.3</v>
      </c>
      <c r="P146" s="136">
        <f t="shared" si="53"/>
        <v>3.3</v>
      </c>
      <c r="Q146" s="136">
        <f t="shared" si="53"/>
        <v>3.3</v>
      </c>
      <c r="R146" s="136">
        <f t="shared" si="53"/>
        <v>3.3</v>
      </c>
      <c r="S146" s="136">
        <f t="shared" si="53"/>
        <v>3.3</v>
      </c>
      <c r="T146" s="136">
        <f t="shared" si="54"/>
        <v>3.3</v>
      </c>
      <c r="U146" s="136">
        <f t="shared" si="54"/>
        <v>3.3</v>
      </c>
      <c r="V146" s="136">
        <f t="shared" si="54"/>
        <v>3.3</v>
      </c>
      <c r="W146" s="136">
        <f t="shared" si="54"/>
        <v>3.3</v>
      </c>
      <c r="X146" s="136">
        <f t="shared" si="54"/>
        <v>3.3</v>
      </c>
      <c r="Y146" s="136">
        <f t="shared" si="54"/>
        <v>3.3</v>
      </c>
      <c r="Z146" s="136">
        <f t="shared" si="54"/>
        <v>3.3</v>
      </c>
      <c r="AA146" s="136">
        <f t="shared" si="54"/>
        <v>3.3</v>
      </c>
      <c r="AB146" s="136">
        <f t="shared" si="54"/>
        <v>3.3</v>
      </c>
      <c r="AC146" s="136">
        <f t="shared" si="54"/>
        <v>3.3</v>
      </c>
      <c r="AD146" s="136">
        <f t="shared" si="54"/>
        <v>3.3</v>
      </c>
      <c r="AE146" s="136">
        <f t="shared" si="54"/>
        <v>3.3</v>
      </c>
      <c r="AF146" s="136">
        <f t="shared" si="54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55">C148</f>
        <v>1.76</v>
      </c>
      <c r="E148" s="136">
        <f t="shared" si="55"/>
        <v>1.76</v>
      </c>
      <c r="F148" s="136">
        <f t="shared" si="55"/>
        <v>1.76</v>
      </c>
      <c r="G148" s="136">
        <f t="shared" si="55"/>
        <v>1.76</v>
      </c>
      <c r="H148" s="136">
        <f t="shared" si="55"/>
        <v>1.76</v>
      </c>
      <c r="I148" s="136">
        <f t="shared" si="55"/>
        <v>1.76</v>
      </c>
      <c r="J148" s="136">
        <f t="shared" si="55"/>
        <v>1.76</v>
      </c>
      <c r="K148" s="136">
        <f t="shared" si="55"/>
        <v>1.76</v>
      </c>
      <c r="L148" s="136">
        <f t="shared" si="55"/>
        <v>1.76</v>
      </c>
      <c r="M148" s="136">
        <f t="shared" si="55"/>
        <v>1.76</v>
      </c>
      <c r="N148" s="136">
        <f t="shared" si="55"/>
        <v>1.76</v>
      </c>
      <c r="O148" s="136">
        <f t="shared" si="55"/>
        <v>1.76</v>
      </c>
      <c r="P148" s="136">
        <f t="shared" si="55"/>
        <v>1.76</v>
      </c>
      <c r="Q148" s="136">
        <f t="shared" si="55"/>
        <v>1.76</v>
      </c>
      <c r="R148" s="136">
        <f t="shared" si="55"/>
        <v>1.76</v>
      </c>
      <c r="S148" s="136">
        <f t="shared" si="55"/>
        <v>1.76</v>
      </c>
      <c r="T148" s="136">
        <f t="shared" ref="T148:AF149" si="56">S148</f>
        <v>1.76</v>
      </c>
      <c r="U148" s="136">
        <f t="shared" si="56"/>
        <v>1.76</v>
      </c>
      <c r="V148" s="136">
        <f t="shared" si="56"/>
        <v>1.76</v>
      </c>
      <c r="W148" s="136">
        <f t="shared" si="56"/>
        <v>1.76</v>
      </c>
      <c r="X148" s="136">
        <f t="shared" si="56"/>
        <v>1.76</v>
      </c>
      <c r="Y148" s="136">
        <f t="shared" si="56"/>
        <v>1.76</v>
      </c>
      <c r="Z148" s="136">
        <f t="shared" si="56"/>
        <v>1.76</v>
      </c>
      <c r="AA148" s="136">
        <f t="shared" si="56"/>
        <v>1.76</v>
      </c>
      <c r="AB148" s="136">
        <f t="shared" si="56"/>
        <v>1.76</v>
      </c>
      <c r="AC148" s="136">
        <f t="shared" si="56"/>
        <v>1.76</v>
      </c>
      <c r="AD148" s="136">
        <f t="shared" si="56"/>
        <v>1.76</v>
      </c>
      <c r="AE148" s="136">
        <f t="shared" si="56"/>
        <v>1.76</v>
      </c>
      <c r="AF148" s="136">
        <f t="shared" si="56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55"/>
        <v>0</v>
      </c>
      <c r="E149" s="136">
        <f t="shared" si="55"/>
        <v>0</v>
      </c>
      <c r="F149" s="136">
        <f t="shared" si="55"/>
        <v>0</v>
      </c>
      <c r="G149" s="136">
        <f t="shared" si="55"/>
        <v>0</v>
      </c>
      <c r="H149" s="136">
        <f t="shared" si="55"/>
        <v>0</v>
      </c>
      <c r="I149" s="136">
        <f t="shared" si="55"/>
        <v>0</v>
      </c>
      <c r="J149" s="136">
        <f t="shared" si="55"/>
        <v>0</v>
      </c>
      <c r="K149" s="136">
        <f t="shared" si="55"/>
        <v>0</v>
      </c>
      <c r="L149" s="136">
        <f t="shared" si="55"/>
        <v>0</v>
      </c>
      <c r="M149" s="136">
        <f t="shared" si="55"/>
        <v>0</v>
      </c>
      <c r="N149" s="136">
        <f t="shared" si="55"/>
        <v>0</v>
      </c>
      <c r="O149" s="136">
        <f t="shared" si="55"/>
        <v>0</v>
      </c>
      <c r="P149" s="136">
        <f t="shared" si="55"/>
        <v>0</v>
      </c>
      <c r="Q149" s="136">
        <f t="shared" si="55"/>
        <v>0</v>
      </c>
      <c r="R149" s="136">
        <f t="shared" si="55"/>
        <v>0</v>
      </c>
      <c r="S149" s="136">
        <f t="shared" si="55"/>
        <v>0</v>
      </c>
      <c r="T149" s="136">
        <f t="shared" si="56"/>
        <v>0</v>
      </c>
      <c r="U149" s="136">
        <f t="shared" si="56"/>
        <v>0</v>
      </c>
      <c r="V149" s="136">
        <f t="shared" si="56"/>
        <v>0</v>
      </c>
      <c r="W149" s="136">
        <f t="shared" si="56"/>
        <v>0</v>
      </c>
      <c r="X149" s="136">
        <f t="shared" si="56"/>
        <v>0</v>
      </c>
      <c r="Y149" s="136">
        <f t="shared" si="56"/>
        <v>0</v>
      </c>
      <c r="Z149" s="136">
        <f t="shared" si="56"/>
        <v>0</v>
      </c>
      <c r="AA149" s="136">
        <f t="shared" si="56"/>
        <v>0</v>
      </c>
      <c r="AB149" s="136">
        <f t="shared" si="56"/>
        <v>0</v>
      </c>
      <c r="AC149" s="136">
        <f t="shared" si="56"/>
        <v>0</v>
      </c>
      <c r="AD149" s="136">
        <f t="shared" si="56"/>
        <v>0</v>
      </c>
      <c r="AE149" s="136">
        <f t="shared" si="56"/>
        <v>0</v>
      </c>
      <c r="AF149" s="136">
        <f t="shared" si="56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57">C151</f>
        <v>0.1</v>
      </c>
      <c r="E151" s="136">
        <f t="shared" si="57"/>
        <v>0.1</v>
      </c>
      <c r="F151" s="136">
        <f t="shared" si="57"/>
        <v>0.1</v>
      </c>
      <c r="G151" s="136">
        <f t="shared" si="57"/>
        <v>0.1</v>
      </c>
      <c r="H151" s="136">
        <f t="shared" si="57"/>
        <v>0.1</v>
      </c>
      <c r="I151" s="136">
        <f t="shared" si="57"/>
        <v>0.1</v>
      </c>
      <c r="J151" s="136">
        <f t="shared" si="57"/>
        <v>0.1</v>
      </c>
      <c r="K151" s="136">
        <f t="shared" si="57"/>
        <v>0.1</v>
      </c>
      <c r="L151" s="136">
        <f t="shared" si="57"/>
        <v>0.1</v>
      </c>
      <c r="M151" s="136">
        <f t="shared" si="57"/>
        <v>0.1</v>
      </c>
      <c r="N151" s="136">
        <f t="shared" si="57"/>
        <v>0.1</v>
      </c>
      <c r="O151" s="136">
        <f t="shared" si="57"/>
        <v>0.1</v>
      </c>
      <c r="P151" s="136">
        <f t="shared" si="57"/>
        <v>0.1</v>
      </c>
      <c r="Q151" s="136">
        <f t="shared" si="57"/>
        <v>0.1</v>
      </c>
      <c r="R151" s="136">
        <f t="shared" si="57"/>
        <v>0.1</v>
      </c>
      <c r="S151" s="136">
        <f t="shared" si="57"/>
        <v>0.1</v>
      </c>
      <c r="T151" s="136">
        <f t="shared" ref="T151:AF154" si="58">S151</f>
        <v>0.1</v>
      </c>
      <c r="U151" s="136">
        <f t="shared" si="58"/>
        <v>0.1</v>
      </c>
      <c r="V151" s="136">
        <f t="shared" si="58"/>
        <v>0.1</v>
      </c>
      <c r="W151" s="136">
        <f t="shared" si="58"/>
        <v>0.1</v>
      </c>
      <c r="X151" s="136">
        <f t="shared" si="58"/>
        <v>0.1</v>
      </c>
      <c r="Y151" s="136">
        <f t="shared" si="58"/>
        <v>0.1</v>
      </c>
      <c r="Z151" s="136">
        <f t="shared" si="58"/>
        <v>0.1</v>
      </c>
      <c r="AA151" s="136">
        <f t="shared" si="58"/>
        <v>0.1</v>
      </c>
      <c r="AB151" s="136">
        <f t="shared" si="58"/>
        <v>0.1</v>
      </c>
      <c r="AC151" s="136">
        <f t="shared" si="58"/>
        <v>0.1</v>
      </c>
      <c r="AD151" s="136">
        <f t="shared" si="58"/>
        <v>0.1</v>
      </c>
      <c r="AE151" s="136">
        <f t="shared" si="58"/>
        <v>0.1</v>
      </c>
      <c r="AF151" s="136">
        <f t="shared" si="58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57"/>
        <v>2.0499999999999998</v>
      </c>
      <c r="E152" s="136">
        <f t="shared" si="57"/>
        <v>2.0499999999999998</v>
      </c>
      <c r="F152" s="136">
        <f t="shared" si="57"/>
        <v>2.0499999999999998</v>
      </c>
      <c r="G152" s="136">
        <f t="shared" si="57"/>
        <v>2.0499999999999998</v>
      </c>
      <c r="H152" s="136">
        <f t="shared" si="57"/>
        <v>2.0499999999999998</v>
      </c>
      <c r="I152" s="136">
        <f t="shared" si="57"/>
        <v>2.0499999999999998</v>
      </c>
      <c r="J152" s="136">
        <f t="shared" si="57"/>
        <v>2.0499999999999998</v>
      </c>
      <c r="K152" s="136">
        <f t="shared" si="57"/>
        <v>2.0499999999999998</v>
      </c>
      <c r="L152" s="136">
        <f t="shared" si="57"/>
        <v>2.0499999999999998</v>
      </c>
      <c r="M152" s="136">
        <f t="shared" si="57"/>
        <v>2.0499999999999998</v>
      </c>
      <c r="N152" s="136">
        <f t="shared" si="57"/>
        <v>2.0499999999999998</v>
      </c>
      <c r="O152" s="136">
        <f t="shared" si="57"/>
        <v>2.0499999999999998</v>
      </c>
      <c r="P152" s="136">
        <f t="shared" si="57"/>
        <v>2.0499999999999998</v>
      </c>
      <c r="Q152" s="136">
        <f t="shared" si="57"/>
        <v>2.0499999999999998</v>
      </c>
      <c r="R152" s="136">
        <f t="shared" si="57"/>
        <v>2.0499999999999998</v>
      </c>
      <c r="S152" s="136">
        <f t="shared" si="57"/>
        <v>2.0499999999999998</v>
      </c>
      <c r="T152" s="136">
        <f t="shared" si="58"/>
        <v>2.0499999999999998</v>
      </c>
      <c r="U152" s="136">
        <f t="shared" si="58"/>
        <v>2.0499999999999998</v>
      </c>
      <c r="V152" s="136">
        <f t="shared" si="58"/>
        <v>2.0499999999999998</v>
      </c>
      <c r="W152" s="136">
        <f t="shared" si="58"/>
        <v>2.0499999999999998</v>
      </c>
      <c r="X152" s="136">
        <f t="shared" si="58"/>
        <v>2.0499999999999998</v>
      </c>
      <c r="Y152" s="136">
        <f t="shared" si="58"/>
        <v>2.0499999999999998</v>
      </c>
      <c r="Z152" s="136">
        <f t="shared" si="58"/>
        <v>2.0499999999999998</v>
      </c>
      <c r="AA152" s="136">
        <f t="shared" si="58"/>
        <v>2.0499999999999998</v>
      </c>
      <c r="AB152" s="136">
        <f t="shared" si="58"/>
        <v>2.0499999999999998</v>
      </c>
      <c r="AC152" s="136">
        <f t="shared" si="58"/>
        <v>2.0499999999999998</v>
      </c>
      <c r="AD152" s="136">
        <f t="shared" si="58"/>
        <v>2.0499999999999998</v>
      </c>
      <c r="AE152" s="136">
        <f t="shared" si="58"/>
        <v>2.0499999999999998</v>
      </c>
      <c r="AF152" s="136">
        <f t="shared" si="58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57"/>
        <v>2.7</v>
      </c>
      <c r="E153" s="136">
        <f t="shared" si="57"/>
        <v>2.7</v>
      </c>
      <c r="F153" s="136">
        <f t="shared" si="57"/>
        <v>2.7</v>
      </c>
      <c r="G153" s="136">
        <f t="shared" si="57"/>
        <v>2.7</v>
      </c>
      <c r="H153" s="136">
        <f t="shared" si="57"/>
        <v>2.7</v>
      </c>
      <c r="I153" s="136">
        <f t="shared" si="57"/>
        <v>2.7</v>
      </c>
      <c r="J153" s="136">
        <f t="shared" si="57"/>
        <v>2.7</v>
      </c>
      <c r="K153" s="136">
        <f t="shared" si="57"/>
        <v>2.7</v>
      </c>
      <c r="L153" s="136">
        <f t="shared" si="57"/>
        <v>2.7</v>
      </c>
      <c r="M153" s="136">
        <f t="shared" si="57"/>
        <v>2.7</v>
      </c>
      <c r="N153" s="136">
        <f t="shared" si="57"/>
        <v>2.7</v>
      </c>
      <c r="O153" s="136">
        <f t="shared" si="57"/>
        <v>2.7</v>
      </c>
      <c r="P153" s="136">
        <f t="shared" si="57"/>
        <v>2.7</v>
      </c>
      <c r="Q153" s="136">
        <f t="shared" si="57"/>
        <v>2.7</v>
      </c>
      <c r="R153" s="136">
        <f t="shared" si="57"/>
        <v>2.7</v>
      </c>
      <c r="S153" s="136">
        <f t="shared" si="57"/>
        <v>2.7</v>
      </c>
      <c r="T153" s="136">
        <f t="shared" si="58"/>
        <v>2.7</v>
      </c>
      <c r="U153" s="136">
        <f t="shared" si="58"/>
        <v>2.7</v>
      </c>
      <c r="V153" s="136">
        <f t="shared" si="58"/>
        <v>2.7</v>
      </c>
      <c r="W153" s="136">
        <f t="shared" si="58"/>
        <v>2.7</v>
      </c>
      <c r="X153" s="136">
        <f t="shared" si="58"/>
        <v>2.7</v>
      </c>
      <c r="Y153" s="136">
        <f t="shared" si="58"/>
        <v>2.7</v>
      </c>
      <c r="Z153" s="136">
        <f t="shared" si="58"/>
        <v>2.7</v>
      </c>
      <c r="AA153" s="136">
        <f t="shared" si="58"/>
        <v>2.7</v>
      </c>
      <c r="AB153" s="136">
        <f t="shared" si="58"/>
        <v>2.7</v>
      </c>
      <c r="AC153" s="136">
        <f t="shared" si="58"/>
        <v>2.7</v>
      </c>
      <c r="AD153" s="136">
        <f t="shared" si="58"/>
        <v>2.7</v>
      </c>
      <c r="AE153" s="136">
        <f t="shared" si="58"/>
        <v>2.7</v>
      </c>
      <c r="AF153" s="136">
        <f t="shared" si="58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57"/>
        <v>2.15</v>
      </c>
      <c r="E154" s="136">
        <f t="shared" si="57"/>
        <v>2.15</v>
      </c>
      <c r="F154" s="136">
        <f t="shared" si="57"/>
        <v>2.15</v>
      </c>
      <c r="G154" s="136">
        <f t="shared" si="57"/>
        <v>2.15</v>
      </c>
      <c r="H154" s="136">
        <f t="shared" si="57"/>
        <v>2.15</v>
      </c>
      <c r="I154" s="136">
        <f t="shared" si="57"/>
        <v>2.15</v>
      </c>
      <c r="J154" s="136">
        <f t="shared" si="57"/>
        <v>2.15</v>
      </c>
      <c r="K154" s="136">
        <f t="shared" si="57"/>
        <v>2.15</v>
      </c>
      <c r="L154" s="136">
        <f t="shared" si="57"/>
        <v>2.15</v>
      </c>
      <c r="M154" s="136">
        <f t="shared" si="57"/>
        <v>2.15</v>
      </c>
      <c r="N154" s="136">
        <f t="shared" si="57"/>
        <v>2.15</v>
      </c>
      <c r="O154" s="136">
        <f t="shared" si="57"/>
        <v>2.15</v>
      </c>
      <c r="P154" s="136">
        <f t="shared" si="57"/>
        <v>2.15</v>
      </c>
      <c r="Q154" s="136">
        <f t="shared" si="57"/>
        <v>2.15</v>
      </c>
      <c r="R154" s="136">
        <f t="shared" si="57"/>
        <v>2.15</v>
      </c>
      <c r="S154" s="136">
        <f t="shared" si="57"/>
        <v>2.15</v>
      </c>
      <c r="T154" s="136">
        <f t="shared" si="58"/>
        <v>2.15</v>
      </c>
      <c r="U154" s="136">
        <f t="shared" si="58"/>
        <v>2.15</v>
      </c>
      <c r="V154" s="136">
        <f t="shared" si="58"/>
        <v>2.15</v>
      </c>
      <c r="W154" s="136">
        <f t="shared" si="58"/>
        <v>2.15</v>
      </c>
      <c r="X154" s="136">
        <f t="shared" si="58"/>
        <v>2.15</v>
      </c>
      <c r="Y154" s="136">
        <f t="shared" si="58"/>
        <v>2.15</v>
      </c>
      <c r="Z154" s="136">
        <f t="shared" si="58"/>
        <v>2.15</v>
      </c>
      <c r="AA154" s="136">
        <f t="shared" si="58"/>
        <v>2.15</v>
      </c>
      <c r="AB154" s="136">
        <f t="shared" si="58"/>
        <v>2.15</v>
      </c>
      <c r="AC154" s="136">
        <f t="shared" si="58"/>
        <v>2.15</v>
      </c>
      <c r="AD154" s="136">
        <f t="shared" si="58"/>
        <v>2.15</v>
      </c>
      <c r="AE154" s="136">
        <f t="shared" si="58"/>
        <v>2.15</v>
      </c>
      <c r="AF154" s="136">
        <f t="shared" si="58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59">AF156</f>
        <v>0.9</v>
      </c>
      <c r="C156" s="137">
        <v>0.9</v>
      </c>
      <c r="D156" s="136">
        <f t="shared" ref="D156:S168" si="60">C156</f>
        <v>0.9</v>
      </c>
      <c r="E156" s="136">
        <f t="shared" si="60"/>
        <v>0.9</v>
      </c>
      <c r="F156" s="136">
        <f t="shared" si="60"/>
        <v>0.9</v>
      </c>
      <c r="G156" s="136">
        <f t="shared" si="60"/>
        <v>0.9</v>
      </c>
      <c r="H156" s="136">
        <f t="shared" si="60"/>
        <v>0.9</v>
      </c>
      <c r="I156" s="136">
        <f t="shared" si="60"/>
        <v>0.9</v>
      </c>
      <c r="J156" s="136">
        <f t="shared" si="60"/>
        <v>0.9</v>
      </c>
      <c r="K156" s="136">
        <f t="shared" si="60"/>
        <v>0.9</v>
      </c>
      <c r="L156" s="136">
        <f t="shared" si="60"/>
        <v>0.9</v>
      </c>
      <c r="M156" s="136">
        <f t="shared" si="60"/>
        <v>0.9</v>
      </c>
      <c r="N156" s="136">
        <f t="shared" si="60"/>
        <v>0.9</v>
      </c>
      <c r="O156" s="136">
        <f t="shared" si="60"/>
        <v>0.9</v>
      </c>
      <c r="P156" s="136">
        <f t="shared" si="60"/>
        <v>0.9</v>
      </c>
      <c r="Q156" s="136">
        <f t="shared" si="60"/>
        <v>0.9</v>
      </c>
      <c r="R156" s="136">
        <f t="shared" si="60"/>
        <v>0.9</v>
      </c>
      <c r="S156" s="136">
        <f t="shared" si="60"/>
        <v>0.9</v>
      </c>
      <c r="T156" s="136">
        <f t="shared" ref="S156:AF168" si="61">S156</f>
        <v>0.9</v>
      </c>
      <c r="U156" s="136">
        <f t="shared" si="61"/>
        <v>0.9</v>
      </c>
      <c r="V156" s="136">
        <f t="shared" si="61"/>
        <v>0.9</v>
      </c>
      <c r="W156" s="136">
        <f t="shared" si="61"/>
        <v>0.9</v>
      </c>
      <c r="X156" s="136">
        <f t="shared" si="61"/>
        <v>0.9</v>
      </c>
      <c r="Y156" s="136">
        <f t="shared" si="61"/>
        <v>0.9</v>
      </c>
      <c r="Z156" s="136">
        <f t="shared" si="61"/>
        <v>0.9</v>
      </c>
      <c r="AA156" s="136">
        <f t="shared" si="61"/>
        <v>0.9</v>
      </c>
      <c r="AB156" s="136">
        <f t="shared" si="61"/>
        <v>0.9</v>
      </c>
      <c r="AC156" s="136">
        <f t="shared" si="61"/>
        <v>0.9</v>
      </c>
      <c r="AD156" s="136">
        <f t="shared" si="61"/>
        <v>0.9</v>
      </c>
      <c r="AE156" s="136">
        <f t="shared" si="61"/>
        <v>0.9</v>
      </c>
      <c r="AF156" s="136">
        <f t="shared" si="61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59"/>
        <v>1.08</v>
      </c>
      <c r="C157" s="137">
        <v>1.08</v>
      </c>
      <c r="D157" s="136">
        <f t="shared" si="60"/>
        <v>1.08</v>
      </c>
      <c r="E157" s="136">
        <f t="shared" si="60"/>
        <v>1.08</v>
      </c>
      <c r="F157" s="136">
        <f t="shared" si="60"/>
        <v>1.08</v>
      </c>
      <c r="G157" s="136">
        <f t="shared" si="60"/>
        <v>1.08</v>
      </c>
      <c r="H157" s="136">
        <f t="shared" si="60"/>
        <v>1.08</v>
      </c>
      <c r="I157" s="136">
        <f t="shared" si="60"/>
        <v>1.08</v>
      </c>
      <c r="J157" s="136">
        <f t="shared" si="60"/>
        <v>1.08</v>
      </c>
      <c r="K157" s="136">
        <f t="shared" si="60"/>
        <v>1.08</v>
      </c>
      <c r="L157" s="136">
        <f t="shared" si="60"/>
        <v>1.08</v>
      </c>
      <c r="M157" s="136">
        <f t="shared" si="60"/>
        <v>1.08</v>
      </c>
      <c r="N157" s="136">
        <f t="shared" si="60"/>
        <v>1.08</v>
      </c>
      <c r="O157" s="136">
        <f t="shared" si="60"/>
        <v>1.08</v>
      </c>
      <c r="P157" s="136">
        <f t="shared" si="60"/>
        <v>1.08</v>
      </c>
      <c r="Q157" s="136">
        <f t="shared" si="60"/>
        <v>1.08</v>
      </c>
      <c r="R157" s="136">
        <f t="shared" si="60"/>
        <v>1.08</v>
      </c>
      <c r="S157" s="136">
        <f t="shared" si="60"/>
        <v>1.08</v>
      </c>
      <c r="T157" s="136">
        <f t="shared" si="61"/>
        <v>1.08</v>
      </c>
      <c r="U157" s="136">
        <f t="shared" si="61"/>
        <v>1.08</v>
      </c>
      <c r="V157" s="136">
        <f t="shared" si="61"/>
        <v>1.08</v>
      </c>
      <c r="W157" s="136">
        <f t="shared" si="61"/>
        <v>1.08</v>
      </c>
      <c r="X157" s="136">
        <f t="shared" si="61"/>
        <v>1.08</v>
      </c>
      <c r="Y157" s="136">
        <f t="shared" si="61"/>
        <v>1.08</v>
      </c>
      <c r="Z157" s="136">
        <f t="shared" si="61"/>
        <v>1.08</v>
      </c>
      <c r="AA157" s="136">
        <f t="shared" si="61"/>
        <v>1.08</v>
      </c>
      <c r="AB157" s="136">
        <f t="shared" si="61"/>
        <v>1.08</v>
      </c>
      <c r="AC157" s="136">
        <f t="shared" si="61"/>
        <v>1.08</v>
      </c>
      <c r="AD157" s="136">
        <f t="shared" si="61"/>
        <v>1.08</v>
      </c>
      <c r="AE157" s="136">
        <f t="shared" si="61"/>
        <v>1.08</v>
      </c>
      <c r="AF157" s="136">
        <f t="shared" si="61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59"/>
        <v>2.37</v>
      </c>
      <c r="C158" s="137">
        <v>2.37</v>
      </c>
      <c r="D158" s="136">
        <f t="shared" si="60"/>
        <v>2.37</v>
      </c>
      <c r="E158" s="136">
        <f t="shared" si="60"/>
        <v>2.37</v>
      </c>
      <c r="F158" s="136">
        <f t="shared" si="60"/>
        <v>2.37</v>
      </c>
      <c r="G158" s="136">
        <f t="shared" si="60"/>
        <v>2.37</v>
      </c>
      <c r="H158" s="136">
        <f t="shared" si="60"/>
        <v>2.37</v>
      </c>
      <c r="I158" s="136">
        <f t="shared" si="60"/>
        <v>2.37</v>
      </c>
      <c r="J158" s="136">
        <f t="shared" si="60"/>
        <v>2.37</v>
      </c>
      <c r="K158" s="136">
        <f t="shared" si="60"/>
        <v>2.37</v>
      </c>
      <c r="L158" s="136">
        <f t="shared" si="60"/>
        <v>2.37</v>
      </c>
      <c r="M158" s="136">
        <f t="shared" si="60"/>
        <v>2.37</v>
      </c>
      <c r="N158" s="136">
        <f t="shared" si="60"/>
        <v>2.37</v>
      </c>
      <c r="O158" s="136">
        <f t="shared" si="60"/>
        <v>2.37</v>
      </c>
      <c r="P158" s="136">
        <f t="shared" si="60"/>
        <v>2.37</v>
      </c>
      <c r="Q158" s="136">
        <f t="shared" si="60"/>
        <v>2.37</v>
      </c>
      <c r="R158" s="136">
        <f t="shared" si="60"/>
        <v>2.37</v>
      </c>
      <c r="S158" s="136">
        <f t="shared" si="60"/>
        <v>2.37</v>
      </c>
      <c r="T158" s="136">
        <f t="shared" si="61"/>
        <v>2.37</v>
      </c>
      <c r="U158" s="136">
        <f t="shared" si="61"/>
        <v>2.37</v>
      </c>
      <c r="V158" s="136">
        <f t="shared" si="61"/>
        <v>2.37</v>
      </c>
      <c r="W158" s="136">
        <f t="shared" si="61"/>
        <v>2.37</v>
      </c>
      <c r="X158" s="136">
        <f t="shared" si="61"/>
        <v>2.37</v>
      </c>
      <c r="Y158" s="136">
        <f t="shared" si="61"/>
        <v>2.37</v>
      </c>
      <c r="Z158" s="136">
        <f t="shared" si="61"/>
        <v>2.37</v>
      </c>
      <c r="AA158" s="136">
        <f t="shared" si="61"/>
        <v>2.37</v>
      </c>
      <c r="AB158" s="136">
        <f t="shared" si="61"/>
        <v>2.37</v>
      </c>
      <c r="AC158" s="136">
        <f t="shared" si="61"/>
        <v>2.37</v>
      </c>
      <c r="AD158" s="136">
        <f t="shared" si="61"/>
        <v>2.37</v>
      </c>
      <c r="AE158" s="136">
        <f t="shared" si="61"/>
        <v>2.37</v>
      </c>
      <c r="AF158" s="136">
        <f t="shared" si="61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59"/>
        <v>1.81</v>
      </c>
      <c r="C159" s="137">
        <v>1.81</v>
      </c>
      <c r="D159" s="136">
        <f t="shared" si="60"/>
        <v>1.81</v>
      </c>
      <c r="E159" s="136">
        <f t="shared" si="60"/>
        <v>1.81</v>
      </c>
      <c r="F159" s="136">
        <f t="shared" si="60"/>
        <v>1.81</v>
      </c>
      <c r="G159" s="136">
        <f t="shared" si="60"/>
        <v>1.81</v>
      </c>
      <c r="H159" s="136">
        <f t="shared" si="60"/>
        <v>1.81</v>
      </c>
      <c r="I159" s="136">
        <f t="shared" si="60"/>
        <v>1.81</v>
      </c>
      <c r="J159" s="136">
        <f t="shared" si="60"/>
        <v>1.81</v>
      </c>
      <c r="K159" s="136">
        <f t="shared" si="60"/>
        <v>1.81</v>
      </c>
      <c r="L159" s="136">
        <f t="shared" si="60"/>
        <v>1.81</v>
      </c>
      <c r="M159" s="136">
        <f t="shared" si="60"/>
        <v>1.81</v>
      </c>
      <c r="N159" s="136">
        <f t="shared" si="60"/>
        <v>1.81</v>
      </c>
      <c r="O159" s="136">
        <f t="shared" si="60"/>
        <v>1.81</v>
      </c>
      <c r="P159" s="136">
        <f t="shared" si="60"/>
        <v>1.81</v>
      </c>
      <c r="Q159" s="136">
        <f t="shared" si="60"/>
        <v>1.81</v>
      </c>
      <c r="R159" s="136">
        <f t="shared" si="60"/>
        <v>1.81</v>
      </c>
      <c r="S159" s="136">
        <f t="shared" si="60"/>
        <v>1.81</v>
      </c>
      <c r="T159" s="136">
        <f t="shared" si="61"/>
        <v>1.81</v>
      </c>
      <c r="U159" s="136">
        <f t="shared" si="61"/>
        <v>1.81</v>
      </c>
      <c r="V159" s="136">
        <f t="shared" si="61"/>
        <v>1.81</v>
      </c>
      <c r="W159" s="136">
        <f t="shared" si="61"/>
        <v>1.81</v>
      </c>
      <c r="X159" s="136">
        <f t="shared" si="61"/>
        <v>1.81</v>
      </c>
      <c r="Y159" s="136">
        <f t="shared" si="61"/>
        <v>1.81</v>
      </c>
      <c r="Z159" s="136">
        <f t="shared" si="61"/>
        <v>1.81</v>
      </c>
      <c r="AA159" s="136">
        <f t="shared" si="61"/>
        <v>1.81</v>
      </c>
      <c r="AB159" s="136">
        <f t="shared" si="61"/>
        <v>1.81</v>
      </c>
      <c r="AC159" s="136">
        <f t="shared" si="61"/>
        <v>1.81</v>
      </c>
      <c r="AD159" s="136">
        <f t="shared" si="61"/>
        <v>1.81</v>
      </c>
      <c r="AE159" s="136">
        <f t="shared" si="61"/>
        <v>1.81</v>
      </c>
      <c r="AF159" s="136">
        <f t="shared" si="61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59"/>
        <v>1.0900000000000001</v>
      </c>
      <c r="C160" s="137">
        <v>1.0900000000000001</v>
      </c>
      <c r="D160" s="136">
        <f t="shared" si="60"/>
        <v>1.0900000000000001</v>
      </c>
      <c r="E160" s="136">
        <f t="shared" si="60"/>
        <v>1.0900000000000001</v>
      </c>
      <c r="F160" s="136">
        <f t="shared" si="60"/>
        <v>1.0900000000000001</v>
      </c>
      <c r="G160" s="136">
        <f t="shared" si="60"/>
        <v>1.0900000000000001</v>
      </c>
      <c r="H160" s="136">
        <f t="shared" si="60"/>
        <v>1.0900000000000001</v>
      </c>
      <c r="I160" s="136">
        <f t="shared" si="60"/>
        <v>1.0900000000000001</v>
      </c>
      <c r="J160" s="136">
        <f t="shared" si="60"/>
        <v>1.0900000000000001</v>
      </c>
      <c r="K160" s="136">
        <f t="shared" si="60"/>
        <v>1.0900000000000001</v>
      </c>
      <c r="L160" s="136">
        <f t="shared" si="60"/>
        <v>1.0900000000000001</v>
      </c>
      <c r="M160" s="136">
        <f t="shared" si="60"/>
        <v>1.0900000000000001</v>
      </c>
      <c r="N160" s="136">
        <f t="shared" si="60"/>
        <v>1.0900000000000001</v>
      </c>
      <c r="O160" s="136">
        <f t="shared" si="60"/>
        <v>1.0900000000000001</v>
      </c>
      <c r="P160" s="136">
        <f t="shared" si="60"/>
        <v>1.0900000000000001</v>
      </c>
      <c r="Q160" s="136">
        <f t="shared" si="60"/>
        <v>1.0900000000000001</v>
      </c>
      <c r="R160" s="136">
        <f t="shared" si="60"/>
        <v>1.0900000000000001</v>
      </c>
      <c r="S160" s="136">
        <f t="shared" si="60"/>
        <v>1.0900000000000001</v>
      </c>
      <c r="T160" s="136">
        <f t="shared" si="61"/>
        <v>1.0900000000000001</v>
      </c>
      <c r="U160" s="136">
        <f t="shared" si="61"/>
        <v>1.0900000000000001</v>
      </c>
      <c r="V160" s="136">
        <f t="shared" si="61"/>
        <v>1.0900000000000001</v>
      </c>
      <c r="W160" s="136">
        <f t="shared" si="61"/>
        <v>1.0900000000000001</v>
      </c>
      <c r="X160" s="136">
        <f t="shared" si="61"/>
        <v>1.0900000000000001</v>
      </c>
      <c r="Y160" s="136">
        <f t="shared" si="61"/>
        <v>1.0900000000000001</v>
      </c>
      <c r="Z160" s="136">
        <f t="shared" si="61"/>
        <v>1.0900000000000001</v>
      </c>
      <c r="AA160" s="136">
        <f t="shared" si="61"/>
        <v>1.0900000000000001</v>
      </c>
      <c r="AB160" s="136">
        <f t="shared" si="61"/>
        <v>1.0900000000000001</v>
      </c>
      <c r="AC160" s="136">
        <f t="shared" si="61"/>
        <v>1.0900000000000001</v>
      </c>
      <c r="AD160" s="136">
        <f t="shared" si="61"/>
        <v>1.0900000000000001</v>
      </c>
      <c r="AE160" s="136">
        <f t="shared" si="61"/>
        <v>1.0900000000000001</v>
      </c>
      <c r="AF160" s="136">
        <f t="shared" si="61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59"/>
        <v>1.58</v>
      </c>
      <c r="C161" s="137">
        <v>1.58</v>
      </c>
      <c r="D161" s="136">
        <f t="shared" si="60"/>
        <v>1.58</v>
      </c>
      <c r="E161" s="136">
        <f t="shared" si="60"/>
        <v>1.58</v>
      </c>
      <c r="F161" s="136">
        <f t="shared" si="60"/>
        <v>1.58</v>
      </c>
      <c r="G161" s="136">
        <f t="shared" si="60"/>
        <v>1.58</v>
      </c>
      <c r="H161" s="136">
        <f t="shared" si="60"/>
        <v>1.58</v>
      </c>
      <c r="I161" s="136">
        <f t="shared" si="60"/>
        <v>1.58</v>
      </c>
      <c r="J161" s="136">
        <f t="shared" si="60"/>
        <v>1.58</v>
      </c>
      <c r="K161" s="136">
        <f t="shared" si="60"/>
        <v>1.58</v>
      </c>
      <c r="L161" s="136">
        <f t="shared" si="60"/>
        <v>1.58</v>
      </c>
      <c r="M161" s="136">
        <f t="shared" si="60"/>
        <v>1.58</v>
      </c>
      <c r="N161" s="136">
        <f t="shared" si="60"/>
        <v>1.58</v>
      </c>
      <c r="O161" s="136">
        <f t="shared" si="60"/>
        <v>1.58</v>
      </c>
      <c r="P161" s="136">
        <f t="shared" si="60"/>
        <v>1.58</v>
      </c>
      <c r="Q161" s="136">
        <f t="shared" si="60"/>
        <v>1.58</v>
      </c>
      <c r="R161" s="136">
        <f t="shared" si="60"/>
        <v>1.58</v>
      </c>
      <c r="S161" s="136">
        <f t="shared" si="60"/>
        <v>1.58</v>
      </c>
      <c r="T161" s="136">
        <f t="shared" si="61"/>
        <v>1.58</v>
      </c>
      <c r="U161" s="136">
        <f t="shared" si="61"/>
        <v>1.58</v>
      </c>
      <c r="V161" s="136">
        <f t="shared" si="61"/>
        <v>1.58</v>
      </c>
      <c r="W161" s="136">
        <f t="shared" si="61"/>
        <v>1.58</v>
      </c>
      <c r="X161" s="136">
        <f t="shared" si="61"/>
        <v>1.58</v>
      </c>
      <c r="Y161" s="136">
        <f t="shared" si="61"/>
        <v>1.58</v>
      </c>
      <c r="Z161" s="136">
        <f t="shared" si="61"/>
        <v>1.58</v>
      </c>
      <c r="AA161" s="136">
        <f t="shared" si="61"/>
        <v>1.58</v>
      </c>
      <c r="AB161" s="136">
        <f t="shared" si="61"/>
        <v>1.58</v>
      </c>
      <c r="AC161" s="136">
        <f t="shared" si="61"/>
        <v>1.58</v>
      </c>
      <c r="AD161" s="136">
        <f t="shared" si="61"/>
        <v>1.58</v>
      </c>
      <c r="AE161" s="136">
        <f t="shared" si="61"/>
        <v>1.58</v>
      </c>
      <c r="AF161" s="136">
        <f t="shared" si="61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59"/>
        <v>2</v>
      </c>
      <c r="C162" s="137">
        <v>2</v>
      </c>
      <c r="D162" s="136">
        <f t="shared" si="60"/>
        <v>2</v>
      </c>
      <c r="E162" s="136">
        <f t="shared" si="60"/>
        <v>2</v>
      </c>
      <c r="F162" s="136">
        <f t="shared" si="60"/>
        <v>2</v>
      </c>
      <c r="G162" s="136">
        <f t="shared" si="60"/>
        <v>2</v>
      </c>
      <c r="H162" s="136">
        <f t="shared" si="60"/>
        <v>2</v>
      </c>
      <c r="I162" s="136">
        <f t="shared" si="60"/>
        <v>2</v>
      </c>
      <c r="J162" s="136">
        <f t="shared" si="60"/>
        <v>2</v>
      </c>
      <c r="K162" s="136">
        <f t="shared" si="60"/>
        <v>2</v>
      </c>
      <c r="L162" s="136">
        <f t="shared" si="60"/>
        <v>2</v>
      </c>
      <c r="M162" s="136">
        <f t="shared" si="60"/>
        <v>2</v>
      </c>
      <c r="N162" s="136">
        <f t="shared" si="60"/>
        <v>2</v>
      </c>
      <c r="O162" s="136">
        <f t="shared" si="60"/>
        <v>2</v>
      </c>
      <c r="P162" s="136">
        <f t="shared" si="60"/>
        <v>2</v>
      </c>
      <c r="Q162" s="136">
        <f t="shared" si="60"/>
        <v>2</v>
      </c>
      <c r="R162" s="136">
        <f t="shared" si="60"/>
        <v>2</v>
      </c>
      <c r="S162" s="136">
        <f t="shared" si="60"/>
        <v>2</v>
      </c>
      <c r="T162" s="136">
        <f t="shared" si="61"/>
        <v>2</v>
      </c>
      <c r="U162" s="136">
        <f t="shared" si="61"/>
        <v>2</v>
      </c>
      <c r="V162" s="136">
        <f t="shared" si="61"/>
        <v>2</v>
      </c>
      <c r="W162" s="136">
        <f t="shared" si="61"/>
        <v>2</v>
      </c>
      <c r="X162" s="136">
        <f t="shared" si="61"/>
        <v>2</v>
      </c>
      <c r="Y162" s="136">
        <f t="shared" si="61"/>
        <v>2</v>
      </c>
      <c r="Z162" s="136">
        <f t="shared" si="61"/>
        <v>2</v>
      </c>
      <c r="AA162" s="136">
        <f t="shared" si="61"/>
        <v>2</v>
      </c>
      <c r="AB162" s="136">
        <f t="shared" si="61"/>
        <v>2</v>
      </c>
      <c r="AC162" s="136">
        <f t="shared" si="61"/>
        <v>2</v>
      </c>
      <c r="AD162" s="136">
        <f t="shared" si="61"/>
        <v>2</v>
      </c>
      <c r="AE162" s="136">
        <f t="shared" si="61"/>
        <v>2</v>
      </c>
      <c r="AF162" s="136">
        <f t="shared" si="61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59"/>
        <v>0.47</v>
      </c>
      <c r="C163" s="137">
        <v>0.47</v>
      </c>
      <c r="D163" s="136">
        <f t="shared" si="60"/>
        <v>0.47</v>
      </c>
      <c r="E163" s="136">
        <f t="shared" si="60"/>
        <v>0.47</v>
      </c>
      <c r="F163" s="136">
        <f t="shared" si="60"/>
        <v>0.47</v>
      </c>
      <c r="G163" s="136">
        <f t="shared" si="60"/>
        <v>0.47</v>
      </c>
      <c r="H163" s="136">
        <f t="shared" si="60"/>
        <v>0.47</v>
      </c>
      <c r="I163" s="136">
        <f t="shared" si="60"/>
        <v>0.47</v>
      </c>
      <c r="J163" s="136">
        <f t="shared" si="60"/>
        <v>0.47</v>
      </c>
      <c r="K163" s="136">
        <f t="shared" si="60"/>
        <v>0.47</v>
      </c>
      <c r="L163" s="136">
        <f t="shared" si="60"/>
        <v>0.47</v>
      </c>
      <c r="M163" s="136">
        <f t="shared" si="60"/>
        <v>0.47</v>
      </c>
      <c r="N163" s="136">
        <f t="shared" si="60"/>
        <v>0.47</v>
      </c>
      <c r="O163" s="136">
        <f t="shared" si="60"/>
        <v>0.47</v>
      </c>
      <c r="P163" s="136">
        <f t="shared" si="60"/>
        <v>0.47</v>
      </c>
      <c r="Q163" s="136">
        <f t="shared" si="60"/>
        <v>0.47</v>
      </c>
      <c r="R163" s="136">
        <f t="shared" si="60"/>
        <v>0.47</v>
      </c>
      <c r="S163" s="136">
        <f t="shared" si="60"/>
        <v>0.47</v>
      </c>
      <c r="T163" s="136">
        <f t="shared" si="61"/>
        <v>0.47</v>
      </c>
      <c r="U163" s="136">
        <f t="shared" si="61"/>
        <v>0.47</v>
      </c>
      <c r="V163" s="136">
        <f t="shared" si="61"/>
        <v>0.47</v>
      </c>
      <c r="W163" s="136">
        <f t="shared" si="61"/>
        <v>0.47</v>
      </c>
      <c r="X163" s="136">
        <f t="shared" si="61"/>
        <v>0.47</v>
      </c>
      <c r="Y163" s="136">
        <f t="shared" si="61"/>
        <v>0.47</v>
      </c>
      <c r="Z163" s="136">
        <f t="shared" si="61"/>
        <v>0.47</v>
      </c>
      <c r="AA163" s="136">
        <f t="shared" si="61"/>
        <v>0.47</v>
      </c>
      <c r="AB163" s="136">
        <f t="shared" si="61"/>
        <v>0.47</v>
      </c>
      <c r="AC163" s="136">
        <f t="shared" si="61"/>
        <v>0.47</v>
      </c>
      <c r="AD163" s="136">
        <f t="shared" si="61"/>
        <v>0.47</v>
      </c>
      <c r="AE163" s="136">
        <f t="shared" si="61"/>
        <v>0.47</v>
      </c>
      <c r="AF163" s="136">
        <f t="shared" si="61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59"/>
        <v>0</v>
      </c>
      <c r="C164" s="137">
        <v>0</v>
      </c>
      <c r="D164" s="136">
        <f t="shared" si="60"/>
        <v>0</v>
      </c>
      <c r="E164" s="136">
        <f t="shared" si="60"/>
        <v>0</v>
      </c>
      <c r="F164" s="136">
        <f t="shared" si="60"/>
        <v>0</v>
      </c>
      <c r="G164" s="136">
        <f t="shared" si="60"/>
        <v>0</v>
      </c>
      <c r="H164" s="136">
        <f t="shared" si="60"/>
        <v>0</v>
      </c>
      <c r="I164" s="136">
        <f t="shared" si="60"/>
        <v>0</v>
      </c>
      <c r="J164" s="136">
        <f t="shared" si="60"/>
        <v>0</v>
      </c>
      <c r="K164" s="136">
        <f t="shared" si="60"/>
        <v>0</v>
      </c>
      <c r="L164" s="136">
        <f t="shared" si="60"/>
        <v>0</v>
      </c>
      <c r="M164" s="136">
        <f t="shared" si="60"/>
        <v>0</v>
      </c>
      <c r="N164" s="136">
        <f t="shared" si="60"/>
        <v>0</v>
      </c>
      <c r="O164" s="136">
        <f t="shared" si="60"/>
        <v>0</v>
      </c>
      <c r="P164" s="136">
        <f t="shared" si="60"/>
        <v>0</v>
      </c>
      <c r="Q164" s="136">
        <f t="shared" si="60"/>
        <v>0</v>
      </c>
      <c r="R164" s="136">
        <f t="shared" si="60"/>
        <v>0</v>
      </c>
      <c r="S164" s="136">
        <f t="shared" si="60"/>
        <v>0</v>
      </c>
      <c r="T164" s="136">
        <f t="shared" si="61"/>
        <v>0</v>
      </c>
      <c r="U164" s="136">
        <f t="shared" si="61"/>
        <v>0</v>
      </c>
      <c r="V164" s="136">
        <f t="shared" si="61"/>
        <v>0</v>
      </c>
      <c r="W164" s="136">
        <f t="shared" si="61"/>
        <v>0</v>
      </c>
      <c r="X164" s="136">
        <f t="shared" si="61"/>
        <v>0</v>
      </c>
      <c r="Y164" s="136">
        <f t="shared" si="61"/>
        <v>0</v>
      </c>
      <c r="Z164" s="136">
        <f t="shared" si="61"/>
        <v>0</v>
      </c>
      <c r="AA164" s="136">
        <f t="shared" si="61"/>
        <v>0</v>
      </c>
      <c r="AB164" s="136">
        <f t="shared" si="61"/>
        <v>0</v>
      </c>
      <c r="AC164" s="136">
        <f t="shared" si="61"/>
        <v>0</v>
      </c>
      <c r="AD164" s="136">
        <f t="shared" si="61"/>
        <v>0</v>
      </c>
      <c r="AE164" s="136">
        <f t="shared" si="61"/>
        <v>0</v>
      </c>
      <c r="AF164" s="136">
        <f t="shared" si="61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59"/>
        <v>0</v>
      </c>
      <c r="C165" s="137">
        <v>0</v>
      </c>
      <c r="D165" s="136">
        <f t="shared" si="60"/>
        <v>0</v>
      </c>
      <c r="E165" s="136">
        <f t="shared" si="60"/>
        <v>0</v>
      </c>
      <c r="F165" s="136">
        <f t="shared" si="60"/>
        <v>0</v>
      </c>
      <c r="G165" s="136">
        <f t="shared" si="60"/>
        <v>0</v>
      </c>
      <c r="H165" s="136">
        <f t="shared" si="60"/>
        <v>0</v>
      </c>
      <c r="I165" s="136">
        <f t="shared" si="60"/>
        <v>0</v>
      </c>
      <c r="J165" s="136">
        <f t="shared" si="60"/>
        <v>0</v>
      </c>
      <c r="K165" s="136">
        <f t="shared" si="60"/>
        <v>0</v>
      </c>
      <c r="L165" s="136">
        <f t="shared" si="60"/>
        <v>0</v>
      </c>
      <c r="M165" s="136">
        <f t="shared" si="60"/>
        <v>0</v>
      </c>
      <c r="N165" s="136">
        <f t="shared" si="60"/>
        <v>0</v>
      </c>
      <c r="O165" s="136">
        <f t="shared" si="60"/>
        <v>0</v>
      </c>
      <c r="P165" s="136">
        <f t="shared" si="60"/>
        <v>0</v>
      </c>
      <c r="Q165" s="136">
        <f t="shared" si="60"/>
        <v>0</v>
      </c>
      <c r="R165" s="136">
        <f t="shared" si="60"/>
        <v>0</v>
      </c>
      <c r="S165" s="136">
        <f t="shared" si="61"/>
        <v>0</v>
      </c>
      <c r="T165" s="136">
        <f t="shared" si="61"/>
        <v>0</v>
      </c>
      <c r="U165" s="136">
        <f t="shared" si="61"/>
        <v>0</v>
      </c>
      <c r="V165" s="136">
        <f t="shared" si="61"/>
        <v>0</v>
      </c>
      <c r="W165" s="136">
        <f t="shared" si="61"/>
        <v>0</v>
      </c>
      <c r="X165" s="136">
        <f t="shared" si="61"/>
        <v>0</v>
      </c>
      <c r="Y165" s="136">
        <f t="shared" si="61"/>
        <v>0</v>
      </c>
      <c r="Z165" s="136">
        <f t="shared" si="61"/>
        <v>0</v>
      </c>
      <c r="AA165" s="136">
        <f t="shared" si="61"/>
        <v>0</v>
      </c>
      <c r="AB165" s="136">
        <f t="shared" si="61"/>
        <v>0</v>
      </c>
      <c r="AC165" s="136">
        <f t="shared" si="61"/>
        <v>0</v>
      </c>
      <c r="AD165" s="136">
        <f t="shared" si="61"/>
        <v>0</v>
      </c>
      <c r="AE165" s="136">
        <f t="shared" si="61"/>
        <v>0</v>
      </c>
      <c r="AF165" s="136">
        <f t="shared" si="61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59"/>
        <v>0.8</v>
      </c>
      <c r="C166" s="137">
        <v>0.8</v>
      </c>
      <c r="D166" s="136">
        <f t="shared" si="60"/>
        <v>0.8</v>
      </c>
      <c r="E166" s="136">
        <f t="shared" si="60"/>
        <v>0.8</v>
      </c>
      <c r="F166" s="136">
        <f t="shared" si="60"/>
        <v>0.8</v>
      </c>
      <c r="G166" s="136">
        <f t="shared" si="60"/>
        <v>0.8</v>
      </c>
      <c r="H166" s="136">
        <f t="shared" si="60"/>
        <v>0.8</v>
      </c>
      <c r="I166" s="136">
        <f t="shared" si="60"/>
        <v>0.8</v>
      </c>
      <c r="J166" s="136">
        <f t="shared" si="60"/>
        <v>0.8</v>
      </c>
      <c r="K166" s="136">
        <f t="shared" si="60"/>
        <v>0.8</v>
      </c>
      <c r="L166" s="136">
        <f t="shared" si="60"/>
        <v>0.8</v>
      </c>
      <c r="M166" s="136">
        <f t="shared" si="60"/>
        <v>0.8</v>
      </c>
      <c r="N166" s="136">
        <f t="shared" si="60"/>
        <v>0.8</v>
      </c>
      <c r="O166" s="136">
        <f t="shared" si="60"/>
        <v>0.8</v>
      </c>
      <c r="P166" s="136">
        <f t="shared" si="60"/>
        <v>0.8</v>
      </c>
      <c r="Q166" s="136">
        <f t="shared" si="60"/>
        <v>0.8</v>
      </c>
      <c r="R166" s="136">
        <f t="shared" si="60"/>
        <v>0.8</v>
      </c>
      <c r="S166" s="136">
        <f t="shared" si="61"/>
        <v>0.8</v>
      </c>
      <c r="T166" s="136">
        <f t="shared" si="61"/>
        <v>0.8</v>
      </c>
      <c r="U166" s="136">
        <f t="shared" si="61"/>
        <v>0.8</v>
      </c>
      <c r="V166" s="136">
        <f t="shared" si="61"/>
        <v>0.8</v>
      </c>
      <c r="W166" s="136">
        <f t="shared" si="61"/>
        <v>0.8</v>
      </c>
      <c r="X166" s="136">
        <f t="shared" si="61"/>
        <v>0.8</v>
      </c>
      <c r="Y166" s="136">
        <f t="shared" si="61"/>
        <v>0.8</v>
      </c>
      <c r="Z166" s="136">
        <f t="shared" si="61"/>
        <v>0.8</v>
      </c>
      <c r="AA166" s="136">
        <f t="shared" si="61"/>
        <v>0.8</v>
      </c>
      <c r="AB166" s="136">
        <f t="shared" si="61"/>
        <v>0.8</v>
      </c>
      <c r="AC166" s="136">
        <f t="shared" si="61"/>
        <v>0.8</v>
      </c>
      <c r="AD166" s="136">
        <f t="shared" si="61"/>
        <v>0.8</v>
      </c>
      <c r="AE166" s="136">
        <f t="shared" si="61"/>
        <v>0.8</v>
      </c>
      <c r="AF166" s="136">
        <f t="shared" si="61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59"/>
        <v>1.5</v>
      </c>
      <c r="C167" s="137">
        <v>1.5</v>
      </c>
      <c r="D167" s="136">
        <f t="shared" si="60"/>
        <v>1.5</v>
      </c>
      <c r="E167" s="136">
        <f t="shared" si="60"/>
        <v>1.5</v>
      </c>
      <c r="F167" s="136">
        <f t="shared" si="60"/>
        <v>1.5</v>
      </c>
      <c r="G167" s="136">
        <f t="shared" si="60"/>
        <v>1.5</v>
      </c>
      <c r="H167" s="136">
        <f t="shared" si="60"/>
        <v>1.5</v>
      </c>
      <c r="I167" s="136">
        <f t="shared" si="60"/>
        <v>1.5</v>
      </c>
      <c r="J167" s="136">
        <f t="shared" si="60"/>
        <v>1.5</v>
      </c>
      <c r="K167" s="136">
        <f t="shared" si="60"/>
        <v>1.5</v>
      </c>
      <c r="L167" s="136">
        <f t="shared" si="60"/>
        <v>1.5</v>
      </c>
      <c r="M167" s="136">
        <f t="shared" si="60"/>
        <v>1.5</v>
      </c>
      <c r="N167" s="136">
        <f t="shared" si="60"/>
        <v>1.5</v>
      </c>
      <c r="O167" s="136">
        <f t="shared" si="60"/>
        <v>1.5</v>
      </c>
      <c r="P167" s="136">
        <f t="shared" si="60"/>
        <v>1.5</v>
      </c>
      <c r="Q167" s="136">
        <f t="shared" si="60"/>
        <v>1.5</v>
      </c>
      <c r="R167" s="136">
        <f t="shared" si="60"/>
        <v>1.5</v>
      </c>
      <c r="S167" s="136">
        <f t="shared" si="61"/>
        <v>1.5</v>
      </c>
      <c r="T167" s="136">
        <f t="shared" si="61"/>
        <v>1.5</v>
      </c>
      <c r="U167" s="136">
        <f t="shared" si="61"/>
        <v>1.5</v>
      </c>
      <c r="V167" s="136">
        <f t="shared" si="61"/>
        <v>1.5</v>
      </c>
      <c r="W167" s="136">
        <f t="shared" si="61"/>
        <v>1.5</v>
      </c>
      <c r="X167" s="136">
        <f t="shared" si="61"/>
        <v>1.5</v>
      </c>
      <c r="Y167" s="136">
        <f t="shared" si="61"/>
        <v>1.5</v>
      </c>
      <c r="Z167" s="136">
        <f t="shared" si="61"/>
        <v>1.5</v>
      </c>
      <c r="AA167" s="136">
        <f t="shared" si="61"/>
        <v>1.5</v>
      </c>
      <c r="AB167" s="136">
        <f t="shared" si="61"/>
        <v>1.5</v>
      </c>
      <c r="AC167" s="136">
        <f t="shared" si="61"/>
        <v>1.5</v>
      </c>
      <c r="AD167" s="136">
        <f t="shared" si="61"/>
        <v>1.5</v>
      </c>
      <c r="AE167" s="136">
        <f t="shared" si="61"/>
        <v>1.5</v>
      </c>
      <c r="AF167" s="136">
        <f t="shared" si="61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59"/>
        <v>1</v>
      </c>
      <c r="C168" s="137">
        <v>1</v>
      </c>
      <c r="D168" s="136">
        <f t="shared" si="60"/>
        <v>1</v>
      </c>
      <c r="E168" s="136">
        <f t="shared" si="60"/>
        <v>1</v>
      </c>
      <c r="F168" s="136">
        <f t="shared" si="60"/>
        <v>1</v>
      </c>
      <c r="G168" s="136">
        <f t="shared" si="60"/>
        <v>1</v>
      </c>
      <c r="H168" s="136">
        <f t="shared" si="60"/>
        <v>1</v>
      </c>
      <c r="I168" s="136">
        <f t="shared" si="60"/>
        <v>1</v>
      </c>
      <c r="J168" s="136">
        <f t="shared" si="60"/>
        <v>1</v>
      </c>
      <c r="K168" s="136">
        <f t="shared" si="60"/>
        <v>1</v>
      </c>
      <c r="L168" s="136">
        <f t="shared" si="60"/>
        <v>1</v>
      </c>
      <c r="M168" s="136">
        <f t="shared" si="60"/>
        <v>1</v>
      </c>
      <c r="N168" s="136">
        <f t="shared" si="60"/>
        <v>1</v>
      </c>
      <c r="O168" s="136">
        <f t="shared" si="60"/>
        <v>1</v>
      </c>
      <c r="P168" s="136">
        <f t="shared" si="60"/>
        <v>1</v>
      </c>
      <c r="Q168" s="136">
        <f t="shared" si="60"/>
        <v>1</v>
      </c>
      <c r="R168" s="136">
        <f t="shared" si="60"/>
        <v>1</v>
      </c>
      <c r="S168" s="136">
        <f t="shared" si="61"/>
        <v>1</v>
      </c>
      <c r="T168" s="136">
        <f t="shared" si="61"/>
        <v>1</v>
      </c>
      <c r="U168" s="136">
        <f t="shared" si="61"/>
        <v>1</v>
      </c>
      <c r="V168" s="136">
        <f t="shared" si="61"/>
        <v>1</v>
      </c>
      <c r="W168" s="136">
        <f t="shared" si="61"/>
        <v>1</v>
      </c>
      <c r="X168" s="136">
        <f t="shared" si="61"/>
        <v>1</v>
      </c>
      <c r="Y168" s="136">
        <f t="shared" si="61"/>
        <v>1</v>
      </c>
      <c r="Z168" s="136">
        <f t="shared" si="61"/>
        <v>1</v>
      </c>
      <c r="AA168" s="136">
        <f t="shared" si="61"/>
        <v>1</v>
      </c>
      <c r="AB168" s="136">
        <f t="shared" si="61"/>
        <v>1</v>
      </c>
      <c r="AC168" s="136">
        <f t="shared" si="61"/>
        <v>1</v>
      </c>
      <c r="AD168" s="136">
        <f t="shared" si="61"/>
        <v>1</v>
      </c>
      <c r="AE168" s="136">
        <f t="shared" si="61"/>
        <v>1</v>
      </c>
      <c r="AF168" s="136">
        <f t="shared" si="61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62">AF170</f>
        <v>1</v>
      </c>
      <c r="C170" s="137">
        <v>1</v>
      </c>
      <c r="D170" s="136">
        <f t="shared" ref="D170:S177" si="63">C170</f>
        <v>1</v>
      </c>
      <c r="E170" s="136">
        <f t="shared" si="63"/>
        <v>1</v>
      </c>
      <c r="F170" s="136">
        <f t="shared" si="63"/>
        <v>1</v>
      </c>
      <c r="G170" s="136">
        <f t="shared" si="63"/>
        <v>1</v>
      </c>
      <c r="H170" s="136">
        <f t="shared" si="63"/>
        <v>1</v>
      </c>
      <c r="I170" s="136">
        <f t="shared" si="63"/>
        <v>1</v>
      </c>
      <c r="J170" s="136">
        <f t="shared" si="63"/>
        <v>1</v>
      </c>
      <c r="K170" s="136">
        <f t="shared" si="63"/>
        <v>1</v>
      </c>
      <c r="L170" s="136">
        <f t="shared" si="63"/>
        <v>1</v>
      </c>
      <c r="M170" s="136">
        <f t="shared" si="63"/>
        <v>1</v>
      </c>
      <c r="N170" s="136">
        <f t="shared" si="63"/>
        <v>1</v>
      </c>
      <c r="O170" s="136">
        <f t="shared" si="63"/>
        <v>1</v>
      </c>
      <c r="P170" s="136">
        <f t="shared" si="63"/>
        <v>1</v>
      </c>
      <c r="Q170" s="136">
        <f t="shared" si="63"/>
        <v>1</v>
      </c>
      <c r="R170" s="136">
        <f t="shared" si="63"/>
        <v>1</v>
      </c>
      <c r="S170" s="136">
        <f t="shared" si="63"/>
        <v>1</v>
      </c>
      <c r="T170" s="136">
        <f t="shared" ref="S170:AF177" si="64">S170</f>
        <v>1</v>
      </c>
      <c r="U170" s="136">
        <f t="shared" si="64"/>
        <v>1</v>
      </c>
      <c r="V170" s="136">
        <f t="shared" si="64"/>
        <v>1</v>
      </c>
      <c r="W170" s="136">
        <f t="shared" si="64"/>
        <v>1</v>
      </c>
      <c r="X170" s="136">
        <f t="shared" si="64"/>
        <v>1</v>
      </c>
      <c r="Y170" s="136">
        <f t="shared" si="64"/>
        <v>1</v>
      </c>
      <c r="Z170" s="136">
        <f t="shared" si="64"/>
        <v>1</v>
      </c>
      <c r="AA170" s="136">
        <f t="shared" si="64"/>
        <v>1</v>
      </c>
      <c r="AB170" s="136">
        <f t="shared" si="64"/>
        <v>1</v>
      </c>
      <c r="AC170" s="136">
        <f t="shared" si="64"/>
        <v>1</v>
      </c>
      <c r="AD170" s="136">
        <f t="shared" si="64"/>
        <v>1</v>
      </c>
      <c r="AE170" s="136">
        <f t="shared" si="64"/>
        <v>1</v>
      </c>
      <c r="AF170" s="136">
        <f t="shared" si="64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62"/>
        <v>0.42</v>
      </c>
      <c r="C171" s="137">
        <v>0.42</v>
      </c>
      <c r="D171" s="136">
        <f t="shared" si="63"/>
        <v>0.42</v>
      </c>
      <c r="E171" s="136">
        <f t="shared" si="63"/>
        <v>0.42</v>
      </c>
      <c r="F171" s="136">
        <f t="shared" si="63"/>
        <v>0.42</v>
      </c>
      <c r="G171" s="136">
        <f t="shared" si="63"/>
        <v>0.42</v>
      </c>
      <c r="H171" s="136">
        <f t="shared" si="63"/>
        <v>0.42</v>
      </c>
      <c r="I171" s="136">
        <f t="shared" si="63"/>
        <v>0.42</v>
      </c>
      <c r="J171" s="136">
        <f t="shared" si="63"/>
        <v>0.42</v>
      </c>
      <c r="K171" s="136">
        <f t="shared" si="63"/>
        <v>0.42</v>
      </c>
      <c r="L171" s="136">
        <f t="shared" si="63"/>
        <v>0.42</v>
      </c>
      <c r="M171" s="136">
        <f t="shared" si="63"/>
        <v>0.42</v>
      </c>
      <c r="N171" s="136">
        <f t="shared" si="63"/>
        <v>0.42</v>
      </c>
      <c r="O171" s="136">
        <f t="shared" si="63"/>
        <v>0.42</v>
      </c>
      <c r="P171" s="136">
        <f t="shared" si="63"/>
        <v>0.42</v>
      </c>
      <c r="Q171" s="136">
        <f t="shared" si="63"/>
        <v>0.42</v>
      </c>
      <c r="R171" s="136">
        <f t="shared" si="63"/>
        <v>0.42</v>
      </c>
      <c r="S171" s="136">
        <f t="shared" si="64"/>
        <v>0.42</v>
      </c>
      <c r="T171" s="136">
        <f t="shared" si="64"/>
        <v>0.42</v>
      </c>
      <c r="U171" s="136">
        <f t="shared" si="64"/>
        <v>0.42</v>
      </c>
      <c r="V171" s="136">
        <f t="shared" si="64"/>
        <v>0.42</v>
      </c>
      <c r="W171" s="136">
        <f t="shared" si="64"/>
        <v>0.42</v>
      </c>
      <c r="X171" s="136">
        <f t="shared" si="64"/>
        <v>0.42</v>
      </c>
      <c r="Y171" s="136">
        <f t="shared" si="64"/>
        <v>0.42</v>
      </c>
      <c r="Z171" s="136">
        <f t="shared" si="64"/>
        <v>0.42</v>
      </c>
      <c r="AA171" s="136">
        <f t="shared" si="64"/>
        <v>0.42</v>
      </c>
      <c r="AB171" s="136">
        <f t="shared" si="64"/>
        <v>0.42</v>
      </c>
      <c r="AC171" s="136">
        <f t="shared" si="64"/>
        <v>0.42</v>
      </c>
      <c r="AD171" s="136">
        <f t="shared" si="64"/>
        <v>0.42</v>
      </c>
      <c r="AE171" s="136">
        <f t="shared" si="64"/>
        <v>0.42</v>
      </c>
      <c r="AF171" s="136">
        <f t="shared" si="64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62"/>
        <v>0.46</v>
      </c>
      <c r="C172" s="137">
        <v>0.46</v>
      </c>
      <c r="D172" s="136">
        <f t="shared" si="63"/>
        <v>0.46</v>
      </c>
      <c r="E172" s="136">
        <f t="shared" si="63"/>
        <v>0.46</v>
      </c>
      <c r="F172" s="136">
        <f t="shared" si="63"/>
        <v>0.46</v>
      </c>
      <c r="G172" s="136">
        <f t="shared" si="63"/>
        <v>0.46</v>
      </c>
      <c r="H172" s="136">
        <f t="shared" si="63"/>
        <v>0.46</v>
      </c>
      <c r="I172" s="136">
        <f t="shared" si="63"/>
        <v>0.46</v>
      </c>
      <c r="J172" s="136">
        <f t="shared" si="63"/>
        <v>0.46</v>
      </c>
      <c r="K172" s="136">
        <f t="shared" si="63"/>
        <v>0.46</v>
      </c>
      <c r="L172" s="136">
        <f t="shared" si="63"/>
        <v>0.46</v>
      </c>
      <c r="M172" s="136">
        <f t="shared" si="63"/>
        <v>0.46</v>
      </c>
      <c r="N172" s="136">
        <f t="shared" si="63"/>
        <v>0.46</v>
      </c>
      <c r="O172" s="136">
        <f t="shared" si="63"/>
        <v>0.46</v>
      </c>
      <c r="P172" s="136">
        <f t="shared" si="63"/>
        <v>0.46</v>
      </c>
      <c r="Q172" s="136">
        <f t="shared" si="63"/>
        <v>0.46</v>
      </c>
      <c r="R172" s="136">
        <f t="shared" si="63"/>
        <v>0.46</v>
      </c>
      <c r="S172" s="136">
        <f t="shared" si="64"/>
        <v>0.46</v>
      </c>
      <c r="T172" s="136">
        <f t="shared" si="64"/>
        <v>0.46</v>
      </c>
      <c r="U172" s="136">
        <f t="shared" si="64"/>
        <v>0.46</v>
      </c>
      <c r="V172" s="136">
        <f t="shared" si="64"/>
        <v>0.46</v>
      </c>
      <c r="W172" s="136">
        <f t="shared" si="64"/>
        <v>0.46</v>
      </c>
      <c r="X172" s="136">
        <f t="shared" si="64"/>
        <v>0.46</v>
      </c>
      <c r="Y172" s="136">
        <f t="shared" si="64"/>
        <v>0.46</v>
      </c>
      <c r="Z172" s="136">
        <f t="shared" si="64"/>
        <v>0.46</v>
      </c>
      <c r="AA172" s="136">
        <f t="shared" si="64"/>
        <v>0.46</v>
      </c>
      <c r="AB172" s="136">
        <f t="shared" si="64"/>
        <v>0.46</v>
      </c>
      <c r="AC172" s="136">
        <f t="shared" si="64"/>
        <v>0.46</v>
      </c>
      <c r="AD172" s="136">
        <f t="shared" si="64"/>
        <v>0.46</v>
      </c>
      <c r="AE172" s="136">
        <f t="shared" si="64"/>
        <v>0.46</v>
      </c>
      <c r="AF172" s="136">
        <f t="shared" si="64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62"/>
        <v>0.85</v>
      </c>
      <c r="C173" s="137">
        <v>0.85</v>
      </c>
      <c r="D173" s="136">
        <f t="shared" si="63"/>
        <v>0.85</v>
      </c>
      <c r="E173" s="136">
        <f t="shared" si="63"/>
        <v>0.85</v>
      </c>
      <c r="F173" s="136">
        <f t="shared" si="63"/>
        <v>0.85</v>
      </c>
      <c r="G173" s="136">
        <f t="shared" si="63"/>
        <v>0.85</v>
      </c>
      <c r="H173" s="136">
        <f t="shared" si="63"/>
        <v>0.85</v>
      </c>
      <c r="I173" s="136">
        <f t="shared" si="63"/>
        <v>0.85</v>
      </c>
      <c r="J173" s="136">
        <f t="shared" si="63"/>
        <v>0.85</v>
      </c>
      <c r="K173" s="136">
        <f t="shared" si="63"/>
        <v>0.85</v>
      </c>
      <c r="L173" s="136">
        <f t="shared" si="63"/>
        <v>0.85</v>
      </c>
      <c r="M173" s="136">
        <f t="shared" si="63"/>
        <v>0.85</v>
      </c>
      <c r="N173" s="136">
        <f t="shared" si="63"/>
        <v>0.85</v>
      </c>
      <c r="O173" s="136">
        <f t="shared" si="63"/>
        <v>0.85</v>
      </c>
      <c r="P173" s="136">
        <f t="shared" si="63"/>
        <v>0.85</v>
      </c>
      <c r="Q173" s="136">
        <f t="shared" si="63"/>
        <v>0.85</v>
      </c>
      <c r="R173" s="136">
        <f t="shared" si="63"/>
        <v>0.85</v>
      </c>
      <c r="S173" s="136">
        <f t="shared" si="64"/>
        <v>0.85</v>
      </c>
      <c r="T173" s="136">
        <f t="shared" si="64"/>
        <v>0.85</v>
      </c>
      <c r="U173" s="136">
        <f t="shared" si="64"/>
        <v>0.85</v>
      </c>
      <c r="V173" s="136">
        <f t="shared" si="64"/>
        <v>0.85</v>
      </c>
      <c r="W173" s="136">
        <f t="shared" si="64"/>
        <v>0.85</v>
      </c>
      <c r="X173" s="136">
        <f t="shared" si="64"/>
        <v>0.85</v>
      </c>
      <c r="Y173" s="136">
        <f t="shared" si="64"/>
        <v>0.85</v>
      </c>
      <c r="Z173" s="136">
        <f t="shared" si="64"/>
        <v>0.85</v>
      </c>
      <c r="AA173" s="136">
        <f t="shared" si="64"/>
        <v>0.85</v>
      </c>
      <c r="AB173" s="136">
        <f t="shared" si="64"/>
        <v>0.85</v>
      </c>
      <c r="AC173" s="136">
        <f t="shared" si="64"/>
        <v>0.85</v>
      </c>
      <c r="AD173" s="136">
        <f t="shared" si="64"/>
        <v>0.85</v>
      </c>
      <c r="AE173" s="136">
        <f t="shared" si="64"/>
        <v>0.85</v>
      </c>
      <c r="AF173" s="136">
        <f t="shared" si="64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62"/>
        <v>0.9</v>
      </c>
      <c r="C174" s="137">
        <v>0.9</v>
      </c>
      <c r="D174" s="136">
        <f t="shared" si="63"/>
        <v>0.9</v>
      </c>
      <c r="E174" s="136">
        <f t="shared" si="63"/>
        <v>0.9</v>
      </c>
      <c r="F174" s="136">
        <f t="shared" si="63"/>
        <v>0.9</v>
      </c>
      <c r="G174" s="136">
        <f t="shared" si="63"/>
        <v>0.9</v>
      </c>
      <c r="H174" s="136">
        <f t="shared" si="63"/>
        <v>0.9</v>
      </c>
      <c r="I174" s="136">
        <f t="shared" si="63"/>
        <v>0.9</v>
      </c>
      <c r="J174" s="136">
        <f t="shared" si="63"/>
        <v>0.9</v>
      </c>
      <c r="K174" s="136">
        <f t="shared" si="63"/>
        <v>0.9</v>
      </c>
      <c r="L174" s="136">
        <f t="shared" si="63"/>
        <v>0.9</v>
      </c>
      <c r="M174" s="136">
        <f t="shared" si="63"/>
        <v>0.9</v>
      </c>
      <c r="N174" s="136">
        <f t="shared" si="63"/>
        <v>0.9</v>
      </c>
      <c r="O174" s="136">
        <f t="shared" si="63"/>
        <v>0.9</v>
      </c>
      <c r="P174" s="136">
        <f t="shared" si="63"/>
        <v>0.9</v>
      </c>
      <c r="Q174" s="136">
        <f t="shared" si="63"/>
        <v>0.9</v>
      </c>
      <c r="R174" s="136">
        <f t="shared" si="63"/>
        <v>0.9</v>
      </c>
      <c r="S174" s="136">
        <f t="shared" si="64"/>
        <v>0.9</v>
      </c>
      <c r="T174" s="136">
        <f t="shared" si="64"/>
        <v>0.9</v>
      </c>
      <c r="U174" s="136">
        <f t="shared" si="64"/>
        <v>0.9</v>
      </c>
      <c r="V174" s="136">
        <f t="shared" si="64"/>
        <v>0.9</v>
      </c>
      <c r="W174" s="136">
        <f t="shared" si="64"/>
        <v>0.9</v>
      </c>
      <c r="X174" s="136">
        <f t="shared" si="64"/>
        <v>0.9</v>
      </c>
      <c r="Y174" s="136">
        <f t="shared" si="64"/>
        <v>0.9</v>
      </c>
      <c r="Z174" s="136">
        <f t="shared" si="64"/>
        <v>0.9</v>
      </c>
      <c r="AA174" s="136">
        <f t="shared" si="64"/>
        <v>0.9</v>
      </c>
      <c r="AB174" s="136">
        <f t="shared" si="64"/>
        <v>0.9</v>
      </c>
      <c r="AC174" s="136">
        <f t="shared" si="64"/>
        <v>0.9</v>
      </c>
      <c r="AD174" s="136">
        <f t="shared" si="64"/>
        <v>0.9</v>
      </c>
      <c r="AE174" s="136">
        <f t="shared" si="64"/>
        <v>0.9</v>
      </c>
      <c r="AF174" s="136">
        <f t="shared" si="64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62"/>
        <v>0.44</v>
      </c>
      <c r="C175" s="137">
        <v>0.44</v>
      </c>
      <c r="D175" s="136">
        <f t="shared" si="63"/>
        <v>0.44</v>
      </c>
      <c r="E175" s="136">
        <f t="shared" si="63"/>
        <v>0.44</v>
      </c>
      <c r="F175" s="136">
        <f t="shared" si="63"/>
        <v>0.44</v>
      </c>
      <c r="G175" s="136">
        <f t="shared" si="63"/>
        <v>0.44</v>
      </c>
      <c r="H175" s="136">
        <f t="shared" si="63"/>
        <v>0.44</v>
      </c>
      <c r="I175" s="136">
        <f t="shared" si="63"/>
        <v>0.44</v>
      </c>
      <c r="J175" s="136">
        <f t="shared" si="63"/>
        <v>0.44</v>
      </c>
      <c r="K175" s="136">
        <f t="shared" si="63"/>
        <v>0.44</v>
      </c>
      <c r="L175" s="136">
        <f t="shared" si="63"/>
        <v>0.44</v>
      </c>
      <c r="M175" s="136">
        <f t="shared" si="63"/>
        <v>0.44</v>
      </c>
      <c r="N175" s="136">
        <f t="shared" si="63"/>
        <v>0.44</v>
      </c>
      <c r="O175" s="136">
        <f t="shared" si="63"/>
        <v>0.44</v>
      </c>
      <c r="P175" s="136">
        <f t="shared" si="63"/>
        <v>0.44</v>
      </c>
      <c r="Q175" s="136">
        <f t="shared" si="63"/>
        <v>0.44</v>
      </c>
      <c r="R175" s="136">
        <f t="shared" si="63"/>
        <v>0.44</v>
      </c>
      <c r="S175" s="136">
        <f t="shared" si="64"/>
        <v>0.44</v>
      </c>
      <c r="T175" s="136">
        <f t="shared" si="64"/>
        <v>0.44</v>
      </c>
      <c r="U175" s="136">
        <f t="shared" si="64"/>
        <v>0.44</v>
      </c>
      <c r="V175" s="136">
        <f t="shared" si="64"/>
        <v>0.44</v>
      </c>
      <c r="W175" s="136">
        <f t="shared" si="64"/>
        <v>0.44</v>
      </c>
      <c r="X175" s="136">
        <f t="shared" si="64"/>
        <v>0.44</v>
      </c>
      <c r="Y175" s="136">
        <f t="shared" si="64"/>
        <v>0.44</v>
      </c>
      <c r="Z175" s="136">
        <f t="shared" si="64"/>
        <v>0.44</v>
      </c>
      <c r="AA175" s="136">
        <f t="shared" si="64"/>
        <v>0.44</v>
      </c>
      <c r="AB175" s="136">
        <f t="shared" si="64"/>
        <v>0.44</v>
      </c>
      <c r="AC175" s="136">
        <f t="shared" si="64"/>
        <v>0.44</v>
      </c>
      <c r="AD175" s="136">
        <f t="shared" si="64"/>
        <v>0.44</v>
      </c>
      <c r="AE175" s="136">
        <f t="shared" si="64"/>
        <v>0.44</v>
      </c>
      <c r="AF175" s="136">
        <f t="shared" si="64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62"/>
        <v>2.1</v>
      </c>
      <c r="C176" s="137">
        <v>2.1</v>
      </c>
      <c r="D176" s="136">
        <f t="shared" si="63"/>
        <v>2.1</v>
      </c>
      <c r="E176" s="136">
        <f t="shared" si="63"/>
        <v>2.1</v>
      </c>
      <c r="F176" s="136">
        <f t="shared" si="63"/>
        <v>2.1</v>
      </c>
      <c r="G176" s="136">
        <f t="shared" si="63"/>
        <v>2.1</v>
      </c>
      <c r="H176" s="136">
        <f t="shared" si="63"/>
        <v>2.1</v>
      </c>
      <c r="I176" s="136">
        <f t="shared" si="63"/>
        <v>2.1</v>
      </c>
      <c r="J176" s="136">
        <f t="shared" si="63"/>
        <v>2.1</v>
      </c>
      <c r="K176" s="136">
        <f t="shared" si="63"/>
        <v>2.1</v>
      </c>
      <c r="L176" s="136">
        <f t="shared" si="63"/>
        <v>2.1</v>
      </c>
      <c r="M176" s="136">
        <f t="shared" si="63"/>
        <v>2.1</v>
      </c>
      <c r="N176" s="136">
        <f t="shared" si="63"/>
        <v>2.1</v>
      </c>
      <c r="O176" s="136">
        <f t="shared" si="63"/>
        <v>2.1</v>
      </c>
      <c r="P176" s="136">
        <f t="shared" si="63"/>
        <v>2.1</v>
      </c>
      <c r="Q176" s="136">
        <f t="shared" si="63"/>
        <v>2.1</v>
      </c>
      <c r="R176" s="136">
        <f t="shared" si="63"/>
        <v>2.1</v>
      </c>
      <c r="S176" s="136">
        <f t="shared" si="64"/>
        <v>2.1</v>
      </c>
      <c r="T176" s="136">
        <f t="shared" si="64"/>
        <v>2.1</v>
      </c>
      <c r="U176" s="136">
        <f t="shared" si="64"/>
        <v>2.1</v>
      </c>
      <c r="V176" s="136">
        <f t="shared" si="64"/>
        <v>2.1</v>
      </c>
      <c r="W176" s="136">
        <f t="shared" si="64"/>
        <v>2.1</v>
      </c>
      <c r="X176" s="136">
        <f t="shared" si="64"/>
        <v>2.1</v>
      </c>
      <c r="Y176" s="136">
        <f t="shared" si="64"/>
        <v>2.1</v>
      </c>
      <c r="Z176" s="136">
        <f t="shared" si="64"/>
        <v>2.1</v>
      </c>
      <c r="AA176" s="136">
        <f t="shared" si="64"/>
        <v>2.1</v>
      </c>
      <c r="AB176" s="136">
        <f t="shared" si="64"/>
        <v>2.1</v>
      </c>
      <c r="AC176" s="136">
        <f t="shared" si="64"/>
        <v>2.1</v>
      </c>
      <c r="AD176" s="136">
        <f t="shared" si="64"/>
        <v>2.1</v>
      </c>
      <c r="AE176" s="136">
        <f t="shared" si="64"/>
        <v>2.1</v>
      </c>
      <c r="AF176" s="136">
        <f t="shared" si="64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62"/>
        <v>0.9</v>
      </c>
      <c r="C177" s="137">
        <v>0.9</v>
      </c>
      <c r="D177" s="136">
        <f t="shared" si="63"/>
        <v>0.9</v>
      </c>
      <c r="E177" s="136">
        <f t="shared" si="63"/>
        <v>0.9</v>
      </c>
      <c r="F177" s="136">
        <f t="shared" si="63"/>
        <v>0.9</v>
      </c>
      <c r="G177" s="136">
        <f t="shared" si="63"/>
        <v>0.9</v>
      </c>
      <c r="H177" s="136">
        <f t="shared" si="63"/>
        <v>0.9</v>
      </c>
      <c r="I177" s="136">
        <f t="shared" si="63"/>
        <v>0.9</v>
      </c>
      <c r="J177" s="136">
        <f t="shared" si="63"/>
        <v>0.9</v>
      </c>
      <c r="K177" s="136">
        <f t="shared" si="63"/>
        <v>0.9</v>
      </c>
      <c r="L177" s="136">
        <f t="shared" si="63"/>
        <v>0.9</v>
      </c>
      <c r="M177" s="136">
        <f t="shared" si="63"/>
        <v>0.9</v>
      </c>
      <c r="N177" s="136">
        <f t="shared" si="63"/>
        <v>0.9</v>
      </c>
      <c r="O177" s="136">
        <f t="shared" si="63"/>
        <v>0.9</v>
      </c>
      <c r="P177" s="136">
        <f t="shared" si="63"/>
        <v>0.9</v>
      </c>
      <c r="Q177" s="136">
        <f t="shared" si="63"/>
        <v>0.9</v>
      </c>
      <c r="R177" s="136">
        <f t="shared" si="63"/>
        <v>0.9</v>
      </c>
      <c r="S177" s="136">
        <f t="shared" si="64"/>
        <v>0.9</v>
      </c>
      <c r="T177" s="136">
        <f t="shared" si="64"/>
        <v>0.9</v>
      </c>
      <c r="U177" s="136">
        <f t="shared" si="64"/>
        <v>0.9</v>
      </c>
      <c r="V177" s="136">
        <f t="shared" si="64"/>
        <v>0.9</v>
      </c>
      <c r="W177" s="136">
        <f t="shared" si="64"/>
        <v>0.9</v>
      </c>
      <c r="X177" s="136">
        <f t="shared" si="64"/>
        <v>0.9</v>
      </c>
      <c r="Y177" s="136">
        <f t="shared" si="64"/>
        <v>0.9</v>
      </c>
      <c r="Z177" s="136">
        <f t="shared" si="64"/>
        <v>0.9</v>
      </c>
      <c r="AA177" s="136">
        <f t="shared" si="64"/>
        <v>0.9</v>
      </c>
      <c r="AB177" s="136">
        <f t="shared" si="64"/>
        <v>0.9</v>
      </c>
      <c r="AC177" s="136">
        <f t="shared" si="64"/>
        <v>0.9</v>
      </c>
      <c r="AD177" s="136">
        <f t="shared" si="64"/>
        <v>0.9</v>
      </c>
      <c r="AE177" s="136">
        <f t="shared" si="64"/>
        <v>0.9</v>
      </c>
      <c r="AF177" s="136">
        <f t="shared" si="64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65">AF179</f>
        <v>0.57999999999999996</v>
      </c>
      <c r="C179" s="137">
        <v>0.57999999999999996</v>
      </c>
      <c r="D179" s="136">
        <f t="shared" ref="D179:S191" si="66">C179</f>
        <v>0.57999999999999996</v>
      </c>
      <c r="E179" s="136">
        <f t="shared" si="66"/>
        <v>0.57999999999999996</v>
      </c>
      <c r="F179" s="136">
        <f t="shared" si="66"/>
        <v>0.57999999999999996</v>
      </c>
      <c r="G179" s="136">
        <f t="shared" si="66"/>
        <v>0.57999999999999996</v>
      </c>
      <c r="H179" s="136">
        <f t="shared" si="66"/>
        <v>0.57999999999999996</v>
      </c>
      <c r="I179" s="136">
        <f t="shared" si="66"/>
        <v>0.57999999999999996</v>
      </c>
      <c r="J179" s="136">
        <f t="shared" si="66"/>
        <v>0.57999999999999996</v>
      </c>
      <c r="K179" s="136">
        <f t="shared" si="66"/>
        <v>0.57999999999999996</v>
      </c>
      <c r="L179" s="136">
        <f t="shared" si="66"/>
        <v>0.57999999999999996</v>
      </c>
      <c r="M179" s="136">
        <f t="shared" si="66"/>
        <v>0.57999999999999996</v>
      </c>
      <c r="N179" s="136">
        <f t="shared" si="66"/>
        <v>0.57999999999999996</v>
      </c>
      <c r="O179" s="136">
        <f t="shared" si="66"/>
        <v>0.57999999999999996</v>
      </c>
      <c r="P179" s="136">
        <f t="shared" si="66"/>
        <v>0.57999999999999996</v>
      </c>
      <c r="Q179" s="136">
        <f t="shared" si="66"/>
        <v>0.57999999999999996</v>
      </c>
      <c r="R179" s="136">
        <f t="shared" si="66"/>
        <v>0.57999999999999996</v>
      </c>
      <c r="S179" s="136">
        <f t="shared" si="66"/>
        <v>0.57999999999999996</v>
      </c>
      <c r="T179" s="136">
        <f t="shared" ref="S179:AF191" si="67">S179</f>
        <v>0.57999999999999996</v>
      </c>
      <c r="U179" s="136">
        <f t="shared" si="67"/>
        <v>0.57999999999999996</v>
      </c>
      <c r="V179" s="136">
        <f t="shared" si="67"/>
        <v>0.57999999999999996</v>
      </c>
      <c r="W179" s="136">
        <f t="shared" si="67"/>
        <v>0.57999999999999996</v>
      </c>
      <c r="X179" s="136">
        <f t="shared" si="67"/>
        <v>0.57999999999999996</v>
      </c>
      <c r="Y179" s="136">
        <f t="shared" si="67"/>
        <v>0.57999999999999996</v>
      </c>
      <c r="Z179" s="136">
        <f t="shared" si="67"/>
        <v>0.57999999999999996</v>
      </c>
      <c r="AA179" s="136">
        <f t="shared" si="67"/>
        <v>0.57999999999999996</v>
      </c>
      <c r="AB179" s="136">
        <f t="shared" si="67"/>
        <v>0.57999999999999996</v>
      </c>
      <c r="AC179" s="136">
        <f t="shared" si="67"/>
        <v>0.57999999999999996</v>
      </c>
      <c r="AD179" s="136">
        <f t="shared" si="67"/>
        <v>0.57999999999999996</v>
      </c>
      <c r="AE179" s="136">
        <f t="shared" si="67"/>
        <v>0.57999999999999996</v>
      </c>
      <c r="AF179" s="136">
        <f t="shared" si="67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65"/>
        <v>0.8</v>
      </c>
      <c r="C180" s="137">
        <v>0.8</v>
      </c>
      <c r="D180" s="136">
        <f t="shared" si="66"/>
        <v>0.8</v>
      </c>
      <c r="E180" s="136">
        <f t="shared" si="66"/>
        <v>0.8</v>
      </c>
      <c r="F180" s="136">
        <f t="shared" si="66"/>
        <v>0.8</v>
      </c>
      <c r="G180" s="136">
        <f t="shared" si="66"/>
        <v>0.8</v>
      </c>
      <c r="H180" s="136">
        <f t="shared" si="66"/>
        <v>0.8</v>
      </c>
      <c r="I180" s="136">
        <f t="shared" si="66"/>
        <v>0.8</v>
      </c>
      <c r="J180" s="136">
        <f t="shared" si="66"/>
        <v>0.8</v>
      </c>
      <c r="K180" s="136">
        <f t="shared" si="66"/>
        <v>0.8</v>
      </c>
      <c r="L180" s="136">
        <f t="shared" si="66"/>
        <v>0.8</v>
      </c>
      <c r="M180" s="136">
        <f t="shared" si="66"/>
        <v>0.8</v>
      </c>
      <c r="N180" s="136">
        <f t="shared" si="66"/>
        <v>0.8</v>
      </c>
      <c r="O180" s="136">
        <f t="shared" si="66"/>
        <v>0.8</v>
      </c>
      <c r="P180" s="136">
        <f t="shared" si="66"/>
        <v>0.8</v>
      </c>
      <c r="Q180" s="136">
        <f t="shared" si="66"/>
        <v>0.8</v>
      </c>
      <c r="R180" s="136">
        <f t="shared" si="66"/>
        <v>0.8</v>
      </c>
      <c r="S180" s="136">
        <f t="shared" si="66"/>
        <v>0.8</v>
      </c>
      <c r="T180" s="136">
        <f t="shared" si="67"/>
        <v>0.8</v>
      </c>
      <c r="U180" s="136">
        <f t="shared" si="67"/>
        <v>0.8</v>
      </c>
      <c r="V180" s="136">
        <f t="shared" si="67"/>
        <v>0.8</v>
      </c>
      <c r="W180" s="136">
        <f t="shared" si="67"/>
        <v>0.8</v>
      </c>
      <c r="X180" s="136">
        <f t="shared" si="67"/>
        <v>0.8</v>
      </c>
      <c r="Y180" s="136">
        <f t="shared" si="67"/>
        <v>0.8</v>
      </c>
      <c r="Z180" s="136">
        <f t="shared" si="67"/>
        <v>0.8</v>
      </c>
      <c r="AA180" s="136">
        <f t="shared" si="67"/>
        <v>0.8</v>
      </c>
      <c r="AB180" s="136">
        <f t="shared" si="67"/>
        <v>0.8</v>
      </c>
      <c r="AC180" s="136">
        <f t="shared" si="67"/>
        <v>0.8</v>
      </c>
      <c r="AD180" s="136">
        <f t="shared" si="67"/>
        <v>0.8</v>
      </c>
      <c r="AE180" s="136">
        <f t="shared" si="67"/>
        <v>0.8</v>
      </c>
      <c r="AF180" s="136">
        <f t="shared" si="67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65"/>
        <v>0</v>
      </c>
      <c r="C181" s="137">
        <v>0</v>
      </c>
      <c r="D181" s="136">
        <f t="shared" si="66"/>
        <v>0</v>
      </c>
      <c r="E181" s="136">
        <f t="shared" si="66"/>
        <v>0</v>
      </c>
      <c r="F181" s="136">
        <f t="shared" si="66"/>
        <v>0</v>
      </c>
      <c r="G181" s="136">
        <f t="shared" si="66"/>
        <v>0</v>
      </c>
      <c r="H181" s="136">
        <f t="shared" si="66"/>
        <v>0</v>
      </c>
      <c r="I181" s="136">
        <f t="shared" si="66"/>
        <v>0</v>
      </c>
      <c r="J181" s="136">
        <f t="shared" si="66"/>
        <v>0</v>
      </c>
      <c r="K181" s="136">
        <f t="shared" si="66"/>
        <v>0</v>
      </c>
      <c r="L181" s="136">
        <f t="shared" si="66"/>
        <v>0</v>
      </c>
      <c r="M181" s="136">
        <f t="shared" si="66"/>
        <v>0</v>
      </c>
      <c r="N181" s="136">
        <f t="shared" si="66"/>
        <v>0</v>
      </c>
      <c r="O181" s="136">
        <f t="shared" si="66"/>
        <v>0</v>
      </c>
      <c r="P181" s="136">
        <f t="shared" si="66"/>
        <v>0</v>
      </c>
      <c r="Q181" s="136">
        <f t="shared" si="66"/>
        <v>0</v>
      </c>
      <c r="R181" s="136">
        <f t="shared" si="66"/>
        <v>0</v>
      </c>
      <c r="S181" s="136">
        <f t="shared" si="66"/>
        <v>0</v>
      </c>
      <c r="T181" s="136">
        <f t="shared" si="67"/>
        <v>0</v>
      </c>
      <c r="U181" s="136">
        <f t="shared" si="67"/>
        <v>0</v>
      </c>
      <c r="V181" s="136">
        <f t="shared" si="67"/>
        <v>0</v>
      </c>
      <c r="W181" s="136">
        <f t="shared" si="67"/>
        <v>0</v>
      </c>
      <c r="X181" s="136">
        <f t="shared" si="67"/>
        <v>0</v>
      </c>
      <c r="Y181" s="136">
        <f t="shared" si="67"/>
        <v>0</v>
      </c>
      <c r="Z181" s="136">
        <f t="shared" si="67"/>
        <v>0</v>
      </c>
      <c r="AA181" s="136">
        <f t="shared" si="67"/>
        <v>0</v>
      </c>
      <c r="AB181" s="136">
        <f t="shared" si="67"/>
        <v>0</v>
      </c>
      <c r="AC181" s="136">
        <f t="shared" si="67"/>
        <v>0</v>
      </c>
      <c r="AD181" s="136">
        <f t="shared" si="67"/>
        <v>0</v>
      </c>
      <c r="AE181" s="136">
        <f t="shared" si="67"/>
        <v>0</v>
      </c>
      <c r="AF181" s="136">
        <f t="shared" si="67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65"/>
        <v>0.6</v>
      </c>
      <c r="C182" s="137">
        <v>0.6</v>
      </c>
      <c r="D182" s="136">
        <f t="shared" si="66"/>
        <v>0.6</v>
      </c>
      <c r="E182" s="136">
        <f t="shared" si="66"/>
        <v>0.6</v>
      </c>
      <c r="F182" s="136">
        <f t="shared" si="66"/>
        <v>0.6</v>
      </c>
      <c r="G182" s="136">
        <f t="shared" si="66"/>
        <v>0.6</v>
      </c>
      <c r="H182" s="136">
        <f t="shared" si="66"/>
        <v>0.6</v>
      </c>
      <c r="I182" s="136">
        <f t="shared" si="66"/>
        <v>0.6</v>
      </c>
      <c r="J182" s="136">
        <f t="shared" si="66"/>
        <v>0.6</v>
      </c>
      <c r="K182" s="136">
        <f t="shared" si="66"/>
        <v>0.6</v>
      </c>
      <c r="L182" s="136">
        <f t="shared" si="66"/>
        <v>0.6</v>
      </c>
      <c r="M182" s="136">
        <f t="shared" si="66"/>
        <v>0.6</v>
      </c>
      <c r="N182" s="136">
        <f t="shared" si="66"/>
        <v>0.6</v>
      </c>
      <c r="O182" s="136">
        <f t="shared" si="66"/>
        <v>0.6</v>
      </c>
      <c r="P182" s="136">
        <f t="shared" si="66"/>
        <v>0.6</v>
      </c>
      <c r="Q182" s="136">
        <f t="shared" si="66"/>
        <v>0.6</v>
      </c>
      <c r="R182" s="136">
        <f t="shared" si="66"/>
        <v>0.6</v>
      </c>
      <c r="S182" s="136">
        <f t="shared" si="66"/>
        <v>0.6</v>
      </c>
      <c r="T182" s="136">
        <f t="shared" si="67"/>
        <v>0.6</v>
      </c>
      <c r="U182" s="136">
        <f t="shared" si="67"/>
        <v>0.6</v>
      </c>
      <c r="V182" s="136">
        <f t="shared" si="67"/>
        <v>0.6</v>
      </c>
      <c r="W182" s="136">
        <f t="shared" si="67"/>
        <v>0.6</v>
      </c>
      <c r="X182" s="136">
        <f t="shared" si="67"/>
        <v>0.6</v>
      </c>
      <c r="Y182" s="136">
        <f t="shared" si="67"/>
        <v>0.6</v>
      </c>
      <c r="Z182" s="136">
        <f t="shared" si="67"/>
        <v>0.6</v>
      </c>
      <c r="AA182" s="136">
        <f t="shared" si="67"/>
        <v>0.6</v>
      </c>
      <c r="AB182" s="136">
        <f t="shared" si="67"/>
        <v>0.6</v>
      </c>
      <c r="AC182" s="136">
        <f t="shared" si="67"/>
        <v>0.6</v>
      </c>
      <c r="AD182" s="136">
        <f t="shared" si="67"/>
        <v>0.6</v>
      </c>
      <c r="AE182" s="136">
        <f t="shared" si="67"/>
        <v>0.6</v>
      </c>
      <c r="AF182" s="136">
        <f t="shared" si="67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65"/>
        <v>0.6</v>
      </c>
      <c r="C183" s="137">
        <v>0.6</v>
      </c>
      <c r="D183" s="136">
        <f t="shared" si="66"/>
        <v>0.6</v>
      </c>
      <c r="E183" s="136">
        <f t="shared" si="66"/>
        <v>0.6</v>
      </c>
      <c r="F183" s="136">
        <f t="shared" si="66"/>
        <v>0.6</v>
      </c>
      <c r="G183" s="136">
        <f t="shared" si="66"/>
        <v>0.6</v>
      </c>
      <c r="H183" s="136">
        <f t="shared" si="66"/>
        <v>0.6</v>
      </c>
      <c r="I183" s="136">
        <f t="shared" si="66"/>
        <v>0.6</v>
      </c>
      <c r="J183" s="136">
        <f t="shared" si="66"/>
        <v>0.6</v>
      </c>
      <c r="K183" s="136">
        <f t="shared" si="66"/>
        <v>0.6</v>
      </c>
      <c r="L183" s="136">
        <f t="shared" si="66"/>
        <v>0.6</v>
      </c>
      <c r="M183" s="136">
        <f t="shared" si="66"/>
        <v>0.6</v>
      </c>
      <c r="N183" s="136">
        <f t="shared" si="66"/>
        <v>0.6</v>
      </c>
      <c r="O183" s="136">
        <f t="shared" si="66"/>
        <v>0.6</v>
      </c>
      <c r="P183" s="136">
        <f t="shared" si="66"/>
        <v>0.6</v>
      </c>
      <c r="Q183" s="136">
        <f t="shared" si="66"/>
        <v>0.6</v>
      </c>
      <c r="R183" s="136">
        <f t="shared" si="66"/>
        <v>0.6</v>
      </c>
      <c r="S183" s="136">
        <f t="shared" si="66"/>
        <v>0.6</v>
      </c>
      <c r="T183" s="136">
        <f t="shared" si="67"/>
        <v>0.6</v>
      </c>
      <c r="U183" s="136">
        <f t="shared" si="67"/>
        <v>0.6</v>
      </c>
      <c r="V183" s="136">
        <f t="shared" si="67"/>
        <v>0.6</v>
      </c>
      <c r="W183" s="136">
        <f t="shared" si="67"/>
        <v>0.6</v>
      </c>
      <c r="X183" s="136">
        <f t="shared" si="67"/>
        <v>0.6</v>
      </c>
      <c r="Y183" s="136">
        <f t="shared" si="67"/>
        <v>0.6</v>
      </c>
      <c r="Z183" s="136">
        <f t="shared" si="67"/>
        <v>0.6</v>
      </c>
      <c r="AA183" s="136">
        <f t="shared" si="67"/>
        <v>0.6</v>
      </c>
      <c r="AB183" s="136">
        <f t="shared" si="67"/>
        <v>0.6</v>
      </c>
      <c r="AC183" s="136">
        <f t="shared" si="67"/>
        <v>0.6</v>
      </c>
      <c r="AD183" s="136">
        <f t="shared" si="67"/>
        <v>0.6</v>
      </c>
      <c r="AE183" s="136">
        <f t="shared" si="67"/>
        <v>0.6</v>
      </c>
      <c r="AF183" s="136">
        <f t="shared" si="67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65"/>
        <v>0.35</v>
      </c>
      <c r="C184" s="137">
        <v>0.35</v>
      </c>
      <c r="D184" s="136">
        <f t="shared" si="66"/>
        <v>0.35</v>
      </c>
      <c r="E184" s="136">
        <f t="shared" si="66"/>
        <v>0.35</v>
      </c>
      <c r="F184" s="136">
        <f t="shared" si="66"/>
        <v>0.35</v>
      </c>
      <c r="G184" s="136">
        <f t="shared" si="66"/>
        <v>0.35</v>
      </c>
      <c r="H184" s="136">
        <f t="shared" si="66"/>
        <v>0.35</v>
      </c>
      <c r="I184" s="136">
        <f t="shared" si="66"/>
        <v>0.35</v>
      </c>
      <c r="J184" s="136">
        <f t="shared" si="66"/>
        <v>0.35</v>
      </c>
      <c r="K184" s="136">
        <f t="shared" si="66"/>
        <v>0.35</v>
      </c>
      <c r="L184" s="136">
        <f t="shared" si="66"/>
        <v>0.35</v>
      </c>
      <c r="M184" s="136">
        <f t="shared" si="66"/>
        <v>0.35</v>
      </c>
      <c r="N184" s="136">
        <f t="shared" si="66"/>
        <v>0.35</v>
      </c>
      <c r="O184" s="136">
        <f t="shared" si="66"/>
        <v>0.35</v>
      </c>
      <c r="P184" s="136">
        <f t="shared" si="66"/>
        <v>0.35</v>
      </c>
      <c r="Q184" s="136">
        <f t="shared" si="66"/>
        <v>0.35</v>
      </c>
      <c r="R184" s="136">
        <f t="shared" si="66"/>
        <v>0.35</v>
      </c>
      <c r="S184" s="136">
        <f t="shared" si="66"/>
        <v>0.35</v>
      </c>
      <c r="T184" s="136">
        <f t="shared" si="67"/>
        <v>0.35</v>
      </c>
      <c r="U184" s="136">
        <f t="shared" si="67"/>
        <v>0.35</v>
      </c>
      <c r="V184" s="136">
        <f t="shared" si="67"/>
        <v>0.35</v>
      </c>
      <c r="W184" s="136">
        <f t="shared" si="67"/>
        <v>0.35</v>
      </c>
      <c r="X184" s="136">
        <f t="shared" si="67"/>
        <v>0.35</v>
      </c>
      <c r="Y184" s="136">
        <f t="shared" si="67"/>
        <v>0.35</v>
      </c>
      <c r="Z184" s="136">
        <f t="shared" si="67"/>
        <v>0.35</v>
      </c>
      <c r="AA184" s="136">
        <f t="shared" si="67"/>
        <v>0.35</v>
      </c>
      <c r="AB184" s="136">
        <f t="shared" si="67"/>
        <v>0.35</v>
      </c>
      <c r="AC184" s="136">
        <f t="shared" si="67"/>
        <v>0.35</v>
      </c>
      <c r="AD184" s="136">
        <f t="shared" si="67"/>
        <v>0.35</v>
      </c>
      <c r="AE184" s="136">
        <f t="shared" si="67"/>
        <v>0.35</v>
      </c>
      <c r="AF184" s="136">
        <f t="shared" si="67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65"/>
        <v>0.28999999999999998</v>
      </c>
      <c r="C185" s="137">
        <v>0.28999999999999998</v>
      </c>
      <c r="D185" s="136">
        <f t="shared" si="66"/>
        <v>0.28999999999999998</v>
      </c>
      <c r="E185" s="136">
        <f t="shared" si="66"/>
        <v>0.28999999999999998</v>
      </c>
      <c r="F185" s="136">
        <f t="shared" si="66"/>
        <v>0.28999999999999998</v>
      </c>
      <c r="G185" s="136">
        <f t="shared" si="66"/>
        <v>0.28999999999999998</v>
      </c>
      <c r="H185" s="136">
        <f t="shared" si="66"/>
        <v>0.28999999999999998</v>
      </c>
      <c r="I185" s="136">
        <f t="shared" si="66"/>
        <v>0.28999999999999998</v>
      </c>
      <c r="J185" s="136">
        <f t="shared" si="66"/>
        <v>0.28999999999999998</v>
      </c>
      <c r="K185" s="136">
        <f t="shared" si="66"/>
        <v>0.28999999999999998</v>
      </c>
      <c r="L185" s="136">
        <f t="shared" si="66"/>
        <v>0.28999999999999998</v>
      </c>
      <c r="M185" s="136">
        <f t="shared" si="66"/>
        <v>0.28999999999999998</v>
      </c>
      <c r="N185" s="136">
        <f t="shared" si="66"/>
        <v>0.28999999999999998</v>
      </c>
      <c r="O185" s="136">
        <f t="shared" si="66"/>
        <v>0.28999999999999998</v>
      </c>
      <c r="P185" s="136">
        <f t="shared" si="66"/>
        <v>0.28999999999999998</v>
      </c>
      <c r="Q185" s="136">
        <f t="shared" si="66"/>
        <v>0.28999999999999998</v>
      </c>
      <c r="R185" s="136">
        <f t="shared" si="66"/>
        <v>0.28999999999999998</v>
      </c>
      <c r="S185" s="136">
        <f t="shared" si="66"/>
        <v>0.28999999999999998</v>
      </c>
      <c r="T185" s="136">
        <f t="shared" si="67"/>
        <v>0.28999999999999998</v>
      </c>
      <c r="U185" s="136">
        <f t="shared" si="67"/>
        <v>0.28999999999999998</v>
      </c>
      <c r="V185" s="136">
        <f t="shared" si="67"/>
        <v>0.28999999999999998</v>
      </c>
      <c r="W185" s="136">
        <f t="shared" si="67"/>
        <v>0.28999999999999998</v>
      </c>
      <c r="X185" s="136">
        <f t="shared" si="67"/>
        <v>0.28999999999999998</v>
      </c>
      <c r="Y185" s="136">
        <f t="shared" si="67"/>
        <v>0.28999999999999998</v>
      </c>
      <c r="Z185" s="136">
        <f t="shared" si="67"/>
        <v>0.28999999999999998</v>
      </c>
      <c r="AA185" s="136">
        <f t="shared" si="67"/>
        <v>0.28999999999999998</v>
      </c>
      <c r="AB185" s="136">
        <f t="shared" si="67"/>
        <v>0.28999999999999998</v>
      </c>
      <c r="AC185" s="136">
        <f t="shared" si="67"/>
        <v>0.28999999999999998</v>
      </c>
      <c r="AD185" s="136">
        <f t="shared" si="67"/>
        <v>0.28999999999999998</v>
      </c>
      <c r="AE185" s="136">
        <f t="shared" si="67"/>
        <v>0.28999999999999998</v>
      </c>
      <c r="AF185" s="136">
        <f t="shared" si="67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65"/>
        <v>0.06</v>
      </c>
      <c r="C186" s="137">
        <v>0.06</v>
      </c>
      <c r="D186" s="136">
        <f t="shared" si="66"/>
        <v>0.06</v>
      </c>
      <c r="E186" s="136">
        <f t="shared" si="66"/>
        <v>0.06</v>
      </c>
      <c r="F186" s="136">
        <f t="shared" si="66"/>
        <v>0.06</v>
      </c>
      <c r="G186" s="136">
        <f t="shared" si="66"/>
        <v>0.06</v>
      </c>
      <c r="H186" s="136">
        <f t="shared" si="66"/>
        <v>0.06</v>
      </c>
      <c r="I186" s="136">
        <f t="shared" si="66"/>
        <v>0.06</v>
      </c>
      <c r="J186" s="136">
        <f t="shared" si="66"/>
        <v>0.06</v>
      </c>
      <c r="K186" s="136">
        <f t="shared" si="66"/>
        <v>0.06</v>
      </c>
      <c r="L186" s="136">
        <f t="shared" si="66"/>
        <v>0.06</v>
      </c>
      <c r="M186" s="136">
        <f t="shared" si="66"/>
        <v>0.06</v>
      </c>
      <c r="N186" s="136">
        <f t="shared" si="66"/>
        <v>0.06</v>
      </c>
      <c r="O186" s="136">
        <f t="shared" si="66"/>
        <v>0.06</v>
      </c>
      <c r="P186" s="136">
        <f t="shared" si="66"/>
        <v>0.06</v>
      </c>
      <c r="Q186" s="136">
        <f t="shared" si="66"/>
        <v>0.06</v>
      </c>
      <c r="R186" s="136">
        <f t="shared" si="66"/>
        <v>0.06</v>
      </c>
      <c r="S186" s="136">
        <f t="shared" si="66"/>
        <v>0.06</v>
      </c>
      <c r="T186" s="136">
        <f t="shared" si="67"/>
        <v>0.06</v>
      </c>
      <c r="U186" s="136">
        <f t="shared" si="67"/>
        <v>0.06</v>
      </c>
      <c r="V186" s="136">
        <f t="shared" si="67"/>
        <v>0.06</v>
      </c>
      <c r="W186" s="136">
        <f t="shared" si="67"/>
        <v>0.06</v>
      </c>
      <c r="X186" s="136">
        <f t="shared" si="67"/>
        <v>0.06</v>
      </c>
      <c r="Y186" s="136">
        <f t="shared" si="67"/>
        <v>0.06</v>
      </c>
      <c r="Z186" s="136">
        <f t="shared" si="67"/>
        <v>0.06</v>
      </c>
      <c r="AA186" s="136">
        <f t="shared" si="67"/>
        <v>0.06</v>
      </c>
      <c r="AB186" s="136">
        <f t="shared" si="67"/>
        <v>0.06</v>
      </c>
      <c r="AC186" s="136">
        <f t="shared" si="67"/>
        <v>0.06</v>
      </c>
      <c r="AD186" s="136">
        <f t="shared" si="67"/>
        <v>0.06</v>
      </c>
      <c r="AE186" s="136">
        <f t="shared" si="67"/>
        <v>0.06</v>
      </c>
      <c r="AF186" s="136">
        <f t="shared" si="67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65"/>
        <v>0.11</v>
      </c>
      <c r="C187" s="137">
        <v>0.11</v>
      </c>
      <c r="D187" s="136">
        <f t="shared" si="66"/>
        <v>0.11</v>
      </c>
      <c r="E187" s="136">
        <f t="shared" si="66"/>
        <v>0.11</v>
      </c>
      <c r="F187" s="136">
        <f t="shared" si="66"/>
        <v>0.11</v>
      </c>
      <c r="G187" s="136">
        <f t="shared" si="66"/>
        <v>0.11</v>
      </c>
      <c r="H187" s="136">
        <f t="shared" si="66"/>
        <v>0.11</v>
      </c>
      <c r="I187" s="136">
        <f t="shared" si="66"/>
        <v>0.11</v>
      </c>
      <c r="J187" s="136">
        <f t="shared" si="66"/>
        <v>0.11</v>
      </c>
      <c r="K187" s="136">
        <f t="shared" si="66"/>
        <v>0.11</v>
      </c>
      <c r="L187" s="136">
        <f t="shared" si="66"/>
        <v>0.11</v>
      </c>
      <c r="M187" s="136">
        <f t="shared" si="66"/>
        <v>0.11</v>
      </c>
      <c r="N187" s="136">
        <f t="shared" si="66"/>
        <v>0.11</v>
      </c>
      <c r="O187" s="136">
        <f t="shared" si="66"/>
        <v>0.11</v>
      </c>
      <c r="P187" s="136">
        <f t="shared" si="66"/>
        <v>0.11</v>
      </c>
      <c r="Q187" s="136">
        <f t="shared" si="66"/>
        <v>0.11</v>
      </c>
      <c r="R187" s="136">
        <f t="shared" si="66"/>
        <v>0.11</v>
      </c>
      <c r="S187" s="136">
        <f t="shared" si="66"/>
        <v>0.11</v>
      </c>
      <c r="T187" s="136">
        <f t="shared" si="67"/>
        <v>0.11</v>
      </c>
      <c r="U187" s="136">
        <f t="shared" si="67"/>
        <v>0.11</v>
      </c>
      <c r="V187" s="136">
        <f t="shared" si="67"/>
        <v>0.11</v>
      </c>
      <c r="W187" s="136">
        <f t="shared" si="67"/>
        <v>0.11</v>
      </c>
      <c r="X187" s="136">
        <f t="shared" si="67"/>
        <v>0.11</v>
      </c>
      <c r="Y187" s="136">
        <f t="shared" si="67"/>
        <v>0.11</v>
      </c>
      <c r="Z187" s="136">
        <f t="shared" si="67"/>
        <v>0.11</v>
      </c>
      <c r="AA187" s="136">
        <f t="shared" si="67"/>
        <v>0.11</v>
      </c>
      <c r="AB187" s="136">
        <f t="shared" si="67"/>
        <v>0.11</v>
      </c>
      <c r="AC187" s="136">
        <f t="shared" si="67"/>
        <v>0.11</v>
      </c>
      <c r="AD187" s="136">
        <f t="shared" si="67"/>
        <v>0.11</v>
      </c>
      <c r="AE187" s="136">
        <f t="shared" si="67"/>
        <v>0.11</v>
      </c>
      <c r="AF187" s="136">
        <f t="shared" si="67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65"/>
        <v>0.1</v>
      </c>
      <c r="C188" s="137">
        <v>0.1</v>
      </c>
      <c r="D188" s="136">
        <f t="shared" si="66"/>
        <v>0.1</v>
      </c>
      <c r="E188" s="136">
        <f t="shared" si="66"/>
        <v>0.1</v>
      </c>
      <c r="F188" s="136">
        <f t="shared" si="66"/>
        <v>0.1</v>
      </c>
      <c r="G188" s="136">
        <f t="shared" si="66"/>
        <v>0.1</v>
      </c>
      <c r="H188" s="136">
        <f t="shared" si="66"/>
        <v>0.1</v>
      </c>
      <c r="I188" s="136">
        <f t="shared" si="66"/>
        <v>0.1</v>
      </c>
      <c r="J188" s="136">
        <f t="shared" si="66"/>
        <v>0.1</v>
      </c>
      <c r="K188" s="136">
        <f t="shared" si="66"/>
        <v>0.1</v>
      </c>
      <c r="L188" s="136">
        <f t="shared" si="66"/>
        <v>0.1</v>
      </c>
      <c r="M188" s="136">
        <f t="shared" si="66"/>
        <v>0.1</v>
      </c>
      <c r="N188" s="136">
        <f t="shared" si="66"/>
        <v>0.1</v>
      </c>
      <c r="O188" s="136">
        <f t="shared" si="66"/>
        <v>0.1</v>
      </c>
      <c r="P188" s="136">
        <f t="shared" si="66"/>
        <v>0.1</v>
      </c>
      <c r="Q188" s="136">
        <f t="shared" si="66"/>
        <v>0.1</v>
      </c>
      <c r="R188" s="136">
        <f t="shared" si="66"/>
        <v>0.1</v>
      </c>
      <c r="S188" s="136">
        <f t="shared" si="67"/>
        <v>0.1</v>
      </c>
      <c r="T188" s="136">
        <f t="shared" si="67"/>
        <v>0.1</v>
      </c>
      <c r="U188" s="136">
        <f t="shared" si="67"/>
        <v>0.1</v>
      </c>
      <c r="V188" s="136">
        <f t="shared" si="67"/>
        <v>0.1</v>
      </c>
      <c r="W188" s="136">
        <f t="shared" si="67"/>
        <v>0.1</v>
      </c>
      <c r="X188" s="136">
        <f t="shared" si="67"/>
        <v>0.1</v>
      </c>
      <c r="Y188" s="136">
        <f t="shared" si="67"/>
        <v>0.1</v>
      </c>
      <c r="Z188" s="136">
        <f t="shared" si="67"/>
        <v>0.1</v>
      </c>
      <c r="AA188" s="136">
        <f t="shared" si="67"/>
        <v>0.1</v>
      </c>
      <c r="AB188" s="136">
        <f t="shared" si="67"/>
        <v>0.1</v>
      </c>
      <c r="AC188" s="136">
        <f t="shared" si="67"/>
        <v>0.1</v>
      </c>
      <c r="AD188" s="136">
        <f t="shared" si="67"/>
        <v>0.1</v>
      </c>
      <c r="AE188" s="136">
        <f t="shared" si="67"/>
        <v>0.1</v>
      </c>
      <c r="AF188" s="136">
        <f t="shared" si="67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65"/>
        <v>0.09</v>
      </c>
      <c r="C189" s="137">
        <v>0.09</v>
      </c>
      <c r="D189" s="136">
        <f t="shared" si="66"/>
        <v>0.09</v>
      </c>
      <c r="E189" s="136">
        <f t="shared" si="66"/>
        <v>0.09</v>
      </c>
      <c r="F189" s="136">
        <f t="shared" si="66"/>
        <v>0.09</v>
      </c>
      <c r="G189" s="136">
        <f t="shared" si="66"/>
        <v>0.09</v>
      </c>
      <c r="H189" s="136">
        <f t="shared" si="66"/>
        <v>0.09</v>
      </c>
      <c r="I189" s="136">
        <f t="shared" si="66"/>
        <v>0.09</v>
      </c>
      <c r="J189" s="136">
        <f t="shared" si="66"/>
        <v>0.09</v>
      </c>
      <c r="K189" s="136">
        <f t="shared" si="66"/>
        <v>0.09</v>
      </c>
      <c r="L189" s="136">
        <f t="shared" si="66"/>
        <v>0.09</v>
      </c>
      <c r="M189" s="136">
        <f t="shared" si="66"/>
        <v>0.09</v>
      </c>
      <c r="N189" s="136">
        <f t="shared" si="66"/>
        <v>0.09</v>
      </c>
      <c r="O189" s="136">
        <f t="shared" si="66"/>
        <v>0.09</v>
      </c>
      <c r="P189" s="136">
        <f t="shared" si="66"/>
        <v>0.09</v>
      </c>
      <c r="Q189" s="136">
        <f t="shared" si="66"/>
        <v>0.09</v>
      </c>
      <c r="R189" s="136">
        <f t="shared" si="66"/>
        <v>0.09</v>
      </c>
      <c r="S189" s="136">
        <f t="shared" si="67"/>
        <v>0.09</v>
      </c>
      <c r="T189" s="136">
        <f t="shared" si="67"/>
        <v>0.09</v>
      </c>
      <c r="U189" s="136">
        <f t="shared" si="67"/>
        <v>0.09</v>
      </c>
      <c r="V189" s="136">
        <f t="shared" si="67"/>
        <v>0.09</v>
      </c>
      <c r="W189" s="136">
        <f t="shared" si="67"/>
        <v>0.09</v>
      </c>
      <c r="X189" s="136">
        <f t="shared" si="67"/>
        <v>0.09</v>
      </c>
      <c r="Y189" s="136">
        <f t="shared" si="67"/>
        <v>0.09</v>
      </c>
      <c r="Z189" s="136">
        <f t="shared" si="67"/>
        <v>0.09</v>
      </c>
      <c r="AA189" s="136">
        <f t="shared" si="67"/>
        <v>0.09</v>
      </c>
      <c r="AB189" s="136">
        <f t="shared" si="67"/>
        <v>0.09</v>
      </c>
      <c r="AC189" s="136">
        <f t="shared" si="67"/>
        <v>0.09</v>
      </c>
      <c r="AD189" s="136">
        <f t="shared" si="67"/>
        <v>0.09</v>
      </c>
      <c r="AE189" s="136">
        <f t="shared" si="67"/>
        <v>0.09</v>
      </c>
      <c r="AF189" s="136">
        <f t="shared" si="67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65"/>
        <v>0.04</v>
      </c>
      <c r="C190" s="53">
        <v>0.04</v>
      </c>
      <c r="D190" s="136">
        <f t="shared" si="66"/>
        <v>0.04</v>
      </c>
      <c r="E190" s="136">
        <f t="shared" si="66"/>
        <v>0.04</v>
      </c>
      <c r="F190" s="136">
        <f t="shared" si="66"/>
        <v>0.04</v>
      </c>
      <c r="G190" s="136">
        <f t="shared" si="66"/>
        <v>0.04</v>
      </c>
      <c r="H190" s="136">
        <f t="shared" si="66"/>
        <v>0.04</v>
      </c>
      <c r="I190" s="136">
        <f t="shared" si="66"/>
        <v>0.04</v>
      </c>
      <c r="J190" s="136">
        <f t="shared" si="66"/>
        <v>0.04</v>
      </c>
      <c r="K190" s="136">
        <f t="shared" si="66"/>
        <v>0.04</v>
      </c>
      <c r="L190" s="136">
        <f t="shared" si="66"/>
        <v>0.04</v>
      </c>
      <c r="M190" s="136">
        <f t="shared" si="66"/>
        <v>0.04</v>
      </c>
      <c r="N190" s="136">
        <f t="shared" si="66"/>
        <v>0.04</v>
      </c>
      <c r="O190" s="136">
        <f t="shared" si="66"/>
        <v>0.04</v>
      </c>
      <c r="P190" s="136">
        <f t="shared" si="66"/>
        <v>0.04</v>
      </c>
      <c r="Q190" s="136">
        <f t="shared" si="66"/>
        <v>0.04</v>
      </c>
      <c r="R190" s="136">
        <f t="shared" si="66"/>
        <v>0.04</v>
      </c>
      <c r="S190" s="136">
        <f t="shared" si="67"/>
        <v>0.04</v>
      </c>
      <c r="T190" s="136">
        <f t="shared" si="67"/>
        <v>0.04</v>
      </c>
      <c r="U190" s="136">
        <f t="shared" si="67"/>
        <v>0.04</v>
      </c>
      <c r="V190" s="136">
        <f t="shared" si="67"/>
        <v>0.04</v>
      </c>
      <c r="W190" s="136">
        <f t="shared" si="67"/>
        <v>0.04</v>
      </c>
      <c r="X190" s="136">
        <f t="shared" si="67"/>
        <v>0.04</v>
      </c>
      <c r="Y190" s="136">
        <f t="shared" si="67"/>
        <v>0.04</v>
      </c>
      <c r="Z190" s="136">
        <f t="shared" si="67"/>
        <v>0.04</v>
      </c>
      <c r="AA190" s="136">
        <f t="shared" si="67"/>
        <v>0.04</v>
      </c>
      <c r="AB190" s="136">
        <f t="shared" si="67"/>
        <v>0.04</v>
      </c>
      <c r="AC190" s="136">
        <f t="shared" si="67"/>
        <v>0.04</v>
      </c>
      <c r="AD190" s="136">
        <f t="shared" si="67"/>
        <v>0.04</v>
      </c>
      <c r="AE190" s="136">
        <f t="shared" si="67"/>
        <v>0.04</v>
      </c>
      <c r="AF190" s="136">
        <f t="shared" si="67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65"/>
        <v>2.3E-2</v>
      </c>
      <c r="C191" s="53">
        <v>2.3E-2</v>
      </c>
      <c r="D191" s="136">
        <f>C191</f>
        <v>2.3E-2</v>
      </c>
      <c r="E191" s="136">
        <f t="shared" si="66"/>
        <v>2.3E-2</v>
      </c>
      <c r="F191" s="136">
        <f t="shared" si="66"/>
        <v>2.3E-2</v>
      </c>
      <c r="G191" s="136">
        <f t="shared" si="66"/>
        <v>2.3E-2</v>
      </c>
      <c r="H191" s="136">
        <f t="shared" si="66"/>
        <v>2.3E-2</v>
      </c>
      <c r="I191" s="136">
        <f t="shared" si="66"/>
        <v>2.3E-2</v>
      </c>
      <c r="J191" s="136">
        <f t="shared" si="66"/>
        <v>2.3E-2</v>
      </c>
      <c r="K191" s="136">
        <f t="shared" si="66"/>
        <v>2.3E-2</v>
      </c>
      <c r="L191" s="136">
        <f t="shared" si="66"/>
        <v>2.3E-2</v>
      </c>
      <c r="M191" s="136">
        <f t="shared" si="66"/>
        <v>2.3E-2</v>
      </c>
      <c r="N191" s="136">
        <f t="shared" si="66"/>
        <v>2.3E-2</v>
      </c>
      <c r="O191" s="136">
        <f t="shared" si="66"/>
        <v>2.3E-2</v>
      </c>
      <c r="P191" s="136">
        <f t="shared" si="66"/>
        <v>2.3E-2</v>
      </c>
      <c r="Q191" s="136">
        <f t="shared" si="66"/>
        <v>2.3E-2</v>
      </c>
      <c r="R191" s="136">
        <f t="shared" si="66"/>
        <v>2.3E-2</v>
      </c>
      <c r="S191" s="136">
        <f t="shared" si="67"/>
        <v>2.3E-2</v>
      </c>
      <c r="T191" s="136">
        <f t="shared" si="67"/>
        <v>2.3E-2</v>
      </c>
      <c r="U191" s="136">
        <f t="shared" si="67"/>
        <v>2.3E-2</v>
      </c>
      <c r="V191" s="136">
        <f t="shared" si="67"/>
        <v>2.3E-2</v>
      </c>
      <c r="W191" s="136">
        <f t="shared" si="67"/>
        <v>2.3E-2</v>
      </c>
      <c r="X191" s="136">
        <f t="shared" si="67"/>
        <v>2.3E-2</v>
      </c>
      <c r="Y191" s="136">
        <f t="shared" si="67"/>
        <v>2.3E-2</v>
      </c>
      <c r="Z191" s="136">
        <f t="shared" si="67"/>
        <v>2.3E-2</v>
      </c>
      <c r="AA191" s="136">
        <f t="shared" si="67"/>
        <v>2.3E-2</v>
      </c>
      <c r="AB191" s="136">
        <f t="shared" si="67"/>
        <v>2.3E-2</v>
      </c>
      <c r="AC191" s="136">
        <f t="shared" si="67"/>
        <v>2.3E-2</v>
      </c>
      <c r="AD191" s="136">
        <f t="shared" si="67"/>
        <v>2.3E-2</v>
      </c>
      <c r="AE191" s="136">
        <f t="shared" si="67"/>
        <v>2.3E-2</v>
      </c>
      <c r="AF191" s="136">
        <f t="shared" si="67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68">SUM(C102:C191)</f>
        <v>194.70600000000002</v>
      </c>
      <c r="D192" s="141">
        <f t="shared" si="68"/>
        <v>194.70600000000002</v>
      </c>
      <c r="E192" s="141">
        <f t="shared" si="68"/>
        <v>194.70600000000002</v>
      </c>
      <c r="F192" s="141">
        <f t="shared" si="68"/>
        <v>194.70600000000002</v>
      </c>
      <c r="G192" s="141">
        <f t="shared" si="68"/>
        <v>194.70600000000002</v>
      </c>
      <c r="H192" s="141">
        <f t="shared" si="68"/>
        <v>194.70600000000002</v>
      </c>
      <c r="I192" s="141">
        <f t="shared" si="68"/>
        <v>194.70600000000002</v>
      </c>
      <c r="J192" s="141">
        <f t="shared" si="68"/>
        <v>192.10600000000005</v>
      </c>
      <c r="K192" s="141">
        <f t="shared" si="68"/>
        <v>192.10600000000005</v>
      </c>
      <c r="L192" s="141">
        <f t="shared" si="68"/>
        <v>192.10600000000005</v>
      </c>
      <c r="M192" s="141">
        <f t="shared" si="68"/>
        <v>192.10600000000005</v>
      </c>
      <c r="N192" s="141">
        <f t="shared" si="68"/>
        <v>192.10600000000005</v>
      </c>
      <c r="O192" s="141">
        <f t="shared" si="68"/>
        <v>192.10600000000005</v>
      </c>
      <c r="P192" s="141">
        <f t="shared" si="68"/>
        <v>192.10600000000005</v>
      </c>
      <c r="Q192" s="141">
        <f t="shared" si="68"/>
        <v>192.10600000000005</v>
      </c>
      <c r="R192" s="141">
        <f t="shared" si="68"/>
        <v>192.10600000000005</v>
      </c>
      <c r="S192" s="141">
        <f t="shared" si="68"/>
        <v>192.10600000000005</v>
      </c>
      <c r="T192" s="141">
        <f t="shared" si="68"/>
        <v>192.10600000000005</v>
      </c>
      <c r="U192" s="141">
        <f t="shared" si="68"/>
        <v>192.10600000000005</v>
      </c>
      <c r="V192" s="141">
        <f t="shared" si="68"/>
        <v>192.10600000000005</v>
      </c>
      <c r="W192" s="141">
        <f t="shared" si="68"/>
        <v>192.10600000000005</v>
      </c>
      <c r="X192" s="141">
        <f t="shared" si="68"/>
        <v>192.10600000000005</v>
      </c>
      <c r="Y192" s="141">
        <f t="shared" si="68"/>
        <v>192.10600000000005</v>
      </c>
      <c r="Z192" s="141">
        <f t="shared" si="68"/>
        <v>192.10600000000005</v>
      </c>
      <c r="AA192" s="141">
        <f t="shared" si="68"/>
        <v>192.10600000000005</v>
      </c>
      <c r="AB192" s="141">
        <f t="shared" si="68"/>
        <v>192.10600000000005</v>
      </c>
      <c r="AC192" s="141">
        <f t="shared" si="68"/>
        <v>192.10600000000005</v>
      </c>
      <c r="AD192" s="141">
        <f t="shared" si="68"/>
        <v>192.10600000000005</v>
      </c>
      <c r="AE192" s="141">
        <f t="shared" si="68"/>
        <v>192.10600000000005</v>
      </c>
      <c r="AF192" s="141">
        <f t="shared" si="68"/>
        <v>192.10600000000005</v>
      </c>
      <c r="AG192" s="142">
        <f t="shared" si="6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69">AF194</f>
        <v>0.3</v>
      </c>
      <c r="C194" s="143">
        <v>0.3</v>
      </c>
      <c r="D194" s="143">
        <f t="shared" ref="D194:S199" si="70">C194</f>
        <v>0.3</v>
      </c>
      <c r="E194" s="143">
        <f t="shared" si="70"/>
        <v>0.3</v>
      </c>
      <c r="F194" s="143">
        <f t="shared" si="70"/>
        <v>0.3</v>
      </c>
      <c r="G194" s="143">
        <f t="shared" si="70"/>
        <v>0.3</v>
      </c>
      <c r="H194" s="143">
        <f t="shared" si="70"/>
        <v>0.3</v>
      </c>
      <c r="I194" s="143">
        <f t="shared" si="70"/>
        <v>0.3</v>
      </c>
      <c r="J194" s="143">
        <f t="shared" si="70"/>
        <v>0.3</v>
      </c>
      <c r="K194" s="143">
        <f t="shared" si="70"/>
        <v>0.3</v>
      </c>
      <c r="L194" s="143">
        <f t="shared" si="70"/>
        <v>0.3</v>
      </c>
      <c r="M194" s="143">
        <f t="shared" si="70"/>
        <v>0.3</v>
      </c>
      <c r="N194" s="143">
        <f t="shared" si="70"/>
        <v>0.3</v>
      </c>
      <c r="O194" s="143">
        <f t="shared" si="70"/>
        <v>0.3</v>
      </c>
      <c r="P194" s="143">
        <f t="shared" si="70"/>
        <v>0.3</v>
      </c>
      <c r="Q194" s="143">
        <f t="shared" si="70"/>
        <v>0.3</v>
      </c>
      <c r="R194" s="143">
        <f t="shared" si="70"/>
        <v>0.3</v>
      </c>
      <c r="S194" s="143">
        <f t="shared" si="70"/>
        <v>0.3</v>
      </c>
      <c r="T194" s="143">
        <f t="shared" ref="T194:AF199" si="71">S194</f>
        <v>0.3</v>
      </c>
      <c r="U194" s="143">
        <f t="shared" si="71"/>
        <v>0.3</v>
      </c>
      <c r="V194" s="143">
        <f t="shared" si="71"/>
        <v>0.3</v>
      </c>
      <c r="W194" s="143">
        <f t="shared" si="71"/>
        <v>0.3</v>
      </c>
      <c r="X194" s="143">
        <f t="shared" si="71"/>
        <v>0.3</v>
      </c>
      <c r="Y194" s="143">
        <f t="shared" si="71"/>
        <v>0.3</v>
      </c>
      <c r="Z194" s="143">
        <f t="shared" si="71"/>
        <v>0.3</v>
      </c>
      <c r="AA194" s="143">
        <f t="shared" si="71"/>
        <v>0.3</v>
      </c>
      <c r="AB194" s="143">
        <f t="shared" si="71"/>
        <v>0.3</v>
      </c>
      <c r="AC194" s="143">
        <f t="shared" si="71"/>
        <v>0.3</v>
      </c>
      <c r="AD194" s="143">
        <f t="shared" si="71"/>
        <v>0.3</v>
      </c>
      <c r="AE194" s="143">
        <f t="shared" si="71"/>
        <v>0.3</v>
      </c>
      <c r="AF194" s="143">
        <f t="shared" si="71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69"/>
        <v>0.4</v>
      </c>
      <c r="C195" s="136">
        <v>0.4</v>
      </c>
      <c r="D195" s="136">
        <f t="shared" si="70"/>
        <v>0.4</v>
      </c>
      <c r="E195" s="136">
        <f t="shared" si="70"/>
        <v>0.4</v>
      </c>
      <c r="F195" s="136">
        <f t="shared" si="70"/>
        <v>0.4</v>
      </c>
      <c r="G195" s="136">
        <f t="shared" si="70"/>
        <v>0.4</v>
      </c>
      <c r="H195" s="136">
        <f t="shared" si="70"/>
        <v>0.4</v>
      </c>
      <c r="I195" s="136">
        <f t="shared" si="70"/>
        <v>0.4</v>
      </c>
      <c r="J195" s="136">
        <f t="shared" si="70"/>
        <v>0.4</v>
      </c>
      <c r="K195" s="136">
        <f t="shared" si="70"/>
        <v>0.4</v>
      </c>
      <c r="L195" s="136">
        <f t="shared" si="70"/>
        <v>0.4</v>
      </c>
      <c r="M195" s="136">
        <f t="shared" si="70"/>
        <v>0.4</v>
      </c>
      <c r="N195" s="136">
        <f t="shared" si="70"/>
        <v>0.4</v>
      </c>
      <c r="O195" s="136">
        <f t="shared" si="70"/>
        <v>0.4</v>
      </c>
      <c r="P195" s="136">
        <f t="shared" si="70"/>
        <v>0.4</v>
      </c>
      <c r="Q195" s="136">
        <f t="shared" si="70"/>
        <v>0.4</v>
      </c>
      <c r="R195" s="136">
        <f t="shared" si="70"/>
        <v>0.4</v>
      </c>
      <c r="S195" s="136">
        <f t="shared" si="70"/>
        <v>0.4</v>
      </c>
      <c r="T195" s="136">
        <f t="shared" si="71"/>
        <v>0.4</v>
      </c>
      <c r="U195" s="136">
        <f t="shared" si="71"/>
        <v>0.4</v>
      </c>
      <c r="V195" s="136">
        <f t="shared" si="71"/>
        <v>0.4</v>
      </c>
      <c r="W195" s="136">
        <f>V195</f>
        <v>0.4</v>
      </c>
      <c r="X195" s="136">
        <f>W195</f>
        <v>0.4</v>
      </c>
      <c r="Y195" s="136">
        <f t="shared" si="71"/>
        <v>0.4</v>
      </c>
      <c r="Z195" s="136">
        <f t="shared" si="71"/>
        <v>0.4</v>
      </c>
      <c r="AA195" s="136">
        <f t="shared" si="71"/>
        <v>0.4</v>
      </c>
      <c r="AB195" s="136">
        <f t="shared" si="71"/>
        <v>0.4</v>
      </c>
      <c r="AC195" s="136">
        <f t="shared" si="71"/>
        <v>0.4</v>
      </c>
      <c r="AD195" s="136">
        <f t="shared" si="71"/>
        <v>0.4</v>
      </c>
      <c r="AE195" s="136">
        <f t="shared" si="71"/>
        <v>0.4</v>
      </c>
      <c r="AF195" s="136">
        <f t="shared" si="71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69"/>
        <v>1.5</v>
      </c>
      <c r="C196" s="136">
        <v>1.5</v>
      </c>
      <c r="D196" s="136">
        <f t="shared" si="70"/>
        <v>1.5</v>
      </c>
      <c r="E196" s="136">
        <f t="shared" si="70"/>
        <v>1.5</v>
      </c>
      <c r="F196" s="136">
        <f t="shared" si="70"/>
        <v>1.5</v>
      </c>
      <c r="G196" s="136">
        <f t="shared" si="70"/>
        <v>1.5</v>
      </c>
      <c r="H196" s="136">
        <f t="shared" si="70"/>
        <v>1.5</v>
      </c>
      <c r="I196" s="136">
        <f t="shared" si="70"/>
        <v>1.5</v>
      </c>
      <c r="J196" s="136">
        <f t="shared" si="70"/>
        <v>1.5</v>
      </c>
      <c r="K196" s="136">
        <f t="shared" si="70"/>
        <v>1.5</v>
      </c>
      <c r="L196" s="136">
        <f t="shared" si="70"/>
        <v>1.5</v>
      </c>
      <c r="M196" s="136">
        <f t="shared" si="70"/>
        <v>1.5</v>
      </c>
      <c r="N196" s="136">
        <f t="shared" si="70"/>
        <v>1.5</v>
      </c>
      <c r="O196" s="136">
        <f t="shared" si="70"/>
        <v>1.5</v>
      </c>
      <c r="P196" s="136">
        <f t="shared" si="70"/>
        <v>1.5</v>
      </c>
      <c r="Q196" s="136">
        <f t="shared" si="70"/>
        <v>1.5</v>
      </c>
      <c r="R196" s="136">
        <f t="shared" si="70"/>
        <v>1.5</v>
      </c>
      <c r="S196" s="136">
        <f t="shared" si="70"/>
        <v>1.5</v>
      </c>
      <c r="T196" s="136">
        <f t="shared" si="71"/>
        <v>1.5</v>
      </c>
      <c r="U196" s="136">
        <f t="shared" si="71"/>
        <v>1.5</v>
      </c>
      <c r="V196" s="136">
        <f t="shared" si="71"/>
        <v>1.5</v>
      </c>
      <c r="W196" s="136">
        <f t="shared" si="71"/>
        <v>1.5</v>
      </c>
      <c r="X196" s="136">
        <f t="shared" si="71"/>
        <v>1.5</v>
      </c>
      <c r="Y196" s="136">
        <f t="shared" si="71"/>
        <v>1.5</v>
      </c>
      <c r="Z196" s="136">
        <f t="shared" si="71"/>
        <v>1.5</v>
      </c>
      <c r="AA196" s="136">
        <f t="shared" si="71"/>
        <v>1.5</v>
      </c>
      <c r="AB196" s="136">
        <f t="shared" si="71"/>
        <v>1.5</v>
      </c>
      <c r="AC196" s="136">
        <f t="shared" si="71"/>
        <v>1.5</v>
      </c>
      <c r="AD196" s="136">
        <f t="shared" si="71"/>
        <v>1.5</v>
      </c>
      <c r="AE196" s="136">
        <f t="shared" si="71"/>
        <v>1.5</v>
      </c>
      <c r="AF196" s="136">
        <f t="shared" si="71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69"/>
        <v>0.3</v>
      </c>
      <c r="C197" s="136">
        <v>0.3</v>
      </c>
      <c r="D197" s="136">
        <f t="shared" si="70"/>
        <v>0.3</v>
      </c>
      <c r="E197" s="136">
        <f t="shared" si="70"/>
        <v>0.3</v>
      </c>
      <c r="F197" s="136">
        <f t="shared" si="70"/>
        <v>0.3</v>
      </c>
      <c r="G197" s="136">
        <f t="shared" si="70"/>
        <v>0.3</v>
      </c>
      <c r="H197" s="136">
        <f t="shared" si="70"/>
        <v>0.3</v>
      </c>
      <c r="I197" s="136">
        <f t="shared" si="70"/>
        <v>0.3</v>
      </c>
      <c r="J197" s="136">
        <f t="shared" si="70"/>
        <v>0.3</v>
      </c>
      <c r="K197" s="136">
        <f t="shared" si="70"/>
        <v>0.3</v>
      </c>
      <c r="L197" s="136">
        <f t="shared" si="70"/>
        <v>0.3</v>
      </c>
      <c r="M197" s="136">
        <f t="shared" si="70"/>
        <v>0.3</v>
      </c>
      <c r="N197" s="136">
        <f t="shared" si="70"/>
        <v>0.3</v>
      </c>
      <c r="O197" s="136">
        <f t="shared" si="70"/>
        <v>0.3</v>
      </c>
      <c r="P197" s="136">
        <f t="shared" si="70"/>
        <v>0.3</v>
      </c>
      <c r="Q197" s="136">
        <f t="shared" si="70"/>
        <v>0.3</v>
      </c>
      <c r="R197" s="136">
        <f t="shared" si="70"/>
        <v>0.3</v>
      </c>
      <c r="S197" s="136">
        <f t="shared" si="70"/>
        <v>0.3</v>
      </c>
      <c r="T197" s="136">
        <f t="shared" si="71"/>
        <v>0.3</v>
      </c>
      <c r="U197" s="136">
        <f t="shared" si="71"/>
        <v>0.3</v>
      </c>
      <c r="V197" s="136">
        <f t="shared" si="71"/>
        <v>0.3</v>
      </c>
      <c r="W197" s="136">
        <f t="shared" si="71"/>
        <v>0.3</v>
      </c>
      <c r="X197" s="136">
        <f t="shared" si="71"/>
        <v>0.3</v>
      </c>
      <c r="Y197" s="136">
        <f t="shared" si="71"/>
        <v>0.3</v>
      </c>
      <c r="Z197" s="136">
        <f t="shared" si="71"/>
        <v>0.3</v>
      </c>
      <c r="AA197" s="136">
        <f t="shared" si="71"/>
        <v>0.3</v>
      </c>
      <c r="AB197" s="136">
        <f t="shared" si="71"/>
        <v>0.3</v>
      </c>
      <c r="AC197" s="136">
        <f t="shared" si="71"/>
        <v>0.3</v>
      </c>
      <c r="AD197" s="136">
        <f t="shared" si="71"/>
        <v>0.3</v>
      </c>
      <c r="AE197" s="136">
        <f t="shared" si="71"/>
        <v>0.3</v>
      </c>
      <c r="AF197" s="136">
        <f t="shared" si="71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69"/>
        <v>0.4</v>
      </c>
      <c r="C198" s="136">
        <v>0.4</v>
      </c>
      <c r="D198" s="136">
        <f t="shared" si="70"/>
        <v>0.4</v>
      </c>
      <c r="E198" s="136">
        <f t="shared" si="70"/>
        <v>0.4</v>
      </c>
      <c r="F198" s="136">
        <f t="shared" si="70"/>
        <v>0.4</v>
      </c>
      <c r="G198" s="136">
        <f t="shared" si="70"/>
        <v>0.4</v>
      </c>
      <c r="H198" s="136">
        <f t="shared" si="70"/>
        <v>0.4</v>
      </c>
      <c r="I198" s="136">
        <f t="shared" si="70"/>
        <v>0.4</v>
      </c>
      <c r="J198" s="136">
        <f t="shared" si="70"/>
        <v>0.4</v>
      </c>
      <c r="K198" s="136">
        <f t="shared" si="70"/>
        <v>0.4</v>
      </c>
      <c r="L198" s="136">
        <f t="shared" si="70"/>
        <v>0.4</v>
      </c>
      <c r="M198" s="136">
        <f t="shared" si="70"/>
        <v>0.4</v>
      </c>
      <c r="N198" s="136">
        <f t="shared" si="70"/>
        <v>0.4</v>
      </c>
      <c r="O198" s="136">
        <f t="shared" si="70"/>
        <v>0.4</v>
      </c>
      <c r="P198" s="136">
        <f t="shared" si="70"/>
        <v>0.4</v>
      </c>
      <c r="Q198" s="136">
        <f t="shared" si="70"/>
        <v>0.4</v>
      </c>
      <c r="R198" s="136">
        <f t="shared" si="70"/>
        <v>0.4</v>
      </c>
      <c r="S198" s="136">
        <f t="shared" si="70"/>
        <v>0.4</v>
      </c>
      <c r="T198" s="136">
        <f t="shared" si="71"/>
        <v>0.4</v>
      </c>
      <c r="U198" s="136">
        <f t="shared" si="71"/>
        <v>0.4</v>
      </c>
      <c r="V198" s="136">
        <f t="shared" si="71"/>
        <v>0.4</v>
      </c>
      <c r="W198" s="136">
        <f t="shared" si="71"/>
        <v>0.4</v>
      </c>
      <c r="X198" s="136">
        <f t="shared" si="71"/>
        <v>0.4</v>
      </c>
      <c r="Y198" s="136">
        <f t="shared" si="71"/>
        <v>0.4</v>
      </c>
      <c r="Z198" s="136">
        <f t="shared" si="71"/>
        <v>0.4</v>
      </c>
      <c r="AA198" s="136">
        <f t="shared" si="71"/>
        <v>0.4</v>
      </c>
      <c r="AB198" s="136">
        <f t="shared" si="71"/>
        <v>0.4</v>
      </c>
      <c r="AC198" s="136">
        <f t="shared" si="71"/>
        <v>0.4</v>
      </c>
      <c r="AD198" s="136">
        <f t="shared" si="71"/>
        <v>0.4</v>
      </c>
      <c r="AE198" s="136">
        <f t="shared" si="71"/>
        <v>0.4</v>
      </c>
      <c r="AF198" s="136">
        <f t="shared" si="71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69"/>
        <v>0.64</v>
      </c>
      <c r="C199" s="146">
        <v>0.64</v>
      </c>
      <c r="D199" s="146">
        <f t="shared" si="70"/>
        <v>0.64</v>
      </c>
      <c r="E199" s="146">
        <f t="shared" si="70"/>
        <v>0.64</v>
      </c>
      <c r="F199" s="146">
        <f t="shared" si="70"/>
        <v>0.64</v>
      </c>
      <c r="G199" s="146">
        <f t="shared" si="70"/>
        <v>0.64</v>
      </c>
      <c r="H199" s="146">
        <f t="shared" si="70"/>
        <v>0.64</v>
      </c>
      <c r="I199" s="146">
        <f t="shared" si="70"/>
        <v>0.64</v>
      </c>
      <c r="J199" s="146">
        <f t="shared" si="70"/>
        <v>0.64</v>
      </c>
      <c r="K199" s="146">
        <f t="shared" si="70"/>
        <v>0.64</v>
      </c>
      <c r="L199" s="146">
        <f t="shared" si="70"/>
        <v>0.64</v>
      </c>
      <c r="M199" s="146">
        <f t="shared" si="70"/>
        <v>0.64</v>
      </c>
      <c r="N199" s="146">
        <f t="shared" si="70"/>
        <v>0.64</v>
      </c>
      <c r="O199" s="146">
        <f t="shared" si="70"/>
        <v>0.64</v>
      </c>
      <c r="P199" s="146">
        <f t="shared" si="70"/>
        <v>0.64</v>
      </c>
      <c r="Q199" s="146">
        <f t="shared" si="70"/>
        <v>0.64</v>
      </c>
      <c r="R199" s="146">
        <f t="shared" si="70"/>
        <v>0.64</v>
      </c>
      <c r="S199" s="146">
        <f t="shared" si="70"/>
        <v>0.64</v>
      </c>
      <c r="T199" s="146">
        <f t="shared" si="71"/>
        <v>0.64</v>
      </c>
      <c r="U199" s="146">
        <f t="shared" si="71"/>
        <v>0.64</v>
      </c>
      <c r="V199" s="146">
        <f t="shared" si="71"/>
        <v>0.64</v>
      </c>
      <c r="W199" s="146">
        <f t="shared" si="71"/>
        <v>0.64</v>
      </c>
      <c r="X199" s="146">
        <f t="shared" si="71"/>
        <v>0.64</v>
      </c>
      <c r="Y199" s="146">
        <f t="shared" si="71"/>
        <v>0.64</v>
      </c>
      <c r="Z199" s="146">
        <f t="shared" si="71"/>
        <v>0.64</v>
      </c>
      <c r="AA199" s="146">
        <f t="shared" si="71"/>
        <v>0.64</v>
      </c>
      <c r="AB199" s="146">
        <f t="shared" si="71"/>
        <v>0.64</v>
      </c>
      <c r="AC199" s="146">
        <f t="shared" si="71"/>
        <v>0.64</v>
      </c>
      <c r="AD199" s="146">
        <f t="shared" si="71"/>
        <v>0.64</v>
      </c>
      <c r="AE199" s="146">
        <f t="shared" si="71"/>
        <v>0.64</v>
      </c>
      <c r="AF199" s="146">
        <f t="shared" si="71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72">SUM(D194:D199)</f>
        <v>3.54</v>
      </c>
      <c r="E200" s="149">
        <f t="shared" si="72"/>
        <v>3.54</v>
      </c>
      <c r="F200" s="149">
        <f t="shared" si="72"/>
        <v>3.54</v>
      </c>
      <c r="G200" s="149">
        <f t="shared" si="72"/>
        <v>3.54</v>
      </c>
      <c r="H200" s="149">
        <f t="shared" si="72"/>
        <v>3.54</v>
      </c>
      <c r="I200" s="149">
        <f t="shared" si="72"/>
        <v>3.54</v>
      </c>
      <c r="J200" s="149">
        <f t="shared" si="72"/>
        <v>3.54</v>
      </c>
      <c r="K200" s="149">
        <f t="shared" si="72"/>
        <v>3.54</v>
      </c>
      <c r="L200" s="149">
        <f t="shared" si="72"/>
        <v>3.54</v>
      </c>
      <c r="M200" s="149">
        <f>SUM(M194:M199)</f>
        <v>3.54</v>
      </c>
      <c r="N200" s="149">
        <f t="shared" ref="N200:S200" si="73">SUM(N194:N199)</f>
        <v>3.54</v>
      </c>
      <c r="O200" s="149">
        <f t="shared" si="73"/>
        <v>3.54</v>
      </c>
      <c r="P200" s="149">
        <f t="shared" si="73"/>
        <v>3.54</v>
      </c>
      <c r="Q200" s="149">
        <f t="shared" si="73"/>
        <v>3.54</v>
      </c>
      <c r="R200" s="149">
        <f t="shared" si="73"/>
        <v>3.54</v>
      </c>
      <c r="S200" s="149">
        <f t="shared" si="73"/>
        <v>3.54</v>
      </c>
      <c r="T200" s="149">
        <f>SUM(T194:T199)</f>
        <v>3.54</v>
      </c>
      <c r="U200" s="149">
        <f t="shared" ref="U200:AG200" si="74">SUM(U194:U199)</f>
        <v>3.54</v>
      </c>
      <c r="V200" s="149">
        <f t="shared" si="74"/>
        <v>3.54</v>
      </c>
      <c r="W200" s="149">
        <f t="shared" si="74"/>
        <v>3.54</v>
      </c>
      <c r="X200" s="149">
        <f t="shared" si="74"/>
        <v>3.54</v>
      </c>
      <c r="Y200" s="149">
        <f t="shared" si="74"/>
        <v>3.54</v>
      </c>
      <c r="Z200" s="149">
        <f t="shared" si="74"/>
        <v>3.54</v>
      </c>
      <c r="AA200" s="149">
        <f t="shared" si="74"/>
        <v>3.54</v>
      </c>
      <c r="AB200" s="149">
        <f t="shared" si="74"/>
        <v>3.54</v>
      </c>
      <c r="AC200" s="149">
        <f t="shared" si="74"/>
        <v>3.54</v>
      </c>
      <c r="AD200" s="149">
        <f t="shared" si="74"/>
        <v>3.54</v>
      </c>
      <c r="AE200" s="149">
        <f t="shared" si="74"/>
        <v>3.54</v>
      </c>
      <c r="AF200" s="149">
        <f t="shared" si="74"/>
        <v>3.54</v>
      </c>
      <c r="AG200" s="150">
        <f t="shared" si="7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1356.8400000000001</v>
      </c>
      <c r="C209" s="164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28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2078/11/28)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2078/11/28)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75">B75</f>
        <v>1059.24</v>
      </c>
      <c r="U214" s="174">
        <f t="shared" si="75"/>
        <v>960.94</v>
      </c>
      <c r="V214" s="174">
        <f t="shared" si="75"/>
        <v>977.74</v>
      </c>
      <c r="W214" s="174">
        <f t="shared" si="75"/>
        <v>979.43999999999994</v>
      </c>
      <c r="X214" s="174">
        <f t="shared" si="75"/>
        <v>973.24</v>
      </c>
      <c r="Y214" s="174">
        <f t="shared" si="75"/>
        <v>1023.24</v>
      </c>
      <c r="Z214" s="174">
        <f t="shared" si="75"/>
        <v>1068.26</v>
      </c>
      <c r="AA214" s="174">
        <f t="shared" si="75"/>
        <v>1124.1399999999999</v>
      </c>
      <c r="AB214" s="174">
        <f t="shared" si="75"/>
        <v>1204.1400000000001</v>
      </c>
      <c r="AC214" s="174">
        <f t="shared" si="75"/>
        <v>1260.44</v>
      </c>
      <c r="AD214" s="174">
        <f t="shared" si="75"/>
        <v>1356.8400000000001</v>
      </c>
      <c r="AE214" s="174">
        <f t="shared" si="75"/>
        <v>1333.94</v>
      </c>
      <c r="AF214" s="174">
        <f t="shared" si="75"/>
        <v>1328.44</v>
      </c>
      <c r="AG214" s="174">
        <f t="shared" si="75"/>
        <v>1289.74</v>
      </c>
      <c r="AH214" s="174">
        <f t="shared" si="75"/>
        <v>1233.02</v>
      </c>
      <c r="AI214" s="174">
        <f t="shared" si="75"/>
        <v>1167.8400000000001</v>
      </c>
      <c r="AJ214" s="174">
        <f t="shared" si="75"/>
        <v>1148.54</v>
      </c>
      <c r="AK214" s="174">
        <f t="shared" si="75"/>
        <v>1129.44</v>
      </c>
      <c r="AL214" s="174">
        <f t="shared" si="75"/>
        <v>1128.44</v>
      </c>
      <c r="AM214" s="174">
        <f t="shared" si="75"/>
        <v>1142.9000000000001</v>
      </c>
      <c r="AN214" s="174">
        <f t="shared" si="75"/>
        <v>1110.9100000000001</v>
      </c>
      <c r="AO214" s="174">
        <f t="shared" si="75"/>
        <v>1134.8799999999999</v>
      </c>
      <c r="AP214" s="174">
        <f t="shared" si="75"/>
        <v>1223.94</v>
      </c>
      <c r="AQ214" s="174">
        <f t="shared" si="75"/>
        <v>1401.91</v>
      </c>
      <c r="AR214" s="174">
        <f t="shared" si="75"/>
        <v>1474.1400000000003</v>
      </c>
      <c r="AS214" s="174">
        <f t="shared" si="75"/>
        <v>1357.02</v>
      </c>
      <c r="AT214" s="174">
        <f t="shared" si="75"/>
        <v>1292.3799999999999</v>
      </c>
      <c r="AU214" s="174">
        <f t="shared" si="75"/>
        <v>1250.94</v>
      </c>
      <c r="AV214" s="174">
        <f t="shared" si="75"/>
        <v>1178.8399999999999</v>
      </c>
      <c r="AW214" s="174">
        <f t="shared" si="75"/>
        <v>1091.74</v>
      </c>
      <c r="AX214" s="174">
        <f t="shared" si="75"/>
        <v>997.53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76">C199</f>
        <v>0.64</v>
      </c>
      <c r="C235" s="177">
        <f t="shared" si="76"/>
        <v>0.64</v>
      </c>
      <c r="D235" s="177">
        <f t="shared" si="76"/>
        <v>0.64</v>
      </c>
      <c r="E235" s="177">
        <f t="shared" si="76"/>
        <v>0.64</v>
      </c>
      <c r="F235" s="177">
        <f t="shared" si="76"/>
        <v>0.64</v>
      </c>
      <c r="G235" s="177">
        <f t="shared" si="76"/>
        <v>0.64</v>
      </c>
      <c r="H235" s="177">
        <f t="shared" si="76"/>
        <v>0.64</v>
      </c>
      <c r="I235" s="177">
        <f t="shared" si="76"/>
        <v>0.64</v>
      </c>
      <c r="J235" s="177">
        <f t="shared" si="76"/>
        <v>0.64</v>
      </c>
      <c r="K235" s="177">
        <f t="shared" si="76"/>
        <v>0.64</v>
      </c>
      <c r="L235" s="177">
        <f t="shared" si="76"/>
        <v>0.64</v>
      </c>
      <c r="M235" s="177">
        <f t="shared" si="76"/>
        <v>0.64</v>
      </c>
      <c r="N235" s="177">
        <f t="shared" si="76"/>
        <v>0.64</v>
      </c>
      <c r="O235" s="177">
        <f t="shared" si="76"/>
        <v>0.64</v>
      </c>
      <c r="P235" s="177">
        <f t="shared" si="76"/>
        <v>0.64</v>
      </c>
      <c r="Q235" s="177">
        <f t="shared" si="76"/>
        <v>0.64</v>
      </c>
      <c r="R235" s="177">
        <f t="shared" si="76"/>
        <v>0.64</v>
      </c>
      <c r="S235" s="177">
        <f t="shared" si="76"/>
        <v>0.64</v>
      </c>
      <c r="T235" s="177">
        <f t="shared" si="76"/>
        <v>0.64</v>
      </c>
      <c r="U235" s="177">
        <f t="shared" si="76"/>
        <v>0.64</v>
      </c>
      <c r="V235" s="177">
        <f t="shared" si="76"/>
        <v>0.64</v>
      </c>
      <c r="W235" s="177">
        <f t="shared" si="76"/>
        <v>0.64</v>
      </c>
      <c r="X235" s="177">
        <f t="shared" si="76"/>
        <v>0.64</v>
      </c>
      <c r="Y235" s="177">
        <f t="shared" si="76"/>
        <v>0.64</v>
      </c>
      <c r="Z235" s="177">
        <f t="shared" si="76"/>
        <v>0.64</v>
      </c>
      <c r="AA235" s="177">
        <f t="shared" si="76"/>
        <v>0.64</v>
      </c>
      <c r="AB235" s="177">
        <f t="shared" si="76"/>
        <v>0.64</v>
      </c>
      <c r="AC235" s="177">
        <f t="shared" si="76"/>
        <v>0.64</v>
      </c>
      <c r="AD235" s="177">
        <f t="shared" si="76"/>
        <v>0.64</v>
      </c>
      <c r="AE235" s="177">
        <f t="shared" si="76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77">IF(C203&lt;100,"",C203-520)</f>
        <v/>
      </c>
      <c r="D236" s="120" t="str">
        <f t="shared" si="77"/>
        <v/>
      </c>
      <c r="E236" s="120" t="str">
        <f t="shared" si="77"/>
        <v/>
      </c>
      <c r="F236" s="120" t="str">
        <f t="shared" si="77"/>
        <v/>
      </c>
      <c r="G236" s="120" t="str">
        <f t="shared" si="77"/>
        <v/>
      </c>
      <c r="H236" s="120" t="str">
        <f t="shared" si="77"/>
        <v/>
      </c>
      <c r="I236" s="120" t="str">
        <f t="shared" si="77"/>
        <v/>
      </c>
      <c r="J236" s="120" t="str">
        <f t="shared" si="77"/>
        <v/>
      </c>
      <c r="K236" s="120" t="str">
        <f t="shared" si="77"/>
        <v/>
      </c>
      <c r="L236" s="120" t="str">
        <f t="shared" si="77"/>
        <v/>
      </c>
      <c r="M236" s="120" t="str">
        <f t="shared" si="77"/>
        <v/>
      </c>
      <c r="N236" s="120" t="str">
        <f t="shared" si="77"/>
        <v/>
      </c>
      <c r="O236" s="120" t="str">
        <f t="shared" si="77"/>
        <v/>
      </c>
      <c r="P236" s="120" t="str">
        <f t="shared" si="77"/>
        <v/>
      </c>
      <c r="Q236" s="120" t="str">
        <f t="shared" si="77"/>
        <v/>
      </c>
      <c r="R236" s="120" t="str">
        <f t="shared" si="77"/>
        <v/>
      </c>
      <c r="S236" s="120" t="str">
        <f t="shared" si="77"/>
        <v/>
      </c>
      <c r="T236" s="120" t="str">
        <f t="shared" si="77"/>
        <v/>
      </c>
      <c r="U236" s="120" t="str">
        <f t="shared" si="77"/>
        <v/>
      </c>
      <c r="V236" s="120" t="str">
        <f t="shared" si="77"/>
        <v/>
      </c>
      <c r="W236" s="120" t="str">
        <f t="shared" si="77"/>
        <v/>
      </c>
      <c r="X236" s="120" t="str">
        <f t="shared" si="77"/>
        <v/>
      </c>
      <c r="Y236" s="120" t="str">
        <f t="shared" si="77"/>
        <v/>
      </c>
      <c r="Z236" s="120" t="str">
        <f t="shared" si="77"/>
        <v/>
      </c>
      <c r="AA236" s="120" t="str">
        <f t="shared" si="77"/>
        <v/>
      </c>
      <c r="AB236" s="120" t="str">
        <f t="shared" si="77"/>
        <v/>
      </c>
      <c r="AC236" s="120" t="str">
        <f t="shared" si="77"/>
        <v/>
      </c>
      <c r="AD236" s="120" t="str">
        <f t="shared" si="77"/>
        <v/>
      </c>
      <c r="AE236" s="120" t="str">
        <f t="shared" si="77"/>
        <v/>
      </c>
      <c r="AF236" s="120" t="str">
        <f t="shared" si="77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78">IF(B204&lt;100,"",B204-620)</f>
        <v/>
      </c>
      <c r="C237" s="120" t="str">
        <f t="shared" si="78"/>
        <v/>
      </c>
      <c r="D237" s="120" t="str">
        <f t="shared" si="78"/>
        <v/>
      </c>
      <c r="E237" s="120" t="str">
        <f t="shared" si="78"/>
        <v/>
      </c>
      <c r="F237" s="120" t="str">
        <f t="shared" si="78"/>
        <v/>
      </c>
      <c r="G237" s="120" t="str">
        <f t="shared" si="78"/>
        <v/>
      </c>
      <c r="H237" s="120" t="str">
        <f t="shared" si="78"/>
        <v/>
      </c>
      <c r="I237" s="120" t="str">
        <f t="shared" si="78"/>
        <v/>
      </c>
      <c r="J237" s="120" t="str">
        <f t="shared" si="78"/>
        <v/>
      </c>
      <c r="K237" s="120" t="str">
        <f t="shared" si="78"/>
        <v/>
      </c>
      <c r="L237" s="120" t="str">
        <f t="shared" si="78"/>
        <v/>
      </c>
      <c r="M237" s="120" t="str">
        <f t="shared" si="78"/>
        <v/>
      </c>
      <c r="N237" s="120" t="str">
        <f t="shared" si="78"/>
        <v/>
      </c>
      <c r="O237" s="120" t="str">
        <f t="shared" si="78"/>
        <v/>
      </c>
      <c r="P237" s="120" t="str">
        <f t="shared" si="78"/>
        <v/>
      </c>
      <c r="Q237" s="120" t="str">
        <f t="shared" si="78"/>
        <v/>
      </c>
      <c r="R237" s="120" t="str">
        <f t="shared" si="78"/>
        <v/>
      </c>
      <c r="S237" s="120" t="str">
        <f t="shared" si="78"/>
        <v/>
      </c>
      <c r="T237" s="120" t="str">
        <f t="shared" si="78"/>
        <v/>
      </c>
      <c r="U237" s="120" t="str">
        <f t="shared" si="78"/>
        <v/>
      </c>
      <c r="V237" s="120" t="str">
        <f t="shared" si="78"/>
        <v/>
      </c>
      <c r="W237" s="120" t="str">
        <f t="shared" si="78"/>
        <v/>
      </c>
      <c r="X237" s="120" t="str">
        <f t="shared" si="78"/>
        <v/>
      </c>
      <c r="Y237" s="120" t="str">
        <f t="shared" si="78"/>
        <v/>
      </c>
      <c r="Z237" s="120" t="str">
        <f t="shared" si="78"/>
        <v/>
      </c>
      <c r="AA237" s="120" t="str">
        <f t="shared" si="78"/>
        <v/>
      </c>
      <c r="AB237" s="120" t="str">
        <f t="shared" si="78"/>
        <v/>
      </c>
      <c r="AC237" s="120" t="str">
        <f t="shared" si="78"/>
        <v/>
      </c>
      <c r="AD237" s="120" t="str">
        <f t="shared" si="78"/>
        <v/>
      </c>
      <c r="AE237" s="120" t="str">
        <f t="shared" si="78"/>
        <v/>
      </c>
      <c r="AF237" s="120" t="str">
        <f t="shared" si="78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79">IF(B205&lt;100,"",B205-330)</f>
        <v/>
      </c>
      <c r="C238" s="120" t="str">
        <f t="shared" si="79"/>
        <v/>
      </c>
      <c r="D238" s="120" t="str">
        <f t="shared" si="79"/>
        <v/>
      </c>
      <c r="E238" s="120" t="str">
        <f t="shared" si="79"/>
        <v/>
      </c>
      <c r="F238" s="120" t="str">
        <f t="shared" si="79"/>
        <v/>
      </c>
      <c r="G238" s="120" t="str">
        <f t="shared" si="79"/>
        <v/>
      </c>
      <c r="H238" s="120" t="str">
        <f t="shared" si="79"/>
        <v/>
      </c>
      <c r="I238" s="120" t="str">
        <f t="shared" si="79"/>
        <v/>
      </c>
      <c r="J238" s="120" t="str">
        <f t="shared" si="79"/>
        <v/>
      </c>
      <c r="K238" s="120" t="str">
        <f t="shared" si="79"/>
        <v/>
      </c>
      <c r="L238" s="120" t="str">
        <f t="shared" si="79"/>
        <v/>
      </c>
      <c r="M238" s="120" t="str">
        <f t="shared" si="79"/>
        <v/>
      </c>
      <c r="N238" s="120" t="str">
        <f t="shared" si="79"/>
        <v/>
      </c>
      <c r="O238" s="120" t="str">
        <f t="shared" si="79"/>
        <v/>
      </c>
      <c r="P238" s="120" t="str">
        <f t="shared" si="79"/>
        <v/>
      </c>
      <c r="Q238" s="120" t="str">
        <f t="shared" si="79"/>
        <v/>
      </c>
      <c r="R238" s="120" t="str">
        <f t="shared" si="79"/>
        <v/>
      </c>
      <c r="S238" s="120" t="str">
        <f t="shared" si="79"/>
        <v/>
      </c>
      <c r="T238" s="120" t="str">
        <f t="shared" si="79"/>
        <v/>
      </c>
      <c r="U238" s="120" t="str">
        <f t="shared" si="79"/>
        <v/>
      </c>
      <c r="V238" s="120" t="str">
        <f t="shared" si="79"/>
        <v/>
      </c>
      <c r="W238" s="120" t="str">
        <f t="shared" si="79"/>
        <v/>
      </c>
      <c r="X238" s="120" t="str">
        <f t="shared" si="79"/>
        <v/>
      </c>
      <c r="Y238" s="120" t="str">
        <f t="shared" si="79"/>
        <v/>
      </c>
      <c r="Z238" s="120" t="str">
        <f t="shared" si="79"/>
        <v/>
      </c>
      <c r="AA238" s="120" t="str">
        <f t="shared" si="79"/>
        <v/>
      </c>
      <c r="AB238" s="120" t="str">
        <f t="shared" si="79"/>
        <v/>
      </c>
      <c r="AC238" s="120" t="str">
        <f t="shared" si="79"/>
        <v/>
      </c>
      <c r="AD238" s="120" t="str">
        <f t="shared" si="79"/>
        <v/>
      </c>
      <c r="AE238" s="120" t="str">
        <f t="shared" si="79"/>
        <v/>
      </c>
      <c r="AF238" s="120" t="str">
        <f t="shared" si="79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80">IF(C206&lt;100,"",C206-1500)</f>
        <v/>
      </c>
      <c r="D239" s="120" t="str">
        <f t="shared" si="80"/>
        <v/>
      </c>
      <c r="E239" s="120" t="str">
        <f t="shared" si="80"/>
        <v/>
      </c>
      <c r="F239" s="120" t="str">
        <f t="shared" si="80"/>
        <v/>
      </c>
      <c r="G239" s="120" t="str">
        <f t="shared" si="80"/>
        <v/>
      </c>
      <c r="H239" s="120" t="str">
        <f t="shared" si="80"/>
        <v/>
      </c>
      <c r="I239" s="120" t="str">
        <f t="shared" si="80"/>
        <v/>
      </c>
      <c r="J239" s="120" t="str">
        <f t="shared" si="80"/>
        <v/>
      </c>
      <c r="K239" s="120" t="str">
        <f t="shared" si="80"/>
        <v/>
      </c>
      <c r="L239" s="120" t="str">
        <f t="shared" si="80"/>
        <v/>
      </c>
      <c r="M239" s="120" t="str">
        <f t="shared" si="80"/>
        <v/>
      </c>
      <c r="N239" s="120" t="str">
        <f t="shared" si="80"/>
        <v/>
      </c>
      <c r="O239" s="120" t="str">
        <f t="shared" si="80"/>
        <v/>
      </c>
      <c r="P239" s="120" t="str">
        <f t="shared" si="80"/>
        <v/>
      </c>
      <c r="Q239" s="120" t="str">
        <f t="shared" si="80"/>
        <v/>
      </c>
      <c r="R239" s="120" t="str">
        <f t="shared" si="80"/>
        <v/>
      </c>
      <c r="S239" s="120" t="str">
        <f t="shared" si="80"/>
        <v/>
      </c>
      <c r="T239" s="120" t="str">
        <f t="shared" si="80"/>
        <v/>
      </c>
      <c r="U239" s="120" t="str">
        <f t="shared" si="80"/>
        <v/>
      </c>
      <c r="V239" s="120" t="str">
        <f t="shared" si="80"/>
        <v/>
      </c>
      <c r="W239" s="120" t="str">
        <f t="shared" si="80"/>
        <v/>
      </c>
      <c r="X239" s="120" t="str">
        <f t="shared" si="80"/>
        <v/>
      </c>
      <c r="Y239" s="120" t="str">
        <f t="shared" si="80"/>
        <v/>
      </c>
      <c r="Z239" s="120" t="str">
        <f t="shared" si="80"/>
        <v/>
      </c>
      <c r="AA239" s="120" t="str">
        <f t="shared" si="80"/>
        <v/>
      </c>
      <c r="AB239" s="120" t="str">
        <f t="shared" si="80"/>
        <v/>
      </c>
      <c r="AC239" s="120" t="str">
        <f t="shared" si="80"/>
        <v/>
      </c>
      <c r="AD239" s="120" t="str">
        <f t="shared" si="80"/>
        <v/>
      </c>
      <c r="AE239" s="120" t="str">
        <f t="shared" si="80"/>
        <v/>
      </c>
      <c r="AF239" s="120" t="str">
        <f t="shared" si="8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C57:L59 C63:D67 P39:R39 C60:M61 P40:Q42 R40:T41 M58:M59 U40:Y42 X85:AA91 AB81:AF81 C81:R81 D194:AF200 B194:B200 AB84:AF91 B9:AF10 B192:AF192 Q36 AG73 AB94:AF100 U213:AF213 P11:Q11 Q12:Q14 P58:W59 P60:Q62 M11:O12 M39:O42 N58:O61 M37:Q37 P12 Q63:Q67 R11:R14 R36:R37 R42 R60:R67 Z13:AA14 S63:S67 S11:AB11 C56:AF56 C68:AF80 C82:AF83 S12:AA12 AB12:AB14 M53:AF55 Z40:AE43 S36:AF36 Q16:AF31 AC11:AF14 AF57:AF67">
    <cfRule type="expression" dxfId="1283" priority="297">
      <formula>B$9&gt;=20/24</formula>
    </cfRule>
    <cfRule type="expression" dxfId="1282" priority="298">
      <formula>AND(B$9&gt;=14/24,B$9&lt;20/24)</formula>
    </cfRule>
    <cfRule type="expression" dxfId="1281" priority="299">
      <formula>AND(B$9&gt;=8/24,B$9&lt;14/24)</formula>
    </cfRule>
    <cfRule type="expression" dxfId="1280" priority="300">
      <formula>B$9&lt;8/24</formula>
    </cfRule>
  </conditionalFormatting>
  <conditionalFormatting sqref="AL4:AL6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279" priority="292">
      <formula>M$9&gt;=20/24</formula>
    </cfRule>
    <cfRule type="expression" dxfId="1278" priority="293">
      <formula>AND(M$9&gt;=14/24,M$9&lt;20/24)</formula>
    </cfRule>
    <cfRule type="expression" dxfId="1277" priority="294">
      <formula>AND(M$9&gt;=8/24,M$9&lt;14/24)</formula>
    </cfRule>
    <cfRule type="expression" dxfId="1276" priority="295">
      <formula>M$9&lt;8/24</formula>
    </cfRule>
  </conditionalFormatting>
  <conditionalFormatting sqref="M43:R43">
    <cfRule type="expression" dxfId="1275" priority="288">
      <formula>M$9&gt;=20/24</formula>
    </cfRule>
    <cfRule type="expression" dxfId="1274" priority="289">
      <formula>AND(M$9&gt;=14/24,M$9&lt;20/24)</formula>
    </cfRule>
    <cfRule type="expression" dxfId="1273" priority="290">
      <formula>AND(M$9&gt;=8/24,M$9&lt;14/24)</formula>
    </cfRule>
    <cfRule type="expression" dxfId="1272" priority="291">
      <formula>M$9&lt;8/24</formula>
    </cfRule>
  </conditionalFormatting>
  <conditionalFormatting sqref="S39:AE39">
    <cfRule type="expression" dxfId="1271" priority="280">
      <formula>S$9&gt;=20/24</formula>
    </cfRule>
    <cfRule type="expression" dxfId="1270" priority="281">
      <formula>AND(S$9&gt;=14/24,S$9&lt;20/24)</formula>
    </cfRule>
    <cfRule type="expression" dxfId="1269" priority="282">
      <formula>AND(S$9&gt;=8/24,S$9&lt;14/24)</formula>
    </cfRule>
    <cfRule type="expression" dxfId="1268" priority="283">
      <formula>S$9&lt;8/24</formula>
    </cfRule>
  </conditionalFormatting>
  <conditionalFormatting sqref="S57:AE57">
    <cfRule type="expression" dxfId="1267" priority="276">
      <formula>S$9&gt;=20/24</formula>
    </cfRule>
    <cfRule type="expression" dxfId="1266" priority="277">
      <formula>AND(S$9&gt;=14/24,S$9&lt;20/24)</formula>
    </cfRule>
    <cfRule type="expression" dxfId="1265" priority="278">
      <formula>AND(S$9&gt;=8/24,S$9&lt;14/24)</formula>
    </cfRule>
    <cfRule type="expression" dxfId="1264" priority="279">
      <formula>S$9&lt;8/24</formula>
    </cfRule>
  </conditionalFormatting>
  <conditionalFormatting sqref="S81:AA81">
    <cfRule type="expression" dxfId="1263" priority="272">
      <formula>S$9&gt;=20/24</formula>
    </cfRule>
    <cfRule type="expression" dxfId="1262" priority="273">
      <formula>AND(S$9&gt;=14/24,S$9&lt;20/24)</formula>
    </cfRule>
    <cfRule type="expression" dxfId="1261" priority="274">
      <formula>AND(S$9&gt;=8/24,S$9&lt;14/24)</formula>
    </cfRule>
    <cfRule type="expression" dxfId="1260" priority="275">
      <formula>S$9&lt;8/24</formula>
    </cfRule>
  </conditionalFormatting>
  <conditionalFormatting sqref="U84:AA84">
    <cfRule type="expression" dxfId="1259" priority="268">
      <formula>U$9&gt;=20/24</formula>
    </cfRule>
    <cfRule type="expression" dxfId="1258" priority="269">
      <formula>AND(U$9&gt;=14/24,U$9&lt;20/24)</formula>
    </cfRule>
    <cfRule type="expression" dxfId="1257" priority="270">
      <formula>AND(U$9&gt;=8/24,U$9&lt;14/24)</formula>
    </cfRule>
    <cfRule type="expression" dxfId="1256" priority="271">
      <formula>U$9&lt;8/24</formula>
    </cfRule>
  </conditionalFormatting>
  <conditionalFormatting sqref="Q35:AF35">
    <cfRule type="expression" dxfId="1255" priority="264">
      <formula>Q$9&gt;=20/24</formula>
    </cfRule>
    <cfRule type="expression" dxfId="1254" priority="265">
      <formula>AND(Q$9&gt;=14/24,Q$9&lt;20/24)</formula>
    </cfRule>
    <cfRule type="expression" dxfId="1253" priority="266">
      <formula>AND(Q$9&gt;=8/24,Q$9&lt;14/24)</formula>
    </cfRule>
    <cfRule type="expression" dxfId="1252" priority="267">
      <formula>Q$9&lt;8/24</formula>
    </cfRule>
  </conditionalFormatting>
  <conditionalFormatting sqref="S37:AF37">
    <cfRule type="expression" dxfId="1251" priority="248">
      <formula>S$9&gt;=20/24</formula>
    </cfRule>
    <cfRule type="expression" dxfId="1250" priority="249">
      <formula>AND(S$9&gt;=14/24,S$9&lt;20/24)</formula>
    </cfRule>
    <cfRule type="expression" dxfId="1249" priority="250">
      <formula>AND(S$9&gt;=8/24,S$9&lt;14/24)</formula>
    </cfRule>
    <cfRule type="expression" dxfId="1248" priority="251">
      <formula>S$9&lt;8/24</formula>
    </cfRule>
  </conditionalFormatting>
  <conditionalFormatting sqref="S42:T43 U43:Y43 Z45:AF48">
    <cfRule type="expression" dxfId="1247" priority="240">
      <formula>S$9&gt;=20/24</formula>
    </cfRule>
    <cfRule type="expression" dxfId="1246" priority="241">
      <formula>AND(S$9&gt;=14/24,S$9&lt;20/24)</formula>
    </cfRule>
    <cfRule type="expression" dxfId="1245" priority="242">
      <formula>AND(S$9&gt;=8/24,S$9&lt;14/24)</formula>
    </cfRule>
    <cfRule type="expression" dxfId="1244" priority="243">
      <formula>S$9&lt;8/24</formula>
    </cfRule>
  </conditionalFormatting>
  <conditionalFormatting sqref="Z49:AF49">
    <cfRule type="expression" dxfId="1243" priority="236">
      <formula>Z$9&gt;=20/24</formula>
    </cfRule>
    <cfRule type="expression" dxfId="1242" priority="237">
      <formula>AND(Z$9&gt;=14/24,Z$9&lt;20/24)</formula>
    </cfRule>
    <cfRule type="expression" dxfId="1241" priority="238">
      <formula>AND(Z$9&gt;=8/24,Z$9&lt;14/24)</formula>
    </cfRule>
    <cfRule type="expression" dxfId="1240" priority="239">
      <formula>Z$9&lt;8/24</formula>
    </cfRule>
  </conditionalFormatting>
  <conditionalFormatting sqref="Z50:AF50">
    <cfRule type="expression" dxfId="1239" priority="232">
      <formula>Z$9&gt;=20/24</formula>
    </cfRule>
    <cfRule type="expression" dxfId="1238" priority="233">
      <formula>AND(Z$9&gt;=14/24,Z$9&lt;20/24)</formula>
    </cfRule>
    <cfRule type="expression" dxfId="1237" priority="234">
      <formula>AND(Z$9&gt;=8/24,Z$9&lt;14/24)</formula>
    </cfRule>
    <cfRule type="expression" dxfId="1236" priority="235">
      <formula>Z$9&lt;8/24</formula>
    </cfRule>
  </conditionalFormatting>
  <conditionalFormatting sqref="S60:T62 X61:AE61 T63:T67 Y60:AE60 Z62:AE67">
    <cfRule type="expression" dxfId="1235" priority="228">
      <formula>S$9&gt;=20/24</formula>
    </cfRule>
    <cfRule type="expression" dxfId="1234" priority="229">
      <formula>AND(S$9&gt;=14/24,S$9&lt;20/24)</formula>
    </cfRule>
    <cfRule type="expression" dxfId="1233" priority="230">
      <formula>AND(S$9&gt;=8/24,S$9&lt;14/24)</formula>
    </cfRule>
    <cfRule type="expression" dxfId="1232" priority="231">
      <formula>S$9&lt;8/24</formula>
    </cfRule>
  </conditionalFormatting>
  <conditionalFormatting sqref="C62:I62 I63:I67 J62:L67">
    <cfRule type="expression" dxfId="1231" priority="224">
      <formula>C$9&gt;=20/24</formula>
    </cfRule>
    <cfRule type="expression" dxfId="1230" priority="225">
      <formula>AND(C$9&gt;=14/24,C$9&lt;20/24)</formula>
    </cfRule>
    <cfRule type="expression" dxfId="1229" priority="226">
      <formula>AND(C$9&gt;=8/24,C$9&lt;14/24)</formula>
    </cfRule>
    <cfRule type="expression" dxfId="1228" priority="227">
      <formula>C$9&lt;8/24</formula>
    </cfRule>
  </conditionalFormatting>
  <conditionalFormatting sqref="U94:AA97">
    <cfRule type="expression" dxfId="1227" priority="220">
      <formula>U$9&gt;=20/24</formula>
    </cfRule>
    <cfRule type="expression" dxfId="1226" priority="221">
      <formula>AND(U$9&gt;=14/24,U$9&lt;20/24)</formula>
    </cfRule>
    <cfRule type="expression" dxfId="1225" priority="222">
      <formula>AND(U$9&gt;=8/24,U$9&lt;14/24)</formula>
    </cfRule>
    <cfRule type="expression" dxfId="1224" priority="223">
      <formula>U$9&lt;8/24</formula>
    </cfRule>
  </conditionalFormatting>
  <conditionalFormatting sqref="AG51 M12 D11:M11 Z13:AA15 P11:Q11 Q12:Q14 N11:O12 P12 E37:AD37 R11:R14 S11:AB11 Q16:AA31 D44:Z44 Z45:Z50 C38:AF38 C51:AF52 C56:AF56 S12:AA12 AB12:AB31 AA44:AB50 C39:AB43 E53:AF55 Q34:AD36 AE34:AF37 AC11:AF31 AC39:AF50">
    <cfRule type="expression" dxfId="1223" priority="219">
      <formula>C11&gt;$AG11</formula>
    </cfRule>
  </conditionalFormatting>
  <conditionalFormatting sqref="A101:A157 A84:A97 A11:A14 A16:A32 A45:A72 A80:A82 A74:A78 A35:A43 A170:A200">
    <cfRule type="expression" dxfId="1222" priority="218">
      <formula>$AH11=0</formula>
    </cfRule>
  </conditionalFormatting>
  <conditionalFormatting sqref="U98:AA98">
    <cfRule type="expression" dxfId="1221" priority="214">
      <formula>U$9&gt;=20/24</formula>
    </cfRule>
    <cfRule type="expression" dxfId="1220" priority="215">
      <formula>AND(U$9&gt;=14/24,U$9&lt;20/24)</formula>
    </cfRule>
    <cfRule type="expression" dxfId="1219" priority="216">
      <formula>AND(U$9&gt;=8/24,U$9&lt;14/24)</formula>
    </cfRule>
    <cfRule type="expression" dxfId="1218" priority="217">
      <formula>U$9&lt;8/24</formula>
    </cfRule>
  </conditionalFormatting>
  <conditionalFormatting sqref="A98">
    <cfRule type="expression" dxfId="1217" priority="213">
      <formula>$AH98=0</formula>
    </cfRule>
  </conditionalFormatting>
  <conditionalFormatting sqref="E63:H67">
    <cfRule type="expression" dxfId="1216" priority="205">
      <formula>E$9&gt;=20/24</formula>
    </cfRule>
    <cfRule type="expression" dxfId="1215" priority="206">
      <formula>AND(E$9&gt;=14/24,E$9&lt;20/24)</formula>
    </cfRule>
    <cfRule type="expression" dxfId="1214" priority="207">
      <formula>AND(E$9&gt;=8/24,E$9&lt;14/24)</formula>
    </cfRule>
    <cfRule type="expression" dxfId="1213" priority="208">
      <formula>E$9&lt;8/24</formula>
    </cfRule>
  </conditionalFormatting>
  <conditionalFormatting sqref="M62:O67 P63:P67">
    <cfRule type="expression" dxfId="1212" priority="201">
      <formula>M$9&gt;=20/24</formula>
    </cfRule>
    <cfRule type="expression" dxfId="1211" priority="202">
      <formula>AND(M$9&gt;=14/24,M$9&lt;20/24)</formula>
    </cfRule>
    <cfRule type="expression" dxfId="1210" priority="203">
      <formula>AND(M$9&gt;=8/24,M$9&lt;14/24)</formula>
    </cfRule>
    <cfRule type="expression" dxfId="1209" priority="204">
      <formula>M$9&lt;8/24</formula>
    </cfRule>
  </conditionalFormatting>
  <conditionalFormatting sqref="AL32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Q34:AF34">
    <cfRule type="expression" dxfId="1208" priority="192">
      <formula>Q$9&gt;=20/24</formula>
    </cfRule>
    <cfRule type="expression" dxfId="1207" priority="193">
      <formula>AND(Q$9&gt;=14/24,Q$9&lt;20/24)</formula>
    </cfRule>
    <cfRule type="expression" dxfId="1206" priority="194">
      <formula>AND(Q$9&gt;=8/24,Q$9&lt;14/24)</formula>
    </cfRule>
    <cfRule type="expression" dxfId="1205" priority="195">
      <formula>Q$9&lt;8/24</formula>
    </cfRule>
  </conditionalFormatting>
  <conditionalFormatting sqref="A34">
    <cfRule type="expression" dxfId="1204" priority="187">
      <formula>$AH34=0</formula>
    </cfRule>
  </conditionalFormatting>
  <conditionalFormatting sqref="A83">
    <cfRule type="expression" dxfId="1203" priority="186">
      <formula>$AH83=0</formula>
    </cfRule>
  </conditionalFormatting>
  <conditionalFormatting sqref="Z15:AF15">
    <cfRule type="expression" dxfId="1202" priority="182">
      <formula>Z$9&gt;=20/24</formula>
    </cfRule>
    <cfRule type="expression" dxfId="1201" priority="183">
      <formula>AND(Z$9&gt;=14/24,Z$9&lt;20/24)</formula>
    </cfRule>
    <cfRule type="expression" dxfId="1200" priority="184">
      <formula>AND(Z$9&gt;=8/24,Z$9&lt;14/24)</formula>
    </cfRule>
    <cfRule type="expression" dxfId="1199" priority="185">
      <formula>Z$9&lt;8/24</formula>
    </cfRule>
  </conditionalFormatting>
  <conditionalFormatting sqref="Q15:R15">
    <cfRule type="expression" dxfId="1198" priority="178">
      <formula>Q$9&gt;=20/24</formula>
    </cfRule>
    <cfRule type="expression" dxfId="1197" priority="179">
      <formula>AND(Q$9&gt;=14/24,Q$9&lt;20/24)</formula>
    </cfRule>
    <cfRule type="expression" dxfId="1196" priority="180">
      <formula>AND(Q$9&gt;=8/24,Q$9&lt;14/24)</formula>
    </cfRule>
    <cfRule type="expression" dxfId="1195" priority="181">
      <formula>Q$9&lt;8/24</formula>
    </cfRule>
  </conditionalFormatting>
  <conditionalFormatting sqref="Q15:R15">
    <cfRule type="expression" dxfId="1194" priority="177">
      <formula>Q15&gt;$AG15</formula>
    </cfRule>
  </conditionalFormatting>
  <conditionalFormatting sqref="A15">
    <cfRule type="expression" dxfId="1193" priority="176">
      <formula>$AH15=0</formula>
    </cfRule>
  </conditionalFormatting>
  <conditionalFormatting sqref="A164:A169">
    <cfRule type="expression" dxfId="1192" priority="175">
      <formula>$AH164=0</formula>
    </cfRule>
  </conditionalFormatting>
  <conditionalFormatting sqref="A158:A163">
    <cfRule type="expression" dxfId="1191" priority="174">
      <formula>$AH158=0</formula>
    </cfRule>
  </conditionalFormatting>
  <conditionalFormatting sqref="Z44:AE44">
    <cfRule type="expression" dxfId="1190" priority="170">
      <formula>Z$9&gt;=20/24</formula>
    </cfRule>
    <cfRule type="expression" dxfId="1189" priority="171">
      <formula>AND(Z$9&gt;=14/24,Z$9&lt;20/24)</formula>
    </cfRule>
    <cfRule type="expression" dxfId="1188" priority="172">
      <formula>AND(Z$9&gt;=8/24,Z$9&lt;14/24)</formula>
    </cfRule>
    <cfRule type="expression" dxfId="1187" priority="173">
      <formula>Z$9&lt;8/24</formula>
    </cfRule>
  </conditionalFormatting>
  <conditionalFormatting sqref="S44:Y44">
    <cfRule type="expression" dxfId="1186" priority="162">
      <formula>S$9&gt;=20/24</formula>
    </cfRule>
    <cfRule type="expression" dxfId="1185" priority="163">
      <formula>AND(S$9&gt;=14/24,S$9&lt;20/24)</formula>
    </cfRule>
    <cfRule type="expression" dxfId="1184" priority="164">
      <formula>AND(S$9&gt;=8/24,S$9&lt;14/24)</formula>
    </cfRule>
    <cfRule type="expression" dxfId="1183" priority="165">
      <formula>S$9&lt;8/24</formula>
    </cfRule>
  </conditionalFormatting>
  <conditionalFormatting sqref="A44">
    <cfRule type="expression" dxfId="1182" priority="161">
      <formula>$AH44=0</formula>
    </cfRule>
  </conditionalFormatting>
  <conditionalFormatting sqref="A79">
    <cfRule type="expression" dxfId="1181" priority="160">
      <formula>$AH79=0</formula>
    </cfRule>
  </conditionalFormatting>
  <conditionalFormatting sqref="A73">
    <cfRule type="expression" dxfId="1180" priority="159">
      <formula>$AH73=0</formula>
    </cfRule>
  </conditionalFormatting>
  <conditionalFormatting sqref="AL34:AL35 AL7:AL31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U60:W67 X60 X62:Y67">
    <cfRule type="expression" dxfId="1179" priority="155">
      <formula>U$9&gt;=20/24</formula>
    </cfRule>
    <cfRule type="expression" dxfId="1178" priority="156">
      <formula>AND(U$9&gt;=14/24,U$9&lt;20/24)</formula>
    </cfRule>
    <cfRule type="expression" dxfId="1177" priority="157">
      <formula>AND(U$9&gt;=8/24,U$9&lt;14/24)</formula>
    </cfRule>
    <cfRule type="expression" dxfId="1176" priority="158">
      <formula>U$9&lt;8/24</formula>
    </cfRule>
  </conditionalFormatting>
  <conditionalFormatting sqref="U85:W91">
    <cfRule type="expression" dxfId="1175" priority="151">
      <formula>U$9&gt;=20/24</formula>
    </cfRule>
    <cfRule type="expression" dxfId="1174" priority="152">
      <formula>AND(U$9&gt;=14/24,U$9&lt;20/24)</formula>
    </cfRule>
    <cfRule type="expression" dxfId="1173" priority="153">
      <formula>AND(U$9&gt;=8/24,U$9&lt;14/24)</formula>
    </cfRule>
    <cfRule type="expression" dxfId="1172" priority="154">
      <formula>U$9&lt;8/24</formula>
    </cfRule>
  </conditionalFormatting>
  <conditionalFormatting sqref="S85:T91 C84:R91">
    <cfRule type="expression" dxfId="1171" priority="147">
      <formula>C$9&gt;=20/24</formula>
    </cfRule>
    <cfRule type="expression" dxfId="1170" priority="148">
      <formula>AND(C$9&gt;=14/24,C$9&lt;20/24)</formula>
    </cfRule>
    <cfRule type="expression" dxfId="1169" priority="149">
      <formula>AND(C$9&gt;=8/24,C$9&lt;14/24)</formula>
    </cfRule>
    <cfRule type="expression" dxfId="1168" priority="150">
      <formula>C$9&lt;8/24</formula>
    </cfRule>
  </conditionalFormatting>
  <conditionalFormatting sqref="S84:T84">
    <cfRule type="expression" dxfId="1167" priority="143">
      <formula>S$9&gt;=20/24</formula>
    </cfRule>
    <cfRule type="expression" dxfId="1166" priority="144">
      <formula>AND(S$9&gt;=14/24,S$9&lt;20/24)</formula>
    </cfRule>
    <cfRule type="expression" dxfId="1165" priority="145">
      <formula>AND(S$9&gt;=8/24,S$9&lt;14/24)</formula>
    </cfRule>
    <cfRule type="expression" dxfId="1164" priority="146">
      <formula>S$9&lt;8/24</formula>
    </cfRule>
  </conditionalFormatting>
  <conditionalFormatting sqref="C94:F94 C95:O97">
    <cfRule type="expression" dxfId="1163" priority="139">
      <formula>C$9&gt;=20/24</formula>
    </cfRule>
    <cfRule type="expression" dxfId="1162" priority="140">
      <formula>AND(C$9&gt;=14/24,C$9&lt;20/24)</formula>
    </cfRule>
    <cfRule type="expression" dxfId="1161" priority="141">
      <formula>AND(C$9&gt;=8/24,C$9&lt;14/24)</formula>
    </cfRule>
    <cfRule type="expression" dxfId="1160" priority="142">
      <formula>C$9&lt;8/24</formula>
    </cfRule>
  </conditionalFormatting>
  <conditionalFormatting sqref="P94:R97">
    <cfRule type="expression" dxfId="1159" priority="135">
      <formula>P$9&gt;=20/24</formula>
    </cfRule>
    <cfRule type="expression" dxfId="1158" priority="136">
      <formula>AND(P$9&gt;=14/24,P$9&lt;20/24)</formula>
    </cfRule>
    <cfRule type="expression" dxfId="1157" priority="137">
      <formula>AND(P$9&gt;=8/24,P$9&lt;14/24)</formula>
    </cfRule>
    <cfRule type="expression" dxfId="1156" priority="138">
      <formula>P$9&lt;8/24</formula>
    </cfRule>
  </conditionalFormatting>
  <conditionalFormatting sqref="S94:T97">
    <cfRule type="expression" dxfId="1155" priority="131">
      <formula>S$9&gt;=20/24</formula>
    </cfRule>
    <cfRule type="expression" dxfId="1154" priority="132">
      <formula>AND(S$9&gt;=14/24,S$9&lt;20/24)</formula>
    </cfRule>
    <cfRule type="expression" dxfId="1153" priority="133">
      <formula>AND(S$9&gt;=8/24,S$9&lt;14/24)</formula>
    </cfRule>
    <cfRule type="expression" dxfId="1152" priority="134">
      <formula>S$9&lt;8/24</formula>
    </cfRule>
  </conditionalFormatting>
  <conditionalFormatting sqref="C98:O98">
    <cfRule type="expression" dxfId="1151" priority="127">
      <formula>C$9&gt;=20/24</formula>
    </cfRule>
    <cfRule type="expression" dxfId="1150" priority="128">
      <formula>AND(C$9&gt;=14/24,C$9&lt;20/24)</formula>
    </cfRule>
    <cfRule type="expression" dxfId="1149" priority="129">
      <formula>AND(C$9&gt;=8/24,C$9&lt;14/24)</formula>
    </cfRule>
    <cfRule type="expression" dxfId="1148" priority="130">
      <formula>C$9&lt;8/24</formula>
    </cfRule>
  </conditionalFormatting>
  <conditionalFormatting sqref="P98:R98">
    <cfRule type="expression" dxfId="1147" priority="123">
      <formula>P$9&gt;=20/24</formula>
    </cfRule>
    <cfRule type="expression" dxfId="1146" priority="124">
      <formula>AND(P$9&gt;=14/24,P$9&lt;20/24)</formula>
    </cfRule>
    <cfRule type="expression" dxfId="1145" priority="125">
      <formula>AND(P$9&gt;=8/24,P$9&lt;14/24)</formula>
    </cfRule>
    <cfRule type="expression" dxfId="1144" priority="126">
      <formula>P$9&lt;8/24</formula>
    </cfRule>
  </conditionalFormatting>
  <conditionalFormatting sqref="S98:T98">
    <cfRule type="expression" dxfId="1143" priority="119">
      <formula>S$9&gt;=20/24</formula>
    </cfRule>
    <cfRule type="expression" dxfId="1142" priority="120">
      <formula>AND(S$9&gt;=14/24,S$9&lt;20/24)</formula>
    </cfRule>
    <cfRule type="expression" dxfId="1141" priority="121">
      <formula>AND(S$9&gt;=8/24,S$9&lt;14/24)</formula>
    </cfRule>
    <cfRule type="expression" dxfId="1140" priority="122">
      <formula>S$9&lt;8/24</formula>
    </cfRule>
  </conditionalFormatting>
  <conditionalFormatting sqref="M94:O94">
    <cfRule type="expression" dxfId="1139" priority="115">
      <formula>M$9&gt;=20/24</formula>
    </cfRule>
    <cfRule type="expression" dxfId="1138" priority="116">
      <formula>AND(M$9&gt;=14/24,M$9&lt;20/24)</formula>
    </cfRule>
    <cfRule type="expression" dxfId="1137" priority="117">
      <formula>AND(M$9&gt;=8/24,M$9&lt;14/24)</formula>
    </cfRule>
    <cfRule type="expression" dxfId="1136" priority="118">
      <formula>M$9&lt;8/24</formula>
    </cfRule>
  </conditionalFormatting>
  <conditionalFormatting sqref="G94:L94">
    <cfRule type="expression" dxfId="1135" priority="111">
      <formula>G$9&gt;=20/24</formula>
    </cfRule>
    <cfRule type="expression" dxfId="1134" priority="112">
      <formula>AND(G$9&gt;=14/24,G$9&lt;20/24)</formula>
    </cfRule>
    <cfRule type="expression" dxfId="1133" priority="113">
      <formula>AND(G$9&gt;=8/24,G$9&lt;14/24)</formula>
    </cfRule>
    <cfRule type="expression" dxfId="1132" priority="114">
      <formula>G$9&lt;8/24</formula>
    </cfRule>
  </conditionalFormatting>
  <conditionalFormatting sqref="U94:W94">
    <cfRule type="expression" dxfId="1131" priority="107">
      <formula>U$9&gt;=20/24</formula>
    </cfRule>
    <cfRule type="expression" dxfId="1130" priority="108">
      <formula>AND(U$9&gt;=14/24,U$9&lt;20/24)</formula>
    </cfRule>
    <cfRule type="expression" dxfId="1129" priority="109">
      <formula>AND(U$9&gt;=8/24,U$9&lt;14/24)</formula>
    </cfRule>
    <cfRule type="expression" dxfId="1128" priority="110">
      <formula>U$9&lt;8/24</formula>
    </cfRule>
  </conditionalFormatting>
  <conditionalFormatting sqref="P94:T94">
    <cfRule type="expression" dxfId="1127" priority="103">
      <formula>P$9&gt;=20/24</formula>
    </cfRule>
    <cfRule type="expression" dxfId="1126" priority="104">
      <formula>AND(P$9&gt;=14/24,P$9&lt;20/24)</formula>
    </cfRule>
    <cfRule type="expression" dxfId="1125" priority="105">
      <formula>AND(P$9&gt;=8/24,P$9&lt;14/24)</formula>
    </cfRule>
    <cfRule type="expression" dxfId="1124" priority="106">
      <formula>P$9&lt;8/24</formula>
    </cfRule>
  </conditionalFormatting>
  <conditionalFormatting sqref="U99:AA100">
    <cfRule type="expression" dxfId="1123" priority="99">
      <formula>U$9&gt;=20/24</formula>
    </cfRule>
    <cfRule type="expression" dxfId="1122" priority="100">
      <formula>AND(U$9&gt;=14/24,U$9&lt;20/24)</formula>
    </cfRule>
    <cfRule type="expression" dxfId="1121" priority="101">
      <formula>AND(U$9&gt;=8/24,U$9&lt;14/24)</formula>
    </cfRule>
    <cfRule type="expression" dxfId="1120" priority="102">
      <formula>U$9&lt;8/24</formula>
    </cfRule>
  </conditionalFormatting>
  <conditionalFormatting sqref="C99:O100">
    <cfRule type="expression" dxfId="1119" priority="95">
      <formula>C$9&gt;=20/24</formula>
    </cfRule>
    <cfRule type="expression" dxfId="1118" priority="96">
      <formula>AND(C$9&gt;=14/24,C$9&lt;20/24)</formula>
    </cfRule>
    <cfRule type="expression" dxfId="1117" priority="97">
      <formula>AND(C$9&gt;=8/24,C$9&lt;14/24)</formula>
    </cfRule>
    <cfRule type="expression" dxfId="1116" priority="98">
      <formula>C$9&lt;8/24</formula>
    </cfRule>
  </conditionalFormatting>
  <conditionalFormatting sqref="P99:R100">
    <cfRule type="expression" dxfId="1115" priority="91">
      <formula>P$9&gt;=20/24</formula>
    </cfRule>
    <cfRule type="expression" dxfId="1114" priority="92">
      <formula>AND(P$9&gt;=14/24,P$9&lt;20/24)</formula>
    </cfRule>
    <cfRule type="expression" dxfId="1113" priority="93">
      <formula>AND(P$9&gt;=8/24,P$9&lt;14/24)</formula>
    </cfRule>
    <cfRule type="expression" dxfId="1112" priority="94">
      <formula>P$9&lt;8/24</formula>
    </cfRule>
  </conditionalFormatting>
  <conditionalFormatting sqref="S99:T100">
    <cfRule type="expression" dxfId="1111" priority="87">
      <formula>S$9&gt;=20/24</formula>
    </cfRule>
    <cfRule type="expression" dxfId="1110" priority="88">
      <formula>AND(S$9&gt;=14/24,S$9&lt;20/24)</formula>
    </cfRule>
    <cfRule type="expression" dxfId="1109" priority="89">
      <formula>AND(S$9&gt;=8/24,S$9&lt;14/24)</formula>
    </cfRule>
    <cfRule type="expression" dxfId="1108" priority="90">
      <formula>S$9&lt;8/24</formula>
    </cfRule>
  </conditionalFormatting>
  <conditionalFormatting sqref="S13:Y15">
    <cfRule type="expression" dxfId="1107" priority="83">
      <formula>S$9&gt;=20/24</formula>
    </cfRule>
    <cfRule type="expression" dxfId="1106" priority="84">
      <formula>AND(S$9&gt;=14/24,S$9&lt;20/24)</formula>
    </cfRule>
    <cfRule type="expression" dxfId="1105" priority="85">
      <formula>AND(S$9&gt;=8/24,S$9&lt;14/24)</formula>
    </cfRule>
    <cfRule type="expression" dxfId="1104" priority="86">
      <formula>S$9&lt;8/24</formula>
    </cfRule>
  </conditionalFormatting>
  <conditionalFormatting sqref="S13:Y13">
    <cfRule type="expression" dxfId="1103" priority="75">
      <formula>S$9&gt;=20/24</formula>
    </cfRule>
    <cfRule type="expression" dxfId="1102" priority="76">
      <formula>AND(S$9&gt;=14/24,S$9&lt;20/24)</formula>
    </cfRule>
    <cfRule type="expression" dxfId="1101" priority="77">
      <formula>AND(S$9&gt;=8/24,S$9&lt;14/24)</formula>
    </cfRule>
    <cfRule type="expression" dxfId="1100" priority="78">
      <formula>S$9&lt;8/24</formula>
    </cfRule>
  </conditionalFormatting>
  <conditionalFormatting sqref="AB58:AE59">
    <cfRule type="expression" dxfId="1099" priority="71">
      <formula>AB$9&gt;=20/24</formula>
    </cfRule>
    <cfRule type="expression" dxfId="1098" priority="72">
      <formula>AND(AB$9&gt;=14/24,AB$9&lt;20/24)</formula>
    </cfRule>
    <cfRule type="expression" dxfId="1097" priority="73">
      <formula>AND(AB$9&gt;=8/24,AB$9&lt;14/24)</formula>
    </cfRule>
    <cfRule type="expression" dxfId="1096" priority="74">
      <formula>AB$9&lt;8/24</formula>
    </cfRule>
  </conditionalFormatting>
  <conditionalFormatting sqref="AL33">
    <cfRule type="iconSet" priority="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095" priority="304">
      <formula>C$9&gt;=20/24</formula>
    </cfRule>
    <cfRule type="expression" dxfId="1094" priority="305">
      <formula>AND(C$9&gt;=14/24,C$9&lt;20/24)</formula>
    </cfRule>
    <cfRule type="expression" dxfId="1093" priority="306">
      <formula>AND(C$9&gt;=8/24,C$9&lt;14/24)</formula>
    </cfRule>
    <cfRule type="expression" dxfId="1092" priority="307">
      <formula>C$9&lt;8/24</formula>
    </cfRule>
  </conditionalFormatting>
  <conditionalFormatting sqref="A201">
    <cfRule type="expression" dxfId="1091" priority="308">
      <formula>$AH201=0</formula>
    </cfRule>
  </conditionalFormatting>
  <conditionalFormatting sqref="AG213">
    <cfRule type="expression" dxfId="1090" priority="309">
      <formula>B$9&gt;=20/24</formula>
    </cfRule>
    <cfRule type="expression" dxfId="1089" priority="310">
      <formula>AND(B$9&gt;=14/24,B$9&lt;20/24)</formula>
    </cfRule>
    <cfRule type="expression" dxfId="1088" priority="311">
      <formula>AND(B$9&gt;=8/24,B$9&lt;14/24)</formula>
    </cfRule>
    <cfRule type="expression" dxfId="1087" priority="312">
      <formula>B$9&lt;8/24</formula>
    </cfRule>
  </conditionalFormatting>
  <conditionalFormatting sqref="S8">
    <cfRule type="expression" dxfId="1086" priority="65">
      <formula>U$9&gt;=20/24</formula>
    </cfRule>
    <cfRule type="expression" dxfId="1085" priority="66">
      <formula>AND(U$9&gt;=14/24,U$9&lt;20/24)</formula>
    </cfRule>
    <cfRule type="expression" dxfId="1084" priority="67">
      <formula>AND(U$9&gt;=8/24,U$9&lt;14/24)</formula>
    </cfRule>
    <cfRule type="expression" dxfId="1083" priority="68">
      <formula>U$9&lt;8/24</formula>
    </cfRule>
  </conditionalFormatting>
  <conditionalFormatting sqref="AB8">
    <cfRule type="expression" dxfId="1082" priority="61">
      <formula>AD$9&gt;=20/24</formula>
    </cfRule>
    <cfRule type="expression" dxfId="1081" priority="62">
      <formula>AND(AD$9&gt;=14/24,AD$9&lt;20/24)</formula>
    </cfRule>
    <cfRule type="expression" dxfId="1080" priority="63">
      <formula>AND(AD$9&gt;=8/24,AD$9&lt;14/24)</formula>
    </cfRule>
    <cfRule type="expression" dxfId="1079" priority="64">
      <formula>AD$9&lt;8/24</formula>
    </cfRule>
  </conditionalFormatting>
  <conditionalFormatting sqref="AH213:AX213">
    <cfRule type="expression" dxfId="1078" priority="313">
      <formula>AG$9&gt;=20/24</formula>
    </cfRule>
    <cfRule type="expression" dxfId="1077" priority="314">
      <formula>AND(AG$9&gt;=14/24,AG$9&lt;20/24)</formula>
    </cfRule>
    <cfRule type="expression" dxfId="1076" priority="315">
      <formula>AND(AG$9&gt;=8/24,AG$9&lt;14/24)</formula>
    </cfRule>
    <cfRule type="expression" dxfId="1075" priority="316">
      <formula>AG$9&lt;8/24</formula>
    </cfRule>
  </conditionalFormatting>
  <conditionalFormatting sqref="T213">
    <cfRule type="expression" dxfId="1074" priority="317">
      <formula>AX$9&gt;=20/24</formula>
    </cfRule>
    <cfRule type="expression" dxfId="1073" priority="318">
      <formula>AND(AX$9&gt;=14/24,AX$9&lt;20/24)</formula>
    </cfRule>
    <cfRule type="expression" dxfId="1072" priority="319">
      <formula>AND(AX$9&gt;=8/24,AX$9&lt;14/24)</formula>
    </cfRule>
    <cfRule type="expression" dxfId="1071" priority="320">
      <formula>AX$9&lt;8/24</formula>
    </cfRule>
  </conditionalFormatting>
  <conditionalFormatting sqref="A99:A100">
    <cfRule type="expression" dxfId="1070" priority="60">
      <formula>$AH99=0</formula>
    </cfRule>
  </conditionalFormatting>
  <conditionalFormatting sqref="Q33:AF33">
    <cfRule type="expression" dxfId="1069" priority="56">
      <formula>Q$9&gt;=20/24</formula>
    </cfRule>
    <cfRule type="expression" dxfId="1068" priority="57">
      <formula>AND(Q$9&gt;=14/24,Q$9&lt;20/24)</formula>
    </cfRule>
    <cfRule type="expression" dxfId="1067" priority="58">
      <formula>AND(Q$9&gt;=8/24,Q$9&lt;14/24)</formula>
    </cfRule>
    <cfRule type="expression" dxfId="1066" priority="59">
      <formula>Q$9&lt;8/24</formula>
    </cfRule>
  </conditionalFormatting>
  <conditionalFormatting sqref="Q33:AF33">
    <cfRule type="expression" dxfId="1065" priority="47">
      <formula>Q33&gt;$AG33</formula>
    </cfRule>
  </conditionalFormatting>
  <conditionalFormatting sqref="B94:B100 B53:B91 B11:C14 C53:D55 D12:L14 B16:P31 B36:P36 M13:P14">
    <cfRule type="expression" dxfId="1064" priority="43">
      <formula>B$9&gt;=20/24</formula>
    </cfRule>
    <cfRule type="expression" dxfId="1063" priority="44">
      <formula>AND(B$9&gt;=14/24,B$9&lt;20/24)</formula>
    </cfRule>
    <cfRule type="expression" dxfId="1062" priority="45">
      <formula>AND(B$9&gt;=8/24,B$9&lt;14/24)</formula>
    </cfRule>
    <cfRule type="expression" dxfId="1061" priority="46">
      <formula>B$9&lt;8/24</formula>
    </cfRule>
  </conditionalFormatting>
  <conditionalFormatting sqref="B32:AF32">
    <cfRule type="expression" dxfId="1060" priority="39">
      <formula>B$9&gt;=20/24</formula>
    </cfRule>
    <cfRule type="expression" dxfId="1059" priority="40">
      <formula>AND(B$9&gt;=14/24,B$9&lt;20/24)</formula>
    </cfRule>
    <cfRule type="expression" dxfId="1058" priority="41">
      <formula>AND(B$9&gt;=8/24,B$9&lt;14/24)</formula>
    </cfRule>
    <cfRule type="expression" dxfId="1057" priority="42">
      <formula>B$9&lt;8/24</formula>
    </cfRule>
  </conditionalFormatting>
  <conditionalFormatting sqref="B37:D37">
    <cfRule type="expression" dxfId="1056" priority="35">
      <formula>B$9&gt;=20/24</formula>
    </cfRule>
    <cfRule type="expression" dxfId="1055" priority="36">
      <formula>AND(B$9&gt;=14/24,B$9&lt;20/24)</formula>
    </cfRule>
    <cfRule type="expression" dxfId="1054" priority="37">
      <formula>AND(B$9&gt;=8/24,B$9&lt;14/24)</formula>
    </cfRule>
    <cfRule type="expression" dxfId="1053" priority="38">
      <formula>B$9&lt;8/24</formula>
    </cfRule>
  </conditionalFormatting>
  <conditionalFormatting sqref="B35:P35">
    <cfRule type="expression" dxfId="1052" priority="31">
      <formula>B$9&gt;=20/24</formula>
    </cfRule>
    <cfRule type="expression" dxfId="1051" priority="32">
      <formula>AND(B$9&gt;=14/24,B$9&lt;20/24)</formula>
    </cfRule>
    <cfRule type="expression" dxfId="1050" priority="33">
      <formula>AND(B$9&gt;=8/24,B$9&lt;14/24)</formula>
    </cfRule>
    <cfRule type="expression" dxfId="1049" priority="34">
      <formula>B$9&lt;8/24</formula>
    </cfRule>
  </conditionalFormatting>
  <conditionalFormatting sqref="B45:Y48">
    <cfRule type="expression" dxfId="1048" priority="27">
      <formula>B$9&gt;=20/24</formula>
    </cfRule>
    <cfRule type="expression" dxfId="1047" priority="28">
      <formula>AND(B$9&gt;=14/24,B$9&lt;20/24)</formula>
    </cfRule>
    <cfRule type="expression" dxfId="1046" priority="29">
      <formula>AND(B$9&gt;=8/24,B$9&lt;14/24)</formula>
    </cfRule>
    <cfRule type="expression" dxfId="1045" priority="30">
      <formula>B$9&lt;8/24</formula>
    </cfRule>
  </conditionalFormatting>
  <conditionalFormatting sqref="B49:Y49">
    <cfRule type="expression" dxfId="1044" priority="23">
      <formula>B$9&gt;=20/24</formula>
    </cfRule>
    <cfRule type="expression" dxfId="1043" priority="24">
      <formula>AND(B$9&gt;=14/24,B$9&lt;20/24)</formula>
    </cfRule>
    <cfRule type="expression" dxfId="1042" priority="25">
      <formula>AND(B$9&gt;=8/24,B$9&lt;14/24)</formula>
    </cfRule>
    <cfRule type="expression" dxfId="1041" priority="26">
      <formula>B$9&lt;8/24</formula>
    </cfRule>
  </conditionalFormatting>
  <conditionalFormatting sqref="B50:Y50">
    <cfRule type="expression" dxfId="1040" priority="19">
      <formula>B$9&gt;=20/24</formula>
    </cfRule>
    <cfRule type="expression" dxfId="1039" priority="20">
      <formula>AND(B$9&gt;=14/24,B$9&lt;20/24)</formula>
    </cfRule>
    <cfRule type="expression" dxfId="1038" priority="21">
      <formula>AND(B$9&gt;=8/24,B$9&lt;14/24)</formula>
    </cfRule>
    <cfRule type="expression" dxfId="1037" priority="22">
      <formula>B$9&lt;8/24</formula>
    </cfRule>
  </conditionalFormatting>
  <conditionalFormatting sqref="B34:B56 B11:C32 C44:C50 C34:D37 C53:D55 D12:L32 M13:P32 E34:P36 D45:Y50 Q32:AF32">
    <cfRule type="expression" dxfId="1036" priority="18">
      <formula>B11&gt;$AG11</formula>
    </cfRule>
  </conditionalFormatting>
  <conditionalFormatting sqref="B34:P34">
    <cfRule type="expression" dxfId="1035" priority="14">
      <formula>B$9&gt;=20/24</formula>
    </cfRule>
    <cfRule type="expression" dxfId="1034" priority="15">
      <formula>AND(B$9&gt;=14/24,B$9&lt;20/24)</formula>
    </cfRule>
    <cfRule type="expression" dxfId="1033" priority="16">
      <formula>AND(B$9&gt;=8/24,B$9&lt;14/24)</formula>
    </cfRule>
    <cfRule type="expression" dxfId="1032" priority="17">
      <formula>B$9&lt;8/24</formula>
    </cfRule>
  </conditionalFormatting>
  <conditionalFormatting sqref="B15:P15">
    <cfRule type="expression" dxfId="1031" priority="10">
      <formula>B$9&gt;=20/24</formula>
    </cfRule>
    <cfRule type="expression" dxfId="1030" priority="11">
      <formula>AND(B$9&gt;=14/24,B$9&lt;20/24)</formula>
    </cfRule>
    <cfRule type="expression" dxfId="1029" priority="12">
      <formula>AND(B$9&gt;=8/24,B$9&lt;14/24)</formula>
    </cfRule>
    <cfRule type="expression" dxfId="1028" priority="13">
      <formula>B$9&lt;8/24</formula>
    </cfRule>
  </conditionalFormatting>
  <conditionalFormatting sqref="B33:P33">
    <cfRule type="expression" dxfId="1027" priority="6">
      <formula>B$9&gt;=20/24</formula>
    </cfRule>
    <cfRule type="expression" dxfId="1026" priority="7">
      <formula>AND(B$9&gt;=14/24,B$9&lt;20/24)</formula>
    </cfRule>
    <cfRule type="expression" dxfId="1025" priority="8">
      <formula>AND(B$9&gt;=8/24,B$9&lt;14/24)</formula>
    </cfRule>
    <cfRule type="expression" dxfId="1024" priority="9">
      <formula>B$9&lt;8/24</formula>
    </cfRule>
  </conditionalFormatting>
  <conditionalFormatting sqref="B33:P33">
    <cfRule type="expression" dxfId="1023" priority="5">
      <formula>B33&gt;$AG33</formula>
    </cfRule>
  </conditionalFormatting>
  <conditionalFormatting sqref="M44:R44">
    <cfRule type="expression" dxfId="1022" priority="1">
      <formula>M$9&gt;=20/24</formula>
    </cfRule>
    <cfRule type="expression" dxfId="1021" priority="2">
      <formula>AND(M$9&gt;=14/24,M$9&lt;20/24)</formula>
    </cfRule>
    <cfRule type="expression" dxfId="1020" priority="3">
      <formula>AND(M$9&gt;=8/24,M$9&lt;14/24)</formula>
    </cfRule>
    <cfRule type="expression" dxfId="1019" priority="4">
      <formula>M$9&lt;8/24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id="{F8A0EAF9-12A4-4A27-892D-4E93FE4771A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tabSelected="1"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M44" sqref="M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2078/11/29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423</v>
      </c>
      <c r="C5" s="32">
        <f t="shared" si="0"/>
        <v>450.8</v>
      </c>
      <c r="D5" s="32">
        <f t="shared" si="0"/>
        <v>469.04</v>
      </c>
      <c r="E5" s="32">
        <f t="shared" si="0"/>
        <v>465.40999999999997</v>
      </c>
      <c r="F5" s="32">
        <f t="shared" si="0"/>
        <v>516.24</v>
      </c>
      <c r="G5" s="32">
        <f t="shared" si="0"/>
        <v>346.62</v>
      </c>
      <c r="H5" s="32">
        <f t="shared" si="0"/>
        <v>234.79</v>
      </c>
      <c r="I5" s="32">
        <f t="shared" si="0"/>
        <v>272.2</v>
      </c>
      <c r="J5" s="32">
        <f t="shared" si="0"/>
        <v>247.19</v>
      </c>
      <c r="K5" s="32">
        <f t="shared" si="0"/>
        <v>323.8</v>
      </c>
      <c r="L5" s="32">
        <f t="shared" si="0"/>
        <v>361.40000000000003</v>
      </c>
      <c r="M5" s="32">
        <f t="shared" si="0"/>
        <v>594.04</v>
      </c>
      <c r="N5" s="32">
        <f t="shared" si="0"/>
        <v>619.79</v>
      </c>
      <c r="O5" s="32">
        <f t="shared" si="0"/>
        <v>616</v>
      </c>
      <c r="P5" s="32">
        <f t="shared" si="0"/>
        <v>654.1</v>
      </c>
      <c r="Q5" s="32">
        <f t="shared" si="0"/>
        <v>644.6</v>
      </c>
      <c r="R5" s="32">
        <f t="shared" si="0"/>
        <v>649.30000000000007</v>
      </c>
      <c r="S5" s="32">
        <f t="shared" si="0"/>
        <v>639</v>
      </c>
      <c r="T5" s="32">
        <f t="shared" si="0"/>
        <v>672</v>
      </c>
      <c r="U5" s="32">
        <f t="shared" si="0"/>
        <v>638.59999999999991</v>
      </c>
      <c r="V5" s="32">
        <f t="shared" si="0"/>
        <v>644.1</v>
      </c>
      <c r="W5" s="32">
        <f t="shared" si="0"/>
        <v>630.5</v>
      </c>
      <c r="X5" s="32">
        <f t="shared" si="0"/>
        <v>687.69999999999993</v>
      </c>
      <c r="Y5" s="32">
        <f t="shared" si="0"/>
        <v>350.8</v>
      </c>
      <c r="Z5" s="32">
        <f t="shared" si="0"/>
        <v>342.1</v>
      </c>
      <c r="AA5" s="32">
        <f t="shared" si="0"/>
        <v>698.9</v>
      </c>
      <c r="AB5" s="32">
        <f t="shared" si="0"/>
        <v>603.9</v>
      </c>
      <c r="AC5" s="32">
        <f t="shared" si="0"/>
        <v>597.1</v>
      </c>
      <c r="AD5" s="32">
        <f t="shared" si="0"/>
        <v>602.9</v>
      </c>
      <c r="AE5" s="32">
        <f t="shared" si="0"/>
        <v>607.29999999999995</v>
      </c>
      <c r="AF5" s="32">
        <f>B68</f>
        <v>429.6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Load=933</v>
      </c>
      <c r="B7" s="37">
        <f>B75</f>
        <v>979.34</v>
      </c>
      <c r="C7" s="37">
        <f t="shared" ref="C7:AF7" si="1">C75</f>
        <v>959.04</v>
      </c>
      <c r="D7" s="37">
        <f t="shared" si="1"/>
        <v>932.54</v>
      </c>
      <c r="E7" s="37">
        <f t="shared" si="1"/>
        <v>948.68000000000006</v>
      </c>
      <c r="F7" s="37">
        <f t="shared" si="1"/>
        <v>953.75</v>
      </c>
      <c r="G7" s="37">
        <f t="shared" si="1"/>
        <v>999.88</v>
      </c>
      <c r="H7" s="37">
        <f t="shared" si="1"/>
        <v>1031.96</v>
      </c>
      <c r="I7" s="37">
        <f t="shared" si="1"/>
        <v>1088.93</v>
      </c>
      <c r="J7" s="37">
        <f t="shared" si="1"/>
        <v>1178.04</v>
      </c>
      <c r="K7" s="37">
        <f t="shared" si="1"/>
        <v>1323.23</v>
      </c>
      <c r="L7" s="37">
        <f t="shared" si="1"/>
        <v>1394.64</v>
      </c>
      <c r="M7" s="37">
        <f t="shared" si="1"/>
        <v>1422.1400000000003</v>
      </c>
      <c r="N7" s="37">
        <f t="shared" si="1"/>
        <v>1337.1799999999998</v>
      </c>
      <c r="O7" s="37">
        <f t="shared" si="1"/>
        <v>1354.33</v>
      </c>
      <c r="P7" s="37">
        <f t="shared" si="1"/>
        <v>1325.04</v>
      </c>
      <c r="Q7" s="37">
        <f t="shared" si="1"/>
        <v>1292.54</v>
      </c>
      <c r="R7" s="37">
        <f t="shared" si="1"/>
        <v>1250.1400000000001</v>
      </c>
      <c r="S7" s="37">
        <f t="shared" si="1"/>
        <v>1281.6400000000001</v>
      </c>
      <c r="T7" s="37">
        <f t="shared" si="1"/>
        <v>1287.3400000000001</v>
      </c>
      <c r="U7" s="37">
        <f t="shared" si="1"/>
        <v>1320.64</v>
      </c>
      <c r="V7" s="37">
        <f t="shared" si="1"/>
        <v>1311.34</v>
      </c>
      <c r="W7" s="37">
        <f t="shared" si="1"/>
        <v>1319.84</v>
      </c>
      <c r="X7" s="37">
        <f t="shared" si="1"/>
        <v>1368.6399999999999</v>
      </c>
      <c r="Y7" s="37">
        <f t="shared" si="1"/>
        <v>1467.94</v>
      </c>
      <c r="Z7" s="37">
        <f t="shared" si="1"/>
        <v>1546.8400000000001</v>
      </c>
      <c r="AA7" s="37">
        <f t="shared" si="1"/>
        <v>1464.3400000000001</v>
      </c>
      <c r="AB7" s="37">
        <f t="shared" si="1"/>
        <v>1419.34</v>
      </c>
      <c r="AC7" s="37">
        <f t="shared" si="1"/>
        <v>1314.34</v>
      </c>
      <c r="AD7" s="37">
        <f t="shared" si="1"/>
        <v>1260.1400000000001</v>
      </c>
      <c r="AE7" s="37">
        <f t="shared" si="1"/>
        <v>1157.3399999999999</v>
      </c>
      <c r="AF7" s="37">
        <f t="shared" si="1"/>
        <v>1122.8399999999999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12</v>
      </c>
      <c r="C11" s="50">
        <v>60</v>
      </c>
      <c r="D11" s="50">
        <v>12</v>
      </c>
      <c r="E11" s="50">
        <v>12</v>
      </c>
      <c r="F11" s="50">
        <v>12</v>
      </c>
      <c r="G11" s="50">
        <v>12</v>
      </c>
      <c r="H11" s="50">
        <v>100</v>
      </c>
      <c r="I11" s="49">
        <v>210</v>
      </c>
      <c r="J11" s="49">
        <v>230</v>
      </c>
      <c r="K11" s="49">
        <v>300</v>
      </c>
      <c r="L11" s="49">
        <v>280</v>
      </c>
      <c r="M11" s="50">
        <v>330</v>
      </c>
      <c r="N11" s="50">
        <v>30</v>
      </c>
      <c r="O11" s="50">
        <v>30</v>
      </c>
      <c r="P11" s="50">
        <v>12</v>
      </c>
      <c r="Q11" s="50">
        <v>12</v>
      </c>
      <c r="R11" s="50">
        <v>12</v>
      </c>
      <c r="S11" s="50">
        <v>10</v>
      </c>
      <c r="T11" s="50">
        <v>10</v>
      </c>
      <c r="U11" s="50">
        <v>10</v>
      </c>
      <c r="V11" s="50">
        <v>10</v>
      </c>
      <c r="W11" s="50">
        <v>10</v>
      </c>
      <c r="X11" s="50">
        <v>10</v>
      </c>
      <c r="Y11" s="50">
        <v>10</v>
      </c>
      <c r="Z11" s="50">
        <v>350</v>
      </c>
      <c r="AA11" s="50">
        <v>350</v>
      </c>
      <c r="AB11" s="50">
        <v>70</v>
      </c>
      <c r="AC11" s="50">
        <v>70</v>
      </c>
      <c r="AD11" s="50">
        <v>55</v>
      </c>
      <c r="AE11" s="50">
        <v>30</v>
      </c>
      <c r="AF11" s="50">
        <v>12</v>
      </c>
      <c r="AG11" s="53">
        <v>456</v>
      </c>
      <c r="AH11" s="54">
        <f>MAX(B11:AF11)</f>
        <v>350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58">
        <v>31</v>
      </c>
      <c r="T12" s="58">
        <v>31</v>
      </c>
      <c r="U12" s="58">
        <v>31</v>
      </c>
      <c r="V12" s="58">
        <v>31</v>
      </c>
      <c r="W12" s="58">
        <v>31</v>
      </c>
      <c r="X12" s="58">
        <v>31</v>
      </c>
      <c r="Y12" s="58">
        <v>31</v>
      </c>
      <c r="Z12" s="58">
        <v>31</v>
      </c>
      <c r="AA12" s="58">
        <v>31</v>
      </c>
      <c r="AB12" s="58">
        <v>31</v>
      </c>
      <c r="AC12" s="58">
        <v>31</v>
      </c>
      <c r="AD12" s="58">
        <v>31</v>
      </c>
      <c r="AE12" s="58">
        <v>31</v>
      </c>
      <c r="AF12" s="58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0">
        <v>17.5</v>
      </c>
      <c r="C13" s="50">
        <v>17.5</v>
      </c>
      <c r="D13" s="50">
        <v>17.600000000000001</v>
      </c>
      <c r="E13" s="50">
        <v>17.600000000000001</v>
      </c>
      <c r="F13" s="50">
        <v>17.600000000000001</v>
      </c>
      <c r="G13" s="50">
        <v>17.600000000000001</v>
      </c>
      <c r="H13" s="50">
        <v>17.600000000000001</v>
      </c>
      <c r="I13" s="50">
        <v>17.600000000000001</v>
      </c>
      <c r="J13" s="50">
        <v>17.600000000000001</v>
      </c>
      <c r="K13" s="50">
        <v>17.600000000000001</v>
      </c>
      <c r="L13" s="50">
        <v>17.600000000000001</v>
      </c>
      <c r="M13" s="49">
        <v>16.7</v>
      </c>
      <c r="N13" s="49">
        <v>16.7</v>
      </c>
      <c r="O13" s="49">
        <v>16.7</v>
      </c>
      <c r="P13" s="49">
        <v>16.7</v>
      </c>
      <c r="Q13" s="49">
        <v>15.6</v>
      </c>
      <c r="R13" s="49">
        <v>15.6</v>
      </c>
      <c r="S13" s="58">
        <v>15.6</v>
      </c>
      <c r="T13" s="58">
        <v>15.6</v>
      </c>
      <c r="U13" s="58">
        <v>15.6</v>
      </c>
      <c r="V13" s="58">
        <v>15.6</v>
      </c>
      <c r="W13" s="58">
        <v>15.6</v>
      </c>
      <c r="X13" s="58">
        <v>15.8</v>
      </c>
      <c r="Y13" s="58">
        <v>15.9</v>
      </c>
      <c r="Z13" s="58">
        <v>15.9</v>
      </c>
      <c r="AA13" s="58">
        <v>15.1</v>
      </c>
      <c r="AB13" s="58">
        <v>15.1</v>
      </c>
      <c r="AC13" s="58">
        <v>15.1</v>
      </c>
      <c r="AD13" s="58">
        <v>15.2</v>
      </c>
      <c r="AE13" s="58">
        <v>15.2</v>
      </c>
      <c r="AF13" s="58">
        <v>15.2</v>
      </c>
      <c r="AG13" s="59">
        <v>52.4</v>
      </c>
      <c r="AH13" s="54">
        <f t="shared" si="2"/>
        <v>17.600000000000001</v>
      </c>
      <c r="AI13" s="55">
        <f t="shared" si="3"/>
        <v>15.1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0">
        <v>34.5</v>
      </c>
      <c r="C14" s="50">
        <v>34.1</v>
      </c>
      <c r="D14" s="50">
        <v>34</v>
      </c>
      <c r="E14" s="50">
        <v>34</v>
      </c>
      <c r="F14" s="50">
        <v>34</v>
      </c>
      <c r="G14" s="50">
        <v>34</v>
      </c>
      <c r="H14" s="50">
        <v>34</v>
      </c>
      <c r="I14" s="50">
        <v>34</v>
      </c>
      <c r="J14" s="50">
        <v>34</v>
      </c>
      <c r="K14" s="50">
        <v>34</v>
      </c>
      <c r="L14" s="50">
        <v>34</v>
      </c>
      <c r="M14" s="50">
        <v>34.799999999999997</v>
      </c>
      <c r="N14" s="50">
        <v>34.700000000000003</v>
      </c>
      <c r="O14" s="50">
        <v>34.700000000000003</v>
      </c>
      <c r="P14" s="50">
        <v>34.700000000000003</v>
      </c>
      <c r="Q14" s="50">
        <v>35.1</v>
      </c>
      <c r="R14" s="50">
        <v>35.1</v>
      </c>
      <c r="S14" s="60">
        <v>35.1</v>
      </c>
      <c r="T14" s="60">
        <v>35.1</v>
      </c>
      <c r="U14" s="60">
        <v>35.1</v>
      </c>
      <c r="V14" s="60">
        <v>35.1</v>
      </c>
      <c r="W14" s="60">
        <v>35.1</v>
      </c>
      <c r="X14" s="60">
        <v>32.700000000000003</v>
      </c>
      <c r="Y14" s="60">
        <v>32.6</v>
      </c>
      <c r="Z14" s="60">
        <v>32.6</v>
      </c>
      <c r="AA14" s="60">
        <v>32.9</v>
      </c>
      <c r="AB14" s="60">
        <v>32.9</v>
      </c>
      <c r="AC14" s="60">
        <v>32.9</v>
      </c>
      <c r="AD14" s="60">
        <v>32.9</v>
      </c>
      <c r="AE14" s="60">
        <v>32.9</v>
      </c>
      <c r="AF14" s="60">
        <v>32.9</v>
      </c>
      <c r="AG14" s="59">
        <v>50</v>
      </c>
      <c r="AH14" s="54">
        <f t="shared" si="2"/>
        <v>35.1</v>
      </c>
      <c r="AI14" s="55">
        <f t="shared" si="3"/>
        <v>32.6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0">
        <v>23.1</v>
      </c>
      <c r="C15" s="50">
        <v>23.1</v>
      </c>
      <c r="D15" s="50">
        <v>23.1</v>
      </c>
      <c r="E15" s="50">
        <v>23.1</v>
      </c>
      <c r="F15" s="50">
        <v>23.1</v>
      </c>
      <c r="G15" s="50">
        <v>23.1</v>
      </c>
      <c r="H15" s="50">
        <v>23.1</v>
      </c>
      <c r="I15" s="50">
        <v>23.1</v>
      </c>
      <c r="J15" s="50">
        <v>23.1</v>
      </c>
      <c r="K15" s="50">
        <v>23.1</v>
      </c>
      <c r="L15" s="50">
        <v>23.1</v>
      </c>
      <c r="M15" s="50">
        <v>21.4</v>
      </c>
      <c r="N15" s="50">
        <v>20.8</v>
      </c>
      <c r="O15" s="50">
        <v>20.2</v>
      </c>
      <c r="P15" s="50">
        <v>20.2</v>
      </c>
      <c r="Q15" s="50">
        <v>20.2</v>
      </c>
      <c r="R15" s="50">
        <v>20.2</v>
      </c>
      <c r="S15" s="60">
        <v>20.2</v>
      </c>
      <c r="T15" s="60">
        <v>20.2</v>
      </c>
      <c r="U15" s="60">
        <v>20.2</v>
      </c>
      <c r="V15" s="60">
        <v>20.2</v>
      </c>
      <c r="W15" s="60">
        <v>20.2</v>
      </c>
      <c r="X15" s="60">
        <v>23.5</v>
      </c>
      <c r="Y15" s="60">
        <v>23.1</v>
      </c>
      <c r="Z15" s="60">
        <v>23</v>
      </c>
      <c r="AA15" s="60">
        <v>23.1</v>
      </c>
      <c r="AB15" s="60">
        <v>23.1</v>
      </c>
      <c r="AC15" s="60">
        <v>23.1</v>
      </c>
      <c r="AD15" s="60">
        <v>23.1</v>
      </c>
      <c r="AE15" s="60">
        <v>23.1</v>
      </c>
      <c r="AF15" s="60">
        <v>23.1</v>
      </c>
      <c r="AG15" s="62">
        <v>45</v>
      </c>
      <c r="AH15" s="54">
        <f t="shared" si="2"/>
        <v>23.5</v>
      </c>
      <c r="AI15" s="55">
        <f t="shared" si="3"/>
        <v>20.2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0">
        <v>8.5</v>
      </c>
      <c r="C16" s="50">
        <v>8.5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  <c r="P16" s="50">
        <v>8.5</v>
      </c>
      <c r="Q16" s="50">
        <v>8.5</v>
      </c>
      <c r="R16" s="50">
        <v>8.5</v>
      </c>
      <c r="S16" s="63">
        <v>9</v>
      </c>
      <c r="T16" s="63">
        <v>9</v>
      </c>
      <c r="U16" s="63">
        <v>9</v>
      </c>
      <c r="V16" s="63">
        <v>9</v>
      </c>
      <c r="W16" s="63">
        <v>9</v>
      </c>
      <c r="X16" s="63">
        <v>9</v>
      </c>
      <c r="Y16" s="63">
        <v>9</v>
      </c>
      <c r="Z16" s="63">
        <v>9</v>
      </c>
      <c r="AA16" s="63">
        <v>9</v>
      </c>
      <c r="AB16" s="63">
        <v>9</v>
      </c>
      <c r="AC16" s="63">
        <v>9</v>
      </c>
      <c r="AD16" s="63">
        <v>9</v>
      </c>
      <c r="AE16" s="63">
        <v>9</v>
      </c>
      <c r="AF16" s="63">
        <v>9</v>
      </c>
      <c r="AG16" s="59">
        <v>45</v>
      </c>
      <c r="AH16" s="54">
        <f t="shared" si="2"/>
        <v>9</v>
      </c>
      <c r="AI16" s="55">
        <f t="shared" si="3"/>
        <v>8.5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0">
        <v>6.5</v>
      </c>
      <c r="C17" s="50">
        <v>6.5</v>
      </c>
      <c r="D17" s="50">
        <v>6.5</v>
      </c>
      <c r="E17" s="50">
        <v>6.5</v>
      </c>
      <c r="F17" s="50">
        <v>6.5</v>
      </c>
      <c r="G17" s="50">
        <v>6.5</v>
      </c>
      <c r="H17" s="50">
        <v>6.5</v>
      </c>
      <c r="I17" s="50">
        <v>6.5</v>
      </c>
      <c r="J17" s="50">
        <v>6.5</v>
      </c>
      <c r="K17" s="50">
        <v>6.5</v>
      </c>
      <c r="L17" s="50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60">
        <v>6.5</v>
      </c>
      <c r="T17" s="60">
        <v>6.5</v>
      </c>
      <c r="U17" s="60">
        <v>6.5</v>
      </c>
      <c r="V17" s="60">
        <v>6.5</v>
      </c>
      <c r="W17" s="60">
        <v>6.5</v>
      </c>
      <c r="X17" s="60">
        <v>6.5</v>
      </c>
      <c r="Y17" s="60">
        <v>6.5</v>
      </c>
      <c r="Z17" s="60">
        <v>6.5</v>
      </c>
      <c r="AA17" s="60">
        <v>6.5</v>
      </c>
      <c r="AB17" s="60">
        <v>6.5</v>
      </c>
      <c r="AC17" s="60">
        <v>6.5</v>
      </c>
      <c r="AD17" s="60">
        <v>6.5</v>
      </c>
      <c r="AE17" s="60">
        <v>6.5</v>
      </c>
      <c r="AF17" s="60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0">
        <v>8</v>
      </c>
      <c r="C18" s="50">
        <v>8</v>
      </c>
      <c r="D18" s="50">
        <v>8</v>
      </c>
      <c r="E18" s="50">
        <v>8</v>
      </c>
      <c r="F18" s="50">
        <v>8</v>
      </c>
      <c r="G18" s="50">
        <v>8</v>
      </c>
      <c r="H18" s="50">
        <v>8</v>
      </c>
      <c r="I18" s="50">
        <v>8</v>
      </c>
      <c r="J18" s="50">
        <v>8</v>
      </c>
      <c r="K18" s="50">
        <v>8</v>
      </c>
      <c r="L18" s="50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50">
        <v>8</v>
      </c>
      <c r="AA18" s="50">
        <v>8</v>
      </c>
      <c r="AB18" s="50">
        <v>8</v>
      </c>
      <c r="AC18" s="50">
        <v>8</v>
      </c>
      <c r="AD18" s="50">
        <v>8</v>
      </c>
      <c r="AE18" s="50">
        <v>8</v>
      </c>
      <c r="AF18" s="50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0">
        <v>10.5</v>
      </c>
      <c r="C19" s="50">
        <v>11.1</v>
      </c>
      <c r="D19" s="50">
        <v>11.4</v>
      </c>
      <c r="E19" s="50">
        <v>11.4</v>
      </c>
      <c r="F19" s="50">
        <v>11.4</v>
      </c>
      <c r="G19" s="50">
        <v>11.4</v>
      </c>
      <c r="H19" s="50">
        <v>11.4</v>
      </c>
      <c r="I19" s="50">
        <v>11.4</v>
      </c>
      <c r="J19" s="50">
        <v>11.4</v>
      </c>
      <c r="K19" s="50">
        <v>11.4</v>
      </c>
      <c r="L19" s="50">
        <v>11.4</v>
      </c>
      <c r="M19" s="50">
        <v>10.4</v>
      </c>
      <c r="N19" s="50">
        <v>10.4</v>
      </c>
      <c r="O19" s="50">
        <v>10.4</v>
      </c>
      <c r="P19" s="50">
        <v>10.4</v>
      </c>
      <c r="Q19" s="50">
        <v>10.4</v>
      </c>
      <c r="R19" s="50">
        <v>10.4</v>
      </c>
      <c r="S19" s="50">
        <v>10.4</v>
      </c>
      <c r="T19" s="50">
        <v>10.4</v>
      </c>
      <c r="U19" s="50">
        <v>10.4</v>
      </c>
      <c r="V19" s="50">
        <v>10.4</v>
      </c>
      <c r="W19" s="50">
        <v>10.4</v>
      </c>
      <c r="X19" s="50">
        <v>10.1</v>
      </c>
      <c r="Y19" s="50">
        <v>10.1</v>
      </c>
      <c r="Z19" s="50">
        <v>10.199999999999999</v>
      </c>
      <c r="AA19" s="50">
        <v>11.4</v>
      </c>
      <c r="AB19" s="50">
        <v>11.4</v>
      </c>
      <c r="AC19" s="50">
        <v>11.4</v>
      </c>
      <c r="AD19" s="50">
        <v>11.4</v>
      </c>
      <c r="AE19" s="50">
        <v>11.4</v>
      </c>
      <c r="AF19" s="50">
        <v>11.4</v>
      </c>
      <c r="AG19" s="59">
        <v>30</v>
      </c>
      <c r="AH19" s="54">
        <f t="shared" si="2"/>
        <v>11.4</v>
      </c>
      <c r="AI19" s="55">
        <f t="shared" si="3"/>
        <v>10.1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0">
        <v>8.4</v>
      </c>
      <c r="C20" s="50">
        <v>8.4</v>
      </c>
      <c r="D20" s="50">
        <v>8.4</v>
      </c>
      <c r="E20" s="50">
        <v>8.4</v>
      </c>
      <c r="F20" s="50">
        <v>8.4</v>
      </c>
      <c r="G20" s="50">
        <v>8.4</v>
      </c>
      <c r="H20" s="50">
        <v>8.4</v>
      </c>
      <c r="I20" s="50">
        <v>8.4</v>
      </c>
      <c r="J20" s="50">
        <v>8.4</v>
      </c>
      <c r="K20" s="50">
        <v>8.4</v>
      </c>
      <c r="L20" s="50">
        <v>8.4</v>
      </c>
      <c r="M20" s="50">
        <v>8.4</v>
      </c>
      <c r="N20" s="50">
        <v>8.4</v>
      </c>
      <c r="O20" s="50">
        <v>8.4</v>
      </c>
      <c r="P20" s="50">
        <v>8.4</v>
      </c>
      <c r="Q20" s="50">
        <v>8.4</v>
      </c>
      <c r="R20" s="50">
        <v>8.4</v>
      </c>
      <c r="S20" s="50">
        <v>8.4</v>
      </c>
      <c r="T20" s="50">
        <v>8.4</v>
      </c>
      <c r="U20" s="50">
        <v>8.4</v>
      </c>
      <c r="V20" s="50">
        <v>8.4</v>
      </c>
      <c r="W20" s="50">
        <v>8.4</v>
      </c>
      <c r="X20" s="50">
        <v>8.4</v>
      </c>
      <c r="Y20" s="50">
        <v>8.4</v>
      </c>
      <c r="Z20" s="50">
        <v>7</v>
      </c>
      <c r="AA20" s="50">
        <v>7</v>
      </c>
      <c r="AB20" s="50">
        <v>7</v>
      </c>
      <c r="AC20" s="50">
        <v>7</v>
      </c>
      <c r="AD20" s="50">
        <v>7</v>
      </c>
      <c r="AE20" s="50">
        <v>7</v>
      </c>
      <c r="AF20" s="50">
        <v>7</v>
      </c>
      <c r="AG20" s="59">
        <v>27</v>
      </c>
      <c r="AH20" s="54">
        <f t="shared" si="2"/>
        <v>8.4</v>
      </c>
      <c r="AI20" s="55">
        <f t="shared" si="3"/>
        <v>7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0">
        <v>4</v>
      </c>
      <c r="C21" s="50">
        <v>4</v>
      </c>
      <c r="D21" s="50">
        <v>4</v>
      </c>
      <c r="E21" s="50">
        <v>4</v>
      </c>
      <c r="F21" s="50">
        <v>4</v>
      </c>
      <c r="G21" s="50">
        <v>4</v>
      </c>
      <c r="H21" s="50">
        <v>4</v>
      </c>
      <c r="I21" s="50">
        <v>4</v>
      </c>
      <c r="J21" s="50">
        <v>4</v>
      </c>
      <c r="K21" s="50">
        <v>4</v>
      </c>
      <c r="L21" s="50">
        <v>4</v>
      </c>
      <c r="M21" s="50">
        <v>4</v>
      </c>
      <c r="N21" s="50">
        <v>4</v>
      </c>
      <c r="O21" s="50">
        <v>4</v>
      </c>
      <c r="P21" s="50">
        <v>4</v>
      </c>
      <c r="Q21" s="50">
        <v>4</v>
      </c>
      <c r="R21" s="50">
        <v>4</v>
      </c>
      <c r="S21" s="50">
        <v>4</v>
      </c>
      <c r="T21" s="50">
        <v>4</v>
      </c>
      <c r="U21" s="50">
        <v>4</v>
      </c>
      <c r="V21" s="50">
        <v>4</v>
      </c>
      <c r="W21" s="50">
        <v>4</v>
      </c>
      <c r="X21" s="50">
        <v>4</v>
      </c>
      <c r="Y21" s="50">
        <v>4</v>
      </c>
      <c r="Z21" s="50">
        <v>3.5</v>
      </c>
      <c r="AA21" s="50">
        <v>3.5</v>
      </c>
      <c r="AB21" s="50">
        <v>3.5</v>
      </c>
      <c r="AC21" s="50">
        <v>3.5</v>
      </c>
      <c r="AD21" s="50">
        <v>3.5</v>
      </c>
      <c r="AE21" s="50">
        <v>3.5</v>
      </c>
      <c r="AF21" s="50">
        <v>3.5</v>
      </c>
      <c r="AG21" s="59">
        <v>25</v>
      </c>
      <c r="AH21" s="54">
        <f t="shared" si="2"/>
        <v>4</v>
      </c>
      <c r="AI21" s="55">
        <f t="shared" si="3"/>
        <v>3.5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0">
        <v>17.7</v>
      </c>
      <c r="C22" s="50">
        <v>15.8</v>
      </c>
      <c r="D22" s="50">
        <v>15.8</v>
      </c>
      <c r="E22" s="50">
        <v>15.8</v>
      </c>
      <c r="F22" s="50">
        <v>15.8</v>
      </c>
      <c r="G22" s="50">
        <v>15.8</v>
      </c>
      <c r="H22" s="50">
        <v>15.8</v>
      </c>
      <c r="I22" s="50">
        <v>15.8</v>
      </c>
      <c r="J22" s="50">
        <v>15.8</v>
      </c>
      <c r="K22" s="50">
        <v>15.8</v>
      </c>
      <c r="L22" s="50">
        <v>15.8</v>
      </c>
      <c r="M22" s="50">
        <v>19.3</v>
      </c>
      <c r="N22" s="50">
        <v>19.3</v>
      </c>
      <c r="O22" s="50">
        <v>19.3</v>
      </c>
      <c r="P22" s="50">
        <v>0</v>
      </c>
      <c r="Q22" s="50">
        <v>0</v>
      </c>
      <c r="R22" s="50">
        <v>10.8</v>
      </c>
      <c r="S22" s="50">
        <v>10.8</v>
      </c>
      <c r="T22" s="50">
        <v>10.8</v>
      </c>
      <c r="U22" s="50">
        <v>10.8</v>
      </c>
      <c r="V22" s="50">
        <v>10.8</v>
      </c>
      <c r="W22" s="50">
        <v>10.8</v>
      </c>
      <c r="X22" s="50">
        <v>11.2</v>
      </c>
      <c r="Y22" s="50">
        <v>11.2</v>
      </c>
      <c r="Z22" s="50">
        <v>17</v>
      </c>
      <c r="AA22" s="50">
        <v>19.7</v>
      </c>
      <c r="AB22" s="50">
        <v>19.7</v>
      </c>
      <c r="AC22" s="50">
        <v>19.7</v>
      </c>
      <c r="AD22" s="50">
        <v>19.7</v>
      </c>
      <c r="AE22" s="50">
        <v>19.7</v>
      </c>
      <c r="AF22" s="50">
        <v>19.7</v>
      </c>
      <c r="AG22" s="59">
        <v>25</v>
      </c>
      <c r="AH22" s="54">
        <f t="shared" si="2"/>
        <v>19.7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0">
        <v>4.8</v>
      </c>
      <c r="C23" s="50">
        <v>4.8</v>
      </c>
      <c r="D23" s="50">
        <v>4.8</v>
      </c>
      <c r="E23" s="50">
        <v>4.8</v>
      </c>
      <c r="F23" s="50">
        <v>4.8</v>
      </c>
      <c r="G23" s="50">
        <v>4.8</v>
      </c>
      <c r="H23" s="50">
        <v>4.8</v>
      </c>
      <c r="I23" s="50">
        <v>4.8</v>
      </c>
      <c r="J23" s="50">
        <v>4.8</v>
      </c>
      <c r="K23" s="50">
        <v>4.8</v>
      </c>
      <c r="L23" s="50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50">
        <v>4.8</v>
      </c>
      <c r="AA23" s="50">
        <v>4.8</v>
      </c>
      <c r="AB23" s="50">
        <v>4.8</v>
      </c>
      <c r="AC23" s="50">
        <v>4.8</v>
      </c>
      <c r="AD23" s="50">
        <v>4.8</v>
      </c>
      <c r="AE23" s="50">
        <v>4.8</v>
      </c>
      <c r="AF23" s="50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0">
        <v>11</v>
      </c>
      <c r="C24" s="50">
        <v>11</v>
      </c>
      <c r="D24" s="50">
        <v>11</v>
      </c>
      <c r="E24" s="50">
        <v>11</v>
      </c>
      <c r="F24" s="50">
        <v>11</v>
      </c>
      <c r="G24" s="50">
        <v>11</v>
      </c>
      <c r="H24" s="50">
        <v>11</v>
      </c>
      <c r="I24" s="50">
        <v>11</v>
      </c>
      <c r="J24" s="50">
        <v>11</v>
      </c>
      <c r="K24" s="50">
        <v>11</v>
      </c>
      <c r="L24" s="50">
        <v>11</v>
      </c>
      <c r="M24" s="50">
        <v>7.6</v>
      </c>
      <c r="N24" s="50">
        <v>7.6</v>
      </c>
      <c r="O24" s="50">
        <v>7.6</v>
      </c>
      <c r="P24" s="50">
        <v>7.6</v>
      </c>
      <c r="Q24" s="50">
        <v>7.6</v>
      </c>
      <c r="R24" s="50">
        <v>7.6</v>
      </c>
      <c r="S24" s="50">
        <v>7.6</v>
      </c>
      <c r="T24" s="50">
        <v>7.6</v>
      </c>
      <c r="U24" s="50">
        <v>7.6</v>
      </c>
      <c r="V24" s="50">
        <v>7.6</v>
      </c>
      <c r="W24" s="50">
        <v>7.6</v>
      </c>
      <c r="X24" s="50">
        <v>7.6</v>
      </c>
      <c r="Y24" s="50">
        <v>7.6</v>
      </c>
      <c r="Z24" s="50">
        <v>5.2</v>
      </c>
      <c r="AA24" s="50">
        <v>5.2</v>
      </c>
      <c r="AB24" s="50">
        <v>5.2</v>
      </c>
      <c r="AC24" s="50">
        <v>5.2</v>
      </c>
      <c r="AD24" s="50">
        <v>9.3000000000000007</v>
      </c>
      <c r="AE24" s="50">
        <v>9.3000000000000007</v>
      </c>
      <c r="AF24" s="50">
        <v>9.3000000000000007</v>
      </c>
      <c r="AG24" s="59">
        <v>25</v>
      </c>
      <c r="AH24" s="54">
        <f t="shared" si="2"/>
        <v>11</v>
      </c>
      <c r="AI24" s="55">
        <f t="shared" si="3"/>
        <v>5.2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0">
        <v>5.5</v>
      </c>
      <c r="C25" s="50">
        <v>5.5</v>
      </c>
      <c r="D25" s="50">
        <v>5.5</v>
      </c>
      <c r="E25" s="50">
        <v>5.5</v>
      </c>
      <c r="F25" s="50">
        <v>5.5</v>
      </c>
      <c r="G25" s="50">
        <v>5.5</v>
      </c>
      <c r="H25" s="50">
        <v>5.5</v>
      </c>
      <c r="I25" s="50">
        <v>5.5</v>
      </c>
      <c r="J25" s="50">
        <v>5.5</v>
      </c>
      <c r="K25" s="50">
        <v>5.5</v>
      </c>
      <c r="L25" s="50">
        <v>5.5</v>
      </c>
      <c r="M25" s="50">
        <v>5.5</v>
      </c>
      <c r="N25" s="50">
        <v>5.5</v>
      </c>
      <c r="O25" s="50">
        <v>5.5</v>
      </c>
      <c r="P25" s="50">
        <v>5.5</v>
      </c>
      <c r="Q25" s="50">
        <v>5.5</v>
      </c>
      <c r="R25" s="50">
        <v>5.5</v>
      </c>
      <c r="S25" s="50">
        <v>5.5</v>
      </c>
      <c r="T25" s="50">
        <v>5.5</v>
      </c>
      <c r="U25" s="50">
        <v>5.5</v>
      </c>
      <c r="V25" s="50">
        <v>5.5</v>
      </c>
      <c r="W25" s="50">
        <v>5.5</v>
      </c>
      <c r="X25" s="50">
        <v>5.5</v>
      </c>
      <c r="Y25" s="50">
        <v>5.5</v>
      </c>
      <c r="Z25" s="50">
        <v>5</v>
      </c>
      <c r="AA25" s="50">
        <v>5</v>
      </c>
      <c r="AB25" s="50">
        <v>5</v>
      </c>
      <c r="AC25" s="50">
        <v>5</v>
      </c>
      <c r="AD25" s="50">
        <v>5</v>
      </c>
      <c r="AE25" s="50">
        <v>5</v>
      </c>
      <c r="AF25" s="50">
        <v>5</v>
      </c>
      <c r="AG25" s="59">
        <v>24.2</v>
      </c>
      <c r="AH25" s="54">
        <f t="shared" si="2"/>
        <v>5.5</v>
      </c>
      <c r="AI25" s="55">
        <f t="shared" si="3"/>
        <v>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0">
        <v>6.2</v>
      </c>
      <c r="C26" s="50">
        <v>6.2</v>
      </c>
      <c r="D26" s="50">
        <v>6.2</v>
      </c>
      <c r="E26" s="50">
        <v>6.2</v>
      </c>
      <c r="F26" s="50">
        <v>6.2</v>
      </c>
      <c r="G26" s="50">
        <v>6.2</v>
      </c>
      <c r="H26" s="50">
        <v>6.2</v>
      </c>
      <c r="I26" s="50">
        <v>6.2</v>
      </c>
      <c r="J26" s="50">
        <v>6.2</v>
      </c>
      <c r="K26" s="50">
        <v>6.2</v>
      </c>
      <c r="L26" s="50">
        <v>6.2</v>
      </c>
      <c r="M26" s="50">
        <v>6.2</v>
      </c>
      <c r="N26" s="50">
        <v>6.2</v>
      </c>
      <c r="O26" s="50">
        <v>6.2</v>
      </c>
      <c r="P26" s="50">
        <v>6.2</v>
      </c>
      <c r="Q26" s="50">
        <v>6.2</v>
      </c>
      <c r="R26" s="50">
        <v>6.2</v>
      </c>
      <c r="S26" s="50">
        <v>6.2</v>
      </c>
      <c r="T26" s="50">
        <v>6.2</v>
      </c>
      <c r="U26" s="50">
        <v>6.2</v>
      </c>
      <c r="V26" s="50">
        <v>6.2</v>
      </c>
      <c r="W26" s="50">
        <v>6.2</v>
      </c>
      <c r="X26" s="50">
        <v>6.2</v>
      </c>
      <c r="Y26" s="50">
        <v>6.2</v>
      </c>
      <c r="Z26" s="50">
        <v>6.7</v>
      </c>
      <c r="AA26" s="50">
        <v>6.7</v>
      </c>
      <c r="AB26" s="50">
        <v>6.7</v>
      </c>
      <c r="AC26" s="50">
        <v>6.7</v>
      </c>
      <c r="AD26" s="50">
        <v>6.7</v>
      </c>
      <c r="AE26" s="50">
        <v>6.7</v>
      </c>
      <c r="AF26" s="50">
        <v>6.7</v>
      </c>
      <c r="AG26" s="59">
        <v>20</v>
      </c>
      <c r="AH26" s="54">
        <f t="shared" si="2"/>
        <v>6.7</v>
      </c>
      <c r="AI26" s="55">
        <f t="shared" si="3"/>
        <v>6.2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0">
        <v>2.5</v>
      </c>
      <c r="C27" s="50">
        <v>2.5</v>
      </c>
      <c r="D27" s="50">
        <v>2.5</v>
      </c>
      <c r="E27" s="50">
        <v>2.5</v>
      </c>
      <c r="F27" s="50">
        <v>2.5</v>
      </c>
      <c r="G27" s="50">
        <v>2.5</v>
      </c>
      <c r="H27" s="50">
        <v>2.5</v>
      </c>
      <c r="I27" s="50">
        <v>2.5</v>
      </c>
      <c r="J27" s="50">
        <v>2.5</v>
      </c>
      <c r="K27" s="50">
        <v>2.5</v>
      </c>
      <c r="L27" s="50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50">
        <v>2.5</v>
      </c>
      <c r="AA27" s="50">
        <v>2.5</v>
      </c>
      <c r="AB27" s="50">
        <v>2.5</v>
      </c>
      <c r="AC27" s="50">
        <v>2.5</v>
      </c>
      <c r="AD27" s="50">
        <v>2.5</v>
      </c>
      <c r="AE27" s="50">
        <v>2.5</v>
      </c>
      <c r="AF27" s="50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0">
        <v>3</v>
      </c>
      <c r="C29" s="50">
        <v>3</v>
      </c>
      <c r="D29" s="50">
        <v>3</v>
      </c>
      <c r="E29" s="50">
        <v>3</v>
      </c>
      <c r="F29" s="50">
        <v>3</v>
      </c>
      <c r="G29" s="50">
        <v>3</v>
      </c>
      <c r="H29" s="50">
        <v>3</v>
      </c>
      <c r="I29" s="50">
        <v>3</v>
      </c>
      <c r="J29" s="50">
        <v>3</v>
      </c>
      <c r="K29" s="50">
        <v>3</v>
      </c>
      <c r="L29" s="50">
        <v>3</v>
      </c>
      <c r="M29" s="50">
        <v>3</v>
      </c>
      <c r="N29" s="50">
        <v>3</v>
      </c>
      <c r="O29" s="50">
        <v>3</v>
      </c>
      <c r="P29" s="50">
        <v>3</v>
      </c>
      <c r="Q29" s="50">
        <v>3</v>
      </c>
      <c r="R29" s="50">
        <v>3</v>
      </c>
      <c r="S29" s="50">
        <v>3</v>
      </c>
      <c r="T29" s="50">
        <v>3</v>
      </c>
      <c r="U29" s="50">
        <v>3</v>
      </c>
      <c r="V29" s="50">
        <v>3</v>
      </c>
      <c r="W29" s="50">
        <v>3</v>
      </c>
      <c r="X29" s="50">
        <v>3</v>
      </c>
      <c r="Y29" s="50">
        <v>3</v>
      </c>
      <c r="Z29" s="50">
        <v>4.5999999999999996</v>
      </c>
      <c r="AA29" s="50">
        <v>4.5999999999999996</v>
      </c>
      <c r="AB29" s="50">
        <v>4.5999999999999996</v>
      </c>
      <c r="AC29" s="50">
        <v>4.5999999999999996</v>
      </c>
      <c r="AD29" s="50">
        <v>4.5999999999999996</v>
      </c>
      <c r="AE29" s="50">
        <v>4.5999999999999996</v>
      </c>
      <c r="AF29" s="50">
        <v>4.5999999999999996</v>
      </c>
      <c r="AG29" s="59">
        <v>22.1</v>
      </c>
      <c r="AH29" s="54">
        <f t="shared" si="2"/>
        <v>4.5999999999999996</v>
      </c>
      <c r="AI29" s="55">
        <f t="shared" si="3"/>
        <v>3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0">
        <v>10</v>
      </c>
      <c r="C30" s="50">
        <v>10</v>
      </c>
      <c r="D30" s="50">
        <v>10</v>
      </c>
      <c r="E30" s="50">
        <v>10</v>
      </c>
      <c r="F30" s="50">
        <v>10</v>
      </c>
      <c r="G30" s="50">
        <v>10</v>
      </c>
      <c r="H30" s="50">
        <v>10</v>
      </c>
      <c r="I30" s="50">
        <v>10</v>
      </c>
      <c r="J30" s="50">
        <v>10</v>
      </c>
      <c r="K30" s="50">
        <v>10</v>
      </c>
      <c r="L30" s="50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50">
        <v>10</v>
      </c>
      <c r="AA30" s="50">
        <v>10</v>
      </c>
      <c r="AB30" s="50">
        <v>10</v>
      </c>
      <c r="AC30" s="50">
        <v>10</v>
      </c>
      <c r="AD30" s="50">
        <v>10</v>
      </c>
      <c r="AE30" s="50">
        <v>10</v>
      </c>
      <c r="AF30" s="50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0">
        <v>6</v>
      </c>
      <c r="C31" s="50">
        <v>6</v>
      </c>
      <c r="D31" s="50">
        <v>6</v>
      </c>
      <c r="E31" s="50">
        <v>6</v>
      </c>
      <c r="F31" s="50">
        <v>6</v>
      </c>
      <c r="G31" s="50">
        <v>6</v>
      </c>
      <c r="H31" s="50">
        <v>6</v>
      </c>
      <c r="I31" s="50">
        <v>6</v>
      </c>
      <c r="J31" s="50">
        <v>6</v>
      </c>
      <c r="K31" s="50">
        <v>6</v>
      </c>
      <c r="L31" s="50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50">
        <v>6</v>
      </c>
      <c r="AA31" s="50">
        <v>6</v>
      </c>
      <c r="AB31" s="50">
        <v>6</v>
      </c>
      <c r="AC31" s="50">
        <v>6</v>
      </c>
      <c r="AD31" s="50">
        <v>6</v>
      </c>
      <c r="AE31" s="50">
        <v>6</v>
      </c>
      <c r="AF31" s="50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50">
        <v>5</v>
      </c>
      <c r="C32" s="50">
        <v>5</v>
      </c>
      <c r="D32" s="50">
        <v>5</v>
      </c>
      <c r="E32" s="50">
        <v>5</v>
      </c>
      <c r="F32" s="50">
        <v>5</v>
      </c>
      <c r="G32" s="50">
        <v>5</v>
      </c>
      <c r="H32" s="50">
        <v>5</v>
      </c>
      <c r="I32" s="50">
        <v>5</v>
      </c>
      <c r="J32" s="50">
        <v>5</v>
      </c>
      <c r="K32" s="50">
        <v>5</v>
      </c>
      <c r="L32" s="50">
        <v>5</v>
      </c>
      <c r="M32" s="50">
        <v>5</v>
      </c>
      <c r="N32" s="50">
        <v>5</v>
      </c>
      <c r="O32" s="50">
        <v>5</v>
      </c>
      <c r="P32" s="50">
        <v>5</v>
      </c>
      <c r="Q32" s="50">
        <v>5</v>
      </c>
      <c r="R32" s="50">
        <v>5</v>
      </c>
      <c r="S32" s="50">
        <v>5</v>
      </c>
      <c r="T32" s="50">
        <v>5</v>
      </c>
      <c r="U32" s="50">
        <v>5</v>
      </c>
      <c r="V32" s="50">
        <v>5</v>
      </c>
      <c r="W32" s="50">
        <v>5</v>
      </c>
      <c r="X32" s="50">
        <v>5</v>
      </c>
      <c r="Y32" s="50">
        <v>5</v>
      </c>
      <c r="Z32" s="50">
        <v>3.7</v>
      </c>
      <c r="AA32" s="50">
        <v>3.7</v>
      </c>
      <c r="AB32" s="50">
        <v>3.7</v>
      </c>
      <c r="AC32" s="50">
        <v>3.7</v>
      </c>
      <c r="AD32" s="50">
        <v>3.7</v>
      </c>
      <c r="AE32" s="50">
        <v>3.7</v>
      </c>
      <c r="AF32" s="50">
        <v>3.7</v>
      </c>
      <c r="AG32" s="67">
        <v>22</v>
      </c>
      <c r="AH32" s="54">
        <f t="shared" si="2"/>
        <v>5</v>
      </c>
      <c r="AI32" s="55">
        <f t="shared" si="3"/>
        <v>3.7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50">
        <v>0</v>
      </c>
      <c r="AA33" s="50">
        <v>0</v>
      </c>
      <c r="AB33" s="50">
        <v>0</v>
      </c>
      <c r="AC33" s="50">
        <v>0</v>
      </c>
      <c r="AD33" s="50">
        <v>0</v>
      </c>
      <c r="AE33" s="50">
        <v>0</v>
      </c>
      <c r="AF33" s="50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50">
        <v>4.2</v>
      </c>
      <c r="C34" s="50">
        <v>4.2</v>
      </c>
      <c r="D34" s="50">
        <v>4.2</v>
      </c>
      <c r="E34" s="50">
        <v>4.2</v>
      </c>
      <c r="F34" s="50">
        <v>4.2</v>
      </c>
      <c r="G34" s="50">
        <v>4.2</v>
      </c>
      <c r="H34" s="50">
        <v>4.2</v>
      </c>
      <c r="I34" s="50">
        <v>4.2</v>
      </c>
      <c r="J34" s="50">
        <v>4.2</v>
      </c>
      <c r="K34" s="50">
        <v>4.2</v>
      </c>
      <c r="L34" s="50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4.2</v>
      </c>
      <c r="S34" s="50">
        <v>4.2</v>
      </c>
      <c r="T34" s="50">
        <v>4.2</v>
      </c>
      <c r="U34" s="50">
        <v>4.2</v>
      </c>
      <c r="V34" s="50">
        <v>4.2</v>
      </c>
      <c r="W34" s="50">
        <v>4.2</v>
      </c>
      <c r="X34" s="50">
        <v>4.2</v>
      </c>
      <c r="Y34" s="50">
        <v>4.2</v>
      </c>
      <c r="Z34" s="50">
        <v>4.2</v>
      </c>
      <c r="AA34" s="50">
        <v>4.2</v>
      </c>
      <c r="AB34" s="50">
        <v>4.2</v>
      </c>
      <c r="AC34" s="50">
        <v>4.2</v>
      </c>
      <c r="AD34" s="50">
        <v>4.2</v>
      </c>
      <c r="AE34" s="50">
        <v>4.2</v>
      </c>
      <c r="AF34" s="50">
        <v>4.2</v>
      </c>
      <c r="AG34" s="67">
        <v>20</v>
      </c>
      <c r="AH34" s="54">
        <f t="shared" si="2"/>
        <v>4.2</v>
      </c>
      <c r="AI34" s="55">
        <f t="shared" si="3"/>
        <v>4.2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</v>
      </c>
      <c r="AF35" s="50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130</v>
      </c>
      <c r="C36" s="61">
        <v>130</v>
      </c>
      <c r="D36" s="61">
        <v>130</v>
      </c>
      <c r="E36" s="61">
        <v>130</v>
      </c>
      <c r="F36" s="61">
        <v>130</v>
      </c>
      <c r="G36" s="61">
        <v>130</v>
      </c>
      <c r="H36" s="61">
        <v>130</v>
      </c>
      <c r="I36" s="61">
        <v>130</v>
      </c>
      <c r="J36" s="61">
        <v>130</v>
      </c>
      <c r="K36" s="61">
        <v>130</v>
      </c>
      <c r="L36" s="61">
        <v>130</v>
      </c>
      <c r="M36" s="61">
        <v>130</v>
      </c>
      <c r="N36" s="61">
        <v>130</v>
      </c>
      <c r="O36" s="61">
        <v>130</v>
      </c>
      <c r="P36" s="61">
        <v>130</v>
      </c>
      <c r="Q36" s="61">
        <v>130</v>
      </c>
      <c r="R36" s="61">
        <v>130</v>
      </c>
      <c r="S36" s="61">
        <v>130</v>
      </c>
      <c r="T36" s="61">
        <v>130</v>
      </c>
      <c r="U36" s="61">
        <v>130</v>
      </c>
      <c r="V36" s="61">
        <v>130</v>
      </c>
      <c r="W36" s="61">
        <v>130</v>
      </c>
      <c r="X36" s="61">
        <v>130</v>
      </c>
      <c r="Y36" s="61">
        <v>130</v>
      </c>
      <c r="Z36" s="61">
        <v>130</v>
      </c>
      <c r="AA36" s="61">
        <v>130</v>
      </c>
      <c r="AB36" s="61">
        <v>130</v>
      </c>
      <c r="AC36" s="61">
        <v>130</v>
      </c>
      <c r="AD36" s="61">
        <v>130</v>
      </c>
      <c r="AE36" s="61">
        <v>130</v>
      </c>
      <c r="AF36" s="61">
        <v>130</v>
      </c>
      <c r="AG36" s="67">
        <v>85</v>
      </c>
      <c r="AH36" s="54">
        <f t="shared" si="2"/>
        <v>130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70">
        <f>11.5+20.9</f>
        <v>32.4</v>
      </c>
      <c r="C37" s="70">
        <f>11+19.1</f>
        <v>30.1</v>
      </c>
      <c r="D37" s="70">
        <f>10.8+18.6</f>
        <v>29.400000000000002</v>
      </c>
      <c r="E37" s="61">
        <v>30.1</v>
      </c>
      <c r="F37" s="61">
        <v>30.7</v>
      </c>
      <c r="G37" s="61">
        <v>31.3</v>
      </c>
      <c r="H37" s="61">
        <v>33</v>
      </c>
      <c r="I37" s="61">
        <v>31.3</v>
      </c>
      <c r="J37" s="61">
        <v>31.7</v>
      </c>
      <c r="K37" s="61">
        <v>31</v>
      </c>
      <c r="L37" s="61">
        <v>30.9</v>
      </c>
      <c r="M37" s="70">
        <v>30.8</v>
      </c>
      <c r="N37" s="70">
        <v>28</v>
      </c>
      <c r="O37" s="70">
        <v>29.5</v>
      </c>
      <c r="P37" s="70">
        <v>26.6</v>
      </c>
      <c r="Q37" s="70">
        <v>26.8</v>
      </c>
      <c r="R37" s="70">
        <v>31.1</v>
      </c>
      <c r="S37" s="70">
        <f>10.9+19.7</f>
        <v>30.6</v>
      </c>
      <c r="T37" s="70">
        <f>10.9+19.7</f>
        <v>30.6</v>
      </c>
      <c r="U37" s="70">
        <f>12.5+18.3</f>
        <v>30.8</v>
      </c>
      <c r="V37" s="70">
        <f>10.5+17</f>
        <v>27.5</v>
      </c>
      <c r="W37" s="70">
        <f t="shared" ref="W37" si="4">10.5+17</f>
        <v>27.5</v>
      </c>
      <c r="X37" s="70">
        <f>9.8+16.9</f>
        <v>26.7</v>
      </c>
      <c r="Y37" s="70">
        <f>9.1+15.6</f>
        <v>24.7</v>
      </c>
      <c r="Z37" s="70">
        <f>6.4+9.9</f>
        <v>16.3</v>
      </c>
      <c r="AA37" s="70">
        <f>10.3+17</f>
        <v>27.3</v>
      </c>
      <c r="AB37" s="70">
        <f>10.3+17</f>
        <v>27.3</v>
      </c>
      <c r="AC37" s="70">
        <f>10.3+17</f>
        <v>27.3</v>
      </c>
      <c r="AD37" s="70">
        <f>11.4+19.2</f>
        <v>30.6</v>
      </c>
      <c r="AE37" s="70">
        <f>10.6+18.2</f>
        <v>28.799999999999997</v>
      </c>
      <c r="AF37" s="70">
        <f>10.6+18.2</f>
        <v>28.799999999999997</v>
      </c>
      <c r="AG37" s="67">
        <v>240</v>
      </c>
      <c r="AH37" s="54">
        <f t="shared" si="2"/>
        <v>33</v>
      </c>
      <c r="AI37" s="55">
        <f t="shared" si="3"/>
        <v>16.3</v>
      </c>
      <c r="AK37" s="56"/>
    </row>
    <row r="38" spans="1:88" ht="15.75" thickBot="1" x14ac:dyDescent="0.3">
      <c r="A38" s="71" t="s">
        <v>46</v>
      </c>
      <c r="B38" s="72">
        <f t="shared" ref="B38" si="5">SUM(B11:B36)</f>
        <v>369.9</v>
      </c>
      <c r="C38" s="72">
        <f t="shared" ref="C38:AF38" si="6">SUM(C11:C36)</f>
        <v>416.2</v>
      </c>
      <c r="D38" s="72">
        <f t="shared" si="6"/>
        <v>368.5</v>
      </c>
      <c r="E38" s="72">
        <f t="shared" si="6"/>
        <v>368.5</v>
      </c>
      <c r="F38" s="72">
        <f t="shared" si="6"/>
        <v>368.5</v>
      </c>
      <c r="G38" s="72">
        <f t="shared" si="6"/>
        <v>368.5</v>
      </c>
      <c r="H38" s="72">
        <f t="shared" si="6"/>
        <v>456.5</v>
      </c>
      <c r="I38" s="72">
        <f t="shared" si="6"/>
        <v>566.5</v>
      </c>
      <c r="J38" s="72">
        <f t="shared" si="6"/>
        <v>586.5</v>
      </c>
      <c r="K38" s="72">
        <f t="shared" si="6"/>
        <v>656.5</v>
      </c>
      <c r="L38" s="72">
        <f t="shared" si="6"/>
        <v>636.5</v>
      </c>
      <c r="M38" s="72">
        <f t="shared" si="6"/>
        <v>683.80000000000007</v>
      </c>
      <c r="N38" s="72">
        <f t="shared" si="6"/>
        <v>383.1</v>
      </c>
      <c r="O38" s="72">
        <f t="shared" si="6"/>
        <v>382.5</v>
      </c>
      <c r="P38" s="72">
        <f t="shared" si="6"/>
        <v>345.20000000000005</v>
      </c>
      <c r="Q38" s="72">
        <f t="shared" si="6"/>
        <v>344.5</v>
      </c>
      <c r="R38" s="72">
        <f t="shared" si="6"/>
        <v>355.3</v>
      </c>
      <c r="S38" s="72">
        <f t="shared" si="6"/>
        <v>353.8</v>
      </c>
      <c r="T38" s="72">
        <f t="shared" si="6"/>
        <v>353.8</v>
      </c>
      <c r="U38" s="72">
        <f t="shared" si="6"/>
        <v>353.8</v>
      </c>
      <c r="V38" s="72">
        <f t="shared" si="6"/>
        <v>353.8</v>
      </c>
      <c r="W38" s="72">
        <f t="shared" si="6"/>
        <v>353.8</v>
      </c>
      <c r="X38" s="72">
        <f t="shared" si="6"/>
        <v>355</v>
      </c>
      <c r="Y38" s="72">
        <f t="shared" si="6"/>
        <v>354.59999999999997</v>
      </c>
      <c r="Z38" s="72">
        <f t="shared" ref="Z38" si="7">SUM(Z11:Z36)</f>
        <v>696.4000000000002</v>
      </c>
      <c r="AA38" s="72">
        <f t="shared" si="6"/>
        <v>699.9000000000002</v>
      </c>
      <c r="AB38" s="72">
        <f t="shared" si="6"/>
        <v>419.9</v>
      </c>
      <c r="AC38" s="72">
        <f t="shared" si="6"/>
        <v>419.9</v>
      </c>
      <c r="AD38" s="72">
        <f t="shared" si="6"/>
        <v>409.09999999999997</v>
      </c>
      <c r="AE38" s="72">
        <f t="shared" si="6"/>
        <v>384.09999999999997</v>
      </c>
      <c r="AF38" s="72">
        <f t="shared" si="6"/>
        <v>366.09999999999997</v>
      </c>
      <c r="AG38" s="67">
        <f>SUM(AG11:AG37)</f>
        <v>1492.8299999999997</v>
      </c>
      <c r="AH38" s="54">
        <f t="shared" si="2"/>
        <v>699.9000000000002</v>
      </c>
      <c r="AI38" s="55">
        <f t="shared" si="3"/>
        <v>344.5</v>
      </c>
      <c r="AK38" s="56"/>
    </row>
    <row r="39" spans="1:88" x14ac:dyDescent="0.25">
      <c r="A39" s="57" t="s">
        <v>47</v>
      </c>
      <c r="B39" s="49">
        <v>40.799999999999997</v>
      </c>
      <c r="C39" s="61">
        <v>4.9000000000000004</v>
      </c>
      <c r="D39" s="61">
        <v>0</v>
      </c>
      <c r="E39" s="61">
        <v>0</v>
      </c>
      <c r="F39" s="61">
        <v>0</v>
      </c>
      <c r="G39" s="61">
        <v>0</v>
      </c>
      <c r="H39" s="61">
        <v>48</v>
      </c>
      <c r="I39" s="61">
        <v>90</v>
      </c>
      <c r="J39" s="61">
        <v>122.4</v>
      </c>
      <c r="K39" s="61">
        <v>146.5</v>
      </c>
      <c r="L39" s="61">
        <v>146.5</v>
      </c>
      <c r="M39" s="50">
        <v>122.4</v>
      </c>
      <c r="N39" s="50">
        <v>121.7</v>
      </c>
      <c r="O39" s="50">
        <v>93.3</v>
      </c>
      <c r="P39" s="50">
        <v>84.3</v>
      </c>
      <c r="Q39" s="50">
        <v>71.400000000000006</v>
      </c>
      <c r="R39" s="50">
        <v>61.2</v>
      </c>
      <c r="S39" s="50">
        <v>80.7</v>
      </c>
      <c r="T39" s="50">
        <v>91.5</v>
      </c>
      <c r="U39" s="50">
        <v>90.7</v>
      </c>
      <c r="V39" s="50">
        <v>90.7</v>
      </c>
      <c r="W39" s="50">
        <v>90.7</v>
      </c>
      <c r="X39" s="50">
        <v>101.6</v>
      </c>
      <c r="Y39" s="50">
        <v>145.19999999999999</v>
      </c>
      <c r="Z39" s="50">
        <v>145.19999999999999</v>
      </c>
      <c r="AA39" s="50">
        <v>110.6</v>
      </c>
      <c r="AB39" s="50">
        <v>70</v>
      </c>
      <c r="AC39" s="50">
        <v>60</v>
      </c>
      <c r="AD39" s="50">
        <v>46.4</v>
      </c>
      <c r="AE39" s="50">
        <v>0</v>
      </c>
      <c r="AF39" s="50">
        <v>0</v>
      </c>
      <c r="AG39" s="62">
        <v>144</v>
      </c>
      <c r="AH39" s="54">
        <f t="shared" si="2"/>
        <v>146.5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17.899999999999999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36.9</v>
      </c>
      <c r="I40" s="61">
        <v>34.9</v>
      </c>
      <c r="J40" s="61">
        <v>36.6</v>
      </c>
      <c r="K40" s="61">
        <v>69</v>
      </c>
      <c r="L40" s="61">
        <v>69</v>
      </c>
      <c r="M40" s="73">
        <v>48.7</v>
      </c>
      <c r="N40" s="73">
        <v>45.3</v>
      </c>
      <c r="O40" s="73">
        <v>45.7</v>
      </c>
      <c r="P40" s="73">
        <v>46.2</v>
      </c>
      <c r="Q40" s="73">
        <v>34.799999999999997</v>
      </c>
      <c r="R40" s="73">
        <v>35.700000000000003</v>
      </c>
      <c r="S40" s="73">
        <v>35.700000000000003</v>
      </c>
      <c r="T40" s="73">
        <v>35.700000000000003</v>
      </c>
      <c r="U40" s="73">
        <v>35.799999999999997</v>
      </c>
      <c r="V40" s="73">
        <v>25.7</v>
      </c>
      <c r="W40" s="73">
        <v>25.7</v>
      </c>
      <c r="X40" s="73">
        <v>44.1</v>
      </c>
      <c r="Y40" s="73">
        <v>55.5</v>
      </c>
      <c r="Z40" s="73">
        <v>71.2</v>
      </c>
      <c r="AA40" s="73">
        <v>66.900000000000006</v>
      </c>
      <c r="AB40" s="73">
        <v>54.7</v>
      </c>
      <c r="AC40" s="73">
        <v>54.7</v>
      </c>
      <c r="AD40" s="73">
        <v>24.8</v>
      </c>
      <c r="AE40" s="73">
        <v>0</v>
      </c>
      <c r="AF40" s="73">
        <v>0</v>
      </c>
      <c r="AG40" s="67">
        <v>70</v>
      </c>
      <c r="AH40" s="54">
        <f t="shared" si="2"/>
        <v>71.2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28.7</v>
      </c>
      <c r="C41" s="61">
        <v>22.5</v>
      </c>
      <c r="D41" s="61">
        <v>20.6</v>
      </c>
      <c r="E41" s="61">
        <v>16.600000000000001</v>
      </c>
      <c r="F41" s="61">
        <v>22.9</v>
      </c>
      <c r="G41" s="61">
        <v>17.399999999999999</v>
      </c>
      <c r="H41" s="61">
        <v>37.700000000000003</v>
      </c>
      <c r="I41" s="61">
        <v>37.5</v>
      </c>
      <c r="J41" s="61">
        <v>45.1</v>
      </c>
      <c r="K41" s="61">
        <v>34.4</v>
      </c>
      <c r="L41" s="61">
        <v>53.4</v>
      </c>
      <c r="M41" s="73">
        <v>52.9</v>
      </c>
      <c r="N41" s="73">
        <v>52.5</v>
      </c>
      <c r="O41" s="73">
        <v>52</v>
      </c>
      <c r="P41" s="73">
        <v>52</v>
      </c>
      <c r="Q41" s="73">
        <v>35.700000000000003</v>
      </c>
      <c r="R41" s="73">
        <v>16.3</v>
      </c>
      <c r="S41" s="73">
        <v>22.7</v>
      </c>
      <c r="T41" s="73">
        <v>22.6</v>
      </c>
      <c r="U41" s="73">
        <v>22.7</v>
      </c>
      <c r="V41" s="73">
        <v>34.299999999999997</v>
      </c>
      <c r="W41" s="73">
        <v>34.299999999999997</v>
      </c>
      <c r="X41" s="73">
        <v>67.599999999999994</v>
      </c>
      <c r="Y41" s="73">
        <v>53.3</v>
      </c>
      <c r="Z41" s="73">
        <v>67.900000000000006</v>
      </c>
      <c r="AA41" s="73">
        <v>56.2</v>
      </c>
      <c r="AB41" s="73">
        <v>55.4</v>
      </c>
      <c r="AC41" s="73">
        <v>55.4</v>
      </c>
      <c r="AD41" s="73">
        <v>55.8</v>
      </c>
      <c r="AE41" s="73">
        <v>46.6</v>
      </c>
      <c r="AF41" s="73">
        <v>46.6</v>
      </c>
      <c r="AG41" s="67">
        <v>69</v>
      </c>
      <c r="AH41" s="54">
        <f t="shared" si="2"/>
        <v>67.900000000000006</v>
      </c>
      <c r="AI41" s="55">
        <f t="shared" si="3"/>
        <v>16.3</v>
      </c>
      <c r="AK41" s="56"/>
    </row>
    <row r="42" spans="1:88" x14ac:dyDescent="0.25">
      <c r="A42" s="66" t="s">
        <v>50</v>
      </c>
      <c r="B42" s="61">
        <v>48.1</v>
      </c>
      <c r="C42" s="61">
        <v>48.1</v>
      </c>
      <c r="D42" s="61">
        <v>48.3</v>
      </c>
      <c r="E42" s="61">
        <v>50.2</v>
      </c>
      <c r="F42" s="61">
        <v>52.6</v>
      </c>
      <c r="G42" s="61">
        <v>53.4</v>
      </c>
      <c r="H42" s="61">
        <v>51.9</v>
      </c>
      <c r="I42" s="61">
        <v>50.9</v>
      </c>
      <c r="J42" s="61">
        <v>50.9</v>
      </c>
      <c r="K42" s="61">
        <v>48.1</v>
      </c>
      <c r="L42" s="61">
        <v>48.1</v>
      </c>
      <c r="M42" s="73">
        <v>48.1</v>
      </c>
      <c r="N42" s="73">
        <v>48.4</v>
      </c>
      <c r="O42" s="73">
        <v>50.6</v>
      </c>
      <c r="P42" s="73">
        <v>50.4</v>
      </c>
      <c r="Q42" s="73">
        <v>50.4</v>
      </c>
      <c r="R42" s="73">
        <v>44.6</v>
      </c>
      <c r="S42" s="73">
        <v>40</v>
      </c>
      <c r="T42" s="73">
        <v>43.3</v>
      </c>
      <c r="U42" s="73">
        <v>45.3</v>
      </c>
      <c r="V42" s="73">
        <v>51.9</v>
      </c>
      <c r="W42" s="73">
        <v>51.9</v>
      </c>
      <c r="X42" s="73">
        <v>45.3</v>
      </c>
      <c r="Y42" s="73">
        <v>45.6</v>
      </c>
      <c r="Z42" s="73">
        <v>45.6</v>
      </c>
      <c r="AA42" s="73">
        <v>45.6</v>
      </c>
      <c r="AB42" s="73">
        <v>45.6</v>
      </c>
      <c r="AC42" s="73">
        <v>45.6</v>
      </c>
      <c r="AD42" s="73">
        <v>48.4</v>
      </c>
      <c r="AE42" s="73">
        <v>49</v>
      </c>
      <c r="AF42" s="73">
        <v>49</v>
      </c>
      <c r="AG42" s="67">
        <v>60</v>
      </c>
      <c r="AH42" s="54">
        <f t="shared" si="2"/>
        <v>53.4</v>
      </c>
      <c r="AI42" s="55">
        <f t="shared" si="3"/>
        <v>40</v>
      </c>
      <c r="AK42" s="56"/>
    </row>
    <row r="43" spans="1:88" x14ac:dyDescent="0.25">
      <c r="A43" s="66" t="s">
        <v>51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10</v>
      </c>
      <c r="I43" s="61">
        <v>30</v>
      </c>
      <c r="J43" s="61">
        <v>20</v>
      </c>
      <c r="K43" s="61">
        <v>30</v>
      </c>
      <c r="L43" s="61">
        <v>20</v>
      </c>
      <c r="M43" s="50">
        <v>23.9</v>
      </c>
      <c r="N43" s="50">
        <v>10</v>
      </c>
      <c r="O43" s="50">
        <v>10</v>
      </c>
      <c r="P43" s="50">
        <v>15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9.5</v>
      </c>
      <c r="W43" s="50">
        <v>9.5</v>
      </c>
      <c r="X43" s="50">
        <v>13.2</v>
      </c>
      <c r="Y43" s="50">
        <v>19.5</v>
      </c>
      <c r="Z43" s="50">
        <v>29.9</v>
      </c>
      <c r="AA43" s="73">
        <v>29.4</v>
      </c>
      <c r="AB43" s="73">
        <v>14.1</v>
      </c>
      <c r="AC43" s="73">
        <v>14.1</v>
      </c>
      <c r="AD43" s="73">
        <v>15.1</v>
      </c>
      <c r="AE43" s="73">
        <v>10</v>
      </c>
      <c r="AF43" s="73">
        <v>10</v>
      </c>
      <c r="AG43" s="67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5</v>
      </c>
      <c r="N44" s="50">
        <v>5</v>
      </c>
      <c r="O44" s="50">
        <v>5</v>
      </c>
      <c r="P44" s="50">
        <v>7</v>
      </c>
      <c r="Q44" s="50">
        <v>7</v>
      </c>
      <c r="R44" s="50">
        <v>7</v>
      </c>
      <c r="S44" s="50">
        <v>7</v>
      </c>
      <c r="T44" s="50">
        <v>7</v>
      </c>
      <c r="U44" s="50">
        <v>7</v>
      </c>
      <c r="V44" s="50">
        <v>7</v>
      </c>
      <c r="W44" s="50">
        <v>7</v>
      </c>
      <c r="X44" s="50">
        <v>7</v>
      </c>
      <c r="Y44" s="50">
        <v>0</v>
      </c>
      <c r="Z44" s="50">
        <v>0</v>
      </c>
      <c r="AA44" s="50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7</v>
      </c>
      <c r="AI44" s="55">
        <f t="shared" si="3"/>
        <v>0</v>
      </c>
      <c r="AK44" s="56"/>
    </row>
    <row r="45" spans="1:88" x14ac:dyDescent="0.25">
      <c r="A45" s="66" t="s">
        <v>53</v>
      </c>
      <c r="B45" s="50">
        <v>13</v>
      </c>
      <c r="C45" s="50">
        <v>13</v>
      </c>
      <c r="D45" s="50">
        <v>13</v>
      </c>
      <c r="E45" s="50">
        <v>13</v>
      </c>
      <c r="F45" s="50">
        <v>13</v>
      </c>
      <c r="G45" s="50">
        <v>13</v>
      </c>
      <c r="H45" s="50">
        <v>13</v>
      </c>
      <c r="I45" s="50">
        <v>13</v>
      </c>
      <c r="J45" s="50">
        <v>13</v>
      </c>
      <c r="K45" s="50">
        <v>13</v>
      </c>
      <c r="L45" s="50">
        <v>13</v>
      </c>
      <c r="M45" s="50">
        <v>13</v>
      </c>
      <c r="N45" s="50">
        <v>13</v>
      </c>
      <c r="O45" s="50">
        <v>13</v>
      </c>
      <c r="P45" s="50">
        <v>13</v>
      </c>
      <c r="Q45" s="50">
        <v>13</v>
      </c>
      <c r="R45" s="50">
        <v>13</v>
      </c>
      <c r="S45" s="50">
        <v>13</v>
      </c>
      <c r="T45" s="50">
        <v>13</v>
      </c>
      <c r="U45" s="50">
        <v>13</v>
      </c>
      <c r="V45" s="50">
        <v>13</v>
      </c>
      <c r="W45" s="50">
        <v>13</v>
      </c>
      <c r="X45" s="50">
        <v>13</v>
      </c>
      <c r="Y45" s="50">
        <v>13</v>
      </c>
      <c r="Z45" s="50">
        <v>13</v>
      </c>
      <c r="AA45" s="50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50">
        <v>5.5</v>
      </c>
      <c r="C46" s="50">
        <v>5.5</v>
      </c>
      <c r="D46" s="50">
        <v>5.5</v>
      </c>
      <c r="E46" s="50">
        <v>5.5</v>
      </c>
      <c r="F46" s="50">
        <v>5.5</v>
      </c>
      <c r="G46" s="50">
        <v>5.5</v>
      </c>
      <c r="H46" s="50">
        <v>5.5</v>
      </c>
      <c r="I46" s="50">
        <v>5.5</v>
      </c>
      <c r="J46" s="50">
        <v>5.5</v>
      </c>
      <c r="K46" s="50">
        <v>5.5</v>
      </c>
      <c r="L46" s="50">
        <v>5.5</v>
      </c>
      <c r="M46" s="50">
        <v>5.5</v>
      </c>
      <c r="N46" s="50">
        <v>5.5</v>
      </c>
      <c r="O46" s="50">
        <v>5.5</v>
      </c>
      <c r="P46" s="50">
        <v>5.5</v>
      </c>
      <c r="Q46" s="50">
        <v>5.5</v>
      </c>
      <c r="R46" s="50">
        <v>5.5</v>
      </c>
      <c r="S46" s="50">
        <v>5.5</v>
      </c>
      <c r="T46" s="50">
        <v>5.5</v>
      </c>
      <c r="U46" s="50">
        <v>5.5</v>
      </c>
      <c r="V46" s="50">
        <v>5.5</v>
      </c>
      <c r="W46" s="50">
        <v>5.5</v>
      </c>
      <c r="X46" s="50">
        <v>5.5</v>
      </c>
      <c r="Y46" s="50">
        <v>5.5</v>
      </c>
      <c r="Z46" s="50">
        <v>4</v>
      </c>
      <c r="AA46" s="50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5.5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50">
        <v>10</v>
      </c>
      <c r="C47" s="50">
        <v>10</v>
      </c>
      <c r="D47" s="50">
        <v>10</v>
      </c>
      <c r="E47" s="50">
        <v>10</v>
      </c>
      <c r="F47" s="50">
        <v>10</v>
      </c>
      <c r="G47" s="50">
        <v>10</v>
      </c>
      <c r="H47" s="50">
        <v>10</v>
      </c>
      <c r="I47" s="50">
        <v>10</v>
      </c>
      <c r="J47" s="50">
        <v>10</v>
      </c>
      <c r="K47" s="50">
        <v>10</v>
      </c>
      <c r="L47" s="50">
        <v>10</v>
      </c>
      <c r="M47" s="50">
        <v>10</v>
      </c>
      <c r="N47" s="50">
        <v>10</v>
      </c>
      <c r="O47" s="50">
        <v>10</v>
      </c>
      <c r="P47" s="50">
        <v>10</v>
      </c>
      <c r="Q47" s="50">
        <v>10</v>
      </c>
      <c r="R47" s="50">
        <v>10</v>
      </c>
      <c r="S47" s="50">
        <v>10</v>
      </c>
      <c r="T47" s="50">
        <v>10</v>
      </c>
      <c r="U47" s="50">
        <v>10</v>
      </c>
      <c r="V47" s="50">
        <v>10</v>
      </c>
      <c r="W47" s="50">
        <v>10</v>
      </c>
      <c r="X47" s="50">
        <v>10</v>
      </c>
      <c r="Y47" s="50">
        <v>10</v>
      </c>
      <c r="Z47" s="50">
        <v>10</v>
      </c>
      <c r="AA47" s="50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50">
        <v>5</v>
      </c>
      <c r="C48" s="50">
        <v>5</v>
      </c>
      <c r="D48" s="50">
        <v>5</v>
      </c>
      <c r="E48" s="50">
        <v>5</v>
      </c>
      <c r="F48" s="50">
        <v>5</v>
      </c>
      <c r="G48" s="50">
        <v>5</v>
      </c>
      <c r="H48" s="50">
        <v>5</v>
      </c>
      <c r="I48" s="50">
        <v>5</v>
      </c>
      <c r="J48" s="50">
        <v>5</v>
      </c>
      <c r="K48" s="50">
        <v>5</v>
      </c>
      <c r="L48" s="50">
        <v>5</v>
      </c>
      <c r="M48" s="50">
        <v>5</v>
      </c>
      <c r="N48" s="50">
        <v>5</v>
      </c>
      <c r="O48" s="50">
        <v>5</v>
      </c>
      <c r="P48" s="50">
        <v>5</v>
      </c>
      <c r="Q48" s="50">
        <v>5</v>
      </c>
      <c r="R48" s="50">
        <v>5</v>
      </c>
      <c r="S48" s="50">
        <v>5</v>
      </c>
      <c r="T48" s="50">
        <v>5</v>
      </c>
      <c r="U48" s="50">
        <v>5</v>
      </c>
      <c r="V48" s="50">
        <v>5</v>
      </c>
      <c r="W48" s="50">
        <v>5</v>
      </c>
      <c r="X48" s="50">
        <v>5</v>
      </c>
      <c r="Y48" s="50">
        <v>5</v>
      </c>
      <c r="Z48" s="50">
        <v>5</v>
      </c>
      <c r="AA48" s="50">
        <v>5</v>
      </c>
      <c r="AB48" s="50">
        <v>5</v>
      </c>
      <c r="AC48" s="50">
        <v>5</v>
      </c>
      <c r="AD48" s="50">
        <v>5</v>
      </c>
      <c r="AE48" s="50">
        <v>5</v>
      </c>
      <c r="AF48" s="50">
        <v>5</v>
      </c>
      <c r="AG48" s="67">
        <v>14</v>
      </c>
      <c r="AH48" s="54">
        <f t="shared" si="2"/>
        <v>5</v>
      </c>
      <c r="AI48" s="55">
        <f t="shared" si="3"/>
        <v>5</v>
      </c>
      <c r="AK48" s="56"/>
    </row>
    <row r="49" spans="1:37" x14ac:dyDescent="0.25">
      <c r="A49" s="66" t="s">
        <v>57</v>
      </c>
      <c r="B49" s="50">
        <v>4.8</v>
      </c>
      <c r="C49" s="50">
        <v>4.8</v>
      </c>
      <c r="D49" s="50">
        <v>4.8</v>
      </c>
      <c r="E49" s="50">
        <v>4.8</v>
      </c>
      <c r="F49" s="50">
        <v>4.8</v>
      </c>
      <c r="G49" s="50">
        <v>4.8</v>
      </c>
      <c r="H49" s="50">
        <v>4.8</v>
      </c>
      <c r="I49" s="50">
        <v>4.8</v>
      </c>
      <c r="J49" s="50">
        <v>4.8</v>
      </c>
      <c r="K49" s="50">
        <v>4.8</v>
      </c>
      <c r="L49" s="50">
        <v>4.8</v>
      </c>
      <c r="M49" s="50">
        <v>4.8</v>
      </c>
      <c r="N49" s="50">
        <v>4.8</v>
      </c>
      <c r="O49" s="50">
        <v>4.8</v>
      </c>
      <c r="P49" s="50">
        <v>4.8</v>
      </c>
      <c r="Q49" s="50">
        <v>4.8</v>
      </c>
      <c r="R49" s="50">
        <v>4.8</v>
      </c>
      <c r="S49" s="50">
        <v>4.8</v>
      </c>
      <c r="T49" s="50">
        <v>4.8</v>
      </c>
      <c r="U49" s="50">
        <v>4.8</v>
      </c>
      <c r="V49" s="50">
        <v>4.8</v>
      </c>
      <c r="W49" s="50">
        <v>4.8</v>
      </c>
      <c r="X49" s="50">
        <v>4.8</v>
      </c>
      <c r="Y49" s="50">
        <v>4.8</v>
      </c>
      <c r="Z49" s="50">
        <v>5.8</v>
      </c>
      <c r="AA49" s="50">
        <v>5.8</v>
      </c>
      <c r="AB49" s="50">
        <v>5.8</v>
      </c>
      <c r="AC49" s="50">
        <v>5.8</v>
      </c>
      <c r="AD49" s="50">
        <v>5.8</v>
      </c>
      <c r="AE49" s="50">
        <v>5.8</v>
      </c>
      <c r="AF49" s="50">
        <v>5.8</v>
      </c>
      <c r="AG49" s="67">
        <v>10.050000000000001</v>
      </c>
      <c r="AH49" s="54">
        <f t="shared" si="2"/>
        <v>5.8</v>
      </c>
      <c r="AI49" s="55">
        <f t="shared" si="3"/>
        <v>4.8</v>
      </c>
      <c r="AK49" s="56"/>
    </row>
    <row r="50" spans="1:37" x14ac:dyDescent="0.25">
      <c r="A50" s="66" t="s">
        <v>58</v>
      </c>
      <c r="B50" s="50">
        <v>2.5</v>
      </c>
      <c r="C50" s="50">
        <v>2.5</v>
      </c>
      <c r="D50" s="50">
        <v>2.5</v>
      </c>
      <c r="E50" s="50">
        <v>2.5</v>
      </c>
      <c r="F50" s="50">
        <v>2.5</v>
      </c>
      <c r="G50" s="50">
        <v>2.5</v>
      </c>
      <c r="H50" s="50">
        <v>2.5</v>
      </c>
      <c r="I50" s="50">
        <v>2.5</v>
      </c>
      <c r="J50" s="50">
        <v>2.5</v>
      </c>
      <c r="K50" s="50">
        <v>2.5</v>
      </c>
      <c r="L50" s="50">
        <v>2.5</v>
      </c>
      <c r="M50" s="50">
        <v>2.5</v>
      </c>
      <c r="N50" s="50">
        <v>2.5</v>
      </c>
      <c r="O50" s="50">
        <v>2.5</v>
      </c>
      <c r="P50" s="50">
        <v>2.5</v>
      </c>
      <c r="Q50" s="50">
        <v>2.5</v>
      </c>
      <c r="R50" s="50">
        <v>2.5</v>
      </c>
      <c r="S50" s="50">
        <v>2.5</v>
      </c>
      <c r="T50" s="50">
        <v>2.5</v>
      </c>
      <c r="U50" s="50">
        <v>2.5</v>
      </c>
      <c r="V50" s="50">
        <v>2.5</v>
      </c>
      <c r="W50" s="50">
        <v>2.5</v>
      </c>
      <c r="X50" s="50">
        <v>2.5</v>
      </c>
      <c r="Y50" s="50">
        <v>2.5</v>
      </c>
      <c r="Z50" s="50">
        <v>2.5</v>
      </c>
      <c r="AA50" s="50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f t="shared" ref="B51" si="8">B200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9">U200</f>
        <v>3.54</v>
      </c>
      <c r="V51" s="77">
        <f t="shared" si="9"/>
        <v>3.54</v>
      </c>
      <c r="W51" s="77">
        <f t="shared" si="9"/>
        <v>3.54</v>
      </c>
      <c r="X51" s="77">
        <f t="shared" si="9"/>
        <v>3.54</v>
      </c>
      <c r="Y51" s="77">
        <f t="shared" si="9"/>
        <v>3.54</v>
      </c>
      <c r="Z51" s="77">
        <v>3.54</v>
      </c>
      <c r="AA51" s="77">
        <f t="shared" si="9"/>
        <v>3.54</v>
      </c>
      <c r="AB51" s="77">
        <f t="shared" si="9"/>
        <v>3.54</v>
      </c>
      <c r="AC51" s="77">
        <f t="shared" si="9"/>
        <v>3.54</v>
      </c>
      <c r="AD51" s="77">
        <f t="shared" si="9"/>
        <v>3.54</v>
      </c>
      <c r="AE51" s="77">
        <f t="shared" si="9"/>
        <v>3.54</v>
      </c>
      <c r="AF51" s="77">
        <f t="shared" si="9"/>
        <v>3.54</v>
      </c>
      <c r="AG51" s="77">
        <f t="shared" si="9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" si="10">SUM(B39:B51)</f>
        <v>179.84</v>
      </c>
      <c r="C52" s="72">
        <f t="shared" ref="C52:AF52" si="11">SUM(C39:C51)</f>
        <v>119.84</v>
      </c>
      <c r="D52" s="72">
        <f t="shared" si="11"/>
        <v>113.24000000000001</v>
      </c>
      <c r="E52" s="72">
        <f t="shared" si="11"/>
        <v>111.14000000000001</v>
      </c>
      <c r="F52" s="72">
        <f t="shared" si="11"/>
        <v>119.84</v>
      </c>
      <c r="G52" s="72">
        <f t="shared" si="11"/>
        <v>115.14</v>
      </c>
      <c r="H52" s="72">
        <f t="shared" si="11"/>
        <v>228.84</v>
      </c>
      <c r="I52" s="72">
        <f t="shared" si="11"/>
        <v>287.64000000000004</v>
      </c>
      <c r="J52" s="72">
        <f t="shared" si="11"/>
        <v>319.34000000000003</v>
      </c>
      <c r="K52" s="72">
        <f t="shared" si="11"/>
        <v>372.34000000000003</v>
      </c>
      <c r="L52" s="72">
        <f t="shared" si="11"/>
        <v>381.34000000000003</v>
      </c>
      <c r="M52" s="72">
        <f t="shared" si="11"/>
        <v>345.34000000000003</v>
      </c>
      <c r="N52" s="72">
        <f t="shared" si="11"/>
        <v>327.24</v>
      </c>
      <c r="O52" s="72">
        <f t="shared" si="11"/>
        <v>300.94000000000005</v>
      </c>
      <c r="P52" s="72">
        <f t="shared" si="11"/>
        <v>299.24</v>
      </c>
      <c r="Q52" s="72">
        <f t="shared" si="11"/>
        <v>243.64000000000001</v>
      </c>
      <c r="R52" s="72">
        <f t="shared" si="11"/>
        <v>209.14000000000001</v>
      </c>
      <c r="S52" s="72">
        <f t="shared" si="11"/>
        <v>230.44</v>
      </c>
      <c r="T52" s="72">
        <f t="shared" si="11"/>
        <v>244.44000000000003</v>
      </c>
      <c r="U52" s="72">
        <f t="shared" si="11"/>
        <v>245.84</v>
      </c>
      <c r="V52" s="72">
        <f t="shared" si="11"/>
        <v>263.44</v>
      </c>
      <c r="W52" s="72">
        <f t="shared" si="11"/>
        <v>263.44</v>
      </c>
      <c r="X52" s="72">
        <f t="shared" si="11"/>
        <v>323.14</v>
      </c>
      <c r="Y52" s="72">
        <f t="shared" si="11"/>
        <v>363.44000000000005</v>
      </c>
      <c r="Z52" s="72">
        <f t="shared" ref="Z52" si="12">SUM(Z39:Z51)</f>
        <v>403.64</v>
      </c>
      <c r="AA52" s="72">
        <f t="shared" si="11"/>
        <v>352.54</v>
      </c>
      <c r="AB52" s="72">
        <f t="shared" si="11"/>
        <v>283.64</v>
      </c>
      <c r="AC52" s="72">
        <f t="shared" si="11"/>
        <v>273.64</v>
      </c>
      <c r="AD52" s="72">
        <f t="shared" si="11"/>
        <v>234.34</v>
      </c>
      <c r="AE52" s="72">
        <f t="shared" si="11"/>
        <v>149.44</v>
      </c>
      <c r="AF52" s="72">
        <f t="shared" si="11"/>
        <v>149.44</v>
      </c>
      <c r="AG52" s="78">
        <f>SUM(AG39:AG51)</f>
        <v>489.91</v>
      </c>
      <c r="AH52" s="54">
        <f t="shared" si="2"/>
        <v>403.64</v>
      </c>
      <c r="AI52" s="55">
        <f t="shared" si="3"/>
        <v>111.14000000000001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50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30.7</v>
      </c>
      <c r="L53" s="61">
        <v>30.8</v>
      </c>
      <c r="M53" s="79">
        <v>20</v>
      </c>
      <c r="N53" s="79">
        <v>20</v>
      </c>
      <c r="O53" s="79">
        <v>14</v>
      </c>
      <c r="P53" s="79">
        <v>14</v>
      </c>
      <c r="Q53" s="50">
        <v>13.6</v>
      </c>
      <c r="R53" s="50">
        <v>24.4</v>
      </c>
      <c r="S53" s="50">
        <v>30</v>
      </c>
      <c r="T53" s="50">
        <v>29.4</v>
      </c>
      <c r="U53" s="50">
        <v>30</v>
      </c>
      <c r="V53" s="50">
        <v>35</v>
      </c>
      <c r="W53" s="50">
        <v>35</v>
      </c>
      <c r="X53" s="50">
        <v>35</v>
      </c>
      <c r="Y53" s="50">
        <v>40</v>
      </c>
      <c r="Z53" s="50">
        <v>59.3</v>
      </c>
      <c r="AA53" s="50">
        <v>40</v>
      </c>
      <c r="AB53" s="50">
        <v>10.1</v>
      </c>
      <c r="AC53" s="50">
        <v>10.1</v>
      </c>
      <c r="AD53" s="50">
        <v>14</v>
      </c>
      <c r="AE53" s="50">
        <v>14</v>
      </c>
      <c r="AF53" s="50">
        <v>0</v>
      </c>
      <c r="AG53" s="62">
        <v>60</v>
      </c>
      <c r="AH53" s="54">
        <f t="shared" si="2"/>
        <v>59.3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73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12.1</v>
      </c>
      <c r="L54" s="61">
        <v>16.3</v>
      </c>
      <c r="M54" s="79">
        <v>8.5</v>
      </c>
      <c r="N54" s="79">
        <v>9.4</v>
      </c>
      <c r="O54" s="79">
        <v>5.2</v>
      </c>
      <c r="P54" s="79">
        <v>15.1</v>
      </c>
      <c r="Q54" s="73">
        <v>4.9000000000000004</v>
      </c>
      <c r="R54" s="73">
        <v>12.2</v>
      </c>
      <c r="S54" s="50">
        <v>13.3</v>
      </c>
      <c r="T54" s="50">
        <v>15.2</v>
      </c>
      <c r="U54" s="50">
        <v>13.9</v>
      </c>
      <c r="V54" s="73">
        <v>15</v>
      </c>
      <c r="W54" s="73">
        <v>18</v>
      </c>
      <c r="X54" s="73">
        <v>18.3</v>
      </c>
      <c r="Y54" s="73">
        <v>16.3</v>
      </c>
      <c r="Z54" s="73">
        <v>26.9</v>
      </c>
      <c r="AA54" s="73">
        <v>21.8</v>
      </c>
      <c r="AB54" s="73">
        <v>5</v>
      </c>
      <c r="AC54" s="73">
        <v>5</v>
      </c>
      <c r="AD54" s="73">
        <v>4.0999999999999996</v>
      </c>
      <c r="AE54" s="73">
        <v>5.0999999999999996</v>
      </c>
      <c r="AF54" s="73">
        <v>0</v>
      </c>
      <c r="AG54" s="67">
        <v>32</v>
      </c>
      <c r="AH54" s="54">
        <f t="shared" si="2"/>
        <v>26.9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80">
        <v>0</v>
      </c>
      <c r="E55" s="74">
        <v>0</v>
      </c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4.4000000000000004</v>
      </c>
      <c r="L55" s="74">
        <v>5.9</v>
      </c>
      <c r="M55" s="81">
        <v>3.1</v>
      </c>
      <c r="N55" s="81">
        <v>3.4</v>
      </c>
      <c r="O55" s="81">
        <v>1.9</v>
      </c>
      <c r="P55" s="81">
        <v>5.5</v>
      </c>
      <c r="Q55" s="80">
        <v>1.8</v>
      </c>
      <c r="R55" s="80">
        <v>4.5</v>
      </c>
      <c r="S55" s="50">
        <v>4.8</v>
      </c>
      <c r="T55" s="50">
        <v>5.5</v>
      </c>
      <c r="U55" s="50">
        <v>5.0999999999999996</v>
      </c>
      <c r="V55" s="80">
        <v>5.5</v>
      </c>
      <c r="W55" s="80">
        <v>5.5</v>
      </c>
      <c r="X55" s="80">
        <v>6.7</v>
      </c>
      <c r="Y55" s="80">
        <v>5.9</v>
      </c>
      <c r="Z55" s="80">
        <v>9.8000000000000007</v>
      </c>
      <c r="AA55" s="80">
        <v>8</v>
      </c>
      <c r="AB55" s="80">
        <v>1.8</v>
      </c>
      <c r="AC55" s="80">
        <v>1.8</v>
      </c>
      <c r="AD55" s="80">
        <v>1.5</v>
      </c>
      <c r="AE55" s="80">
        <v>1.8</v>
      </c>
      <c r="AF55" s="80">
        <v>0</v>
      </c>
      <c r="AG55" s="82">
        <v>14</v>
      </c>
      <c r="AH55" s="54">
        <f t="shared" si="2"/>
        <v>9.8000000000000007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 t="shared" ref="B56" si="13">SUM(B53:B55)</f>
        <v>0</v>
      </c>
      <c r="C56" s="72">
        <f>SUM(C53:C55)</f>
        <v>0</v>
      </c>
      <c r="D56" s="72">
        <f t="shared" ref="D56:AF56" si="14">SUM(D53:D55)</f>
        <v>0</v>
      </c>
      <c r="E56" s="72">
        <f t="shared" si="14"/>
        <v>0</v>
      </c>
      <c r="F56" s="72">
        <f t="shared" si="14"/>
        <v>0</v>
      </c>
      <c r="G56" s="72">
        <f t="shared" si="14"/>
        <v>0</v>
      </c>
      <c r="H56" s="72">
        <f t="shared" si="14"/>
        <v>0</v>
      </c>
      <c r="I56" s="72">
        <f t="shared" si="14"/>
        <v>0</v>
      </c>
      <c r="J56" s="72">
        <f t="shared" si="14"/>
        <v>0</v>
      </c>
      <c r="K56" s="72">
        <f t="shared" si="14"/>
        <v>47.199999999999996</v>
      </c>
      <c r="L56" s="72">
        <f t="shared" si="14"/>
        <v>53</v>
      </c>
      <c r="M56" s="72">
        <f t="shared" si="14"/>
        <v>31.6</v>
      </c>
      <c r="N56" s="72">
        <f t="shared" si="14"/>
        <v>32.799999999999997</v>
      </c>
      <c r="O56" s="72">
        <f t="shared" si="14"/>
        <v>21.099999999999998</v>
      </c>
      <c r="P56" s="72">
        <f t="shared" si="14"/>
        <v>34.6</v>
      </c>
      <c r="Q56" s="72">
        <f t="shared" si="14"/>
        <v>20.3</v>
      </c>
      <c r="R56" s="72">
        <f t="shared" si="14"/>
        <v>41.099999999999994</v>
      </c>
      <c r="S56" s="72">
        <f t="shared" si="14"/>
        <v>48.099999999999994</v>
      </c>
      <c r="T56" s="72">
        <f t="shared" si="14"/>
        <v>50.099999999999994</v>
      </c>
      <c r="U56" s="72">
        <f t="shared" si="14"/>
        <v>49</v>
      </c>
      <c r="V56" s="72">
        <f t="shared" si="14"/>
        <v>55.5</v>
      </c>
      <c r="W56" s="72">
        <f t="shared" si="14"/>
        <v>58.5</v>
      </c>
      <c r="X56" s="72">
        <f t="shared" si="14"/>
        <v>60</v>
      </c>
      <c r="Y56" s="72">
        <f t="shared" si="14"/>
        <v>62.199999999999996</v>
      </c>
      <c r="Z56" s="72">
        <f t="shared" ref="Z56" si="15">SUM(Z53:Z55)</f>
        <v>95.999999999999986</v>
      </c>
      <c r="AA56" s="72">
        <f t="shared" si="14"/>
        <v>69.8</v>
      </c>
      <c r="AB56" s="72">
        <f t="shared" si="14"/>
        <v>16.899999999999999</v>
      </c>
      <c r="AC56" s="72">
        <f t="shared" si="14"/>
        <v>16.899999999999999</v>
      </c>
      <c r="AD56" s="72">
        <f t="shared" si="14"/>
        <v>19.600000000000001</v>
      </c>
      <c r="AE56" s="72">
        <f t="shared" si="14"/>
        <v>20.900000000000002</v>
      </c>
      <c r="AF56" s="72">
        <f t="shared" si="14"/>
        <v>0</v>
      </c>
      <c r="AG56" s="78">
        <f>SUM(AG53:AG55)</f>
        <v>106</v>
      </c>
      <c r="AH56" s="54">
        <f t="shared" si="2"/>
        <v>95.999999999999986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</v>
      </c>
      <c r="C57" s="50">
        <v>69.8</v>
      </c>
      <c r="D57" s="50">
        <v>71</v>
      </c>
      <c r="E57" s="50">
        <v>69.040000000000006</v>
      </c>
      <c r="F57" s="50">
        <v>65.709999999999994</v>
      </c>
      <c r="G57" s="50">
        <v>70.84</v>
      </c>
      <c r="H57" s="50">
        <v>66.12</v>
      </c>
      <c r="I57" s="50">
        <v>28.79</v>
      </c>
      <c r="J57" s="50">
        <v>51</v>
      </c>
      <c r="K57" s="50">
        <v>17.59</v>
      </c>
      <c r="L57" s="50">
        <v>25.1</v>
      </c>
      <c r="M57" s="50">
        <v>49.4</v>
      </c>
      <c r="N57" s="50">
        <v>68.64</v>
      </c>
      <c r="O57" s="50">
        <v>76.59</v>
      </c>
      <c r="P57" s="50">
        <v>73.8</v>
      </c>
      <c r="Q57" s="50">
        <v>70</v>
      </c>
      <c r="R57" s="50">
        <v>73.599999999999994</v>
      </c>
      <c r="S57" s="50">
        <v>77.7</v>
      </c>
      <c r="T57" s="50">
        <v>71.400000000000006</v>
      </c>
      <c r="U57" s="50">
        <v>70.599999999999994</v>
      </c>
      <c r="V57" s="50">
        <v>64.8</v>
      </c>
      <c r="W57" s="50">
        <v>72</v>
      </c>
      <c r="X57" s="50">
        <v>69.099999999999994</v>
      </c>
      <c r="Y57" s="50">
        <v>69.8</v>
      </c>
      <c r="Z57" s="50">
        <v>69.8</v>
      </c>
      <c r="AA57" s="50">
        <v>57.8</v>
      </c>
      <c r="AB57" s="50">
        <v>71</v>
      </c>
      <c r="AC57" s="50">
        <v>71</v>
      </c>
      <c r="AD57" s="50">
        <v>64.2</v>
      </c>
      <c r="AE57" s="50">
        <v>70</v>
      </c>
      <c r="AF57" s="50">
        <v>69.400000000000006</v>
      </c>
      <c r="AG57" s="62"/>
      <c r="AH57" s="54">
        <f t="shared" si="2"/>
        <v>77.7</v>
      </c>
      <c r="AI57" s="55">
        <f t="shared" si="3"/>
        <v>17.59</v>
      </c>
      <c r="AK57" s="56"/>
    </row>
    <row r="58" spans="1:37" x14ac:dyDescent="0.25">
      <c r="A58" s="66" t="s">
        <v>66</v>
      </c>
      <c r="B58" s="73">
        <f>82.8+42</f>
        <v>124.8</v>
      </c>
      <c r="C58" s="73">
        <f>86+40</f>
        <v>126</v>
      </c>
      <c r="D58" s="73">
        <v>0</v>
      </c>
      <c r="E58" s="73">
        <v>0</v>
      </c>
      <c r="F58" s="73">
        <v>0</v>
      </c>
      <c r="G58" s="73">
        <v>0</v>
      </c>
      <c r="H58" s="73">
        <v>60</v>
      </c>
      <c r="I58" s="73">
        <v>62</v>
      </c>
      <c r="J58" s="73">
        <v>70</v>
      </c>
      <c r="K58" s="73">
        <v>70</v>
      </c>
      <c r="L58" s="73">
        <v>122</v>
      </c>
      <c r="M58" s="50">
        <v>138</v>
      </c>
      <c r="N58" s="50">
        <v>0</v>
      </c>
      <c r="O58" s="50">
        <v>0</v>
      </c>
      <c r="P58" s="50">
        <v>97.5</v>
      </c>
      <c r="Q58" s="50">
        <v>93.6</v>
      </c>
      <c r="R58" s="50">
        <v>36.799999999999997</v>
      </c>
      <c r="S58" s="50">
        <v>37</v>
      </c>
      <c r="T58" s="50">
        <v>36</v>
      </c>
      <c r="U58" s="50">
        <v>67.2</v>
      </c>
      <c r="V58" s="50">
        <v>100.6</v>
      </c>
      <c r="W58" s="50">
        <v>38.9</v>
      </c>
      <c r="X58" s="50">
        <f>34.6</f>
        <v>34.6</v>
      </c>
      <c r="Y58" s="83">
        <f>72.2+32</f>
        <v>104.2</v>
      </c>
      <c r="Z58" s="83">
        <v>126</v>
      </c>
      <c r="AA58" s="83">
        <v>95</v>
      </c>
      <c r="AB58" s="83">
        <v>95</v>
      </c>
      <c r="AC58" s="83">
        <v>0</v>
      </c>
      <c r="AD58" s="83">
        <v>0</v>
      </c>
      <c r="AE58" s="83">
        <v>0</v>
      </c>
      <c r="AF58" s="83">
        <v>0</v>
      </c>
      <c r="AG58" s="67"/>
      <c r="AH58" s="54">
        <f t="shared" si="2"/>
        <v>138</v>
      </c>
      <c r="AI58" s="55">
        <f t="shared" si="3"/>
        <v>0</v>
      </c>
      <c r="AK58" s="115">
        <f>120+40+105+77</f>
        <v>342</v>
      </c>
    </row>
    <row r="59" spans="1:37" x14ac:dyDescent="0.25">
      <c r="A59" s="66" t="s">
        <v>67</v>
      </c>
      <c r="B59" s="73">
        <v>185</v>
      </c>
      <c r="C59" s="73">
        <v>92</v>
      </c>
      <c r="D59" s="73">
        <v>327</v>
      </c>
      <c r="E59" s="73">
        <v>347</v>
      </c>
      <c r="F59" s="73">
        <v>346.7</v>
      </c>
      <c r="G59" s="73">
        <v>313.5</v>
      </c>
      <c r="H59" s="50">
        <v>95</v>
      </c>
      <c r="I59" s="50">
        <v>12</v>
      </c>
      <c r="J59" s="50">
        <v>11.2</v>
      </c>
      <c r="K59" s="50">
        <v>33.1</v>
      </c>
      <c r="L59" s="50">
        <v>43.2</v>
      </c>
      <c r="M59" s="73">
        <v>38.5</v>
      </c>
      <c r="N59" s="73">
        <v>385.8</v>
      </c>
      <c r="O59" s="73">
        <v>402.7</v>
      </c>
      <c r="P59" s="73">
        <v>315.8</v>
      </c>
      <c r="Q59" s="73">
        <v>357.4</v>
      </c>
      <c r="R59" s="73">
        <v>413.8</v>
      </c>
      <c r="S59" s="73">
        <v>398</v>
      </c>
      <c r="T59" s="73">
        <v>399.6</v>
      </c>
      <c r="U59" s="73">
        <v>403</v>
      </c>
      <c r="V59" s="73">
        <v>334.2</v>
      </c>
      <c r="W59" s="73">
        <v>392</v>
      </c>
      <c r="X59" s="73">
        <v>388.4</v>
      </c>
      <c r="Y59" s="84">
        <v>375.9</v>
      </c>
      <c r="Z59" s="84">
        <v>40</v>
      </c>
      <c r="AA59" s="84">
        <v>61</v>
      </c>
      <c r="AB59" s="84">
        <v>395</v>
      </c>
      <c r="AC59" s="84">
        <v>395</v>
      </c>
      <c r="AD59" s="84">
        <v>395</v>
      </c>
      <c r="AE59" s="84">
        <v>395</v>
      </c>
      <c r="AF59" s="84">
        <v>400</v>
      </c>
      <c r="AG59" s="85"/>
      <c r="AH59" s="54">
        <f t="shared" si="2"/>
        <v>413.8</v>
      </c>
      <c r="AI59" s="55">
        <f t="shared" si="3"/>
        <v>11.2</v>
      </c>
      <c r="AK59" s="56"/>
    </row>
    <row r="60" spans="1:37" x14ac:dyDescent="0.25">
      <c r="A60" s="66" t="s">
        <v>68</v>
      </c>
      <c r="B60" s="58">
        <v>50.8</v>
      </c>
      <c r="C60" s="58">
        <v>54.1</v>
      </c>
      <c r="D60" s="58">
        <v>52.8</v>
      </c>
      <c r="E60" s="58">
        <v>53</v>
      </c>
      <c r="F60" s="58">
        <v>53</v>
      </c>
      <c r="G60" s="58">
        <v>52.7</v>
      </c>
      <c r="H60" s="58">
        <v>52</v>
      </c>
      <c r="I60" s="58">
        <v>52</v>
      </c>
      <c r="J60" s="58">
        <v>52</v>
      </c>
      <c r="K60" s="58">
        <v>52</v>
      </c>
      <c r="L60" s="58">
        <v>52</v>
      </c>
      <c r="M60" s="73">
        <v>57.2</v>
      </c>
      <c r="N60" s="73">
        <v>57.1</v>
      </c>
      <c r="O60" s="73">
        <v>57.1</v>
      </c>
      <c r="P60" s="73">
        <v>50.9</v>
      </c>
      <c r="Q60" s="73">
        <v>48.5</v>
      </c>
      <c r="R60" s="73">
        <v>46.4</v>
      </c>
      <c r="S60" s="73">
        <v>51.5</v>
      </c>
      <c r="T60" s="73">
        <v>53.7</v>
      </c>
      <c r="U60" s="73">
        <v>56.5</v>
      </c>
      <c r="V60" s="73">
        <v>58</v>
      </c>
      <c r="W60" s="73">
        <v>58</v>
      </c>
      <c r="X60" s="73">
        <v>57.9</v>
      </c>
      <c r="Y60" s="73">
        <v>49.8</v>
      </c>
      <c r="Z60" s="73">
        <v>51</v>
      </c>
      <c r="AA60" s="73">
        <v>50.8</v>
      </c>
      <c r="AB60" s="73">
        <v>47.6</v>
      </c>
      <c r="AC60" s="73">
        <v>47.6</v>
      </c>
      <c r="AD60" s="73">
        <v>47.6</v>
      </c>
      <c r="AE60" s="73">
        <v>47.6</v>
      </c>
      <c r="AF60" s="73">
        <v>47.6</v>
      </c>
      <c r="AG60" s="85"/>
      <c r="AH60" s="54">
        <f t="shared" si="2"/>
        <v>58</v>
      </c>
      <c r="AI60" s="55">
        <f t="shared" si="3"/>
        <v>46.4</v>
      </c>
      <c r="AK60" s="56"/>
    </row>
    <row r="61" spans="1:37" x14ac:dyDescent="0.25">
      <c r="A61" s="66" t="s">
        <v>69</v>
      </c>
      <c r="B61" s="50">
        <v>0</v>
      </c>
      <c r="C61" s="58">
        <v>81.099999999999994</v>
      </c>
      <c r="D61" s="58">
        <v>0</v>
      </c>
      <c r="E61" s="58">
        <v>0</v>
      </c>
      <c r="F61" s="58">
        <v>0</v>
      </c>
      <c r="G61" s="58">
        <v>79.2</v>
      </c>
      <c r="H61" s="58">
        <v>73.5</v>
      </c>
      <c r="I61" s="58">
        <v>80</v>
      </c>
      <c r="J61" s="58">
        <v>88</v>
      </c>
      <c r="K61" s="58">
        <v>74.5</v>
      </c>
      <c r="L61" s="58">
        <v>81.5</v>
      </c>
      <c r="M61" s="50">
        <v>78.3</v>
      </c>
      <c r="N61" s="50">
        <v>82.5</v>
      </c>
      <c r="O61" s="50">
        <v>83.4</v>
      </c>
      <c r="P61" s="50">
        <v>78</v>
      </c>
      <c r="Q61" s="50">
        <v>84.6</v>
      </c>
      <c r="R61" s="50">
        <v>74</v>
      </c>
      <c r="S61" s="50">
        <v>85.1</v>
      </c>
      <c r="T61" s="50">
        <v>78.3</v>
      </c>
      <c r="U61" s="50">
        <v>74.7</v>
      </c>
      <c r="V61" s="50">
        <v>81</v>
      </c>
      <c r="W61" s="50">
        <v>83.2</v>
      </c>
      <c r="X61" s="50">
        <v>80.5</v>
      </c>
      <c r="Y61" s="50">
        <v>88</v>
      </c>
      <c r="Z61" s="50">
        <v>64</v>
      </c>
      <c r="AA61" s="50">
        <v>77.5</v>
      </c>
      <c r="AB61" s="50">
        <v>90.3</v>
      </c>
      <c r="AC61" s="50">
        <v>90.3</v>
      </c>
      <c r="AD61" s="50">
        <v>90.3</v>
      </c>
      <c r="AE61" s="50">
        <v>90.3</v>
      </c>
      <c r="AF61" s="50">
        <v>90.3</v>
      </c>
      <c r="AG61" s="85"/>
      <c r="AH61" s="54">
        <f t="shared" si="2"/>
        <v>90.3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73">
        <v>0</v>
      </c>
      <c r="D62" s="58">
        <v>0</v>
      </c>
      <c r="E62" s="58">
        <v>0</v>
      </c>
      <c r="F62" s="58">
        <v>0</v>
      </c>
      <c r="G62" s="58">
        <v>0</v>
      </c>
      <c r="H62" s="73">
        <v>0</v>
      </c>
      <c r="I62" s="73">
        <v>0</v>
      </c>
      <c r="J62" s="73">
        <v>0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73">
        <v>0</v>
      </c>
      <c r="D63" s="58">
        <v>0</v>
      </c>
      <c r="E63" s="58">
        <v>0</v>
      </c>
      <c r="F63" s="58">
        <v>0</v>
      </c>
      <c r="G63" s="58">
        <v>0</v>
      </c>
      <c r="H63" s="58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50">
        <v>0</v>
      </c>
      <c r="P63" s="50">
        <v>0</v>
      </c>
      <c r="Q63" s="50">
        <v>0</v>
      </c>
      <c r="R63" s="5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60">
        <v>0</v>
      </c>
      <c r="C64" s="73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58">
        <v>0</v>
      </c>
      <c r="AE64" s="58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60">
        <v>0</v>
      </c>
      <c r="C65" s="73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0</v>
      </c>
      <c r="AC65" s="58">
        <v>0</v>
      </c>
      <c r="AD65" s="58">
        <v>0</v>
      </c>
      <c r="AE65" s="58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0">
        <v>0</v>
      </c>
      <c r="C66" s="73">
        <v>0</v>
      </c>
      <c r="D66" s="58">
        <v>0</v>
      </c>
      <c r="E66" s="58">
        <v>0</v>
      </c>
      <c r="F66" s="58">
        <v>0</v>
      </c>
      <c r="G66" s="58">
        <v>0</v>
      </c>
      <c r="H66" s="58">
        <v>0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0">
        <v>0</v>
      </c>
      <c r="C67" s="73">
        <v>0</v>
      </c>
      <c r="D67" s="58">
        <v>0</v>
      </c>
      <c r="E67" s="58">
        <v>0</v>
      </c>
      <c r="F67" s="58">
        <v>0</v>
      </c>
      <c r="G67" s="58">
        <v>0</v>
      </c>
      <c r="H67" s="58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 t="shared" ref="B68" si="16">SUM(B57:B67)</f>
        <v>429.6</v>
      </c>
      <c r="C68" s="72">
        <f>SUM(C57:C67)</f>
        <v>423</v>
      </c>
      <c r="D68" s="72">
        <f t="shared" ref="D68:AF68" si="17">SUM(D57:D67)</f>
        <v>450.8</v>
      </c>
      <c r="E68" s="72">
        <f t="shared" si="17"/>
        <v>469.04</v>
      </c>
      <c r="F68" s="72">
        <f t="shared" si="17"/>
        <v>465.40999999999997</v>
      </c>
      <c r="G68" s="72">
        <f t="shared" si="17"/>
        <v>516.24</v>
      </c>
      <c r="H68" s="72">
        <f t="shared" si="17"/>
        <v>346.62</v>
      </c>
      <c r="I68" s="72">
        <f t="shared" si="17"/>
        <v>234.79</v>
      </c>
      <c r="J68" s="72">
        <f t="shared" si="17"/>
        <v>272.2</v>
      </c>
      <c r="K68" s="72">
        <f t="shared" si="17"/>
        <v>247.19</v>
      </c>
      <c r="L68" s="72">
        <f t="shared" si="17"/>
        <v>323.8</v>
      </c>
      <c r="M68" s="72">
        <f t="shared" si="17"/>
        <v>361.40000000000003</v>
      </c>
      <c r="N68" s="72">
        <f t="shared" si="17"/>
        <v>594.04</v>
      </c>
      <c r="O68" s="72">
        <f t="shared" si="17"/>
        <v>619.79</v>
      </c>
      <c r="P68" s="72">
        <f t="shared" si="17"/>
        <v>616</v>
      </c>
      <c r="Q68" s="72">
        <f t="shared" si="17"/>
        <v>654.1</v>
      </c>
      <c r="R68" s="72">
        <f t="shared" si="17"/>
        <v>644.6</v>
      </c>
      <c r="S68" s="72">
        <f t="shared" si="17"/>
        <v>649.30000000000007</v>
      </c>
      <c r="T68" s="72">
        <f t="shared" si="17"/>
        <v>639</v>
      </c>
      <c r="U68" s="72">
        <f t="shared" si="17"/>
        <v>672</v>
      </c>
      <c r="V68" s="72">
        <f t="shared" si="17"/>
        <v>638.59999999999991</v>
      </c>
      <c r="W68" s="72">
        <f t="shared" si="17"/>
        <v>644.1</v>
      </c>
      <c r="X68" s="72">
        <f t="shared" si="17"/>
        <v>630.5</v>
      </c>
      <c r="Y68" s="72">
        <f t="shared" si="17"/>
        <v>687.69999999999993</v>
      </c>
      <c r="Z68" s="72">
        <f t="shared" ref="Z68" si="18">SUMIF(Z57:Z67,"&gt;0")</f>
        <v>350.8</v>
      </c>
      <c r="AA68" s="72">
        <f t="shared" si="17"/>
        <v>342.1</v>
      </c>
      <c r="AB68" s="72">
        <f t="shared" si="17"/>
        <v>698.9</v>
      </c>
      <c r="AC68" s="72">
        <f t="shared" si="17"/>
        <v>603.9</v>
      </c>
      <c r="AD68" s="72">
        <f t="shared" si="17"/>
        <v>597.1</v>
      </c>
      <c r="AE68" s="72">
        <f t="shared" si="17"/>
        <v>602.9</v>
      </c>
      <c r="AF68" s="72">
        <f t="shared" si="17"/>
        <v>607.29999999999995</v>
      </c>
      <c r="AG68" s="78">
        <f>SUM(AG57:AG67)</f>
        <v>0</v>
      </c>
      <c r="AH68" s="54">
        <f t="shared" si="2"/>
        <v>698.9</v>
      </c>
      <c r="AI68" s="55">
        <f t="shared" si="3"/>
        <v>234.79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 t="shared" ref="B72" si="19">SUM(B69:B71)</f>
        <v>0</v>
      </c>
      <c r="C72" s="72">
        <f>SUM(C69:C71)</f>
        <v>0</v>
      </c>
      <c r="D72" s="72">
        <f t="shared" ref="D72:AF72" si="20">SUM(D69:D71)</f>
        <v>0</v>
      </c>
      <c r="E72" s="72">
        <f t="shared" si="20"/>
        <v>0</v>
      </c>
      <c r="F72" s="72">
        <f t="shared" si="20"/>
        <v>0</v>
      </c>
      <c r="G72" s="72">
        <f t="shared" si="20"/>
        <v>0</v>
      </c>
      <c r="H72" s="72">
        <f t="shared" si="20"/>
        <v>0</v>
      </c>
      <c r="I72" s="72">
        <f t="shared" si="20"/>
        <v>0</v>
      </c>
      <c r="J72" s="72">
        <f t="shared" si="20"/>
        <v>0</v>
      </c>
      <c r="K72" s="72">
        <f t="shared" si="20"/>
        <v>0</v>
      </c>
      <c r="L72" s="72">
        <f t="shared" si="20"/>
        <v>0</v>
      </c>
      <c r="M72" s="72">
        <f t="shared" si="20"/>
        <v>0</v>
      </c>
      <c r="N72" s="72">
        <f t="shared" si="20"/>
        <v>0</v>
      </c>
      <c r="O72" s="72">
        <f t="shared" si="20"/>
        <v>0</v>
      </c>
      <c r="P72" s="72">
        <f t="shared" si="20"/>
        <v>0</v>
      </c>
      <c r="Q72" s="72">
        <f t="shared" si="20"/>
        <v>0</v>
      </c>
      <c r="R72" s="72">
        <f t="shared" si="20"/>
        <v>0</v>
      </c>
      <c r="S72" s="72">
        <f t="shared" si="20"/>
        <v>0</v>
      </c>
      <c r="T72" s="72">
        <f t="shared" si="20"/>
        <v>0</v>
      </c>
      <c r="U72" s="72">
        <f t="shared" si="20"/>
        <v>0</v>
      </c>
      <c r="V72" s="72">
        <f t="shared" si="20"/>
        <v>0</v>
      </c>
      <c r="W72" s="72">
        <f t="shared" si="20"/>
        <v>0</v>
      </c>
      <c r="X72" s="72">
        <f t="shared" si="20"/>
        <v>0</v>
      </c>
      <c r="Y72" s="72">
        <f t="shared" si="20"/>
        <v>0</v>
      </c>
      <c r="Z72" s="72">
        <f>SUM(Z69:Z71)</f>
        <v>0</v>
      </c>
      <c r="AA72" s="72">
        <f t="shared" si="20"/>
        <v>0</v>
      </c>
      <c r="AB72" s="72">
        <f t="shared" si="20"/>
        <v>0</v>
      </c>
      <c r="AC72" s="72">
        <f t="shared" si="20"/>
        <v>0</v>
      </c>
      <c r="AD72" s="72">
        <f t="shared" si="20"/>
        <v>0</v>
      </c>
      <c r="AE72" s="72">
        <f t="shared" si="20"/>
        <v>0</v>
      </c>
      <c r="AF72" s="72">
        <f t="shared" si="2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 t="shared" ref="B73" si="21">B68+B56+B52+B38+B72</f>
        <v>979.34</v>
      </c>
      <c r="C73" s="89">
        <f>C68+C56+C52+C38+C72</f>
        <v>959.04</v>
      </c>
      <c r="D73" s="89">
        <f t="shared" ref="D73:AG73" si="22">D68+D56+D52+D38+D72</f>
        <v>932.54</v>
      </c>
      <c r="E73" s="89">
        <f t="shared" si="22"/>
        <v>948.68000000000006</v>
      </c>
      <c r="F73" s="89">
        <f t="shared" si="22"/>
        <v>953.75</v>
      </c>
      <c r="G73" s="89">
        <f t="shared" si="22"/>
        <v>999.88</v>
      </c>
      <c r="H73" s="89">
        <f t="shared" si="22"/>
        <v>1031.96</v>
      </c>
      <c r="I73" s="89">
        <f t="shared" si="22"/>
        <v>1088.93</v>
      </c>
      <c r="J73" s="89">
        <f t="shared" si="22"/>
        <v>1178.04</v>
      </c>
      <c r="K73" s="89">
        <f t="shared" si="22"/>
        <v>1323.23</v>
      </c>
      <c r="L73" s="89">
        <f t="shared" si="22"/>
        <v>1394.64</v>
      </c>
      <c r="M73" s="89">
        <f t="shared" si="22"/>
        <v>1422.1400000000003</v>
      </c>
      <c r="N73" s="89">
        <f t="shared" si="22"/>
        <v>1337.1799999999998</v>
      </c>
      <c r="O73" s="89">
        <f t="shared" si="22"/>
        <v>1324.33</v>
      </c>
      <c r="P73" s="89">
        <f t="shared" si="22"/>
        <v>1295.04</v>
      </c>
      <c r="Q73" s="89">
        <f t="shared" si="22"/>
        <v>1262.54</v>
      </c>
      <c r="R73" s="89">
        <f t="shared" si="22"/>
        <v>1250.1400000000001</v>
      </c>
      <c r="S73" s="89">
        <f t="shared" si="22"/>
        <v>1281.6400000000001</v>
      </c>
      <c r="T73" s="89">
        <f t="shared" si="22"/>
        <v>1287.3400000000001</v>
      </c>
      <c r="U73" s="89">
        <f t="shared" si="22"/>
        <v>1320.64</v>
      </c>
      <c r="V73" s="89">
        <f t="shared" si="22"/>
        <v>1311.34</v>
      </c>
      <c r="W73" s="89">
        <f t="shared" si="22"/>
        <v>1319.84</v>
      </c>
      <c r="X73" s="89">
        <f t="shared" si="22"/>
        <v>1368.6399999999999</v>
      </c>
      <c r="Y73" s="89">
        <f t="shared" si="22"/>
        <v>1467.94</v>
      </c>
      <c r="Z73" s="89">
        <f t="shared" ref="Z73" si="23">SUM(Z38,Z52,Z56,Z68,Z72)-Z82</f>
        <v>1546.8400000000001</v>
      </c>
      <c r="AA73" s="89">
        <f t="shared" si="22"/>
        <v>1464.3400000000001</v>
      </c>
      <c r="AB73" s="89">
        <f t="shared" si="22"/>
        <v>1419.34</v>
      </c>
      <c r="AC73" s="89">
        <f t="shared" si="22"/>
        <v>1314.34</v>
      </c>
      <c r="AD73" s="89">
        <f t="shared" si="22"/>
        <v>1260.1400000000001</v>
      </c>
      <c r="AE73" s="89">
        <f t="shared" si="22"/>
        <v>1157.3399999999999</v>
      </c>
      <c r="AF73" s="89">
        <f t="shared" si="22"/>
        <v>1122.8399999999999</v>
      </c>
      <c r="AG73" s="89">
        <f t="shared" si="22"/>
        <v>2144.14</v>
      </c>
      <c r="AH73" s="54">
        <f t="shared" si="2"/>
        <v>1546.8400000000001</v>
      </c>
      <c r="AI73" s="55">
        <f t="shared" si="3"/>
        <v>932.54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>
        <v>30</v>
      </c>
      <c r="P74" s="91">
        <v>30</v>
      </c>
      <c r="Q74" s="91">
        <v>30</v>
      </c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30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 t="shared" ref="B75" si="24">B72+B68+B56+B52+B38+B74</f>
        <v>979.34</v>
      </c>
      <c r="C75" s="89">
        <f>C73+C74</f>
        <v>959.04</v>
      </c>
      <c r="D75" s="89">
        <f t="shared" ref="D75:AF75" si="25">D72+D68+D56+D52+D38+D74</f>
        <v>932.54</v>
      </c>
      <c r="E75" s="89">
        <f t="shared" si="25"/>
        <v>948.68000000000006</v>
      </c>
      <c r="F75" s="89">
        <f t="shared" si="25"/>
        <v>953.75</v>
      </c>
      <c r="G75" s="89">
        <f t="shared" si="25"/>
        <v>999.88</v>
      </c>
      <c r="H75" s="89">
        <f t="shared" si="25"/>
        <v>1031.96</v>
      </c>
      <c r="I75" s="89">
        <f t="shared" si="25"/>
        <v>1088.93</v>
      </c>
      <c r="J75" s="89">
        <f t="shared" si="25"/>
        <v>1178.04</v>
      </c>
      <c r="K75" s="89">
        <f t="shared" si="25"/>
        <v>1323.23</v>
      </c>
      <c r="L75" s="89">
        <f t="shared" si="25"/>
        <v>1394.64</v>
      </c>
      <c r="M75" s="89">
        <f t="shared" si="25"/>
        <v>1422.1400000000003</v>
      </c>
      <c r="N75" s="89">
        <f t="shared" si="25"/>
        <v>1337.1799999999998</v>
      </c>
      <c r="O75" s="89">
        <f t="shared" si="25"/>
        <v>1354.33</v>
      </c>
      <c r="P75" s="89">
        <f t="shared" si="25"/>
        <v>1325.04</v>
      </c>
      <c r="Q75" s="89">
        <f t="shared" si="25"/>
        <v>1292.54</v>
      </c>
      <c r="R75" s="89">
        <f t="shared" si="25"/>
        <v>1250.1400000000001</v>
      </c>
      <c r="S75" s="89">
        <f t="shared" si="25"/>
        <v>1281.6400000000001</v>
      </c>
      <c r="T75" s="89">
        <f t="shared" si="25"/>
        <v>1287.3400000000001</v>
      </c>
      <c r="U75" s="89">
        <f t="shared" si="25"/>
        <v>1320.64</v>
      </c>
      <c r="V75" s="89">
        <f t="shared" si="25"/>
        <v>1311.34</v>
      </c>
      <c r="W75" s="89">
        <f t="shared" si="25"/>
        <v>1319.84</v>
      </c>
      <c r="X75" s="89">
        <f t="shared" si="25"/>
        <v>1368.6399999999999</v>
      </c>
      <c r="Y75" s="89">
        <f t="shared" si="25"/>
        <v>1467.94</v>
      </c>
      <c r="Z75" s="89">
        <f t="shared" ref="Z75" si="26">SUM(Z73+Z74)</f>
        <v>1546.8400000000001</v>
      </c>
      <c r="AA75" s="89">
        <f t="shared" si="25"/>
        <v>1464.3400000000001</v>
      </c>
      <c r="AB75" s="89">
        <f t="shared" si="25"/>
        <v>1419.34</v>
      </c>
      <c r="AC75" s="89">
        <f t="shared" si="25"/>
        <v>1314.34</v>
      </c>
      <c r="AD75" s="89">
        <f t="shared" si="25"/>
        <v>1260.1400000000001</v>
      </c>
      <c r="AE75" s="89">
        <f t="shared" si="25"/>
        <v>1157.3399999999999</v>
      </c>
      <c r="AF75" s="89">
        <f t="shared" si="25"/>
        <v>1122.8399999999999</v>
      </c>
      <c r="AG75" s="78">
        <f>AG72+AG68+AG56+AG52+AG38+AG74</f>
        <v>2144.14</v>
      </c>
      <c r="AH75" s="54">
        <f t="shared" si="2"/>
        <v>1546.8400000000001</v>
      </c>
      <c r="AI75" s="55">
        <f t="shared" si="3"/>
        <v>932.54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 t="shared" ref="B76" si="27">IF(B60&lt;0,B60*-1,0)</f>
        <v>0</v>
      </c>
      <c r="C76" s="58">
        <f>IF(C60&lt;0,C60*-1,0)</f>
        <v>0</v>
      </c>
      <c r="D76" s="58">
        <f t="shared" ref="D76:AF76" si="28">IF(D60&lt;0,D60*-1,0)</f>
        <v>0</v>
      </c>
      <c r="E76" s="58">
        <f t="shared" si="28"/>
        <v>0</v>
      </c>
      <c r="F76" s="58">
        <f t="shared" si="28"/>
        <v>0</v>
      </c>
      <c r="G76" s="58">
        <f t="shared" si="28"/>
        <v>0</v>
      </c>
      <c r="H76" s="58">
        <f t="shared" si="28"/>
        <v>0</v>
      </c>
      <c r="I76" s="58">
        <f t="shared" si="28"/>
        <v>0</v>
      </c>
      <c r="J76" s="58">
        <f t="shared" si="28"/>
        <v>0</v>
      </c>
      <c r="K76" s="58">
        <f t="shared" si="28"/>
        <v>0</v>
      </c>
      <c r="L76" s="58">
        <f t="shared" si="28"/>
        <v>0</v>
      </c>
      <c r="M76" s="58">
        <f t="shared" si="28"/>
        <v>0</v>
      </c>
      <c r="N76" s="58">
        <f t="shared" si="28"/>
        <v>0</v>
      </c>
      <c r="O76" s="58">
        <f t="shared" si="28"/>
        <v>0</v>
      </c>
      <c r="P76" s="58">
        <f t="shared" si="28"/>
        <v>0</v>
      </c>
      <c r="Q76" s="58">
        <f t="shared" si="28"/>
        <v>0</v>
      </c>
      <c r="R76" s="58">
        <f t="shared" si="28"/>
        <v>0</v>
      </c>
      <c r="S76" s="58">
        <f t="shared" si="28"/>
        <v>0</v>
      </c>
      <c r="T76" s="58">
        <f t="shared" si="28"/>
        <v>0</v>
      </c>
      <c r="U76" s="58">
        <f t="shared" si="28"/>
        <v>0</v>
      </c>
      <c r="V76" s="58">
        <f t="shared" si="28"/>
        <v>0</v>
      </c>
      <c r="W76" s="58">
        <f t="shared" si="28"/>
        <v>0</v>
      </c>
      <c r="X76" s="58">
        <f t="shared" si="28"/>
        <v>0</v>
      </c>
      <c r="Y76" s="58">
        <f t="shared" si="28"/>
        <v>0</v>
      </c>
      <c r="Z76" s="58"/>
      <c r="AA76" s="58">
        <f t="shared" si="28"/>
        <v>0</v>
      </c>
      <c r="AB76" s="58">
        <f t="shared" si="28"/>
        <v>0</v>
      </c>
      <c r="AC76" s="58">
        <f t="shared" si="28"/>
        <v>0</v>
      </c>
      <c r="AD76" s="58">
        <f t="shared" si="28"/>
        <v>0</v>
      </c>
      <c r="AE76" s="58">
        <f t="shared" si="28"/>
        <v>0</v>
      </c>
      <c r="AF76" s="58">
        <f t="shared" si="28"/>
        <v>0</v>
      </c>
      <c r="AG76" s="62"/>
      <c r="AH76" s="54">
        <f t="shared" ref="AH76:AH91" si="29">MAX(B76:AF76)</f>
        <v>0</v>
      </c>
      <c r="AI76" s="55">
        <f t="shared" ref="AI76:AI91" si="30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 t="shared" ref="B77" si="31">IF(B58&lt;0,B58*-1,0)</f>
        <v>0</v>
      </c>
      <c r="C77" s="58">
        <f>IF(C58&lt;0,C58*-1,0)</f>
        <v>0</v>
      </c>
      <c r="D77" s="58">
        <f t="shared" ref="D77:AF77" si="32">IF(D58&lt;0,D58*-1,0)</f>
        <v>0</v>
      </c>
      <c r="E77" s="58">
        <f t="shared" si="32"/>
        <v>0</v>
      </c>
      <c r="F77" s="58">
        <f t="shared" si="32"/>
        <v>0</v>
      </c>
      <c r="G77" s="58">
        <f t="shared" si="32"/>
        <v>0</v>
      </c>
      <c r="H77" s="58">
        <f t="shared" si="32"/>
        <v>0</v>
      </c>
      <c r="I77" s="58">
        <f t="shared" si="32"/>
        <v>0</v>
      </c>
      <c r="J77" s="58">
        <f t="shared" si="32"/>
        <v>0</v>
      </c>
      <c r="K77" s="58">
        <f t="shared" si="32"/>
        <v>0</v>
      </c>
      <c r="L77" s="58">
        <f t="shared" si="32"/>
        <v>0</v>
      </c>
      <c r="M77" s="58">
        <f t="shared" si="32"/>
        <v>0</v>
      </c>
      <c r="N77" s="58">
        <f t="shared" si="32"/>
        <v>0</v>
      </c>
      <c r="O77" s="58">
        <f t="shared" si="32"/>
        <v>0</v>
      </c>
      <c r="P77" s="58">
        <f t="shared" si="32"/>
        <v>0</v>
      </c>
      <c r="Q77" s="58">
        <f t="shared" si="32"/>
        <v>0</v>
      </c>
      <c r="R77" s="58">
        <f t="shared" si="32"/>
        <v>0</v>
      </c>
      <c r="S77" s="58">
        <f t="shared" si="32"/>
        <v>0</v>
      </c>
      <c r="T77" s="58">
        <f t="shared" si="32"/>
        <v>0</v>
      </c>
      <c r="U77" s="58">
        <f t="shared" si="32"/>
        <v>0</v>
      </c>
      <c r="V77" s="58">
        <f t="shared" si="32"/>
        <v>0</v>
      </c>
      <c r="W77" s="58">
        <f t="shared" si="32"/>
        <v>0</v>
      </c>
      <c r="X77" s="58">
        <f t="shared" si="32"/>
        <v>0</v>
      </c>
      <c r="Y77" s="58">
        <f t="shared" si="32"/>
        <v>0</v>
      </c>
      <c r="Z77" s="58">
        <f>IF(Z60&lt;0,Z60*-1,0)</f>
        <v>0</v>
      </c>
      <c r="AA77" s="58">
        <f t="shared" si="32"/>
        <v>0</v>
      </c>
      <c r="AB77" s="58">
        <f t="shared" si="32"/>
        <v>0</v>
      </c>
      <c r="AC77" s="58">
        <f t="shared" si="32"/>
        <v>0</v>
      </c>
      <c r="AD77" s="58">
        <f t="shared" si="32"/>
        <v>0</v>
      </c>
      <c r="AE77" s="58">
        <f t="shared" si="32"/>
        <v>0</v>
      </c>
      <c r="AF77" s="58">
        <f t="shared" si="32"/>
        <v>0</v>
      </c>
      <c r="AG77" s="67"/>
      <c r="AH77" s="54">
        <f t="shared" si="29"/>
        <v>0</v>
      </c>
      <c r="AI77" s="55">
        <f t="shared" si="30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 t="shared" ref="B78" si="33">IF(B61&lt;0,B61*-1,0)</f>
        <v>0</v>
      </c>
      <c r="C78" s="58">
        <f>IF(C61&lt;0,C61*-1,0)</f>
        <v>0</v>
      </c>
      <c r="D78" s="58">
        <f t="shared" ref="D78:AF78" si="34">IF(D61&lt;0,D61*-1,0)</f>
        <v>0</v>
      </c>
      <c r="E78" s="58">
        <f t="shared" si="34"/>
        <v>0</v>
      </c>
      <c r="F78" s="58">
        <f t="shared" si="34"/>
        <v>0</v>
      </c>
      <c r="G78" s="58">
        <f t="shared" si="34"/>
        <v>0</v>
      </c>
      <c r="H78" s="58">
        <f t="shared" si="34"/>
        <v>0</v>
      </c>
      <c r="I78" s="58">
        <f t="shared" si="34"/>
        <v>0</v>
      </c>
      <c r="J78" s="58">
        <f t="shared" si="34"/>
        <v>0</v>
      </c>
      <c r="K78" s="58">
        <f t="shared" si="34"/>
        <v>0</v>
      </c>
      <c r="L78" s="58">
        <f t="shared" si="34"/>
        <v>0</v>
      </c>
      <c r="M78" s="58">
        <f t="shared" si="34"/>
        <v>0</v>
      </c>
      <c r="N78" s="58">
        <f t="shared" si="34"/>
        <v>0</v>
      </c>
      <c r="O78" s="58">
        <f t="shared" si="34"/>
        <v>0</v>
      </c>
      <c r="P78" s="58">
        <f t="shared" si="34"/>
        <v>0</v>
      </c>
      <c r="Q78" s="58">
        <f t="shared" si="34"/>
        <v>0</v>
      </c>
      <c r="R78" s="58">
        <f t="shared" si="34"/>
        <v>0</v>
      </c>
      <c r="S78" s="58">
        <f t="shared" si="34"/>
        <v>0</v>
      </c>
      <c r="T78" s="58">
        <f t="shared" si="34"/>
        <v>0</v>
      </c>
      <c r="U78" s="58">
        <f t="shared" si="34"/>
        <v>0</v>
      </c>
      <c r="V78" s="58">
        <f t="shared" si="34"/>
        <v>0</v>
      </c>
      <c r="W78" s="58">
        <f t="shared" si="34"/>
        <v>0</v>
      </c>
      <c r="X78" s="58">
        <f t="shared" si="34"/>
        <v>0</v>
      </c>
      <c r="Y78" s="58">
        <f t="shared" si="34"/>
        <v>0</v>
      </c>
      <c r="Z78" s="58">
        <f>IF(Z58&lt;0,Z58*-1,0)</f>
        <v>0</v>
      </c>
      <c r="AA78" s="58">
        <f t="shared" si="34"/>
        <v>0</v>
      </c>
      <c r="AB78" s="58">
        <f t="shared" si="34"/>
        <v>0</v>
      </c>
      <c r="AC78" s="58">
        <f t="shared" si="34"/>
        <v>0</v>
      </c>
      <c r="AD78" s="58">
        <f t="shared" si="34"/>
        <v>0</v>
      </c>
      <c r="AE78" s="58">
        <f t="shared" si="34"/>
        <v>0</v>
      </c>
      <c r="AF78" s="58">
        <f t="shared" si="34"/>
        <v>0</v>
      </c>
      <c r="AG78" s="92"/>
      <c r="AH78" s="54">
        <f t="shared" si="29"/>
        <v>0</v>
      </c>
      <c r="AI78" s="55">
        <f t="shared" si="30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 t="shared" ref="B79" si="35">IF(B59&lt;0,B59*-1,0)</f>
        <v>0</v>
      </c>
      <c r="C79" s="58">
        <f>IF(C59&lt;0,C59*-1,0)</f>
        <v>0</v>
      </c>
      <c r="D79" s="58">
        <f t="shared" ref="D79:AF79" si="36">IF(D59&lt;0,D59*-1,0)</f>
        <v>0</v>
      </c>
      <c r="E79" s="58">
        <f t="shared" si="36"/>
        <v>0</v>
      </c>
      <c r="F79" s="58">
        <f t="shared" si="36"/>
        <v>0</v>
      </c>
      <c r="G79" s="58">
        <f t="shared" si="36"/>
        <v>0</v>
      </c>
      <c r="H79" s="58">
        <f t="shared" si="36"/>
        <v>0</v>
      </c>
      <c r="I79" s="58">
        <f t="shared" si="36"/>
        <v>0</v>
      </c>
      <c r="J79" s="58">
        <f t="shared" si="36"/>
        <v>0</v>
      </c>
      <c r="K79" s="58">
        <f t="shared" si="36"/>
        <v>0</v>
      </c>
      <c r="L79" s="58">
        <f t="shared" si="36"/>
        <v>0</v>
      </c>
      <c r="M79" s="58">
        <f t="shared" si="36"/>
        <v>0</v>
      </c>
      <c r="N79" s="58">
        <f t="shared" si="36"/>
        <v>0</v>
      </c>
      <c r="O79" s="58">
        <f t="shared" si="36"/>
        <v>0</v>
      </c>
      <c r="P79" s="58">
        <f t="shared" si="36"/>
        <v>0</v>
      </c>
      <c r="Q79" s="58">
        <f t="shared" si="36"/>
        <v>0</v>
      </c>
      <c r="R79" s="58">
        <f t="shared" si="36"/>
        <v>0</v>
      </c>
      <c r="S79" s="58">
        <f t="shared" si="36"/>
        <v>0</v>
      </c>
      <c r="T79" s="58">
        <f t="shared" si="36"/>
        <v>0</v>
      </c>
      <c r="U79" s="58">
        <f t="shared" si="36"/>
        <v>0</v>
      </c>
      <c r="V79" s="58">
        <f t="shared" si="36"/>
        <v>0</v>
      </c>
      <c r="W79" s="58">
        <f t="shared" si="36"/>
        <v>0</v>
      </c>
      <c r="X79" s="58">
        <f t="shared" si="36"/>
        <v>0</v>
      </c>
      <c r="Y79" s="58">
        <f t="shared" si="36"/>
        <v>0</v>
      </c>
      <c r="Z79" s="58">
        <f>IF(Z61&lt;0,Z61*-1,0)</f>
        <v>0</v>
      </c>
      <c r="AA79" s="58">
        <f t="shared" si="36"/>
        <v>0</v>
      </c>
      <c r="AB79" s="58">
        <f t="shared" si="36"/>
        <v>0</v>
      </c>
      <c r="AC79" s="58">
        <f t="shared" si="36"/>
        <v>0</v>
      </c>
      <c r="AD79" s="58">
        <f t="shared" si="36"/>
        <v>0</v>
      </c>
      <c r="AE79" s="58">
        <f t="shared" si="36"/>
        <v>0</v>
      </c>
      <c r="AF79" s="58">
        <f t="shared" si="36"/>
        <v>0</v>
      </c>
      <c r="AG79" s="92"/>
      <c r="AH79" s="54">
        <f t="shared" si="29"/>
        <v>0</v>
      </c>
      <c r="AI79" s="55">
        <f t="shared" si="30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 t="shared" ref="B80" si="37">IF(B57&lt;0,B57*-1,0)</f>
        <v>0</v>
      </c>
      <c r="C80" s="58">
        <f>IF(C57&lt;0,C57*-1,0)</f>
        <v>0</v>
      </c>
      <c r="D80" s="58">
        <f t="shared" ref="D80:AF80" si="38">IF(D57&lt;0,D57*-1,0)</f>
        <v>0</v>
      </c>
      <c r="E80" s="58">
        <f t="shared" si="38"/>
        <v>0</v>
      </c>
      <c r="F80" s="58">
        <f t="shared" si="38"/>
        <v>0</v>
      </c>
      <c r="G80" s="58">
        <f t="shared" si="38"/>
        <v>0</v>
      </c>
      <c r="H80" s="58">
        <f t="shared" si="38"/>
        <v>0</v>
      </c>
      <c r="I80" s="58">
        <f t="shared" si="38"/>
        <v>0</v>
      </c>
      <c r="J80" s="58">
        <f t="shared" si="38"/>
        <v>0</v>
      </c>
      <c r="K80" s="58">
        <f t="shared" si="38"/>
        <v>0</v>
      </c>
      <c r="L80" s="58">
        <f t="shared" si="38"/>
        <v>0</v>
      </c>
      <c r="M80" s="58">
        <f t="shared" si="38"/>
        <v>0</v>
      </c>
      <c r="N80" s="58">
        <f t="shared" si="38"/>
        <v>0</v>
      </c>
      <c r="O80" s="58">
        <f t="shared" si="38"/>
        <v>0</v>
      </c>
      <c r="P80" s="58">
        <f t="shared" si="38"/>
        <v>0</v>
      </c>
      <c r="Q80" s="58">
        <f t="shared" si="38"/>
        <v>0</v>
      </c>
      <c r="R80" s="58">
        <f t="shared" si="38"/>
        <v>0</v>
      </c>
      <c r="S80" s="58">
        <f t="shared" si="38"/>
        <v>0</v>
      </c>
      <c r="T80" s="58">
        <f t="shared" si="38"/>
        <v>0</v>
      </c>
      <c r="U80" s="58">
        <f t="shared" si="38"/>
        <v>0</v>
      </c>
      <c r="V80" s="58">
        <f t="shared" si="38"/>
        <v>0</v>
      </c>
      <c r="W80" s="58">
        <f t="shared" si="38"/>
        <v>0</v>
      </c>
      <c r="X80" s="58">
        <f t="shared" si="38"/>
        <v>0</v>
      </c>
      <c r="Y80" s="58">
        <f t="shared" si="38"/>
        <v>0</v>
      </c>
      <c r="Z80" s="58">
        <f>IF(Z59&lt;0,Z59*-1,0)</f>
        <v>0</v>
      </c>
      <c r="AA80" s="58">
        <f t="shared" si="38"/>
        <v>0</v>
      </c>
      <c r="AB80" s="58">
        <f t="shared" si="38"/>
        <v>0</v>
      </c>
      <c r="AC80" s="58">
        <f t="shared" si="38"/>
        <v>0</v>
      </c>
      <c r="AD80" s="58">
        <f t="shared" si="38"/>
        <v>0</v>
      </c>
      <c r="AE80" s="58">
        <f t="shared" si="38"/>
        <v>0</v>
      </c>
      <c r="AF80" s="58">
        <f t="shared" si="38"/>
        <v>0</v>
      </c>
      <c r="AG80" s="92"/>
      <c r="AH80" s="54">
        <f t="shared" si="29"/>
        <v>0</v>
      </c>
      <c r="AI80" s="55">
        <f t="shared" si="30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>
        <v>0</v>
      </c>
      <c r="AA81" s="50"/>
      <c r="AB81" s="63"/>
      <c r="AC81" s="63"/>
      <c r="AD81" s="63"/>
      <c r="AE81" s="63"/>
      <c r="AF81" s="63"/>
      <c r="AG81" s="87"/>
      <c r="AH81" s="54">
        <f t="shared" si="29"/>
        <v>0</v>
      </c>
      <c r="AI81" s="55">
        <f t="shared" si="30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 t="shared" ref="B82" si="39">SUM(B76:B81)</f>
        <v>0</v>
      </c>
      <c r="C82" s="72">
        <f t="shared" ref="C82:AG82" si="40">SUM(C76:C81)</f>
        <v>0</v>
      </c>
      <c r="D82" s="72">
        <f t="shared" si="40"/>
        <v>0</v>
      </c>
      <c r="E82" s="72">
        <f t="shared" si="40"/>
        <v>0</v>
      </c>
      <c r="F82" s="72">
        <f t="shared" si="40"/>
        <v>0</v>
      </c>
      <c r="G82" s="72">
        <f t="shared" si="40"/>
        <v>0</v>
      </c>
      <c r="H82" s="72">
        <f t="shared" si="40"/>
        <v>0</v>
      </c>
      <c r="I82" s="72">
        <f t="shared" si="40"/>
        <v>0</v>
      </c>
      <c r="J82" s="72">
        <f t="shared" si="40"/>
        <v>0</v>
      </c>
      <c r="K82" s="72">
        <f t="shared" si="40"/>
        <v>0</v>
      </c>
      <c r="L82" s="72">
        <f t="shared" si="40"/>
        <v>0</v>
      </c>
      <c r="M82" s="72">
        <f t="shared" si="40"/>
        <v>0</v>
      </c>
      <c r="N82" s="72">
        <f t="shared" si="40"/>
        <v>0</v>
      </c>
      <c r="O82" s="72">
        <f t="shared" si="40"/>
        <v>0</v>
      </c>
      <c r="P82" s="72">
        <f t="shared" si="40"/>
        <v>0</v>
      </c>
      <c r="Q82" s="72">
        <f t="shared" si="40"/>
        <v>0</v>
      </c>
      <c r="R82" s="72">
        <f t="shared" si="40"/>
        <v>0</v>
      </c>
      <c r="S82" s="72">
        <f t="shared" si="40"/>
        <v>0</v>
      </c>
      <c r="T82" s="72">
        <f t="shared" si="40"/>
        <v>0</v>
      </c>
      <c r="U82" s="72">
        <f t="shared" si="40"/>
        <v>0</v>
      </c>
      <c r="V82" s="72">
        <f t="shared" si="40"/>
        <v>0</v>
      </c>
      <c r="W82" s="72">
        <f t="shared" si="40"/>
        <v>0</v>
      </c>
      <c r="X82" s="72">
        <f t="shared" si="40"/>
        <v>0</v>
      </c>
      <c r="Y82" s="72">
        <f t="shared" si="40"/>
        <v>0</v>
      </c>
      <c r="Z82" s="72">
        <f>SUM(Z77:Z81)</f>
        <v>0</v>
      </c>
      <c r="AA82" s="72">
        <f t="shared" si="40"/>
        <v>0</v>
      </c>
      <c r="AB82" s="72">
        <f t="shared" si="40"/>
        <v>0</v>
      </c>
      <c r="AC82" s="72">
        <f t="shared" si="40"/>
        <v>0</v>
      </c>
      <c r="AD82" s="72">
        <f t="shared" si="40"/>
        <v>0</v>
      </c>
      <c r="AE82" s="72">
        <f t="shared" si="40"/>
        <v>0</v>
      </c>
      <c r="AF82" s="72">
        <f t="shared" si="40"/>
        <v>0</v>
      </c>
      <c r="AG82" s="78">
        <f t="shared" si="40"/>
        <v>0</v>
      </c>
      <c r="AH82" s="54">
        <f t="shared" si="29"/>
        <v>0</v>
      </c>
      <c r="AI82" s="55">
        <f t="shared" si="30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" si="41">SUM(B70:B82)</f>
        <v>1958.68</v>
      </c>
      <c r="C83" s="72">
        <f t="shared" ref="C83:AG83" si="42">SUM(C70:C82)</f>
        <v>1918.08</v>
      </c>
      <c r="D83" s="72">
        <f t="shared" si="42"/>
        <v>1865.08</v>
      </c>
      <c r="E83" s="72">
        <f t="shared" si="42"/>
        <v>1897.3600000000001</v>
      </c>
      <c r="F83" s="72">
        <f t="shared" si="42"/>
        <v>1907.5</v>
      </c>
      <c r="G83" s="72">
        <f t="shared" si="42"/>
        <v>1999.76</v>
      </c>
      <c r="H83" s="72">
        <f t="shared" si="42"/>
        <v>2063.92</v>
      </c>
      <c r="I83" s="72">
        <f t="shared" si="42"/>
        <v>2177.86</v>
      </c>
      <c r="J83" s="72">
        <f t="shared" si="42"/>
        <v>2356.08</v>
      </c>
      <c r="K83" s="72">
        <f t="shared" si="42"/>
        <v>2646.46</v>
      </c>
      <c r="L83" s="72">
        <f t="shared" si="42"/>
        <v>2789.28</v>
      </c>
      <c r="M83" s="72">
        <f t="shared" si="42"/>
        <v>2844.2800000000007</v>
      </c>
      <c r="N83" s="72">
        <f t="shared" si="42"/>
        <v>2674.3599999999997</v>
      </c>
      <c r="O83" s="72">
        <f t="shared" si="42"/>
        <v>2708.66</v>
      </c>
      <c r="P83" s="72">
        <f t="shared" si="42"/>
        <v>2650.08</v>
      </c>
      <c r="Q83" s="72">
        <f t="shared" si="42"/>
        <v>2585.08</v>
      </c>
      <c r="R83" s="72">
        <f t="shared" si="42"/>
        <v>2500.2800000000002</v>
      </c>
      <c r="S83" s="72">
        <f t="shared" si="42"/>
        <v>2563.2800000000002</v>
      </c>
      <c r="T83" s="72">
        <f t="shared" si="42"/>
        <v>2574.6800000000003</v>
      </c>
      <c r="U83" s="72">
        <f t="shared" si="42"/>
        <v>2641.28</v>
      </c>
      <c r="V83" s="72">
        <f t="shared" si="42"/>
        <v>2622.68</v>
      </c>
      <c r="W83" s="72">
        <f t="shared" si="42"/>
        <v>2639.68</v>
      </c>
      <c r="X83" s="72">
        <f t="shared" si="42"/>
        <v>2737.2799999999997</v>
      </c>
      <c r="Y83" s="72">
        <f t="shared" si="42"/>
        <v>2935.88</v>
      </c>
      <c r="Z83" s="72">
        <f t="shared" ref="Z83" si="43">Z68-Z82</f>
        <v>350.8</v>
      </c>
      <c r="AA83" s="72">
        <f t="shared" si="42"/>
        <v>2928.6800000000003</v>
      </c>
      <c r="AB83" s="72">
        <f t="shared" si="42"/>
        <v>2838.68</v>
      </c>
      <c r="AC83" s="72">
        <f t="shared" si="42"/>
        <v>2628.68</v>
      </c>
      <c r="AD83" s="72">
        <f t="shared" si="42"/>
        <v>2520.2800000000002</v>
      </c>
      <c r="AE83" s="72">
        <f t="shared" si="42"/>
        <v>2314.6799999999998</v>
      </c>
      <c r="AF83" s="72">
        <f t="shared" si="42"/>
        <v>2245.6799999999998</v>
      </c>
      <c r="AG83" s="78">
        <f t="shared" si="42"/>
        <v>4360.08</v>
      </c>
      <c r="AH83" s="54">
        <f t="shared" si="29"/>
        <v>2935.88</v>
      </c>
      <c r="AI83" s="55">
        <f t="shared" si="30"/>
        <v>350.8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6">
        <v>50.04</v>
      </c>
      <c r="C84" s="96">
        <v>49.96</v>
      </c>
      <c r="D84" s="96">
        <v>50.06</v>
      </c>
      <c r="E84" s="96">
        <v>50.06</v>
      </c>
      <c r="F84" s="96">
        <v>49.951000000000001</v>
      </c>
      <c r="G84" s="96">
        <v>49.945</v>
      </c>
      <c r="H84" s="96">
        <v>49.957999999999998</v>
      </c>
      <c r="I84" s="96">
        <v>50.012999999999998</v>
      </c>
      <c r="J84" s="96">
        <v>50.011000000000003</v>
      </c>
      <c r="K84" s="96">
        <v>49.966000000000001</v>
      </c>
      <c r="L84" s="96">
        <v>50.018000000000001</v>
      </c>
      <c r="M84" s="96">
        <v>50.045000000000002</v>
      </c>
      <c r="N84" s="96">
        <v>49.92</v>
      </c>
      <c r="O84" s="96">
        <v>50.029000000000003</v>
      </c>
      <c r="P84" s="96">
        <v>49.984000000000002</v>
      </c>
      <c r="Q84" s="96">
        <v>49.969000000000001</v>
      </c>
      <c r="R84" s="96">
        <v>50.030999999999999</v>
      </c>
      <c r="S84" s="96">
        <v>49.991999999999997</v>
      </c>
      <c r="T84" s="96">
        <v>49.972000000000001</v>
      </c>
      <c r="U84" s="96">
        <v>49.914000000000001</v>
      </c>
      <c r="V84" s="96">
        <v>50.030999999999999</v>
      </c>
      <c r="W84" s="96">
        <v>50.030999999999999</v>
      </c>
      <c r="X84" s="96">
        <v>50.01</v>
      </c>
      <c r="Y84" s="96">
        <v>50.02</v>
      </c>
      <c r="Z84" s="96">
        <v>49.98</v>
      </c>
      <c r="AA84" s="96">
        <v>50.01</v>
      </c>
      <c r="AB84" s="96">
        <v>49.96</v>
      </c>
      <c r="AC84" s="96">
        <v>50.01</v>
      </c>
      <c r="AD84" s="96">
        <v>49.96</v>
      </c>
      <c r="AE84" s="96">
        <v>50.04</v>
      </c>
      <c r="AF84" s="96">
        <v>50.02</v>
      </c>
      <c r="AG84" s="97"/>
      <c r="AH84" s="54">
        <f t="shared" si="29"/>
        <v>50.06</v>
      </c>
      <c r="AI84" s="55">
        <f t="shared" si="30"/>
        <v>49.914000000000001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73">
        <v>125.7</v>
      </c>
      <c r="C85" s="73">
        <v>127.8</v>
      </c>
      <c r="D85" s="73">
        <v>125.3</v>
      </c>
      <c r="E85" s="73">
        <v>124.2</v>
      </c>
      <c r="F85" s="73">
        <v>124.1</v>
      </c>
      <c r="G85" s="73">
        <v>127.7</v>
      </c>
      <c r="H85" s="73">
        <v>128.9</v>
      </c>
      <c r="I85" s="73">
        <v>127.3</v>
      </c>
      <c r="J85" s="73">
        <v>125</v>
      </c>
      <c r="K85" s="73">
        <v>124</v>
      </c>
      <c r="L85" s="73">
        <v>124.1</v>
      </c>
      <c r="M85" s="73">
        <v>122.2</v>
      </c>
      <c r="N85" s="73">
        <v>124</v>
      </c>
      <c r="O85" s="73">
        <v>122.9</v>
      </c>
      <c r="P85" s="73">
        <v>123.8</v>
      </c>
      <c r="Q85" s="73">
        <v>121.9</v>
      </c>
      <c r="R85" s="73">
        <v>121.6</v>
      </c>
      <c r="S85" s="73">
        <v>123.3</v>
      </c>
      <c r="T85" s="73">
        <v>124.4</v>
      </c>
      <c r="U85" s="100">
        <v>123.4</v>
      </c>
      <c r="V85" s="100">
        <v>125.3</v>
      </c>
      <c r="W85" s="100">
        <v>125.3</v>
      </c>
      <c r="X85" s="100">
        <v>125</v>
      </c>
      <c r="Y85" s="100">
        <v>124.1</v>
      </c>
      <c r="Z85" s="100">
        <v>125.3</v>
      </c>
      <c r="AA85" s="100">
        <v>125.8</v>
      </c>
      <c r="AB85" s="100">
        <v>126.9</v>
      </c>
      <c r="AC85" s="100">
        <v>125</v>
      </c>
      <c r="AD85" s="100">
        <v>126.9</v>
      </c>
      <c r="AE85" s="100">
        <v>127.2</v>
      </c>
      <c r="AF85" s="100">
        <v>126.4</v>
      </c>
      <c r="AG85" s="101"/>
      <c r="AH85" s="54">
        <f t="shared" si="29"/>
        <v>128.9</v>
      </c>
      <c r="AI85" s="55">
        <f t="shared" si="30"/>
        <v>121.6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73">
        <v>130.69999999999999</v>
      </c>
      <c r="C86" s="73">
        <v>131.6</v>
      </c>
      <c r="D86" s="73">
        <v>130.19999999999999</v>
      </c>
      <c r="E86" s="73">
        <v>129.19999999999999</v>
      </c>
      <c r="F86" s="73">
        <v>129.19999999999999</v>
      </c>
      <c r="G86" s="73">
        <v>132.19999999999999</v>
      </c>
      <c r="H86" s="73">
        <v>131.80000000000001</v>
      </c>
      <c r="I86" s="73">
        <v>130.30000000000001</v>
      </c>
      <c r="J86" s="73">
        <v>128.5</v>
      </c>
      <c r="K86" s="73">
        <v>127.5</v>
      </c>
      <c r="L86" s="73">
        <v>127</v>
      </c>
      <c r="M86" s="73">
        <v>125.5</v>
      </c>
      <c r="N86" s="73">
        <v>127.1</v>
      </c>
      <c r="O86" s="73">
        <v>126.8</v>
      </c>
      <c r="P86" s="73">
        <v>126.9</v>
      </c>
      <c r="Q86" s="73">
        <v>125.2</v>
      </c>
      <c r="R86" s="73">
        <v>125</v>
      </c>
      <c r="S86" s="73">
        <v>126.6</v>
      </c>
      <c r="T86" s="73">
        <v>128.19999999999999</v>
      </c>
      <c r="U86" s="100">
        <v>127</v>
      </c>
      <c r="V86" s="100">
        <v>128.69999999999999</v>
      </c>
      <c r="W86" s="100">
        <v>128.69999999999999</v>
      </c>
      <c r="X86" s="100">
        <v>128.30000000000001</v>
      </c>
      <c r="Y86" s="100">
        <v>127.5</v>
      </c>
      <c r="Z86" s="100">
        <v>131</v>
      </c>
      <c r="AA86" s="100">
        <v>129</v>
      </c>
      <c r="AB86" s="100">
        <v>130.6</v>
      </c>
      <c r="AC86" s="100">
        <v>128.9</v>
      </c>
      <c r="AD86" s="100">
        <v>130.6</v>
      </c>
      <c r="AE86" s="100">
        <v>130.5</v>
      </c>
      <c r="AF86" s="100">
        <v>129.9</v>
      </c>
      <c r="AG86" s="101"/>
      <c r="AH86" s="54">
        <f t="shared" si="29"/>
        <v>132.19999999999999</v>
      </c>
      <c r="AI86" s="55">
        <f t="shared" si="30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73">
        <v>131.1</v>
      </c>
      <c r="C87" s="73">
        <v>131.80000000000001</v>
      </c>
      <c r="D87" s="73">
        <v>126.9</v>
      </c>
      <c r="E87" s="73">
        <v>126.2</v>
      </c>
      <c r="F87" s="73">
        <v>129.19999999999999</v>
      </c>
      <c r="G87" s="73">
        <v>130.19999999999999</v>
      </c>
      <c r="H87" s="73">
        <v>131.6</v>
      </c>
      <c r="I87" s="73">
        <v>129.6</v>
      </c>
      <c r="J87" s="73">
        <v>127</v>
      </c>
      <c r="K87" s="73">
        <v>126.5</v>
      </c>
      <c r="L87" s="73">
        <v>128.1</v>
      </c>
      <c r="M87" s="73">
        <v>127.8</v>
      </c>
      <c r="N87" s="73">
        <v>125.7</v>
      </c>
      <c r="O87" s="73">
        <v>122.1</v>
      </c>
      <c r="P87" s="73">
        <v>125.7</v>
      </c>
      <c r="Q87" s="73">
        <v>128.30000000000001</v>
      </c>
      <c r="R87" s="73">
        <v>127</v>
      </c>
      <c r="S87" s="73">
        <v>129.19999999999999</v>
      </c>
      <c r="T87" s="73">
        <v>128.30000000000001</v>
      </c>
      <c r="U87" s="73">
        <v>127.5</v>
      </c>
      <c r="V87" s="73">
        <v>127</v>
      </c>
      <c r="W87" s="73">
        <v>127</v>
      </c>
      <c r="X87" s="73">
        <v>127</v>
      </c>
      <c r="Y87" s="100">
        <v>127.2</v>
      </c>
      <c r="Z87" s="100">
        <v>133.69999999999999</v>
      </c>
      <c r="AA87" s="100">
        <v>127.3</v>
      </c>
      <c r="AB87" s="100">
        <v>128.69999999999999</v>
      </c>
      <c r="AC87" s="100">
        <v>128.69999999999999</v>
      </c>
      <c r="AD87" s="100">
        <v>128.69999999999999</v>
      </c>
      <c r="AE87" s="100">
        <v>130.30000000000001</v>
      </c>
      <c r="AF87" s="100">
        <v>130.30000000000001</v>
      </c>
      <c r="AG87" s="101"/>
      <c r="AH87" s="54">
        <f t="shared" si="29"/>
        <v>133.69999999999999</v>
      </c>
      <c r="AI87" s="55">
        <f t="shared" si="30"/>
        <v>122.1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73">
        <v>132.80000000000001</v>
      </c>
      <c r="C88" s="73">
        <v>133.1</v>
      </c>
      <c r="D88" s="73">
        <v>129</v>
      </c>
      <c r="E88" s="73">
        <v>129.1</v>
      </c>
      <c r="F88" s="73">
        <v>131.9</v>
      </c>
      <c r="G88" s="73">
        <v>132.19999999999999</v>
      </c>
      <c r="H88" s="73">
        <v>133.30000000000001</v>
      </c>
      <c r="I88" s="73">
        <v>130.6</v>
      </c>
      <c r="J88" s="73">
        <v>129.19999999999999</v>
      </c>
      <c r="K88" s="73">
        <v>128.9</v>
      </c>
      <c r="L88" s="73">
        <v>129.69999999999999</v>
      </c>
      <c r="M88" s="73">
        <v>126.2</v>
      </c>
      <c r="N88" s="73">
        <v>125</v>
      </c>
      <c r="O88" s="73">
        <v>123.2</v>
      </c>
      <c r="P88" s="73">
        <v>126.6</v>
      </c>
      <c r="Q88" s="73">
        <v>129.4</v>
      </c>
      <c r="R88" s="73">
        <v>129.19999999999999</v>
      </c>
      <c r="S88" s="73">
        <v>126.6</v>
      </c>
      <c r="T88" s="73">
        <v>125.5</v>
      </c>
      <c r="U88" s="73">
        <v>128.1</v>
      </c>
      <c r="V88" s="73">
        <v>129</v>
      </c>
      <c r="W88" s="73">
        <v>129</v>
      </c>
      <c r="X88" s="73">
        <v>128.5</v>
      </c>
      <c r="Y88" s="100">
        <v>127.8</v>
      </c>
      <c r="Z88" s="100">
        <v>125.5</v>
      </c>
      <c r="AA88" s="100">
        <v>130.1</v>
      </c>
      <c r="AB88" s="100">
        <v>130.69999999999999</v>
      </c>
      <c r="AC88" s="100">
        <v>131</v>
      </c>
      <c r="AD88" s="100">
        <v>130.69999999999999</v>
      </c>
      <c r="AE88" s="100">
        <v>133.30000000000001</v>
      </c>
      <c r="AF88" s="100">
        <v>131.69999999999999</v>
      </c>
      <c r="AG88" s="101"/>
      <c r="AH88" s="54">
        <f t="shared" si="29"/>
        <v>133.30000000000001</v>
      </c>
      <c r="AI88" s="55">
        <f t="shared" si="30"/>
        <v>123.2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4">
        <v>135</v>
      </c>
      <c r="C89" s="104">
        <v>132.1</v>
      </c>
      <c r="D89" s="104">
        <v>131.5</v>
      </c>
      <c r="E89" s="104">
        <v>130.19999999999999</v>
      </c>
      <c r="F89" s="104">
        <v>131</v>
      </c>
      <c r="G89" s="104">
        <v>131.30000000000001</v>
      </c>
      <c r="H89" s="104">
        <v>134</v>
      </c>
      <c r="I89" s="104">
        <v>135.4</v>
      </c>
      <c r="J89" s="104">
        <v>134.5</v>
      </c>
      <c r="K89" s="104">
        <v>132.4</v>
      </c>
      <c r="L89" s="104">
        <v>131.30000000000001</v>
      </c>
      <c r="M89" s="104">
        <v>131.6</v>
      </c>
      <c r="N89" s="104">
        <v>134.9</v>
      </c>
      <c r="O89" s="104">
        <v>135</v>
      </c>
      <c r="P89" s="104">
        <v>130.5</v>
      </c>
      <c r="Q89" s="104">
        <v>130.9</v>
      </c>
      <c r="R89" s="104">
        <v>128.5</v>
      </c>
      <c r="S89" s="104">
        <v>135</v>
      </c>
      <c r="T89" s="104">
        <v>135.69999999999999</v>
      </c>
      <c r="U89" s="104">
        <v>131.19999999999999</v>
      </c>
      <c r="V89" s="104">
        <v>134.30000000000001</v>
      </c>
      <c r="W89" s="104">
        <v>134.30000000000001</v>
      </c>
      <c r="X89" s="104">
        <v>132.9</v>
      </c>
      <c r="Y89" s="100">
        <v>135.80000000000001</v>
      </c>
      <c r="Z89" s="100">
        <v>135.4</v>
      </c>
      <c r="AA89" s="100">
        <v>134.6</v>
      </c>
      <c r="AB89" s="100">
        <v>131.9</v>
      </c>
      <c r="AC89" s="100">
        <v>132</v>
      </c>
      <c r="AD89" s="100">
        <v>131.9</v>
      </c>
      <c r="AE89" s="100">
        <v>128.69999999999999</v>
      </c>
      <c r="AF89" s="100">
        <v>129.1</v>
      </c>
      <c r="AG89" s="105"/>
      <c r="AH89" s="54">
        <f t="shared" si="29"/>
        <v>135.80000000000001</v>
      </c>
      <c r="AI89" s="55">
        <f t="shared" si="30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73">
        <v>137</v>
      </c>
      <c r="C90" s="73">
        <v>137</v>
      </c>
      <c r="D90" s="73">
        <v>138</v>
      </c>
      <c r="E90" s="73">
        <v>137.4</v>
      </c>
      <c r="F90" s="73">
        <v>138.19999999999999</v>
      </c>
      <c r="G90" s="73">
        <v>138.4</v>
      </c>
      <c r="H90" s="73">
        <v>137</v>
      </c>
      <c r="I90" s="73">
        <v>136.5</v>
      </c>
      <c r="J90" s="73">
        <v>133</v>
      </c>
      <c r="K90" s="73">
        <v>134.5</v>
      </c>
      <c r="L90" s="73">
        <v>133</v>
      </c>
      <c r="M90" s="73">
        <v>131</v>
      </c>
      <c r="N90" s="73">
        <v>130.80000000000001</v>
      </c>
      <c r="O90" s="73">
        <v>131.6</v>
      </c>
      <c r="P90" s="73">
        <v>131.5</v>
      </c>
      <c r="Q90" s="73">
        <v>133.5</v>
      </c>
      <c r="R90" s="73">
        <v>133.69999999999999</v>
      </c>
      <c r="S90" s="73">
        <v>134.4</v>
      </c>
      <c r="T90" s="73">
        <v>130.69999999999999</v>
      </c>
      <c r="U90" s="73">
        <v>128.5</v>
      </c>
      <c r="V90" s="73">
        <v>131.9</v>
      </c>
      <c r="W90" s="73">
        <v>131.9</v>
      </c>
      <c r="X90" s="73">
        <v>130.19999999999999</v>
      </c>
      <c r="Y90" s="100">
        <v>129.5</v>
      </c>
      <c r="Z90" s="100">
        <v>129.1</v>
      </c>
      <c r="AA90" s="100">
        <v>132.19999999999999</v>
      </c>
      <c r="AB90" s="100">
        <v>132.80000000000001</v>
      </c>
      <c r="AC90" s="100">
        <v>132</v>
      </c>
      <c r="AD90" s="100">
        <v>132.80000000000001</v>
      </c>
      <c r="AE90" s="100">
        <v>134</v>
      </c>
      <c r="AF90" s="100">
        <v>132.19999999999999</v>
      </c>
      <c r="AG90" s="101"/>
      <c r="AH90" s="54">
        <f t="shared" si="29"/>
        <v>138.4</v>
      </c>
      <c r="AI90" s="55">
        <f t="shared" si="30"/>
        <v>128.5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7">
        <v>65.900000000000006</v>
      </c>
      <c r="C91" s="107">
        <v>66.2</v>
      </c>
      <c r="D91" s="107">
        <v>65.7</v>
      </c>
      <c r="E91" s="107">
        <v>65.400000000000006</v>
      </c>
      <c r="F91" s="107">
        <v>65.3</v>
      </c>
      <c r="G91" s="107">
        <v>66.900000000000006</v>
      </c>
      <c r="H91" s="107">
        <v>66.3</v>
      </c>
      <c r="I91" s="107">
        <v>65.599999999999994</v>
      </c>
      <c r="J91" s="107">
        <v>64.8</v>
      </c>
      <c r="K91" s="107">
        <v>64.400000000000006</v>
      </c>
      <c r="L91" s="107">
        <v>64.3</v>
      </c>
      <c r="M91" s="107">
        <v>63.3</v>
      </c>
      <c r="N91" s="107">
        <v>64.2</v>
      </c>
      <c r="O91" s="107">
        <v>64</v>
      </c>
      <c r="P91" s="107">
        <v>64.2</v>
      </c>
      <c r="Q91" s="107">
        <v>63.2</v>
      </c>
      <c r="R91" s="107">
        <v>63.5</v>
      </c>
      <c r="S91" s="107">
        <v>63.8</v>
      </c>
      <c r="T91" s="107">
        <v>64.5</v>
      </c>
      <c r="U91" s="107">
        <v>63.9</v>
      </c>
      <c r="V91" s="107">
        <v>64.8</v>
      </c>
      <c r="W91" s="107">
        <v>64.8</v>
      </c>
      <c r="X91" s="107">
        <v>64.900000000000006</v>
      </c>
      <c r="Y91" s="107">
        <v>64.5</v>
      </c>
      <c r="Z91" s="107">
        <v>64.3</v>
      </c>
      <c r="AA91" s="107">
        <v>65.2</v>
      </c>
      <c r="AB91" s="107">
        <v>65.7</v>
      </c>
      <c r="AC91" s="107">
        <v>66</v>
      </c>
      <c r="AD91" s="107">
        <v>65.7</v>
      </c>
      <c r="AE91" s="107">
        <v>65.8</v>
      </c>
      <c r="AF91" s="107">
        <v>65.400000000000006</v>
      </c>
      <c r="AG91" s="108"/>
      <c r="AH91" s="54">
        <f t="shared" si="29"/>
        <v>66.900000000000006</v>
      </c>
      <c r="AI91" s="55">
        <f t="shared" si="30"/>
        <v>63.2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Y93" si="44">SUM(B15,B18,B21:B22,B42,B44:B45,B47,B49,B94:B97,B103,B109,B115,B124,B126,B138,B145,B148:B149,B156,B158,B160,B164:B166,B168:B170,B175,B181:B182,B184:B186,B194,B199)</f>
        <v>163.94</v>
      </c>
      <c r="C93" s="114">
        <f t="shared" si="44"/>
        <v>155.93999999999997</v>
      </c>
      <c r="D93" s="114">
        <f t="shared" si="44"/>
        <v>154.63999999999999</v>
      </c>
      <c r="E93" s="114">
        <f t="shared" si="44"/>
        <v>151.33999999999997</v>
      </c>
      <c r="F93" s="114">
        <f t="shared" si="44"/>
        <v>156.54</v>
      </c>
      <c r="G93" s="113">
        <f t="shared" si="44"/>
        <v>175.74</v>
      </c>
      <c r="H93" s="113">
        <f t="shared" si="44"/>
        <v>197.14000000000001</v>
      </c>
      <c r="I93" s="113">
        <f t="shared" si="44"/>
        <v>234.23999999999998</v>
      </c>
      <c r="J93" s="113">
        <f t="shared" si="44"/>
        <v>271.04000000000008</v>
      </c>
      <c r="K93" s="113">
        <f t="shared" si="44"/>
        <v>322.54000000000002</v>
      </c>
      <c r="L93" s="113">
        <f t="shared" si="44"/>
        <v>340.24</v>
      </c>
      <c r="M93" s="113">
        <f t="shared" si="44"/>
        <v>343.64000000000004</v>
      </c>
      <c r="N93" s="113">
        <f t="shared" si="44"/>
        <v>320.54000000000008</v>
      </c>
      <c r="O93" s="113">
        <f t="shared" si="44"/>
        <v>334.14</v>
      </c>
      <c r="P93" s="113">
        <f t="shared" si="44"/>
        <v>305.84000000000003</v>
      </c>
      <c r="Q93" s="113">
        <f t="shared" si="44"/>
        <v>299.94000000000005</v>
      </c>
      <c r="R93" s="113">
        <f t="shared" si="44"/>
        <v>292.44000000000005</v>
      </c>
      <c r="S93" s="113">
        <f t="shared" si="44"/>
        <v>282.74000000000007</v>
      </c>
      <c r="T93" s="113">
        <f t="shared" si="44"/>
        <v>291.54000000000002</v>
      </c>
      <c r="U93" s="113">
        <f t="shared" si="44"/>
        <v>306.34000000000003</v>
      </c>
      <c r="V93" s="113">
        <f t="shared" si="44"/>
        <v>305.34000000000003</v>
      </c>
      <c r="W93" s="113">
        <f t="shared" si="44"/>
        <v>322.44000000000005</v>
      </c>
      <c r="X93" s="113">
        <f t="shared" si="44"/>
        <v>326.94</v>
      </c>
      <c r="Y93" s="113">
        <f t="shared" si="44"/>
        <v>255.43999999999997</v>
      </c>
      <c r="Z93" s="113">
        <f t="shared" ref="Z93" si="45">SUM(Z137,Z94:Z97,Z12,Z16,Z22,Z28,Z29,Z42,Z44:Z45,Z47,Z49)</f>
        <v>371.34000000000009</v>
      </c>
      <c r="AA93" s="113">
        <f t="shared" ref="AA93:AF93" si="46">SUM(AA15,AA18,AA21:AA22,AA42,AA44:AA45,AA47,AA49,AA94:AA97,AA103,AA109,AA115,AA124,AA126,AA138,AA145,AA148:AA149,AA156,AA158,AA160,AA164:AA166,AA168:AA170,AA175,AA181:AA182,AA184:AA186,AA194,AA199)</f>
        <v>364.24</v>
      </c>
      <c r="AB93" s="113">
        <f t="shared" si="46"/>
        <v>316.24000000000007</v>
      </c>
      <c r="AC93" s="113">
        <f t="shared" si="46"/>
        <v>317.24000000000007</v>
      </c>
      <c r="AD93" s="113">
        <f t="shared" si="46"/>
        <v>319.04000000000008</v>
      </c>
      <c r="AE93" s="113">
        <f t="shared" si="46"/>
        <v>223.33999999999997</v>
      </c>
      <c r="AF93" s="113">
        <f t="shared" si="46"/>
        <v>179.03999999999996</v>
      </c>
      <c r="AG93" s="115"/>
      <c r="AH93" s="54">
        <f>MAX(C93:AF93)</f>
        <v>371.34000000000009</v>
      </c>
      <c r="AI93" s="55">
        <f>MIN(C93:AF93)</f>
        <v>151.33999999999997</v>
      </c>
    </row>
    <row r="94" spans="1:88" x14ac:dyDescent="0.25">
      <c r="A94" s="116" t="s">
        <v>98</v>
      </c>
      <c r="B94" s="119">
        <v>6</v>
      </c>
      <c r="C94" s="58">
        <v>-14.2</v>
      </c>
      <c r="D94" s="58">
        <v>-15.2</v>
      </c>
      <c r="E94" s="58">
        <v>-20</v>
      </c>
      <c r="F94" s="58">
        <v>-16.600000000000001</v>
      </c>
      <c r="G94" s="118">
        <v>-19.5</v>
      </c>
      <c r="H94" s="118">
        <v>24.4</v>
      </c>
      <c r="I94" s="118">
        <v>23</v>
      </c>
      <c r="J94" s="118">
        <v>34</v>
      </c>
      <c r="K94" s="118">
        <v>28.2</v>
      </c>
      <c r="L94" s="118">
        <v>31.7</v>
      </c>
      <c r="M94" s="119">
        <v>29.6</v>
      </c>
      <c r="N94" s="118">
        <v>43.6</v>
      </c>
      <c r="O94" s="118">
        <v>28.6</v>
      </c>
      <c r="P94" s="118">
        <v>18.7</v>
      </c>
      <c r="Q94" s="118">
        <v>4.2</v>
      </c>
      <c r="R94" s="118">
        <v>0</v>
      </c>
      <c r="S94" s="118">
        <v>0</v>
      </c>
      <c r="T94" s="118">
        <v>1.9</v>
      </c>
      <c r="U94" s="119">
        <v>-2.6</v>
      </c>
      <c r="V94" s="119">
        <v>-1.4</v>
      </c>
      <c r="W94" s="119">
        <v>15</v>
      </c>
      <c r="X94" s="118">
        <v>25.9</v>
      </c>
      <c r="Y94" s="118">
        <v>35.299999999999997</v>
      </c>
      <c r="Z94" s="118">
        <v>39</v>
      </c>
      <c r="AA94" s="118">
        <v>30</v>
      </c>
      <c r="AB94" s="118">
        <v>21.4</v>
      </c>
      <c r="AC94" s="118">
        <v>22.4</v>
      </c>
      <c r="AD94" s="118">
        <v>21.4</v>
      </c>
      <c r="AE94" s="119">
        <v>-26.7</v>
      </c>
      <c r="AF94" s="119">
        <v>-40</v>
      </c>
      <c r="AG94" s="120">
        <v>75</v>
      </c>
      <c r="AH94" s="54">
        <f t="shared" ref="AH94:AH100" si="47">IF(ABS(MAX(C94:AF94))&gt;ABS(MIN(C94:AF94)),MAX(C94:AF94),MIN(C94:AF94))</f>
        <v>43.6</v>
      </c>
      <c r="AI94" s="121">
        <f t="shared" ref="AI94:AI100" si="48">INDEX($C$9:$AF$9,1,MATCH(AH94,C94:AF94,0))</f>
        <v>0.375</v>
      </c>
    </row>
    <row r="95" spans="1:88" x14ac:dyDescent="0.25">
      <c r="A95" s="122" t="s">
        <v>99</v>
      </c>
      <c r="B95" s="73">
        <f>-24.3-27</f>
        <v>-51.3</v>
      </c>
      <c r="C95" s="60">
        <f>-16.7-18.5</f>
        <v>-35.200000000000003</v>
      </c>
      <c r="D95" s="60">
        <f>-24-26.6</f>
        <v>-50.6</v>
      </c>
      <c r="E95" s="60">
        <v>-49</v>
      </c>
      <c r="F95" s="60">
        <v>-53</v>
      </c>
      <c r="G95" s="60">
        <v>-28.1</v>
      </c>
      <c r="H95" s="60">
        <v>-30</v>
      </c>
      <c r="I95" s="60">
        <v>-18</v>
      </c>
      <c r="J95" s="60">
        <v>-4.2</v>
      </c>
      <c r="K95" s="60">
        <v>13.6</v>
      </c>
      <c r="L95" s="60">
        <v>22.4</v>
      </c>
      <c r="M95" s="60">
        <v>37</v>
      </c>
      <c r="N95" s="60">
        <v>12.8</v>
      </c>
      <c r="O95" s="60">
        <v>19</v>
      </c>
      <c r="P95" s="60">
        <v>22.7</v>
      </c>
      <c r="Q95" s="60">
        <v>21.2</v>
      </c>
      <c r="R95" s="60">
        <v>14.2</v>
      </c>
      <c r="S95" s="60">
        <v>14</v>
      </c>
      <c r="T95" s="60">
        <v>18</v>
      </c>
      <c r="U95" s="60">
        <v>23.6</v>
      </c>
      <c r="V95" s="60">
        <v>20</v>
      </c>
      <c r="W95" s="60">
        <v>22</v>
      </c>
      <c r="X95" s="60">
        <f>24+21.6</f>
        <v>45.6</v>
      </c>
      <c r="Y95" s="60">
        <f>-30.2-29.3</f>
        <v>-59.5</v>
      </c>
      <c r="Z95" s="60">
        <f>28.3+23</f>
        <v>51.3</v>
      </c>
      <c r="AA95" s="60">
        <f>26.9+23.9</f>
        <v>50.8</v>
      </c>
      <c r="AB95" s="60">
        <f>16.4+16.8</f>
        <v>33.200000000000003</v>
      </c>
      <c r="AC95" s="60">
        <f>16.4+16.8</f>
        <v>33.200000000000003</v>
      </c>
      <c r="AD95" s="60">
        <f>16.4+16.8</f>
        <v>33.200000000000003</v>
      </c>
      <c r="AE95" s="73">
        <f>-3.3-5.7</f>
        <v>-9</v>
      </c>
      <c r="AF95" s="73">
        <f>-11.4-13.1</f>
        <v>-24.5</v>
      </c>
      <c r="AG95" s="120">
        <v>240</v>
      </c>
      <c r="AH95" s="54">
        <f t="shared" si="47"/>
        <v>-59.5</v>
      </c>
      <c r="AI95" s="121">
        <f t="shared" si="48"/>
        <v>0.77083333333333337</v>
      </c>
    </row>
    <row r="96" spans="1:88" x14ac:dyDescent="0.25">
      <c r="A96" s="122" t="s">
        <v>100</v>
      </c>
      <c r="B96" s="73">
        <v>-11.2</v>
      </c>
      <c r="C96" s="60">
        <v>-12.7</v>
      </c>
      <c r="D96" s="60">
        <v>-5.6</v>
      </c>
      <c r="E96" s="60">
        <v>-12.6</v>
      </c>
      <c r="F96" s="60">
        <v>-14.9</v>
      </c>
      <c r="G96" s="60">
        <v>-8.6999999999999993</v>
      </c>
      <c r="H96" s="60">
        <v>-7.8</v>
      </c>
      <c r="I96" s="60">
        <v>-1.8</v>
      </c>
      <c r="J96" s="60">
        <v>0</v>
      </c>
      <c r="K96" s="60">
        <v>18.899999999999999</v>
      </c>
      <c r="L96" s="60">
        <v>20.100000000000001</v>
      </c>
      <c r="M96" s="60">
        <v>14.3</v>
      </c>
      <c r="N96" s="60">
        <v>15.3</v>
      </c>
      <c r="O96" s="60">
        <v>17.7</v>
      </c>
      <c r="P96" s="60">
        <v>16</v>
      </c>
      <c r="Q96" s="60">
        <v>12.4</v>
      </c>
      <c r="R96" s="60">
        <v>15</v>
      </c>
      <c r="S96" s="60">
        <v>16.8</v>
      </c>
      <c r="T96" s="60">
        <v>19.7</v>
      </c>
      <c r="U96" s="60">
        <v>18.7</v>
      </c>
      <c r="V96" s="60">
        <v>21.3</v>
      </c>
      <c r="W96" s="60">
        <v>22.6</v>
      </c>
      <c r="X96" s="60">
        <v>32.9</v>
      </c>
      <c r="Y96" s="60">
        <v>35.200000000000003</v>
      </c>
      <c r="Z96" s="60">
        <v>47.9</v>
      </c>
      <c r="AA96" s="60">
        <v>35.5</v>
      </c>
      <c r="AB96" s="60">
        <v>18.899999999999999</v>
      </c>
      <c r="AC96" s="60">
        <v>18.899999999999999</v>
      </c>
      <c r="AD96" s="60">
        <v>18.899999999999999</v>
      </c>
      <c r="AE96" s="73">
        <v>2.4</v>
      </c>
      <c r="AF96" s="73">
        <v>-10.1</v>
      </c>
      <c r="AG96" s="120">
        <v>60</v>
      </c>
      <c r="AH96" s="54">
        <f t="shared" si="47"/>
        <v>47.9</v>
      </c>
      <c r="AI96" s="121">
        <f t="shared" si="48"/>
        <v>0.79166666666666663</v>
      </c>
    </row>
    <row r="97" spans="1:37" x14ac:dyDescent="0.25">
      <c r="A97" s="124" t="s">
        <v>101</v>
      </c>
      <c r="B97" s="126">
        <v>56.9</v>
      </c>
      <c r="C97" s="63">
        <v>56.4</v>
      </c>
      <c r="D97" s="63">
        <v>64.2</v>
      </c>
      <c r="E97" s="63">
        <v>69.2</v>
      </c>
      <c r="F97" s="63">
        <v>74.900000000000006</v>
      </c>
      <c r="G97" s="63">
        <v>65.099999999999994</v>
      </c>
      <c r="H97" s="63">
        <v>45.1</v>
      </c>
      <c r="I97" s="63">
        <v>66.599999999999994</v>
      </c>
      <c r="J97" s="63">
        <v>76.8</v>
      </c>
      <c r="K97" s="63">
        <v>100.2</v>
      </c>
      <c r="L97" s="63">
        <v>104.4</v>
      </c>
      <c r="M97" s="63">
        <v>94.3</v>
      </c>
      <c r="N97" s="63">
        <v>80.7</v>
      </c>
      <c r="O97" s="63">
        <v>99.1</v>
      </c>
      <c r="P97" s="63">
        <v>96.2</v>
      </c>
      <c r="Q97" s="63">
        <v>109.9</v>
      </c>
      <c r="R97" s="63">
        <v>106</v>
      </c>
      <c r="S97" s="63">
        <v>99.3</v>
      </c>
      <c r="T97" s="63">
        <v>96</v>
      </c>
      <c r="U97" s="63">
        <v>108.7</v>
      </c>
      <c r="V97" s="63">
        <v>100.9</v>
      </c>
      <c r="W97" s="63">
        <v>98.3</v>
      </c>
      <c r="X97" s="63">
        <v>60.9</v>
      </c>
      <c r="Y97" s="63">
        <v>89.9</v>
      </c>
      <c r="Z97" s="63">
        <v>96</v>
      </c>
      <c r="AA97" s="63">
        <v>84.4</v>
      </c>
      <c r="AB97" s="63">
        <v>79.2</v>
      </c>
      <c r="AC97" s="63">
        <v>79.2</v>
      </c>
      <c r="AD97" s="63">
        <v>79.2</v>
      </c>
      <c r="AE97" s="126">
        <v>89.7</v>
      </c>
      <c r="AF97" s="126">
        <v>86.7</v>
      </c>
      <c r="AG97" s="127">
        <v>120</v>
      </c>
      <c r="AH97" s="54">
        <f t="shared" si="47"/>
        <v>109.9</v>
      </c>
      <c r="AI97" s="121">
        <f t="shared" si="48"/>
        <v>0.5</v>
      </c>
    </row>
    <row r="98" spans="1:37" x14ac:dyDescent="0.25">
      <c r="A98" s="124" t="s">
        <v>102</v>
      </c>
      <c r="B98" s="126">
        <v>76.099999999999994</v>
      </c>
      <c r="C98" s="63">
        <v>60.8</v>
      </c>
      <c r="D98" s="63">
        <v>78.2</v>
      </c>
      <c r="E98" s="63">
        <v>81.3</v>
      </c>
      <c r="F98" s="63">
        <v>89</v>
      </c>
      <c r="G98" s="63">
        <v>64.8</v>
      </c>
      <c r="H98" s="63">
        <v>42.2</v>
      </c>
      <c r="I98" s="63">
        <v>50.6</v>
      </c>
      <c r="J98" s="63">
        <v>58.5</v>
      </c>
      <c r="K98" s="63">
        <v>71.2</v>
      </c>
      <c r="L98" s="63">
        <v>76.900000000000006</v>
      </c>
      <c r="M98" s="63">
        <v>103.4</v>
      </c>
      <c r="N98" s="63">
        <v>66.400000000000006</v>
      </c>
      <c r="O98" s="63">
        <v>82.9</v>
      </c>
      <c r="P98" s="63">
        <v>84.9</v>
      </c>
      <c r="Q98" s="63">
        <v>99.9</v>
      </c>
      <c r="R98" s="63">
        <v>95.1</v>
      </c>
      <c r="S98" s="63">
        <v>89.7</v>
      </c>
      <c r="T98" s="63">
        <v>85.2</v>
      </c>
      <c r="U98" s="63">
        <v>97.4</v>
      </c>
      <c r="V98" s="63">
        <v>90.8</v>
      </c>
      <c r="W98" s="63">
        <v>92</v>
      </c>
      <c r="X98" s="63">
        <v>92.3</v>
      </c>
      <c r="Y98" s="63">
        <v>107.3</v>
      </c>
      <c r="Z98" s="63">
        <v>83.7</v>
      </c>
      <c r="AA98" s="63">
        <v>96.1</v>
      </c>
      <c r="AB98" s="63">
        <v>102</v>
      </c>
      <c r="AC98" s="63">
        <v>102</v>
      </c>
      <c r="AD98" s="63">
        <v>102</v>
      </c>
      <c r="AE98" s="126">
        <v>84.2</v>
      </c>
      <c r="AF98" s="126">
        <v>87.4</v>
      </c>
      <c r="AG98" s="127"/>
      <c r="AH98" s="54">
        <f t="shared" si="47"/>
        <v>107.3</v>
      </c>
      <c r="AI98" s="121">
        <f t="shared" si="48"/>
        <v>0.77083333333333337</v>
      </c>
    </row>
    <row r="99" spans="1:37" x14ac:dyDescent="0.25">
      <c r="A99" s="124" t="s">
        <v>103</v>
      </c>
      <c r="B99" s="126">
        <v>38</v>
      </c>
      <c r="C99" s="63">
        <v>47.5</v>
      </c>
      <c r="D99" s="63">
        <v>47</v>
      </c>
      <c r="E99" s="63">
        <v>49.8</v>
      </c>
      <c r="F99" s="63">
        <v>49.7</v>
      </c>
      <c r="G99" s="63">
        <v>52.2</v>
      </c>
      <c r="H99" s="63">
        <v>30.8</v>
      </c>
      <c r="I99" s="63">
        <v>30.4</v>
      </c>
      <c r="J99" s="63">
        <v>22</v>
      </c>
      <c r="K99" s="63">
        <v>44.2</v>
      </c>
      <c r="L99" s="63">
        <v>40.5</v>
      </c>
      <c r="M99" s="63">
        <v>33.299999999999997</v>
      </c>
      <c r="N99" s="63">
        <v>16.5</v>
      </c>
      <c r="O99" s="63">
        <v>29.7</v>
      </c>
      <c r="P99" s="63">
        <v>46.2</v>
      </c>
      <c r="Q99" s="63">
        <v>50</v>
      </c>
      <c r="R99" s="63">
        <v>47.9</v>
      </c>
      <c r="S99" s="63">
        <v>46.9</v>
      </c>
      <c r="T99" s="63">
        <v>43.5</v>
      </c>
      <c r="U99" s="63">
        <v>48.3</v>
      </c>
      <c r="V99" s="63">
        <v>44.7</v>
      </c>
      <c r="W99" s="63">
        <v>42.9</v>
      </c>
      <c r="X99" s="63">
        <v>42.8</v>
      </c>
      <c r="Y99" s="63">
        <v>34.700000000000003</v>
      </c>
      <c r="Z99" s="63">
        <v>40.200000000000003</v>
      </c>
      <c r="AA99" s="63">
        <v>46.6</v>
      </c>
      <c r="AB99" s="63">
        <v>60</v>
      </c>
      <c r="AC99" s="63">
        <v>53.4</v>
      </c>
      <c r="AD99" s="63">
        <v>53.4</v>
      </c>
      <c r="AE99" s="126">
        <v>67.5</v>
      </c>
      <c r="AF99" s="126">
        <v>90.2</v>
      </c>
      <c r="AG99" s="128"/>
      <c r="AH99" s="54">
        <f t="shared" si="47"/>
        <v>90.2</v>
      </c>
      <c r="AI99" s="121">
        <f t="shared" si="48"/>
        <v>0.95833333333333304</v>
      </c>
    </row>
    <row r="100" spans="1:37" ht="15.75" thickBot="1" x14ac:dyDescent="0.3">
      <c r="A100" s="181" t="s">
        <v>222</v>
      </c>
      <c r="B100" s="104">
        <v>3.2</v>
      </c>
      <c r="C100" s="60">
        <v>2.6</v>
      </c>
      <c r="D100" s="60">
        <v>65.400000000000006</v>
      </c>
      <c r="E100" s="60">
        <v>65.2</v>
      </c>
      <c r="F100" s="60">
        <v>63.1</v>
      </c>
      <c r="G100" s="60">
        <v>68.7</v>
      </c>
      <c r="H100" s="60">
        <v>38.799999999999997</v>
      </c>
      <c r="I100" s="60">
        <v>41.8</v>
      </c>
      <c r="J100" s="60">
        <v>41.5</v>
      </c>
      <c r="K100" s="60">
        <v>48.3</v>
      </c>
      <c r="L100" s="60">
        <v>38.5</v>
      </c>
      <c r="M100" s="60">
        <v>43</v>
      </c>
      <c r="N100" s="60">
        <v>106.9</v>
      </c>
      <c r="O100" s="60">
        <v>95.9</v>
      </c>
      <c r="P100" s="60">
        <v>45.9</v>
      </c>
      <c r="Q100" s="60">
        <v>42.1</v>
      </c>
      <c r="R100" s="60">
        <v>72.2</v>
      </c>
      <c r="S100" s="60">
        <v>80.599999999999994</v>
      </c>
      <c r="T100" s="60">
        <v>82.4</v>
      </c>
      <c r="U100" s="60">
        <v>67.099999999999994</v>
      </c>
      <c r="V100" s="60">
        <v>41.8</v>
      </c>
      <c r="W100" s="60">
        <v>85.6</v>
      </c>
      <c r="X100" s="60">
        <v>86.2</v>
      </c>
      <c r="Y100" s="60">
        <v>65</v>
      </c>
      <c r="Z100" s="60">
        <v>60.4</v>
      </c>
      <c r="AA100" s="60">
        <v>58.9</v>
      </c>
      <c r="AB100" s="60">
        <v>101.3</v>
      </c>
      <c r="AC100" s="60">
        <v>100</v>
      </c>
      <c r="AD100" s="60">
        <v>98</v>
      </c>
      <c r="AE100" s="104">
        <v>89.6</v>
      </c>
      <c r="AF100" s="104">
        <v>73.400000000000006</v>
      </c>
      <c r="AG100" s="128"/>
      <c r="AH100" s="54">
        <f t="shared" si="47"/>
        <v>106.9</v>
      </c>
      <c r="AI100" s="121">
        <f t="shared" si="48"/>
        <v>0.375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49">AF102</f>
        <v>9.9</v>
      </c>
      <c r="C102" s="53">
        <v>9.9</v>
      </c>
      <c r="D102" s="134">
        <f t="shared" ref="D102:S107" si="50">C102</f>
        <v>9.9</v>
      </c>
      <c r="E102" s="134">
        <f t="shared" si="50"/>
        <v>9.9</v>
      </c>
      <c r="F102" s="134">
        <f t="shared" si="50"/>
        <v>9.9</v>
      </c>
      <c r="G102" s="134">
        <f t="shared" si="50"/>
        <v>9.9</v>
      </c>
      <c r="H102" s="134">
        <f t="shared" si="50"/>
        <v>9.9</v>
      </c>
      <c r="I102" s="134">
        <f t="shared" si="50"/>
        <v>9.9</v>
      </c>
      <c r="J102" s="134">
        <f t="shared" si="50"/>
        <v>9.9</v>
      </c>
      <c r="K102" s="134">
        <f t="shared" si="50"/>
        <v>9.9</v>
      </c>
      <c r="L102" s="134">
        <f t="shared" si="50"/>
        <v>9.9</v>
      </c>
      <c r="M102" s="134">
        <f t="shared" si="50"/>
        <v>9.9</v>
      </c>
      <c r="N102" s="134">
        <f t="shared" si="50"/>
        <v>9.9</v>
      </c>
      <c r="O102" s="134">
        <f t="shared" si="50"/>
        <v>9.9</v>
      </c>
      <c r="P102" s="134">
        <f t="shared" si="50"/>
        <v>9.9</v>
      </c>
      <c r="Q102" s="134">
        <f t="shared" si="50"/>
        <v>9.9</v>
      </c>
      <c r="R102" s="134">
        <f t="shared" si="50"/>
        <v>9.9</v>
      </c>
      <c r="S102" s="134">
        <f t="shared" si="50"/>
        <v>9.9</v>
      </c>
      <c r="T102" s="134">
        <f t="shared" ref="T102:AF107" si="51">S102</f>
        <v>9.9</v>
      </c>
      <c r="U102" s="134">
        <f t="shared" si="51"/>
        <v>9.9</v>
      </c>
      <c r="V102" s="134">
        <f t="shared" si="51"/>
        <v>9.9</v>
      </c>
      <c r="W102" s="134">
        <f t="shared" si="51"/>
        <v>9.9</v>
      </c>
      <c r="X102" s="134">
        <f t="shared" si="51"/>
        <v>9.9</v>
      </c>
      <c r="Y102" s="134">
        <f t="shared" si="51"/>
        <v>9.9</v>
      </c>
      <c r="Z102" s="134">
        <f t="shared" si="51"/>
        <v>9.9</v>
      </c>
      <c r="AA102" s="134">
        <f t="shared" si="51"/>
        <v>9.9</v>
      </c>
      <c r="AB102" s="134">
        <f t="shared" si="51"/>
        <v>9.9</v>
      </c>
      <c r="AC102" s="134">
        <f t="shared" si="51"/>
        <v>9.9</v>
      </c>
      <c r="AD102" s="134">
        <f t="shared" si="51"/>
        <v>9.9</v>
      </c>
      <c r="AE102" s="134">
        <f t="shared" si="51"/>
        <v>9.9</v>
      </c>
      <c r="AF102" s="134">
        <f t="shared" si="51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49"/>
        <v>9.6</v>
      </c>
      <c r="C103" s="137">
        <v>9.6</v>
      </c>
      <c r="D103" s="136">
        <f t="shared" si="50"/>
        <v>9.6</v>
      </c>
      <c r="E103" s="136">
        <f t="shared" si="50"/>
        <v>9.6</v>
      </c>
      <c r="F103" s="136">
        <f t="shared" si="50"/>
        <v>9.6</v>
      </c>
      <c r="G103" s="136">
        <f t="shared" si="50"/>
        <v>9.6</v>
      </c>
      <c r="H103" s="136">
        <f t="shared" si="50"/>
        <v>9.6</v>
      </c>
      <c r="I103" s="136">
        <f t="shared" si="50"/>
        <v>9.6</v>
      </c>
      <c r="J103" s="136">
        <f t="shared" si="50"/>
        <v>9.6</v>
      </c>
      <c r="K103" s="136">
        <f t="shared" si="50"/>
        <v>9.6</v>
      </c>
      <c r="L103" s="136">
        <f t="shared" si="50"/>
        <v>9.6</v>
      </c>
      <c r="M103" s="136">
        <f t="shared" si="50"/>
        <v>9.6</v>
      </c>
      <c r="N103" s="136">
        <f t="shared" si="50"/>
        <v>9.6</v>
      </c>
      <c r="O103" s="136">
        <f t="shared" si="50"/>
        <v>9.6</v>
      </c>
      <c r="P103" s="136">
        <f t="shared" si="50"/>
        <v>9.6</v>
      </c>
      <c r="Q103" s="136">
        <f t="shared" si="50"/>
        <v>9.6</v>
      </c>
      <c r="R103" s="136">
        <f t="shared" si="50"/>
        <v>9.6</v>
      </c>
      <c r="S103" s="136">
        <f t="shared" si="50"/>
        <v>9.6</v>
      </c>
      <c r="T103" s="136">
        <f t="shared" si="51"/>
        <v>9.6</v>
      </c>
      <c r="U103" s="136">
        <f t="shared" si="51"/>
        <v>9.6</v>
      </c>
      <c r="V103" s="136">
        <f t="shared" si="51"/>
        <v>9.6</v>
      </c>
      <c r="W103" s="136">
        <f t="shared" si="51"/>
        <v>9.6</v>
      </c>
      <c r="X103" s="136">
        <f t="shared" si="51"/>
        <v>9.6</v>
      </c>
      <c r="Y103" s="136">
        <f t="shared" si="51"/>
        <v>9.6</v>
      </c>
      <c r="Z103" s="136">
        <f t="shared" si="51"/>
        <v>9.6</v>
      </c>
      <c r="AA103" s="136">
        <f t="shared" si="51"/>
        <v>9.6</v>
      </c>
      <c r="AB103" s="136">
        <f t="shared" si="51"/>
        <v>9.6</v>
      </c>
      <c r="AC103" s="136">
        <f t="shared" si="51"/>
        <v>9.6</v>
      </c>
      <c r="AD103" s="136">
        <f t="shared" si="51"/>
        <v>9.6</v>
      </c>
      <c r="AE103" s="136">
        <f t="shared" si="51"/>
        <v>9.6</v>
      </c>
      <c r="AF103" s="136">
        <f t="shared" si="51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49"/>
        <v>9.98</v>
      </c>
      <c r="C104" s="137">
        <v>9.98</v>
      </c>
      <c r="D104" s="136">
        <f t="shared" si="50"/>
        <v>9.98</v>
      </c>
      <c r="E104" s="136">
        <f t="shared" si="50"/>
        <v>9.98</v>
      </c>
      <c r="F104" s="136">
        <f t="shared" si="50"/>
        <v>9.98</v>
      </c>
      <c r="G104" s="136">
        <f t="shared" si="50"/>
        <v>9.98</v>
      </c>
      <c r="H104" s="136">
        <f t="shared" si="50"/>
        <v>9.98</v>
      </c>
      <c r="I104" s="136">
        <f t="shared" si="50"/>
        <v>9.98</v>
      </c>
      <c r="J104" s="136">
        <f t="shared" si="50"/>
        <v>9.98</v>
      </c>
      <c r="K104" s="136">
        <f t="shared" si="50"/>
        <v>9.98</v>
      </c>
      <c r="L104" s="136">
        <f t="shared" si="50"/>
        <v>9.98</v>
      </c>
      <c r="M104" s="136">
        <f t="shared" si="50"/>
        <v>9.98</v>
      </c>
      <c r="N104" s="136">
        <f t="shared" si="50"/>
        <v>9.98</v>
      </c>
      <c r="O104" s="136">
        <f t="shared" si="50"/>
        <v>9.98</v>
      </c>
      <c r="P104" s="136">
        <f t="shared" si="50"/>
        <v>9.98</v>
      </c>
      <c r="Q104" s="136">
        <f t="shared" si="50"/>
        <v>9.98</v>
      </c>
      <c r="R104" s="136">
        <f t="shared" si="50"/>
        <v>9.98</v>
      </c>
      <c r="S104" s="136">
        <f t="shared" si="50"/>
        <v>9.98</v>
      </c>
      <c r="T104" s="136">
        <f t="shared" si="51"/>
        <v>9.98</v>
      </c>
      <c r="U104" s="136">
        <f t="shared" si="51"/>
        <v>9.98</v>
      </c>
      <c r="V104" s="136">
        <f t="shared" si="51"/>
        <v>9.98</v>
      </c>
      <c r="W104" s="136">
        <f t="shared" si="51"/>
        <v>9.98</v>
      </c>
      <c r="X104" s="136">
        <f t="shared" si="51"/>
        <v>9.98</v>
      </c>
      <c r="Y104" s="136">
        <f t="shared" si="51"/>
        <v>9.98</v>
      </c>
      <c r="Z104" s="136">
        <f t="shared" si="51"/>
        <v>9.98</v>
      </c>
      <c r="AA104" s="136">
        <f t="shared" si="51"/>
        <v>9.98</v>
      </c>
      <c r="AB104" s="136">
        <f t="shared" si="51"/>
        <v>9.98</v>
      </c>
      <c r="AC104" s="136">
        <f t="shared" si="51"/>
        <v>9.98</v>
      </c>
      <c r="AD104" s="136">
        <f t="shared" si="51"/>
        <v>9.98</v>
      </c>
      <c r="AE104" s="136">
        <f t="shared" si="51"/>
        <v>9.98</v>
      </c>
      <c r="AF104" s="136">
        <f t="shared" si="51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49"/>
        <v>9.1</v>
      </c>
      <c r="C105" s="137">
        <v>9.1</v>
      </c>
      <c r="D105" s="136">
        <f t="shared" si="50"/>
        <v>9.1</v>
      </c>
      <c r="E105" s="136">
        <f t="shared" si="50"/>
        <v>9.1</v>
      </c>
      <c r="F105" s="136">
        <f t="shared" si="50"/>
        <v>9.1</v>
      </c>
      <c r="G105" s="136">
        <f t="shared" si="50"/>
        <v>9.1</v>
      </c>
      <c r="H105" s="136">
        <f t="shared" si="50"/>
        <v>9.1</v>
      </c>
      <c r="I105" s="136">
        <f t="shared" si="50"/>
        <v>9.1</v>
      </c>
      <c r="J105" s="136">
        <f t="shared" si="50"/>
        <v>9.1</v>
      </c>
      <c r="K105" s="136">
        <f t="shared" si="50"/>
        <v>9.1</v>
      </c>
      <c r="L105" s="136">
        <f t="shared" si="50"/>
        <v>9.1</v>
      </c>
      <c r="M105" s="136">
        <f t="shared" si="50"/>
        <v>9.1</v>
      </c>
      <c r="N105" s="136">
        <f t="shared" si="50"/>
        <v>9.1</v>
      </c>
      <c r="O105" s="136">
        <f t="shared" si="50"/>
        <v>9.1</v>
      </c>
      <c r="P105" s="136">
        <f t="shared" si="50"/>
        <v>9.1</v>
      </c>
      <c r="Q105" s="136">
        <f t="shared" si="50"/>
        <v>9.1</v>
      </c>
      <c r="R105" s="136">
        <f t="shared" si="50"/>
        <v>9.1</v>
      </c>
      <c r="S105" s="136">
        <f t="shared" si="50"/>
        <v>9.1</v>
      </c>
      <c r="T105" s="136">
        <f t="shared" si="51"/>
        <v>9.1</v>
      </c>
      <c r="U105" s="136">
        <f t="shared" si="51"/>
        <v>9.1</v>
      </c>
      <c r="V105" s="136">
        <f t="shared" si="51"/>
        <v>9.1</v>
      </c>
      <c r="W105" s="136">
        <f t="shared" si="51"/>
        <v>9.1</v>
      </c>
      <c r="X105" s="136">
        <f t="shared" si="51"/>
        <v>9.1</v>
      </c>
      <c r="Y105" s="136">
        <f t="shared" si="51"/>
        <v>9.1</v>
      </c>
      <c r="Z105" s="136">
        <f t="shared" si="51"/>
        <v>9.1</v>
      </c>
      <c r="AA105" s="136">
        <f t="shared" si="51"/>
        <v>9.1</v>
      </c>
      <c r="AB105" s="136">
        <f t="shared" si="51"/>
        <v>9.1</v>
      </c>
      <c r="AC105" s="136">
        <f t="shared" si="51"/>
        <v>9.1</v>
      </c>
      <c r="AD105" s="136">
        <f t="shared" si="51"/>
        <v>9.1</v>
      </c>
      <c r="AE105" s="136">
        <f t="shared" si="51"/>
        <v>9.1</v>
      </c>
      <c r="AF105" s="136">
        <f t="shared" si="51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49"/>
        <v>9.18</v>
      </c>
      <c r="C106" s="137">
        <v>9.18</v>
      </c>
      <c r="D106" s="136">
        <f t="shared" si="50"/>
        <v>9.18</v>
      </c>
      <c r="E106" s="136">
        <f t="shared" si="50"/>
        <v>9.18</v>
      </c>
      <c r="F106" s="136">
        <f t="shared" si="50"/>
        <v>9.18</v>
      </c>
      <c r="G106" s="136">
        <f t="shared" si="50"/>
        <v>9.18</v>
      </c>
      <c r="H106" s="136">
        <f t="shared" si="50"/>
        <v>9.18</v>
      </c>
      <c r="I106" s="136">
        <f t="shared" si="50"/>
        <v>9.18</v>
      </c>
      <c r="J106" s="136">
        <f t="shared" si="50"/>
        <v>9.18</v>
      </c>
      <c r="K106" s="136">
        <f t="shared" si="50"/>
        <v>9.18</v>
      </c>
      <c r="L106" s="136">
        <f t="shared" si="50"/>
        <v>9.18</v>
      </c>
      <c r="M106" s="136">
        <f t="shared" si="50"/>
        <v>9.18</v>
      </c>
      <c r="N106" s="136">
        <f t="shared" si="50"/>
        <v>9.18</v>
      </c>
      <c r="O106" s="136">
        <f t="shared" si="50"/>
        <v>9.18</v>
      </c>
      <c r="P106" s="136">
        <f t="shared" si="50"/>
        <v>9.18</v>
      </c>
      <c r="Q106" s="136">
        <f t="shared" si="50"/>
        <v>9.18</v>
      </c>
      <c r="R106" s="136">
        <f t="shared" si="50"/>
        <v>9.18</v>
      </c>
      <c r="S106" s="136">
        <f t="shared" si="50"/>
        <v>9.18</v>
      </c>
      <c r="T106" s="136">
        <f t="shared" si="51"/>
        <v>9.18</v>
      </c>
      <c r="U106" s="136">
        <f t="shared" si="51"/>
        <v>9.18</v>
      </c>
      <c r="V106" s="136">
        <f t="shared" si="51"/>
        <v>9.18</v>
      </c>
      <c r="W106" s="136">
        <f t="shared" si="51"/>
        <v>9.18</v>
      </c>
      <c r="X106" s="136">
        <f t="shared" si="51"/>
        <v>9.18</v>
      </c>
      <c r="Y106" s="136">
        <f t="shared" si="51"/>
        <v>9.18</v>
      </c>
      <c r="Z106" s="136">
        <f t="shared" si="51"/>
        <v>9.18</v>
      </c>
      <c r="AA106" s="136">
        <f t="shared" si="51"/>
        <v>9.18</v>
      </c>
      <c r="AB106" s="136">
        <f t="shared" si="51"/>
        <v>9.18</v>
      </c>
      <c r="AC106" s="136">
        <f t="shared" si="51"/>
        <v>9.18</v>
      </c>
      <c r="AD106" s="136">
        <f t="shared" si="51"/>
        <v>9.18</v>
      </c>
      <c r="AE106" s="136">
        <f t="shared" si="51"/>
        <v>9.18</v>
      </c>
      <c r="AF106" s="136">
        <f t="shared" si="51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49"/>
        <v>7</v>
      </c>
      <c r="C107" s="137">
        <v>7</v>
      </c>
      <c r="D107" s="136">
        <f t="shared" si="50"/>
        <v>7</v>
      </c>
      <c r="E107" s="136">
        <f t="shared" si="50"/>
        <v>7</v>
      </c>
      <c r="F107" s="136">
        <f t="shared" si="50"/>
        <v>7</v>
      </c>
      <c r="G107" s="136">
        <f t="shared" si="50"/>
        <v>7</v>
      </c>
      <c r="H107" s="136">
        <f t="shared" si="50"/>
        <v>7</v>
      </c>
      <c r="I107" s="136">
        <f t="shared" si="50"/>
        <v>7</v>
      </c>
      <c r="J107" s="136">
        <f t="shared" si="50"/>
        <v>7</v>
      </c>
      <c r="K107" s="136">
        <f t="shared" si="50"/>
        <v>7</v>
      </c>
      <c r="L107" s="136">
        <f t="shared" si="50"/>
        <v>7</v>
      </c>
      <c r="M107" s="136">
        <f t="shared" si="50"/>
        <v>7</v>
      </c>
      <c r="N107" s="136">
        <f t="shared" si="50"/>
        <v>7</v>
      </c>
      <c r="O107" s="136">
        <f t="shared" si="50"/>
        <v>7</v>
      </c>
      <c r="P107" s="136">
        <f t="shared" si="50"/>
        <v>7</v>
      </c>
      <c r="Q107" s="136">
        <f t="shared" si="50"/>
        <v>7</v>
      </c>
      <c r="R107" s="136">
        <f t="shared" si="50"/>
        <v>7</v>
      </c>
      <c r="S107" s="136">
        <f t="shared" si="50"/>
        <v>7</v>
      </c>
      <c r="T107" s="136">
        <f t="shared" si="51"/>
        <v>7</v>
      </c>
      <c r="U107" s="136">
        <f t="shared" si="51"/>
        <v>7</v>
      </c>
      <c r="V107" s="136">
        <f t="shared" si="51"/>
        <v>7</v>
      </c>
      <c r="W107" s="136">
        <f t="shared" si="51"/>
        <v>7</v>
      </c>
      <c r="X107" s="136">
        <f t="shared" si="51"/>
        <v>7</v>
      </c>
      <c r="Y107" s="136">
        <f t="shared" si="51"/>
        <v>7</v>
      </c>
      <c r="Z107" s="136">
        <f t="shared" si="51"/>
        <v>7</v>
      </c>
      <c r="AA107" s="136">
        <f t="shared" si="51"/>
        <v>7</v>
      </c>
      <c r="AB107" s="136">
        <f t="shared" si="51"/>
        <v>7</v>
      </c>
      <c r="AC107" s="136">
        <f t="shared" si="51"/>
        <v>7</v>
      </c>
      <c r="AD107" s="136">
        <f t="shared" si="51"/>
        <v>7</v>
      </c>
      <c r="AE107" s="136">
        <f t="shared" si="51"/>
        <v>7</v>
      </c>
      <c r="AF107" s="136">
        <f t="shared" si="51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52">C109</f>
        <v>2.25</v>
      </c>
      <c r="E109" s="136">
        <f t="shared" si="52"/>
        <v>2.25</v>
      </c>
      <c r="F109" s="136">
        <f t="shared" si="52"/>
        <v>2.25</v>
      </c>
      <c r="G109" s="136">
        <f t="shared" si="52"/>
        <v>2.25</v>
      </c>
      <c r="H109" s="136">
        <f t="shared" si="52"/>
        <v>2.25</v>
      </c>
      <c r="I109" s="136">
        <f t="shared" si="52"/>
        <v>2.25</v>
      </c>
      <c r="J109" s="136">
        <f t="shared" si="52"/>
        <v>2.25</v>
      </c>
      <c r="K109" s="136">
        <f t="shared" si="52"/>
        <v>2.25</v>
      </c>
      <c r="L109" s="136">
        <f t="shared" si="52"/>
        <v>2.25</v>
      </c>
      <c r="M109" s="136">
        <f t="shared" si="52"/>
        <v>2.25</v>
      </c>
      <c r="N109" s="136">
        <f t="shared" si="52"/>
        <v>2.25</v>
      </c>
      <c r="O109" s="136">
        <f t="shared" si="52"/>
        <v>2.25</v>
      </c>
      <c r="P109" s="136">
        <f t="shared" si="52"/>
        <v>2.25</v>
      </c>
      <c r="Q109" s="136">
        <f t="shared" si="52"/>
        <v>2.25</v>
      </c>
      <c r="R109" s="136">
        <f t="shared" si="52"/>
        <v>2.25</v>
      </c>
      <c r="S109" s="136">
        <f t="shared" si="52"/>
        <v>2.25</v>
      </c>
      <c r="T109" s="136">
        <f t="shared" ref="T109:AF110" si="53">S109</f>
        <v>2.25</v>
      </c>
      <c r="U109" s="136">
        <f t="shared" si="53"/>
        <v>2.25</v>
      </c>
      <c r="V109" s="136">
        <f t="shared" si="53"/>
        <v>2.25</v>
      </c>
      <c r="W109" s="136">
        <f t="shared" si="53"/>
        <v>2.25</v>
      </c>
      <c r="X109" s="136">
        <f t="shared" si="53"/>
        <v>2.25</v>
      </c>
      <c r="Y109" s="136">
        <f t="shared" si="53"/>
        <v>2.25</v>
      </c>
      <c r="Z109" s="136">
        <f t="shared" si="53"/>
        <v>2.25</v>
      </c>
      <c r="AA109" s="136">
        <f t="shared" si="53"/>
        <v>2.25</v>
      </c>
      <c r="AB109" s="136">
        <f t="shared" si="53"/>
        <v>2.25</v>
      </c>
      <c r="AC109" s="136">
        <f t="shared" si="53"/>
        <v>2.25</v>
      </c>
      <c r="AD109" s="136">
        <f t="shared" si="53"/>
        <v>2.25</v>
      </c>
      <c r="AE109" s="136">
        <f t="shared" si="53"/>
        <v>2.25</v>
      </c>
      <c r="AF109" s="136">
        <f t="shared" si="53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52"/>
        <v>1.64</v>
      </c>
      <c r="E110" s="136">
        <f t="shared" si="52"/>
        <v>1.64</v>
      </c>
      <c r="F110" s="136">
        <f t="shared" si="52"/>
        <v>1.64</v>
      </c>
      <c r="G110" s="136">
        <f t="shared" si="52"/>
        <v>1.64</v>
      </c>
      <c r="H110" s="136">
        <f t="shared" si="52"/>
        <v>1.64</v>
      </c>
      <c r="I110" s="136">
        <f t="shared" si="52"/>
        <v>1.64</v>
      </c>
      <c r="J110" s="136">
        <f t="shared" si="52"/>
        <v>1.64</v>
      </c>
      <c r="K110" s="136">
        <f t="shared" si="52"/>
        <v>1.64</v>
      </c>
      <c r="L110" s="136">
        <f t="shared" si="52"/>
        <v>1.64</v>
      </c>
      <c r="M110" s="136">
        <f t="shared" si="52"/>
        <v>1.64</v>
      </c>
      <c r="N110" s="136">
        <f t="shared" si="52"/>
        <v>1.64</v>
      </c>
      <c r="O110" s="136">
        <f t="shared" si="52"/>
        <v>1.64</v>
      </c>
      <c r="P110" s="136">
        <f t="shared" si="52"/>
        <v>1.64</v>
      </c>
      <c r="Q110" s="136">
        <f t="shared" si="52"/>
        <v>1.64</v>
      </c>
      <c r="R110" s="136">
        <f t="shared" si="52"/>
        <v>1.64</v>
      </c>
      <c r="S110" s="136">
        <f t="shared" si="52"/>
        <v>1.64</v>
      </c>
      <c r="T110" s="136">
        <f t="shared" si="53"/>
        <v>1.64</v>
      </c>
      <c r="U110" s="136">
        <f t="shared" si="53"/>
        <v>1.64</v>
      </c>
      <c r="V110" s="136">
        <f t="shared" si="53"/>
        <v>1.64</v>
      </c>
      <c r="W110" s="136">
        <f t="shared" si="53"/>
        <v>1.64</v>
      </c>
      <c r="X110" s="136">
        <f t="shared" si="53"/>
        <v>1.64</v>
      </c>
      <c r="Y110" s="136">
        <f t="shared" si="53"/>
        <v>1.64</v>
      </c>
      <c r="Z110" s="136">
        <f t="shared" si="53"/>
        <v>1.64</v>
      </c>
      <c r="AA110" s="136">
        <f t="shared" si="53"/>
        <v>1.64</v>
      </c>
      <c r="AB110" s="136">
        <f t="shared" si="53"/>
        <v>1.64</v>
      </c>
      <c r="AC110" s="136">
        <f t="shared" si="53"/>
        <v>1.64</v>
      </c>
      <c r="AD110" s="136">
        <f t="shared" si="53"/>
        <v>1.64</v>
      </c>
      <c r="AE110" s="136">
        <f t="shared" si="53"/>
        <v>1.64</v>
      </c>
      <c r="AF110" s="136">
        <f t="shared" si="53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54">AF112</f>
        <v>1.62</v>
      </c>
      <c r="C112" s="137">
        <v>1.62</v>
      </c>
      <c r="D112" s="136">
        <f t="shared" ref="D112:S119" si="55">C112</f>
        <v>1.62</v>
      </c>
      <c r="E112" s="136">
        <f t="shared" si="55"/>
        <v>1.62</v>
      </c>
      <c r="F112" s="136">
        <f t="shared" si="55"/>
        <v>1.62</v>
      </c>
      <c r="G112" s="136">
        <f t="shared" si="55"/>
        <v>1.62</v>
      </c>
      <c r="H112" s="136">
        <f t="shared" si="55"/>
        <v>1.62</v>
      </c>
      <c r="I112" s="136">
        <f t="shared" si="55"/>
        <v>1.62</v>
      </c>
      <c r="J112" s="136">
        <f t="shared" si="55"/>
        <v>1.62</v>
      </c>
      <c r="K112" s="136">
        <f t="shared" si="55"/>
        <v>1.62</v>
      </c>
      <c r="L112" s="136">
        <f t="shared" si="55"/>
        <v>1.62</v>
      </c>
      <c r="M112" s="136">
        <f t="shared" si="55"/>
        <v>1.62</v>
      </c>
      <c r="N112" s="136">
        <f t="shared" si="55"/>
        <v>1.62</v>
      </c>
      <c r="O112" s="136">
        <f t="shared" si="55"/>
        <v>1.62</v>
      </c>
      <c r="P112" s="136">
        <f t="shared" si="55"/>
        <v>1.62</v>
      </c>
      <c r="Q112" s="136">
        <f t="shared" si="55"/>
        <v>1.62</v>
      </c>
      <c r="R112" s="136">
        <f t="shared" si="55"/>
        <v>1.62</v>
      </c>
      <c r="S112" s="136">
        <f t="shared" si="55"/>
        <v>1.62</v>
      </c>
      <c r="T112" s="136">
        <f t="shared" ref="T112:AF127" si="56">S112</f>
        <v>1.62</v>
      </c>
      <c r="U112" s="136">
        <f t="shared" si="56"/>
        <v>1.62</v>
      </c>
      <c r="V112" s="136">
        <f t="shared" si="56"/>
        <v>1.62</v>
      </c>
      <c r="W112" s="136">
        <f t="shared" si="56"/>
        <v>1.62</v>
      </c>
      <c r="X112" s="136">
        <f t="shared" si="56"/>
        <v>1.62</v>
      </c>
      <c r="Y112" s="136">
        <f t="shared" si="56"/>
        <v>1.62</v>
      </c>
      <c r="Z112" s="136">
        <f t="shared" si="56"/>
        <v>1.62</v>
      </c>
      <c r="AA112" s="136">
        <f t="shared" si="56"/>
        <v>1.62</v>
      </c>
      <c r="AB112" s="136">
        <f t="shared" si="56"/>
        <v>1.62</v>
      </c>
      <c r="AC112" s="136">
        <f t="shared" si="56"/>
        <v>1.62</v>
      </c>
      <c r="AD112" s="136">
        <f t="shared" si="56"/>
        <v>1.62</v>
      </c>
      <c r="AE112" s="136">
        <f t="shared" si="56"/>
        <v>1.62</v>
      </c>
      <c r="AF112" s="136">
        <f t="shared" si="56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54"/>
        <v>8.36</v>
      </c>
      <c r="C113" s="137">
        <v>8.36</v>
      </c>
      <c r="D113" s="136">
        <f t="shared" si="55"/>
        <v>8.36</v>
      </c>
      <c r="E113" s="136">
        <f t="shared" si="55"/>
        <v>8.36</v>
      </c>
      <c r="F113" s="136">
        <f t="shared" si="55"/>
        <v>8.36</v>
      </c>
      <c r="G113" s="136">
        <f t="shared" si="55"/>
        <v>8.36</v>
      </c>
      <c r="H113" s="136">
        <f t="shared" si="55"/>
        <v>8.36</v>
      </c>
      <c r="I113" s="136">
        <f t="shared" si="55"/>
        <v>8.36</v>
      </c>
      <c r="J113" s="136">
        <f t="shared" si="55"/>
        <v>8.36</v>
      </c>
      <c r="K113" s="136">
        <f t="shared" si="55"/>
        <v>8.36</v>
      </c>
      <c r="L113" s="136">
        <f t="shared" si="55"/>
        <v>8.36</v>
      </c>
      <c r="M113" s="136">
        <f t="shared" si="55"/>
        <v>8.36</v>
      </c>
      <c r="N113" s="136">
        <f t="shared" si="55"/>
        <v>8.36</v>
      </c>
      <c r="O113" s="136">
        <f t="shared" si="55"/>
        <v>8.36</v>
      </c>
      <c r="P113" s="136">
        <f t="shared" si="55"/>
        <v>8.36</v>
      </c>
      <c r="Q113" s="136">
        <f t="shared" si="55"/>
        <v>8.36</v>
      </c>
      <c r="R113" s="136">
        <f t="shared" si="55"/>
        <v>8.36</v>
      </c>
      <c r="S113" s="136">
        <f t="shared" si="55"/>
        <v>8.36</v>
      </c>
      <c r="T113" s="136">
        <f t="shared" si="56"/>
        <v>8.36</v>
      </c>
      <c r="U113" s="136">
        <f t="shared" si="56"/>
        <v>8.36</v>
      </c>
      <c r="V113" s="136">
        <f t="shared" si="56"/>
        <v>8.36</v>
      </c>
      <c r="W113" s="136">
        <f t="shared" si="56"/>
        <v>8.36</v>
      </c>
      <c r="X113" s="136">
        <f t="shared" si="56"/>
        <v>8.36</v>
      </c>
      <c r="Y113" s="136">
        <f t="shared" si="56"/>
        <v>8.36</v>
      </c>
      <c r="Z113" s="136">
        <f t="shared" si="56"/>
        <v>8.36</v>
      </c>
      <c r="AA113" s="136">
        <f t="shared" si="56"/>
        <v>8.36</v>
      </c>
      <c r="AB113" s="136">
        <f t="shared" si="56"/>
        <v>8.36</v>
      </c>
      <c r="AC113" s="136">
        <f t="shared" si="56"/>
        <v>8.36</v>
      </c>
      <c r="AD113" s="136">
        <f t="shared" si="56"/>
        <v>8.36</v>
      </c>
      <c r="AE113" s="136">
        <f t="shared" si="56"/>
        <v>8.36</v>
      </c>
      <c r="AF113" s="136">
        <f t="shared" si="56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54"/>
        <v>5.4</v>
      </c>
      <c r="C114" s="137">
        <v>8</v>
      </c>
      <c r="D114" s="136">
        <f t="shared" si="55"/>
        <v>8</v>
      </c>
      <c r="E114" s="136">
        <f t="shared" si="55"/>
        <v>8</v>
      </c>
      <c r="F114" s="136">
        <f t="shared" si="55"/>
        <v>8</v>
      </c>
      <c r="G114" s="136">
        <f t="shared" si="55"/>
        <v>8</v>
      </c>
      <c r="H114" s="136">
        <f t="shared" si="55"/>
        <v>8</v>
      </c>
      <c r="I114" s="136">
        <f t="shared" si="55"/>
        <v>8</v>
      </c>
      <c r="J114" s="136">
        <v>5.4</v>
      </c>
      <c r="K114" s="136">
        <f t="shared" si="55"/>
        <v>5.4</v>
      </c>
      <c r="L114" s="136">
        <f t="shared" si="55"/>
        <v>5.4</v>
      </c>
      <c r="M114" s="136">
        <f t="shared" si="55"/>
        <v>5.4</v>
      </c>
      <c r="N114" s="136">
        <f t="shared" si="55"/>
        <v>5.4</v>
      </c>
      <c r="O114" s="136">
        <f t="shared" si="55"/>
        <v>5.4</v>
      </c>
      <c r="P114" s="136">
        <f t="shared" si="55"/>
        <v>5.4</v>
      </c>
      <c r="Q114" s="136">
        <f t="shared" si="55"/>
        <v>5.4</v>
      </c>
      <c r="R114" s="136">
        <f t="shared" si="55"/>
        <v>5.4</v>
      </c>
      <c r="S114" s="136">
        <f t="shared" si="55"/>
        <v>5.4</v>
      </c>
      <c r="T114" s="136">
        <f t="shared" si="56"/>
        <v>5.4</v>
      </c>
      <c r="U114" s="136">
        <f t="shared" si="56"/>
        <v>5.4</v>
      </c>
      <c r="V114" s="136">
        <f t="shared" si="56"/>
        <v>5.4</v>
      </c>
      <c r="W114" s="136">
        <f t="shared" si="56"/>
        <v>5.4</v>
      </c>
      <c r="X114" s="136">
        <f t="shared" si="56"/>
        <v>5.4</v>
      </c>
      <c r="Y114" s="136">
        <f t="shared" si="56"/>
        <v>5.4</v>
      </c>
      <c r="Z114" s="136">
        <f t="shared" si="56"/>
        <v>5.4</v>
      </c>
      <c r="AA114" s="136">
        <f t="shared" si="56"/>
        <v>5.4</v>
      </c>
      <c r="AB114" s="136">
        <f t="shared" si="56"/>
        <v>5.4</v>
      </c>
      <c r="AC114" s="136">
        <f t="shared" si="56"/>
        <v>5.4</v>
      </c>
      <c r="AD114" s="136">
        <f t="shared" si="56"/>
        <v>5.4</v>
      </c>
      <c r="AE114" s="136">
        <f t="shared" si="56"/>
        <v>5.4</v>
      </c>
      <c r="AF114" s="136">
        <f t="shared" si="56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54"/>
        <v>6.57</v>
      </c>
      <c r="C115" s="137">
        <v>6.57</v>
      </c>
      <c r="D115" s="136">
        <f t="shared" si="55"/>
        <v>6.57</v>
      </c>
      <c r="E115" s="136">
        <f t="shared" si="55"/>
        <v>6.57</v>
      </c>
      <c r="F115" s="136">
        <f t="shared" si="55"/>
        <v>6.57</v>
      </c>
      <c r="G115" s="136">
        <f t="shared" si="55"/>
        <v>6.57</v>
      </c>
      <c r="H115" s="136">
        <f t="shared" si="55"/>
        <v>6.57</v>
      </c>
      <c r="I115" s="136">
        <f t="shared" si="55"/>
        <v>6.57</v>
      </c>
      <c r="J115" s="136">
        <f t="shared" si="55"/>
        <v>6.57</v>
      </c>
      <c r="K115" s="136">
        <f t="shared" si="55"/>
        <v>6.57</v>
      </c>
      <c r="L115" s="136">
        <f t="shared" si="55"/>
        <v>6.57</v>
      </c>
      <c r="M115" s="136">
        <f t="shared" si="55"/>
        <v>6.57</v>
      </c>
      <c r="N115" s="136">
        <f t="shared" si="55"/>
        <v>6.57</v>
      </c>
      <c r="O115" s="136">
        <f t="shared" si="55"/>
        <v>6.57</v>
      </c>
      <c r="P115" s="136">
        <f t="shared" si="55"/>
        <v>6.57</v>
      </c>
      <c r="Q115" s="136">
        <f t="shared" si="55"/>
        <v>6.57</v>
      </c>
      <c r="R115" s="136">
        <f t="shared" si="55"/>
        <v>6.57</v>
      </c>
      <c r="S115" s="136">
        <f t="shared" si="55"/>
        <v>6.57</v>
      </c>
      <c r="T115" s="136">
        <f t="shared" si="56"/>
        <v>6.57</v>
      </c>
      <c r="U115" s="136">
        <f t="shared" si="56"/>
        <v>6.57</v>
      </c>
      <c r="V115" s="136">
        <f t="shared" si="56"/>
        <v>6.57</v>
      </c>
      <c r="W115" s="136">
        <f t="shared" si="56"/>
        <v>6.57</v>
      </c>
      <c r="X115" s="136">
        <f t="shared" si="56"/>
        <v>6.57</v>
      </c>
      <c r="Y115" s="136">
        <f t="shared" si="56"/>
        <v>6.57</v>
      </c>
      <c r="Z115" s="136">
        <f t="shared" si="56"/>
        <v>6.57</v>
      </c>
      <c r="AA115" s="136">
        <f t="shared" si="56"/>
        <v>6.57</v>
      </c>
      <c r="AB115" s="136">
        <f t="shared" si="56"/>
        <v>6.57</v>
      </c>
      <c r="AC115" s="136">
        <f t="shared" si="56"/>
        <v>6.57</v>
      </c>
      <c r="AD115" s="136">
        <f t="shared" si="56"/>
        <v>6.57</v>
      </c>
      <c r="AE115" s="136">
        <f t="shared" si="56"/>
        <v>6.57</v>
      </c>
      <c r="AF115" s="136">
        <f t="shared" si="56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54"/>
        <v>3.43</v>
      </c>
      <c r="C116" s="137">
        <v>3.43</v>
      </c>
      <c r="D116" s="136">
        <f t="shared" si="55"/>
        <v>3.43</v>
      </c>
      <c r="E116" s="136">
        <f t="shared" si="55"/>
        <v>3.43</v>
      </c>
      <c r="F116" s="136">
        <f t="shared" si="55"/>
        <v>3.43</v>
      </c>
      <c r="G116" s="136">
        <f t="shared" si="55"/>
        <v>3.43</v>
      </c>
      <c r="H116" s="136">
        <f t="shared" si="55"/>
        <v>3.43</v>
      </c>
      <c r="I116" s="136">
        <f t="shared" si="55"/>
        <v>3.43</v>
      </c>
      <c r="J116" s="136">
        <f t="shared" si="55"/>
        <v>3.43</v>
      </c>
      <c r="K116" s="136">
        <f t="shared" si="55"/>
        <v>3.43</v>
      </c>
      <c r="L116" s="136">
        <f t="shared" si="55"/>
        <v>3.43</v>
      </c>
      <c r="M116" s="136">
        <f t="shared" si="55"/>
        <v>3.43</v>
      </c>
      <c r="N116" s="136">
        <f t="shared" si="55"/>
        <v>3.43</v>
      </c>
      <c r="O116" s="136">
        <f t="shared" si="55"/>
        <v>3.43</v>
      </c>
      <c r="P116" s="136">
        <f t="shared" si="55"/>
        <v>3.43</v>
      </c>
      <c r="Q116" s="136">
        <f t="shared" si="55"/>
        <v>3.43</v>
      </c>
      <c r="R116" s="136">
        <f t="shared" si="55"/>
        <v>3.43</v>
      </c>
      <c r="S116" s="136">
        <f t="shared" si="55"/>
        <v>3.43</v>
      </c>
      <c r="T116" s="136">
        <f t="shared" si="56"/>
        <v>3.43</v>
      </c>
      <c r="U116" s="136">
        <f t="shared" si="56"/>
        <v>3.43</v>
      </c>
      <c r="V116" s="136">
        <f t="shared" si="56"/>
        <v>3.43</v>
      </c>
      <c r="W116" s="136">
        <f t="shared" si="56"/>
        <v>3.43</v>
      </c>
      <c r="X116" s="136">
        <f t="shared" si="56"/>
        <v>3.43</v>
      </c>
      <c r="Y116" s="136">
        <f t="shared" si="56"/>
        <v>3.43</v>
      </c>
      <c r="Z116" s="136">
        <f t="shared" si="56"/>
        <v>3.43</v>
      </c>
      <c r="AA116" s="136">
        <f t="shared" si="56"/>
        <v>3.43</v>
      </c>
      <c r="AB116" s="136">
        <f t="shared" si="56"/>
        <v>3.43</v>
      </c>
      <c r="AC116" s="136">
        <f t="shared" si="56"/>
        <v>3.43</v>
      </c>
      <c r="AD116" s="136">
        <f t="shared" si="56"/>
        <v>3.43</v>
      </c>
      <c r="AE116" s="136">
        <f t="shared" si="56"/>
        <v>3.43</v>
      </c>
      <c r="AF116" s="136">
        <f t="shared" si="56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54"/>
        <v>2.96</v>
      </c>
      <c r="C117" s="137">
        <v>2.96</v>
      </c>
      <c r="D117" s="136">
        <f t="shared" si="55"/>
        <v>2.96</v>
      </c>
      <c r="E117" s="136">
        <f t="shared" si="55"/>
        <v>2.96</v>
      </c>
      <c r="F117" s="136">
        <f t="shared" si="55"/>
        <v>2.96</v>
      </c>
      <c r="G117" s="136">
        <f t="shared" si="55"/>
        <v>2.96</v>
      </c>
      <c r="H117" s="136">
        <f t="shared" si="55"/>
        <v>2.96</v>
      </c>
      <c r="I117" s="136">
        <f t="shared" si="55"/>
        <v>2.96</v>
      </c>
      <c r="J117" s="136">
        <f t="shared" si="55"/>
        <v>2.96</v>
      </c>
      <c r="K117" s="136">
        <f t="shared" si="55"/>
        <v>2.96</v>
      </c>
      <c r="L117" s="136">
        <f t="shared" si="55"/>
        <v>2.96</v>
      </c>
      <c r="M117" s="136">
        <f t="shared" si="55"/>
        <v>2.96</v>
      </c>
      <c r="N117" s="136">
        <f t="shared" si="55"/>
        <v>2.96</v>
      </c>
      <c r="O117" s="136">
        <f t="shared" si="55"/>
        <v>2.96</v>
      </c>
      <c r="P117" s="136">
        <f t="shared" si="55"/>
        <v>2.96</v>
      </c>
      <c r="Q117" s="136">
        <f t="shared" si="55"/>
        <v>2.96</v>
      </c>
      <c r="R117" s="136">
        <f t="shared" si="55"/>
        <v>2.96</v>
      </c>
      <c r="S117" s="136">
        <f t="shared" si="55"/>
        <v>2.96</v>
      </c>
      <c r="T117" s="136">
        <f t="shared" si="56"/>
        <v>2.96</v>
      </c>
      <c r="U117" s="136">
        <f t="shared" si="56"/>
        <v>2.96</v>
      </c>
      <c r="V117" s="136">
        <f t="shared" si="56"/>
        <v>2.96</v>
      </c>
      <c r="W117" s="136">
        <f t="shared" si="56"/>
        <v>2.96</v>
      </c>
      <c r="X117" s="136">
        <f t="shared" si="56"/>
        <v>2.96</v>
      </c>
      <c r="Y117" s="136">
        <f t="shared" si="56"/>
        <v>2.96</v>
      </c>
      <c r="Z117" s="136">
        <f t="shared" si="56"/>
        <v>2.96</v>
      </c>
      <c r="AA117" s="136">
        <f t="shared" si="56"/>
        <v>2.96</v>
      </c>
      <c r="AB117" s="136">
        <f t="shared" si="56"/>
        <v>2.96</v>
      </c>
      <c r="AC117" s="136">
        <f t="shared" si="56"/>
        <v>2.96</v>
      </c>
      <c r="AD117" s="136">
        <f t="shared" si="56"/>
        <v>2.96</v>
      </c>
      <c r="AE117" s="136">
        <f t="shared" si="56"/>
        <v>2.96</v>
      </c>
      <c r="AF117" s="136">
        <f t="shared" si="56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54"/>
        <v>8</v>
      </c>
      <c r="C118" s="137">
        <v>8</v>
      </c>
      <c r="D118" s="136">
        <f t="shared" si="55"/>
        <v>8</v>
      </c>
      <c r="E118" s="136">
        <f t="shared" si="55"/>
        <v>8</v>
      </c>
      <c r="F118" s="136">
        <f t="shared" si="55"/>
        <v>8</v>
      </c>
      <c r="G118" s="136">
        <f t="shared" si="55"/>
        <v>8</v>
      </c>
      <c r="H118" s="136">
        <f t="shared" si="55"/>
        <v>8</v>
      </c>
      <c r="I118" s="136">
        <f t="shared" si="55"/>
        <v>8</v>
      </c>
      <c r="J118" s="136">
        <f t="shared" si="55"/>
        <v>8</v>
      </c>
      <c r="K118" s="136">
        <f t="shared" si="55"/>
        <v>8</v>
      </c>
      <c r="L118" s="136">
        <f t="shared" si="55"/>
        <v>8</v>
      </c>
      <c r="M118" s="136">
        <f t="shared" si="55"/>
        <v>8</v>
      </c>
      <c r="N118" s="136">
        <f t="shared" si="55"/>
        <v>8</v>
      </c>
      <c r="O118" s="136">
        <f t="shared" si="55"/>
        <v>8</v>
      </c>
      <c r="P118" s="136">
        <f t="shared" si="55"/>
        <v>8</v>
      </c>
      <c r="Q118" s="136">
        <f t="shared" si="55"/>
        <v>8</v>
      </c>
      <c r="R118" s="136">
        <f t="shared" si="55"/>
        <v>8</v>
      </c>
      <c r="S118" s="136">
        <f t="shared" si="55"/>
        <v>8</v>
      </c>
      <c r="T118" s="136">
        <f t="shared" si="56"/>
        <v>8</v>
      </c>
      <c r="U118" s="136">
        <f t="shared" si="56"/>
        <v>8</v>
      </c>
      <c r="V118" s="136">
        <f t="shared" si="56"/>
        <v>8</v>
      </c>
      <c r="W118" s="136">
        <f t="shared" si="56"/>
        <v>8</v>
      </c>
      <c r="X118" s="136">
        <f t="shared" si="56"/>
        <v>8</v>
      </c>
      <c r="Y118" s="136">
        <f t="shared" si="56"/>
        <v>8</v>
      </c>
      <c r="Z118" s="136">
        <f t="shared" si="56"/>
        <v>8</v>
      </c>
      <c r="AA118" s="136">
        <f t="shared" si="56"/>
        <v>8</v>
      </c>
      <c r="AB118" s="136">
        <f t="shared" si="56"/>
        <v>8</v>
      </c>
      <c r="AC118" s="136">
        <f t="shared" si="56"/>
        <v>8</v>
      </c>
      <c r="AD118" s="136">
        <f t="shared" si="56"/>
        <v>8</v>
      </c>
      <c r="AE118" s="136">
        <f t="shared" si="56"/>
        <v>8</v>
      </c>
      <c r="AF118" s="136">
        <f t="shared" si="56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54"/>
        <v>7</v>
      </c>
      <c r="C119" s="137">
        <v>7</v>
      </c>
      <c r="D119" s="136">
        <f>C119</f>
        <v>7</v>
      </c>
      <c r="E119" s="136">
        <f t="shared" si="55"/>
        <v>7</v>
      </c>
      <c r="F119" s="136">
        <f t="shared" si="55"/>
        <v>7</v>
      </c>
      <c r="G119" s="136">
        <f t="shared" si="55"/>
        <v>7</v>
      </c>
      <c r="H119" s="136">
        <f t="shared" si="55"/>
        <v>7</v>
      </c>
      <c r="I119" s="136">
        <f t="shared" si="55"/>
        <v>7</v>
      </c>
      <c r="J119" s="136">
        <f t="shared" si="55"/>
        <v>7</v>
      </c>
      <c r="K119" s="136">
        <f t="shared" si="55"/>
        <v>7</v>
      </c>
      <c r="L119" s="136">
        <f t="shared" si="55"/>
        <v>7</v>
      </c>
      <c r="M119" s="136">
        <f t="shared" si="55"/>
        <v>7</v>
      </c>
      <c r="N119" s="136">
        <f t="shared" si="55"/>
        <v>7</v>
      </c>
      <c r="O119" s="136">
        <f t="shared" si="55"/>
        <v>7</v>
      </c>
      <c r="P119" s="136">
        <f t="shared" si="55"/>
        <v>7</v>
      </c>
      <c r="Q119" s="136">
        <f t="shared" si="55"/>
        <v>7</v>
      </c>
      <c r="R119" s="136">
        <f t="shared" si="55"/>
        <v>7</v>
      </c>
      <c r="S119" s="136">
        <f t="shared" si="55"/>
        <v>7</v>
      </c>
      <c r="T119" s="136">
        <f t="shared" si="56"/>
        <v>7</v>
      </c>
      <c r="U119" s="136">
        <f t="shared" si="56"/>
        <v>7</v>
      </c>
      <c r="V119" s="136">
        <f t="shared" si="56"/>
        <v>7</v>
      </c>
      <c r="W119" s="136">
        <f t="shared" si="56"/>
        <v>7</v>
      </c>
      <c r="X119" s="136">
        <f t="shared" si="56"/>
        <v>7</v>
      </c>
      <c r="Y119" s="136">
        <f t="shared" si="56"/>
        <v>7</v>
      </c>
      <c r="Z119" s="136">
        <f t="shared" si="56"/>
        <v>7</v>
      </c>
      <c r="AA119" s="136">
        <f t="shared" si="56"/>
        <v>7</v>
      </c>
      <c r="AB119" s="136">
        <f t="shared" si="56"/>
        <v>7</v>
      </c>
      <c r="AC119" s="136">
        <f t="shared" si="56"/>
        <v>7</v>
      </c>
      <c r="AD119" s="136">
        <f t="shared" si="56"/>
        <v>7</v>
      </c>
      <c r="AE119" s="136">
        <f t="shared" si="56"/>
        <v>7</v>
      </c>
      <c r="AF119" s="136">
        <f t="shared" si="56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54"/>
        <v>3.47</v>
      </c>
      <c r="C120" s="137">
        <v>3.47</v>
      </c>
      <c r="D120" s="136">
        <f t="shared" ref="D120:S129" si="57">C120</f>
        <v>3.47</v>
      </c>
      <c r="E120" s="136">
        <f t="shared" si="57"/>
        <v>3.47</v>
      </c>
      <c r="F120" s="136">
        <f t="shared" si="57"/>
        <v>3.47</v>
      </c>
      <c r="G120" s="136">
        <f t="shared" si="57"/>
        <v>3.47</v>
      </c>
      <c r="H120" s="136">
        <f t="shared" si="57"/>
        <v>3.47</v>
      </c>
      <c r="I120" s="136">
        <f t="shared" si="57"/>
        <v>3.47</v>
      </c>
      <c r="J120" s="136">
        <f t="shared" si="57"/>
        <v>3.47</v>
      </c>
      <c r="K120" s="136">
        <f t="shared" si="57"/>
        <v>3.47</v>
      </c>
      <c r="L120" s="136">
        <f t="shared" si="57"/>
        <v>3.47</v>
      </c>
      <c r="M120" s="136">
        <f t="shared" si="57"/>
        <v>3.47</v>
      </c>
      <c r="N120" s="136">
        <f t="shared" si="57"/>
        <v>3.47</v>
      </c>
      <c r="O120" s="136">
        <f t="shared" si="57"/>
        <v>3.47</v>
      </c>
      <c r="P120" s="136">
        <f t="shared" si="57"/>
        <v>3.47</v>
      </c>
      <c r="Q120" s="136">
        <f t="shared" si="57"/>
        <v>3.47</v>
      </c>
      <c r="R120" s="136">
        <f t="shared" si="57"/>
        <v>3.47</v>
      </c>
      <c r="S120" s="136">
        <f t="shared" si="57"/>
        <v>3.47</v>
      </c>
      <c r="T120" s="136">
        <f t="shared" si="56"/>
        <v>3.47</v>
      </c>
      <c r="U120" s="136">
        <f t="shared" si="56"/>
        <v>3.47</v>
      </c>
      <c r="V120" s="136">
        <f t="shared" si="56"/>
        <v>3.47</v>
      </c>
      <c r="W120" s="136">
        <f t="shared" si="56"/>
        <v>3.47</v>
      </c>
      <c r="X120" s="136">
        <f t="shared" si="56"/>
        <v>3.47</v>
      </c>
      <c r="Y120" s="136">
        <f t="shared" si="56"/>
        <v>3.47</v>
      </c>
      <c r="Z120" s="136">
        <f t="shared" si="56"/>
        <v>3.47</v>
      </c>
      <c r="AA120" s="136">
        <f t="shared" si="56"/>
        <v>3.47</v>
      </c>
      <c r="AB120" s="136">
        <f t="shared" si="56"/>
        <v>3.47</v>
      </c>
      <c r="AC120" s="136">
        <f t="shared" si="56"/>
        <v>3.47</v>
      </c>
      <c r="AD120" s="136">
        <f t="shared" si="56"/>
        <v>3.47</v>
      </c>
      <c r="AE120" s="136">
        <f t="shared" si="56"/>
        <v>3.47</v>
      </c>
      <c r="AF120" s="136">
        <f t="shared" si="56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54"/>
        <v>2.1</v>
      </c>
      <c r="C121" s="137">
        <v>2.1</v>
      </c>
      <c r="D121" s="136">
        <f t="shared" si="57"/>
        <v>2.1</v>
      </c>
      <c r="E121" s="136">
        <f t="shared" si="57"/>
        <v>2.1</v>
      </c>
      <c r="F121" s="136">
        <f t="shared" si="57"/>
        <v>2.1</v>
      </c>
      <c r="G121" s="136">
        <f t="shared" si="57"/>
        <v>2.1</v>
      </c>
      <c r="H121" s="136">
        <f t="shared" si="57"/>
        <v>2.1</v>
      </c>
      <c r="I121" s="136">
        <f t="shared" si="57"/>
        <v>2.1</v>
      </c>
      <c r="J121" s="136">
        <f t="shared" si="57"/>
        <v>2.1</v>
      </c>
      <c r="K121" s="136">
        <f t="shared" si="57"/>
        <v>2.1</v>
      </c>
      <c r="L121" s="136">
        <f t="shared" si="57"/>
        <v>2.1</v>
      </c>
      <c r="M121" s="136">
        <f t="shared" si="57"/>
        <v>2.1</v>
      </c>
      <c r="N121" s="136">
        <f t="shared" si="57"/>
        <v>2.1</v>
      </c>
      <c r="O121" s="136">
        <f t="shared" si="57"/>
        <v>2.1</v>
      </c>
      <c r="P121" s="136">
        <f t="shared" si="57"/>
        <v>2.1</v>
      </c>
      <c r="Q121" s="136">
        <f t="shared" si="57"/>
        <v>2.1</v>
      </c>
      <c r="R121" s="136">
        <f t="shared" si="57"/>
        <v>2.1</v>
      </c>
      <c r="S121" s="136">
        <f t="shared" si="57"/>
        <v>2.1</v>
      </c>
      <c r="T121" s="136">
        <f t="shared" si="56"/>
        <v>2.1</v>
      </c>
      <c r="U121" s="136">
        <f t="shared" si="56"/>
        <v>2.1</v>
      </c>
      <c r="V121" s="136">
        <f t="shared" si="56"/>
        <v>2.1</v>
      </c>
      <c r="W121" s="136">
        <f t="shared" si="56"/>
        <v>2.1</v>
      </c>
      <c r="X121" s="136">
        <f t="shared" si="56"/>
        <v>2.1</v>
      </c>
      <c r="Y121" s="136">
        <f t="shared" si="56"/>
        <v>2.1</v>
      </c>
      <c r="Z121" s="136">
        <f t="shared" si="56"/>
        <v>2.1</v>
      </c>
      <c r="AA121" s="136">
        <f t="shared" si="56"/>
        <v>2.1</v>
      </c>
      <c r="AB121" s="136">
        <f t="shared" si="56"/>
        <v>2.1</v>
      </c>
      <c r="AC121" s="136">
        <f t="shared" si="56"/>
        <v>2.1</v>
      </c>
      <c r="AD121" s="136">
        <f t="shared" si="56"/>
        <v>2.1</v>
      </c>
      <c r="AE121" s="136">
        <f t="shared" si="56"/>
        <v>2.1</v>
      </c>
      <c r="AF121" s="136">
        <f t="shared" si="56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54"/>
        <v>9.3000000000000007</v>
      </c>
      <c r="C122" s="137">
        <v>9.3000000000000007</v>
      </c>
      <c r="D122" s="136">
        <f t="shared" si="57"/>
        <v>9.3000000000000007</v>
      </c>
      <c r="E122" s="136">
        <f t="shared" si="57"/>
        <v>9.3000000000000007</v>
      </c>
      <c r="F122" s="136">
        <f t="shared" si="57"/>
        <v>9.3000000000000007</v>
      </c>
      <c r="G122" s="136">
        <f t="shared" si="57"/>
        <v>9.3000000000000007</v>
      </c>
      <c r="H122" s="136">
        <f t="shared" si="57"/>
        <v>9.3000000000000007</v>
      </c>
      <c r="I122" s="136">
        <f t="shared" si="57"/>
        <v>9.3000000000000007</v>
      </c>
      <c r="J122" s="136">
        <f t="shared" si="57"/>
        <v>9.3000000000000007</v>
      </c>
      <c r="K122" s="136">
        <f t="shared" si="57"/>
        <v>9.3000000000000007</v>
      </c>
      <c r="L122" s="136">
        <f t="shared" si="57"/>
        <v>9.3000000000000007</v>
      </c>
      <c r="M122" s="136">
        <f t="shared" si="57"/>
        <v>9.3000000000000007</v>
      </c>
      <c r="N122" s="136">
        <f t="shared" si="57"/>
        <v>9.3000000000000007</v>
      </c>
      <c r="O122" s="136">
        <f t="shared" si="57"/>
        <v>9.3000000000000007</v>
      </c>
      <c r="P122" s="136">
        <f t="shared" si="57"/>
        <v>9.3000000000000007</v>
      </c>
      <c r="Q122" s="136">
        <f t="shared" si="57"/>
        <v>9.3000000000000007</v>
      </c>
      <c r="R122" s="136">
        <f t="shared" si="57"/>
        <v>9.3000000000000007</v>
      </c>
      <c r="S122" s="136">
        <f t="shared" si="57"/>
        <v>9.3000000000000007</v>
      </c>
      <c r="T122" s="136">
        <f t="shared" si="56"/>
        <v>9.3000000000000007</v>
      </c>
      <c r="U122" s="136">
        <f t="shared" si="56"/>
        <v>9.3000000000000007</v>
      </c>
      <c r="V122" s="136">
        <f t="shared" si="56"/>
        <v>9.3000000000000007</v>
      </c>
      <c r="W122" s="136">
        <f t="shared" si="56"/>
        <v>9.3000000000000007</v>
      </c>
      <c r="X122" s="136">
        <f t="shared" si="56"/>
        <v>9.3000000000000007</v>
      </c>
      <c r="Y122" s="136">
        <f t="shared" si="56"/>
        <v>9.3000000000000007</v>
      </c>
      <c r="Z122" s="136">
        <f t="shared" si="56"/>
        <v>9.3000000000000007</v>
      </c>
      <c r="AA122" s="136">
        <f t="shared" si="56"/>
        <v>9.3000000000000007</v>
      </c>
      <c r="AB122" s="136">
        <f t="shared" si="56"/>
        <v>9.3000000000000007</v>
      </c>
      <c r="AC122" s="136">
        <f t="shared" si="56"/>
        <v>9.3000000000000007</v>
      </c>
      <c r="AD122" s="136">
        <f t="shared" si="56"/>
        <v>9.3000000000000007</v>
      </c>
      <c r="AE122" s="136">
        <f t="shared" si="56"/>
        <v>9.3000000000000007</v>
      </c>
      <c r="AF122" s="136">
        <f t="shared" si="56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54"/>
        <v>0</v>
      </c>
      <c r="C123" s="137">
        <v>0</v>
      </c>
      <c r="D123" s="136">
        <f t="shared" si="57"/>
        <v>0</v>
      </c>
      <c r="E123" s="136">
        <f t="shared" si="57"/>
        <v>0</v>
      </c>
      <c r="F123" s="136">
        <f t="shared" si="57"/>
        <v>0</v>
      </c>
      <c r="G123" s="136">
        <f t="shared" si="57"/>
        <v>0</v>
      </c>
      <c r="H123" s="136">
        <f t="shared" si="57"/>
        <v>0</v>
      </c>
      <c r="I123" s="136">
        <f t="shared" si="57"/>
        <v>0</v>
      </c>
      <c r="J123" s="136">
        <f t="shared" si="57"/>
        <v>0</v>
      </c>
      <c r="K123" s="136">
        <f t="shared" si="57"/>
        <v>0</v>
      </c>
      <c r="L123" s="136">
        <f t="shared" si="57"/>
        <v>0</v>
      </c>
      <c r="M123" s="136">
        <f t="shared" si="57"/>
        <v>0</v>
      </c>
      <c r="N123" s="136">
        <f t="shared" si="57"/>
        <v>0</v>
      </c>
      <c r="O123" s="136">
        <f t="shared" si="57"/>
        <v>0</v>
      </c>
      <c r="P123" s="136">
        <f t="shared" si="57"/>
        <v>0</v>
      </c>
      <c r="Q123" s="136">
        <f t="shared" si="57"/>
        <v>0</v>
      </c>
      <c r="R123" s="136">
        <f t="shared" si="57"/>
        <v>0</v>
      </c>
      <c r="S123" s="136">
        <f t="shared" si="57"/>
        <v>0</v>
      </c>
      <c r="T123" s="136">
        <f t="shared" si="56"/>
        <v>0</v>
      </c>
      <c r="U123" s="136">
        <f t="shared" si="56"/>
        <v>0</v>
      </c>
      <c r="V123" s="136">
        <f t="shared" si="56"/>
        <v>0</v>
      </c>
      <c r="W123" s="136">
        <f t="shared" si="56"/>
        <v>0</v>
      </c>
      <c r="X123" s="136">
        <f t="shared" si="56"/>
        <v>0</v>
      </c>
      <c r="Y123" s="136">
        <f t="shared" si="56"/>
        <v>0</v>
      </c>
      <c r="Z123" s="136">
        <f t="shared" si="56"/>
        <v>0</v>
      </c>
      <c r="AA123" s="136">
        <f t="shared" si="56"/>
        <v>0</v>
      </c>
      <c r="AB123" s="136">
        <f t="shared" si="56"/>
        <v>0</v>
      </c>
      <c r="AC123" s="136">
        <f t="shared" si="56"/>
        <v>0</v>
      </c>
      <c r="AD123" s="136">
        <f t="shared" si="56"/>
        <v>0</v>
      </c>
      <c r="AE123" s="136">
        <f t="shared" si="56"/>
        <v>0</v>
      </c>
      <c r="AF123" s="136">
        <f t="shared" si="56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54"/>
        <v>0</v>
      </c>
      <c r="C124" s="137">
        <v>0</v>
      </c>
      <c r="D124" s="136">
        <f t="shared" si="57"/>
        <v>0</v>
      </c>
      <c r="E124" s="136">
        <f t="shared" si="57"/>
        <v>0</v>
      </c>
      <c r="F124" s="136">
        <f t="shared" si="57"/>
        <v>0</v>
      </c>
      <c r="G124" s="136">
        <f t="shared" si="57"/>
        <v>0</v>
      </c>
      <c r="H124" s="136">
        <f t="shared" si="57"/>
        <v>0</v>
      </c>
      <c r="I124" s="136">
        <f t="shared" si="57"/>
        <v>0</v>
      </c>
      <c r="J124" s="136">
        <f t="shared" si="57"/>
        <v>0</v>
      </c>
      <c r="K124" s="136">
        <f t="shared" si="57"/>
        <v>0</v>
      </c>
      <c r="L124" s="136">
        <f t="shared" si="57"/>
        <v>0</v>
      </c>
      <c r="M124" s="136">
        <f t="shared" si="57"/>
        <v>0</v>
      </c>
      <c r="N124" s="136">
        <f t="shared" si="57"/>
        <v>0</v>
      </c>
      <c r="O124" s="136">
        <f t="shared" si="57"/>
        <v>0</v>
      </c>
      <c r="P124" s="136">
        <f t="shared" si="57"/>
        <v>0</v>
      </c>
      <c r="Q124" s="136">
        <f t="shared" si="57"/>
        <v>0</v>
      </c>
      <c r="R124" s="136">
        <f t="shared" si="57"/>
        <v>0</v>
      </c>
      <c r="S124" s="136">
        <f t="shared" si="57"/>
        <v>0</v>
      </c>
      <c r="T124" s="136">
        <f t="shared" si="56"/>
        <v>0</v>
      </c>
      <c r="U124" s="136">
        <f t="shared" si="56"/>
        <v>0</v>
      </c>
      <c r="V124" s="136">
        <f t="shared" si="56"/>
        <v>0</v>
      </c>
      <c r="W124" s="136">
        <f t="shared" si="56"/>
        <v>0</v>
      </c>
      <c r="X124" s="136">
        <f t="shared" si="56"/>
        <v>0</v>
      </c>
      <c r="Y124" s="136">
        <f t="shared" si="56"/>
        <v>0</v>
      </c>
      <c r="Z124" s="136">
        <f t="shared" si="56"/>
        <v>0</v>
      </c>
      <c r="AA124" s="136">
        <f t="shared" si="56"/>
        <v>0</v>
      </c>
      <c r="AB124" s="136">
        <f t="shared" si="56"/>
        <v>0</v>
      </c>
      <c r="AC124" s="136">
        <f t="shared" si="56"/>
        <v>0</v>
      </c>
      <c r="AD124" s="136">
        <f t="shared" si="56"/>
        <v>0</v>
      </c>
      <c r="AE124" s="136">
        <f t="shared" si="56"/>
        <v>0</v>
      </c>
      <c r="AF124" s="136">
        <f t="shared" si="56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54"/>
        <v>5</v>
      </c>
      <c r="C125" s="137">
        <v>5</v>
      </c>
      <c r="D125" s="136">
        <f t="shared" si="57"/>
        <v>5</v>
      </c>
      <c r="E125" s="136">
        <f t="shared" si="57"/>
        <v>5</v>
      </c>
      <c r="F125" s="136">
        <f t="shared" si="57"/>
        <v>5</v>
      </c>
      <c r="G125" s="136">
        <f t="shared" si="57"/>
        <v>5</v>
      </c>
      <c r="H125" s="136">
        <f t="shared" si="57"/>
        <v>5</v>
      </c>
      <c r="I125" s="136">
        <f t="shared" si="57"/>
        <v>5</v>
      </c>
      <c r="J125" s="136">
        <f t="shared" si="57"/>
        <v>5</v>
      </c>
      <c r="K125" s="136">
        <f t="shared" si="57"/>
        <v>5</v>
      </c>
      <c r="L125" s="136">
        <f t="shared" si="57"/>
        <v>5</v>
      </c>
      <c r="M125" s="136">
        <f t="shared" si="57"/>
        <v>5</v>
      </c>
      <c r="N125" s="136">
        <f t="shared" si="57"/>
        <v>5</v>
      </c>
      <c r="O125" s="136">
        <f t="shared" si="57"/>
        <v>5</v>
      </c>
      <c r="P125" s="136">
        <f t="shared" si="57"/>
        <v>5</v>
      </c>
      <c r="Q125" s="136">
        <f t="shared" si="57"/>
        <v>5</v>
      </c>
      <c r="R125" s="136">
        <f t="shared" si="57"/>
        <v>5</v>
      </c>
      <c r="S125" s="136">
        <f t="shared" si="57"/>
        <v>5</v>
      </c>
      <c r="T125" s="136">
        <f t="shared" si="56"/>
        <v>5</v>
      </c>
      <c r="U125" s="136">
        <f t="shared" si="56"/>
        <v>5</v>
      </c>
      <c r="V125" s="136">
        <f t="shared" si="56"/>
        <v>5</v>
      </c>
      <c r="W125" s="136">
        <f t="shared" si="56"/>
        <v>5</v>
      </c>
      <c r="X125" s="136">
        <f t="shared" si="56"/>
        <v>5</v>
      </c>
      <c r="Y125" s="136">
        <f t="shared" si="56"/>
        <v>5</v>
      </c>
      <c r="Z125" s="136">
        <f t="shared" si="56"/>
        <v>5</v>
      </c>
      <c r="AA125" s="136">
        <f t="shared" si="56"/>
        <v>5</v>
      </c>
      <c r="AB125" s="136">
        <f t="shared" si="56"/>
        <v>5</v>
      </c>
      <c r="AC125" s="136">
        <f t="shared" si="56"/>
        <v>5</v>
      </c>
      <c r="AD125" s="136">
        <f t="shared" si="56"/>
        <v>5</v>
      </c>
      <c r="AE125" s="136">
        <f t="shared" si="56"/>
        <v>5</v>
      </c>
      <c r="AF125" s="136">
        <f t="shared" si="56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54"/>
        <v>1</v>
      </c>
      <c r="C126" s="137">
        <v>1</v>
      </c>
      <c r="D126" s="136">
        <f t="shared" si="57"/>
        <v>1</v>
      </c>
      <c r="E126" s="136">
        <f t="shared" si="57"/>
        <v>1</v>
      </c>
      <c r="F126" s="136">
        <f t="shared" si="57"/>
        <v>1</v>
      </c>
      <c r="G126" s="136">
        <f t="shared" si="57"/>
        <v>1</v>
      </c>
      <c r="H126" s="136">
        <f t="shared" si="57"/>
        <v>1</v>
      </c>
      <c r="I126" s="136">
        <f t="shared" si="57"/>
        <v>1</v>
      </c>
      <c r="J126" s="136">
        <f t="shared" si="57"/>
        <v>1</v>
      </c>
      <c r="K126" s="136">
        <f t="shared" si="57"/>
        <v>1</v>
      </c>
      <c r="L126" s="136">
        <f t="shared" si="57"/>
        <v>1</v>
      </c>
      <c r="M126" s="136">
        <f t="shared" si="57"/>
        <v>1</v>
      </c>
      <c r="N126" s="136">
        <f t="shared" si="57"/>
        <v>1</v>
      </c>
      <c r="O126" s="136">
        <f t="shared" si="57"/>
        <v>1</v>
      </c>
      <c r="P126" s="136">
        <f t="shared" si="57"/>
        <v>1</v>
      </c>
      <c r="Q126" s="136">
        <f t="shared" si="57"/>
        <v>1</v>
      </c>
      <c r="R126" s="136">
        <f t="shared" si="57"/>
        <v>1</v>
      </c>
      <c r="S126" s="136">
        <f t="shared" si="57"/>
        <v>1</v>
      </c>
      <c r="T126" s="136">
        <f t="shared" si="56"/>
        <v>1</v>
      </c>
      <c r="U126" s="136">
        <f t="shared" si="56"/>
        <v>1</v>
      </c>
      <c r="V126" s="136">
        <f t="shared" si="56"/>
        <v>1</v>
      </c>
      <c r="W126" s="136">
        <f t="shared" si="56"/>
        <v>1</v>
      </c>
      <c r="X126" s="136">
        <f t="shared" si="56"/>
        <v>1</v>
      </c>
      <c r="Y126" s="136">
        <f t="shared" si="56"/>
        <v>1</v>
      </c>
      <c r="Z126" s="136">
        <f t="shared" si="56"/>
        <v>1</v>
      </c>
      <c r="AA126" s="136">
        <f t="shared" si="56"/>
        <v>1</v>
      </c>
      <c r="AB126" s="136">
        <f t="shared" si="56"/>
        <v>1</v>
      </c>
      <c r="AC126" s="136">
        <f t="shared" si="56"/>
        <v>1</v>
      </c>
      <c r="AD126" s="136">
        <f t="shared" si="56"/>
        <v>1</v>
      </c>
      <c r="AE126" s="136">
        <f t="shared" si="56"/>
        <v>1</v>
      </c>
      <c r="AF126" s="136">
        <f t="shared" si="56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54"/>
        <v>1.58</v>
      </c>
      <c r="C127" s="137">
        <v>1.58</v>
      </c>
      <c r="D127" s="136">
        <f t="shared" si="57"/>
        <v>1.58</v>
      </c>
      <c r="E127" s="136">
        <f t="shared" si="57"/>
        <v>1.58</v>
      </c>
      <c r="F127" s="136">
        <f t="shared" si="57"/>
        <v>1.58</v>
      </c>
      <c r="G127" s="136">
        <f t="shared" si="57"/>
        <v>1.58</v>
      </c>
      <c r="H127" s="136">
        <f t="shared" si="57"/>
        <v>1.58</v>
      </c>
      <c r="I127" s="136">
        <f t="shared" si="57"/>
        <v>1.58</v>
      </c>
      <c r="J127" s="136">
        <f t="shared" si="57"/>
        <v>1.58</v>
      </c>
      <c r="K127" s="136">
        <f t="shared" si="57"/>
        <v>1.58</v>
      </c>
      <c r="L127" s="136">
        <f t="shared" si="57"/>
        <v>1.58</v>
      </c>
      <c r="M127" s="136">
        <f t="shared" si="57"/>
        <v>1.58</v>
      </c>
      <c r="N127" s="136">
        <f t="shared" si="57"/>
        <v>1.58</v>
      </c>
      <c r="O127" s="136">
        <f t="shared" si="57"/>
        <v>1.58</v>
      </c>
      <c r="P127" s="136">
        <f t="shared" si="57"/>
        <v>1.58</v>
      </c>
      <c r="Q127" s="136">
        <f t="shared" si="57"/>
        <v>1.58</v>
      </c>
      <c r="R127" s="136">
        <f t="shared" si="57"/>
        <v>1.58</v>
      </c>
      <c r="S127" s="136">
        <f t="shared" si="57"/>
        <v>1.58</v>
      </c>
      <c r="T127" s="136">
        <f t="shared" si="56"/>
        <v>1.58</v>
      </c>
      <c r="U127" s="136">
        <f t="shared" si="56"/>
        <v>1.58</v>
      </c>
      <c r="V127" s="136">
        <f t="shared" si="56"/>
        <v>1.58</v>
      </c>
      <c r="W127" s="136">
        <f t="shared" si="56"/>
        <v>1.58</v>
      </c>
      <c r="X127" s="136">
        <f t="shared" si="56"/>
        <v>1.58</v>
      </c>
      <c r="Y127" s="136">
        <f t="shared" si="56"/>
        <v>1.58</v>
      </c>
      <c r="Z127" s="136">
        <f t="shared" si="56"/>
        <v>1.58</v>
      </c>
      <c r="AA127" s="136">
        <f t="shared" si="56"/>
        <v>1.58</v>
      </c>
      <c r="AB127" s="136">
        <f t="shared" si="56"/>
        <v>1.58</v>
      </c>
      <c r="AC127" s="136">
        <f t="shared" si="56"/>
        <v>1.58</v>
      </c>
      <c r="AD127" s="136">
        <f t="shared" si="56"/>
        <v>1.58</v>
      </c>
      <c r="AE127" s="136">
        <f t="shared" si="56"/>
        <v>1.58</v>
      </c>
      <c r="AF127" s="136">
        <f t="shared" si="56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54"/>
        <v>1.46</v>
      </c>
      <c r="C128" s="137">
        <v>1.46</v>
      </c>
      <c r="D128" s="136">
        <f t="shared" si="57"/>
        <v>1.46</v>
      </c>
      <c r="E128" s="136">
        <f t="shared" si="57"/>
        <v>1.46</v>
      </c>
      <c r="F128" s="136">
        <f t="shared" si="57"/>
        <v>1.46</v>
      </c>
      <c r="G128" s="136">
        <f t="shared" si="57"/>
        <v>1.46</v>
      </c>
      <c r="H128" s="136">
        <f t="shared" si="57"/>
        <v>1.46</v>
      </c>
      <c r="I128" s="136">
        <f t="shared" si="57"/>
        <v>1.46</v>
      </c>
      <c r="J128" s="136">
        <f t="shared" si="57"/>
        <v>1.46</v>
      </c>
      <c r="K128" s="136">
        <f t="shared" si="57"/>
        <v>1.46</v>
      </c>
      <c r="L128" s="136">
        <f t="shared" si="57"/>
        <v>1.46</v>
      </c>
      <c r="M128" s="136">
        <f t="shared" si="57"/>
        <v>1.46</v>
      </c>
      <c r="N128" s="136">
        <f t="shared" si="57"/>
        <v>1.46</v>
      </c>
      <c r="O128" s="136">
        <f t="shared" si="57"/>
        <v>1.46</v>
      </c>
      <c r="P128" s="136">
        <f t="shared" si="57"/>
        <v>1.46</v>
      </c>
      <c r="Q128" s="136">
        <f t="shared" si="57"/>
        <v>1.46</v>
      </c>
      <c r="R128" s="136">
        <f t="shared" si="57"/>
        <v>1.46</v>
      </c>
      <c r="S128" s="136">
        <f t="shared" si="57"/>
        <v>1.46</v>
      </c>
      <c r="T128" s="136">
        <f t="shared" ref="T128:AF129" si="58">S128</f>
        <v>1.46</v>
      </c>
      <c r="U128" s="136">
        <f t="shared" si="58"/>
        <v>1.46</v>
      </c>
      <c r="V128" s="136">
        <f t="shared" si="58"/>
        <v>1.46</v>
      </c>
      <c r="W128" s="136">
        <f t="shared" si="58"/>
        <v>1.46</v>
      </c>
      <c r="X128" s="136">
        <f t="shared" si="58"/>
        <v>1.46</v>
      </c>
      <c r="Y128" s="136">
        <f t="shared" si="58"/>
        <v>1.46</v>
      </c>
      <c r="Z128" s="136">
        <f t="shared" si="58"/>
        <v>1.46</v>
      </c>
      <c r="AA128" s="136">
        <f t="shared" si="58"/>
        <v>1.46</v>
      </c>
      <c r="AB128" s="136">
        <f t="shared" si="58"/>
        <v>1.46</v>
      </c>
      <c r="AC128" s="136">
        <f t="shared" si="58"/>
        <v>1.46</v>
      </c>
      <c r="AD128" s="136">
        <f t="shared" si="58"/>
        <v>1.46</v>
      </c>
      <c r="AE128" s="136">
        <f t="shared" si="58"/>
        <v>1.46</v>
      </c>
      <c r="AF128" s="136">
        <f t="shared" si="58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54"/>
        <v>1.48</v>
      </c>
      <c r="C129" s="137">
        <v>1.48</v>
      </c>
      <c r="D129" s="136">
        <f t="shared" si="57"/>
        <v>1.48</v>
      </c>
      <c r="E129" s="136">
        <f t="shared" si="57"/>
        <v>1.48</v>
      </c>
      <c r="F129" s="136">
        <f t="shared" si="57"/>
        <v>1.48</v>
      </c>
      <c r="G129" s="136">
        <f t="shared" si="57"/>
        <v>1.48</v>
      </c>
      <c r="H129" s="136">
        <f t="shared" si="57"/>
        <v>1.48</v>
      </c>
      <c r="I129" s="136">
        <f t="shared" si="57"/>
        <v>1.48</v>
      </c>
      <c r="J129" s="136">
        <f t="shared" si="57"/>
        <v>1.48</v>
      </c>
      <c r="K129" s="136">
        <f t="shared" si="57"/>
        <v>1.48</v>
      </c>
      <c r="L129" s="136">
        <f t="shared" si="57"/>
        <v>1.48</v>
      </c>
      <c r="M129" s="136">
        <f t="shared" si="57"/>
        <v>1.48</v>
      </c>
      <c r="N129" s="136">
        <f t="shared" si="57"/>
        <v>1.48</v>
      </c>
      <c r="O129" s="136">
        <f t="shared" si="57"/>
        <v>1.48</v>
      </c>
      <c r="P129" s="136">
        <f t="shared" si="57"/>
        <v>1.48</v>
      </c>
      <c r="Q129" s="136">
        <f t="shared" si="57"/>
        <v>1.48</v>
      </c>
      <c r="R129" s="136">
        <f t="shared" si="57"/>
        <v>1.48</v>
      </c>
      <c r="S129" s="136">
        <f t="shared" si="57"/>
        <v>1.48</v>
      </c>
      <c r="T129" s="136">
        <f t="shared" si="58"/>
        <v>1.48</v>
      </c>
      <c r="U129" s="136">
        <f t="shared" si="58"/>
        <v>1.48</v>
      </c>
      <c r="V129" s="136">
        <f t="shared" si="58"/>
        <v>1.48</v>
      </c>
      <c r="W129" s="136">
        <f t="shared" si="58"/>
        <v>1.48</v>
      </c>
      <c r="X129" s="136">
        <f t="shared" si="58"/>
        <v>1.48</v>
      </c>
      <c r="Y129" s="136">
        <f t="shared" si="58"/>
        <v>1.48</v>
      </c>
      <c r="Z129" s="136">
        <f t="shared" si="58"/>
        <v>1.48</v>
      </c>
      <c r="AA129" s="136">
        <f t="shared" si="58"/>
        <v>1.48</v>
      </c>
      <c r="AB129" s="136">
        <f t="shared" si="58"/>
        <v>1.48</v>
      </c>
      <c r="AC129" s="136">
        <f t="shared" si="58"/>
        <v>1.48</v>
      </c>
      <c r="AD129" s="136">
        <f t="shared" si="58"/>
        <v>1.48</v>
      </c>
      <c r="AE129" s="136">
        <f t="shared" si="58"/>
        <v>1.48</v>
      </c>
      <c r="AF129" s="136">
        <f t="shared" si="58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59">AF131</f>
        <v>2.2000000000000002</v>
      </c>
      <c r="C131" s="137">
        <v>2.2000000000000002</v>
      </c>
      <c r="D131" s="136">
        <f t="shared" ref="D131:S138" si="60">C131</f>
        <v>2.2000000000000002</v>
      </c>
      <c r="E131" s="136">
        <f t="shared" si="60"/>
        <v>2.2000000000000002</v>
      </c>
      <c r="F131" s="136">
        <f t="shared" si="60"/>
        <v>2.2000000000000002</v>
      </c>
      <c r="G131" s="136">
        <f t="shared" si="60"/>
        <v>2.2000000000000002</v>
      </c>
      <c r="H131" s="136">
        <f t="shared" si="60"/>
        <v>2.2000000000000002</v>
      </c>
      <c r="I131" s="136">
        <f t="shared" si="60"/>
        <v>2.2000000000000002</v>
      </c>
      <c r="J131" s="136">
        <f t="shared" si="60"/>
        <v>2.2000000000000002</v>
      </c>
      <c r="K131" s="136">
        <f t="shared" si="60"/>
        <v>2.2000000000000002</v>
      </c>
      <c r="L131" s="136">
        <f t="shared" si="60"/>
        <v>2.2000000000000002</v>
      </c>
      <c r="M131" s="136">
        <f t="shared" si="60"/>
        <v>2.2000000000000002</v>
      </c>
      <c r="N131" s="136">
        <f t="shared" si="60"/>
        <v>2.2000000000000002</v>
      </c>
      <c r="O131" s="136">
        <f t="shared" si="60"/>
        <v>2.2000000000000002</v>
      </c>
      <c r="P131" s="136">
        <f t="shared" si="60"/>
        <v>2.2000000000000002</v>
      </c>
      <c r="Q131" s="136">
        <f t="shared" si="60"/>
        <v>2.2000000000000002</v>
      </c>
      <c r="R131" s="136">
        <f t="shared" si="60"/>
        <v>2.2000000000000002</v>
      </c>
      <c r="S131" s="136">
        <f t="shared" si="60"/>
        <v>2.2000000000000002</v>
      </c>
      <c r="T131" s="136">
        <f t="shared" ref="T131:AF138" si="61">S131</f>
        <v>2.2000000000000002</v>
      </c>
      <c r="U131" s="136">
        <f t="shared" si="61"/>
        <v>2.2000000000000002</v>
      </c>
      <c r="V131" s="136">
        <f t="shared" si="61"/>
        <v>2.2000000000000002</v>
      </c>
      <c r="W131" s="136">
        <f t="shared" si="61"/>
        <v>2.2000000000000002</v>
      </c>
      <c r="X131" s="136">
        <f t="shared" si="61"/>
        <v>2.2000000000000002</v>
      </c>
      <c r="Y131" s="136">
        <f t="shared" si="61"/>
        <v>2.2000000000000002</v>
      </c>
      <c r="Z131" s="136">
        <f t="shared" si="61"/>
        <v>2.2000000000000002</v>
      </c>
      <c r="AA131" s="136">
        <f t="shared" si="61"/>
        <v>2.2000000000000002</v>
      </c>
      <c r="AB131" s="136">
        <f t="shared" si="61"/>
        <v>2.2000000000000002</v>
      </c>
      <c r="AC131" s="136">
        <f t="shared" si="61"/>
        <v>2.2000000000000002</v>
      </c>
      <c r="AD131" s="136">
        <f t="shared" si="61"/>
        <v>2.2000000000000002</v>
      </c>
      <c r="AE131" s="136">
        <f t="shared" si="61"/>
        <v>2.2000000000000002</v>
      </c>
      <c r="AF131" s="136">
        <f t="shared" si="61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59"/>
        <v>2</v>
      </c>
      <c r="C132" s="137">
        <v>2</v>
      </c>
      <c r="D132" s="136">
        <f t="shared" si="60"/>
        <v>2</v>
      </c>
      <c r="E132" s="136">
        <f t="shared" si="60"/>
        <v>2</v>
      </c>
      <c r="F132" s="136">
        <f t="shared" si="60"/>
        <v>2</v>
      </c>
      <c r="G132" s="136">
        <f t="shared" si="60"/>
        <v>2</v>
      </c>
      <c r="H132" s="136">
        <f t="shared" si="60"/>
        <v>2</v>
      </c>
      <c r="I132" s="136">
        <f t="shared" si="60"/>
        <v>2</v>
      </c>
      <c r="J132" s="136">
        <f t="shared" si="60"/>
        <v>2</v>
      </c>
      <c r="K132" s="136">
        <f t="shared" si="60"/>
        <v>2</v>
      </c>
      <c r="L132" s="136">
        <f t="shared" si="60"/>
        <v>2</v>
      </c>
      <c r="M132" s="136">
        <f t="shared" si="60"/>
        <v>2</v>
      </c>
      <c r="N132" s="136">
        <f t="shared" si="60"/>
        <v>2</v>
      </c>
      <c r="O132" s="136">
        <f t="shared" si="60"/>
        <v>2</v>
      </c>
      <c r="P132" s="136">
        <f t="shared" si="60"/>
        <v>2</v>
      </c>
      <c r="Q132" s="136">
        <f t="shared" si="60"/>
        <v>2</v>
      </c>
      <c r="R132" s="136">
        <f t="shared" si="60"/>
        <v>2</v>
      </c>
      <c r="S132" s="136">
        <f t="shared" si="60"/>
        <v>2</v>
      </c>
      <c r="T132" s="136">
        <f t="shared" si="61"/>
        <v>2</v>
      </c>
      <c r="U132" s="136">
        <f t="shared" si="61"/>
        <v>2</v>
      </c>
      <c r="V132" s="136">
        <f t="shared" si="61"/>
        <v>2</v>
      </c>
      <c r="W132" s="136">
        <f t="shared" si="61"/>
        <v>2</v>
      </c>
      <c r="X132" s="136">
        <f t="shared" si="61"/>
        <v>2</v>
      </c>
      <c r="Y132" s="136">
        <f t="shared" si="61"/>
        <v>2</v>
      </c>
      <c r="Z132" s="136">
        <f t="shared" si="61"/>
        <v>2</v>
      </c>
      <c r="AA132" s="136">
        <f t="shared" si="61"/>
        <v>2</v>
      </c>
      <c r="AB132" s="136">
        <f t="shared" si="61"/>
        <v>2</v>
      </c>
      <c r="AC132" s="136">
        <f t="shared" si="61"/>
        <v>2</v>
      </c>
      <c r="AD132" s="136">
        <f t="shared" si="61"/>
        <v>2</v>
      </c>
      <c r="AE132" s="136">
        <f t="shared" si="61"/>
        <v>2</v>
      </c>
      <c r="AF132" s="136">
        <f t="shared" si="61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59"/>
        <v>1.25</v>
      </c>
      <c r="C133" s="137">
        <v>1.25</v>
      </c>
      <c r="D133" s="136">
        <f t="shared" si="60"/>
        <v>1.25</v>
      </c>
      <c r="E133" s="136">
        <f t="shared" si="60"/>
        <v>1.25</v>
      </c>
      <c r="F133" s="136">
        <f t="shared" si="60"/>
        <v>1.25</v>
      </c>
      <c r="G133" s="136">
        <f t="shared" si="60"/>
        <v>1.25</v>
      </c>
      <c r="H133" s="136">
        <f t="shared" si="60"/>
        <v>1.25</v>
      </c>
      <c r="I133" s="136">
        <f t="shared" si="60"/>
        <v>1.25</v>
      </c>
      <c r="J133" s="136">
        <f t="shared" si="60"/>
        <v>1.25</v>
      </c>
      <c r="K133" s="136">
        <f t="shared" si="60"/>
        <v>1.25</v>
      </c>
      <c r="L133" s="136">
        <f t="shared" si="60"/>
        <v>1.25</v>
      </c>
      <c r="M133" s="136">
        <f t="shared" si="60"/>
        <v>1.25</v>
      </c>
      <c r="N133" s="136">
        <f t="shared" si="60"/>
        <v>1.25</v>
      </c>
      <c r="O133" s="136">
        <f t="shared" si="60"/>
        <v>1.25</v>
      </c>
      <c r="P133" s="136">
        <f t="shared" si="60"/>
        <v>1.25</v>
      </c>
      <c r="Q133" s="136">
        <f t="shared" si="60"/>
        <v>1.25</v>
      </c>
      <c r="R133" s="136">
        <f t="shared" si="60"/>
        <v>1.25</v>
      </c>
      <c r="S133" s="136">
        <f t="shared" si="60"/>
        <v>1.25</v>
      </c>
      <c r="T133" s="136">
        <f t="shared" si="61"/>
        <v>1.25</v>
      </c>
      <c r="U133" s="136">
        <f t="shared" si="61"/>
        <v>1.25</v>
      </c>
      <c r="V133" s="136">
        <f t="shared" si="61"/>
        <v>1.25</v>
      </c>
      <c r="W133" s="136">
        <f t="shared" si="61"/>
        <v>1.25</v>
      </c>
      <c r="X133" s="136">
        <f t="shared" si="61"/>
        <v>1.25</v>
      </c>
      <c r="Y133" s="136">
        <f t="shared" si="61"/>
        <v>1.25</v>
      </c>
      <c r="Z133" s="136">
        <f t="shared" si="61"/>
        <v>1.25</v>
      </c>
      <c r="AA133" s="136">
        <f t="shared" si="61"/>
        <v>1.25</v>
      </c>
      <c r="AB133" s="136">
        <f t="shared" si="61"/>
        <v>1.25</v>
      </c>
      <c r="AC133" s="136">
        <f t="shared" si="61"/>
        <v>1.25</v>
      </c>
      <c r="AD133" s="136">
        <f t="shared" si="61"/>
        <v>1.25</v>
      </c>
      <c r="AE133" s="136">
        <f t="shared" si="61"/>
        <v>1.25</v>
      </c>
      <c r="AF133" s="136">
        <f t="shared" si="61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59"/>
        <v>1.1499999999999999</v>
      </c>
      <c r="C134" s="137">
        <v>1.1499999999999999</v>
      </c>
      <c r="D134" s="136">
        <f t="shared" si="60"/>
        <v>1.1499999999999999</v>
      </c>
      <c r="E134" s="136">
        <f t="shared" si="60"/>
        <v>1.1499999999999999</v>
      </c>
      <c r="F134" s="136">
        <f t="shared" si="60"/>
        <v>1.1499999999999999</v>
      </c>
      <c r="G134" s="136">
        <f t="shared" si="60"/>
        <v>1.1499999999999999</v>
      </c>
      <c r="H134" s="136">
        <f t="shared" si="60"/>
        <v>1.1499999999999999</v>
      </c>
      <c r="I134" s="136">
        <f t="shared" si="60"/>
        <v>1.1499999999999999</v>
      </c>
      <c r="J134" s="136">
        <f t="shared" si="60"/>
        <v>1.1499999999999999</v>
      </c>
      <c r="K134" s="136">
        <f t="shared" si="60"/>
        <v>1.1499999999999999</v>
      </c>
      <c r="L134" s="136">
        <f t="shared" si="60"/>
        <v>1.1499999999999999</v>
      </c>
      <c r="M134" s="136">
        <f t="shared" si="60"/>
        <v>1.1499999999999999</v>
      </c>
      <c r="N134" s="136">
        <f t="shared" si="60"/>
        <v>1.1499999999999999</v>
      </c>
      <c r="O134" s="136">
        <f t="shared" si="60"/>
        <v>1.1499999999999999</v>
      </c>
      <c r="P134" s="136">
        <f t="shared" si="60"/>
        <v>1.1499999999999999</v>
      </c>
      <c r="Q134" s="136">
        <f t="shared" si="60"/>
        <v>1.1499999999999999</v>
      </c>
      <c r="R134" s="136">
        <f t="shared" si="60"/>
        <v>1.1499999999999999</v>
      </c>
      <c r="S134" s="136">
        <f t="shared" si="60"/>
        <v>1.1499999999999999</v>
      </c>
      <c r="T134" s="136">
        <f t="shared" si="61"/>
        <v>1.1499999999999999</v>
      </c>
      <c r="U134" s="136">
        <f t="shared" si="61"/>
        <v>1.1499999999999999</v>
      </c>
      <c r="V134" s="136">
        <f t="shared" si="61"/>
        <v>1.1499999999999999</v>
      </c>
      <c r="W134" s="136">
        <f t="shared" si="61"/>
        <v>1.1499999999999999</v>
      </c>
      <c r="X134" s="136">
        <f t="shared" si="61"/>
        <v>1.1499999999999999</v>
      </c>
      <c r="Y134" s="136">
        <f t="shared" si="61"/>
        <v>1.1499999999999999</v>
      </c>
      <c r="Z134" s="136">
        <f t="shared" si="61"/>
        <v>1.1499999999999999</v>
      </c>
      <c r="AA134" s="136">
        <f t="shared" si="61"/>
        <v>1.1499999999999999</v>
      </c>
      <c r="AB134" s="136">
        <f t="shared" si="61"/>
        <v>1.1499999999999999</v>
      </c>
      <c r="AC134" s="136">
        <f t="shared" si="61"/>
        <v>1.1499999999999999</v>
      </c>
      <c r="AD134" s="136">
        <f t="shared" si="61"/>
        <v>1.1499999999999999</v>
      </c>
      <c r="AE134" s="136">
        <f t="shared" si="61"/>
        <v>1.1499999999999999</v>
      </c>
      <c r="AF134" s="136">
        <f t="shared" si="61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59"/>
        <v>2.133</v>
      </c>
      <c r="C135" s="137">
        <v>2.133</v>
      </c>
      <c r="D135" s="136">
        <f t="shared" si="60"/>
        <v>2.133</v>
      </c>
      <c r="E135" s="136">
        <f t="shared" si="60"/>
        <v>2.133</v>
      </c>
      <c r="F135" s="136">
        <f t="shared" si="60"/>
        <v>2.133</v>
      </c>
      <c r="G135" s="136">
        <f t="shared" si="60"/>
        <v>2.133</v>
      </c>
      <c r="H135" s="136">
        <f t="shared" si="60"/>
        <v>2.133</v>
      </c>
      <c r="I135" s="136">
        <f t="shared" si="60"/>
        <v>2.133</v>
      </c>
      <c r="J135" s="136">
        <f t="shared" si="60"/>
        <v>2.133</v>
      </c>
      <c r="K135" s="136">
        <f t="shared" si="60"/>
        <v>2.133</v>
      </c>
      <c r="L135" s="136">
        <f t="shared" si="60"/>
        <v>2.133</v>
      </c>
      <c r="M135" s="136">
        <f t="shared" si="60"/>
        <v>2.133</v>
      </c>
      <c r="N135" s="136">
        <f t="shared" si="60"/>
        <v>2.133</v>
      </c>
      <c r="O135" s="136">
        <f t="shared" si="60"/>
        <v>2.133</v>
      </c>
      <c r="P135" s="136">
        <f t="shared" si="60"/>
        <v>2.133</v>
      </c>
      <c r="Q135" s="136">
        <f t="shared" si="60"/>
        <v>2.133</v>
      </c>
      <c r="R135" s="136">
        <f t="shared" si="60"/>
        <v>2.133</v>
      </c>
      <c r="S135" s="136">
        <f t="shared" si="60"/>
        <v>2.133</v>
      </c>
      <c r="T135" s="136">
        <f t="shared" si="61"/>
        <v>2.133</v>
      </c>
      <c r="U135" s="136">
        <f t="shared" si="61"/>
        <v>2.133</v>
      </c>
      <c r="V135" s="136">
        <f t="shared" si="61"/>
        <v>2.133</v>
      </c>
      <c r="W135" s="136">
        <f t="shared" si="61"/>
        <v>2.133</v>
      </c>
      <c r="X135" s="136">
        <f t="shared" si="61"/>
        <v>2.133</v>
      </c>
      <c r="Y135" s="136">
        <f t="shared" si="61"/>
        <v>2.133</v>
      </c>
      <c r="Z135" s="136">
        <f t="shared" si="61"/>
        <v>2.133</v>
      </c>
      <c r="AA135" s="136">
        <f t="shared" si="61"/>
        <v>2.133</v>
      </c>
      <c r="AB135" s="136">
        <f t="shared" si="61"/>
        <v>2.133</v>
      </c>
      <c r="AC135" s="136">
        <f t="shared" si="61"/>
        <v>2.133</v>
      </c>
      <c r="AD135" s="136">
        <f t="shared" si="61"/>
        <v>2.133</v>
      </c>
      <c r="AE135" s="136">
        <f t="shared" si="61"/>
        <v>2.133</v>
      </c>
      <c r="AF135" s="136">
        <f t="shared" si="61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59"/>
        <v>2.09</v>
      </c>
      <c r="C136" s="137">
        <v>2.09</v>
      </c>
      <c r="D136" s="136">
        <f t="shared" si="60"/>
        <v>2.09</v>
      </c>
      <c r="E136" s="136">
        <f t="shared" si="60"/>
        <v>2.09</v>
      </c>
      <c r="F136" s="136">
        <f t="shared" si="60"/>
        <v>2.09</v>
      </c>
      <c r="G136" s="136">
        <f t="shared" si="60"/>
        <v>2.09</v>
      </c>
      <c r="H136" s="136">
        <f t="shared" si="60"/>
        <v>2.09</v>
      </c>
      <c r="I136" s="136">
        <f t="shared" si="60"/>
        <v>2.09</v>
      </c>
      <c r="J136" s="136">
        <f t="shared" si="60"/>
        <v>2.09</v>
      </c>
      <c r="K136" s="136">
        <f t="shared" si="60"/>
        <v>2.09</v>
      </c>
      <c r="L136" s="136">
        <f t="shared" si="60"/>
        <v>2.09</v>
      </c>
      <c r="M136" s="136">
        <f t="shared" si="60"/>
        <v>2.09</v>
      </c>
      <c r="N136" s="136">
        <f t="shared" si="60"/>
        <v>2.09</v>
      </c>
      <c r="O136" s="136">
        <f t="shared" si="60"/>
        <v>2.09</v>
      </c>
      <c r="P136" s="136">
        <f t="shared" si="60"/>
        <v>2.09</v>
      </c>
      <c r="Q136" s="136">
        <f t="shared" si="60"/>
        <v>2.09</v>
      </c>
      <c r="R136" s="136">
        <f t="shared" si="60"/>
        <v>2.09</v>
      </c>
      <c r="S136" s="136">
        <f t="shared" si="60"/>
        <v>2.09</v>
      </c>
      <c r="T136" s="136">
        <f t="shared" si="61"/>
        <v>2.09</v>
      </c>
      <c r="U136" s="136">
        <f t="shared" si="61"/>
        <v>2.09</v>
      </c>
      <c r="V136" s="136">
        <f t="shared" si="61"/>
        <v>2.09</v>
      </c>
      <c r="W136" s="136">
        <f t="shared" si="61"/>
        <v>2.09</v>
      </c>
      <c r="X136" s="136">
        <f t="shared" si="61"/>
        <v>2.09</v>
      </c>
      <c r="Y136" s="136">
        <f t="shared" si="61"/>
        <v>2.09</v>
      </c>
      <c r="Z136" s="136">
        <f t="shared" si="61"/>
        <v>2.09</v>
      </c>
      <c r="AA136" s="136">
        <f t="shared" si="61"/>
        <v>2.09</v>
      </c>
      <c r="AB136" s="136">
        <f t="shared" si="61"/>
        <v>2.09</v>
      </c>
      <c r="AC136" s="136">
        <f t="shared" si="61"/>
        <v>2.09</v>
      </c>
      <c r="AD136" s="136">
        <f t="shared" si="61"/>
        <v>2.09</v>
      </c>
      <c r="AE136" s="136">
        <f t="shared" si="61"/>
        <v>2.09</v>
      </c>
      <c r="AF136" s="136">
        <f t="shared" si="61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59"/>
        <v>1.1399999999999999</v>
      </c>
      <c r="C137" s="137">
        <v>1.1399999999999999</v>
      </c>
      <c r="D137" s="136">
        <f t="shared" si="60"/>
        <v>1.1399999999999999</v>
      </c>
      <c r="E137" s="136">
        <f t="shared" si="60"/>
        <v>1.1399999999999999</v>
      </c>
      <c r="F137" s="136">
        <f t="shared" si="60"/>
        <v>1.1399999999999999</v>
      </c>
      <c r="G137" s="136">
        <f t="shared" si="60"/>
        <v>1.1399999999999999</v>
      </c>
      <c r="H137" s="136">
        <f t="shared" si="60"/>
        <v>1.1399999999999999</v>
      </c>
      <c r="I137" s="136">
        <f t="shared" si="60"/>
        <v>1.1399999999999999</v>
      </c>
      <c r="J137" s="136">
        <f t="shared" si="60"/>
        <v>1.1399999999999999</v>
      </c>
      <c r="K137" s="136">
        <f t="shared" si="60"/>
        <v>1.1399999999999999</v>
      </c>
      <c r="L137" s="136">
        <f t="shared" si="60"/>
        <v>1.1399999999999999</v>
      </c>
      <c r="M137" s="136">
        <f t="shared" si="60"/>
        <v>1.1399999999999999</v>
      </c>
      <c r="N137" s="136">
        <f t="shared" si="60"/>
        <v>1.1399999999999999</v>
      </c>
      <c r="O137" s="136">
        <f t="shared" si="60"/>
        <v>1.1399999999999999</v>
      </c>
      <c r="P137" s="136">
        <f t="shared" si="60"/>
        <v>1.1399999999999999</v>
      </c>
      <c r="Q137" s="136">
        <f t="shared" si="60"/>
        <v>1.1399999999999999</v>
      </c>
      <c r="R137" s="136">
        <f t="shared" si="60"/>
        <v>1.1399999999999999</v>
      </c>
      <c r="S137" s="136">
        <f t="shared" si="60"/>
        <v>1.1399999999999999</v>
      </c>
      <c r="T137" s="136">
        <f t="shared" si="61"/>
        <v>1.1399999999999999</v>
      </c>
      <c r="U137" s="136">
        <f t="shared" si="61"/>
        <v>1.1399999999999999</v>
      </c>
      <c r="V137" s="136">
        <f t="shared" si="61"/>
        <v>1.1399999999999999</v>
      </c>
      <c r="W137" s="136">
        <f t="shared" si="61"/>
        <v>1.1399999999999999</v>
      </c>
      <c r="X137" s="136">
        <f t="shared" si="61"/>
        <v>1.1399999999999999</v>
      </c>
      <c r="Y137" s="136">
        <f t="shared" si="61"/>
        <v>1.1399999999999999</v>
      </c>
      <c r="Z137" s="136">
        <f t="shared" si="61"/>
        <v>1.1399999999999999</v>
      </c>
      <c r="AA137" s="136">
        <f t="shared" si="61"/>
        <v>1.1399999999999999</v>
      </c>
      <c r="AB137" s="136">
        <f t="shared" si="61"/>
        <v>1.1399999999999999</v>
      </c>
      <c r="AC137" s="136">
        <f t="shared" si="61"/>
        <v>1.1399999999999999</v>
      </c>
      <c r="AD137" s="136">
        <f t="shared" si="61"/>
        <v>1.1399999999999999</v>
      </c>
      <c r="AE137" s="136">
        <f t="shared" si="61"/>
        <v>1.1399999999999999</v>
      </c>
      <c r="AF137" s="136">
        <f t="shared" si="61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59"/>
        <v>0.82</v>
      </c>
      <c r="C138" s="137">
        <v>0.82</v>
      </c>
      <c r="D138" s="136">
        <f t="shared" si="60"/>
        <v>0.82</v>
      </c>
      <c r="E138" s="136">
        <f t="shared" si="60"/>
        <v>0.82</v>
      </c>
      <c r="F138" s="136">
        <f t="shared" si="60"/>
        <v>0.82</v>
      </c>
      <c r="G138" s="136">
        <f t="shared" si="60"/>
        <v>0.82</v>
      </c>
      <c r="H138" s="136">
        <f t="shared" si="60"/>
        <v>0.82</v>
      </c>
      <c r="I138" s="136">
        <f t="shared" si="60"/>
        <v>0.82</v>
      </c>
      <c r="J138" s="136">
        <f t="shared" si="60"/>
        <v>0.82</v>
      </c>
      <c r="K138" s="136">
        <f t="shared" si="60"/>
        <v>0.82</v>
      </c>
      <c r="L138" s="136">
        <f t="shared" si="60"/>
        <v>0.82</v>
      </c>
      <c r="M138" s="136">
        <f t="shared" si="60"/>
        <v>0.82</v>
      </c>
      <c r="N138" s="136">
        <f t="shared" si="60"/>
        <v>0.82</v>
      </c>
      <c r="O138" s="136">
        <f t="shared" si="60"/>
        <v>0.82</v>
      </c>
      <c r="P138" s="136">
        <f t="shared" si="60"/>
        <v>0.82</v>
      </c>
      <c r="Q138" s="136">
        <f t="shared" si="60"/>
        <v>0.82</v>
      </c>
      <c r="R138" s="136">
        <f t="shared" si="60"/>
        <v>0.82</v>
      </c>
      <c r="S138" s="136">
        <f t="shared" si="60"/>
        <v>0.82</v>
      </c>
      <c r="T138" s="136">
        <f t="shared" si="61"/>
        <v>0.82</v>
      </c>
      <c r="U138" s="136">
        <f t="shared" si="61"/>
        <v>0.82</v>
      </c>
      <c r="V138" s="136">
        <f t="shared" si="61"/>
        <v>0.82</v>
      </c>
      <c r="W138" s="136">
        <f t="shared" si="61"/>
        <v>0.82</v>
      </c>
      <c r="X138" s="136">
        <f t="shared" si="61"/>
        <v>0.82</v>
      </c>
      <c r="Y138" s="136">
        <f t="shared" si="61"/>
        <v>0.82</v>
      </c>
      <c r="Z138" s="136">
        <f t="shared" si="61"/>
        <v>0.82</v>
      </c>
      <c r="AA138" s="136">
        <f t="shared" si="61"/>
        <v>0.82</v>
      </c>
      <c r="AB138" s="136">
        <f t="shared" si="61"/>
        <v>0.82</v>
      </c>
      <c r="AC138" s="136">
        <f t="shared" si="61"/>
        <v>0.82</v>
      </c>
      <c r="AD138" s="136">
        <f t="shared" si="61"/>
        <v>0.82</v>
      </c>
      <c r="AE138" s="136">
        <f t="shared" si="61"/>
        <v>0.82</v>
      </c>
      <c r="AF138" s="136">
        <f t="shared" si="61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62">AF140</f>
        <v>2</v>
      </c>
      <c r="C140" s="137">
        <v>2</v>
      </c>
      <c r="D140" s="136">
        <f t="shared" ref="D140:S146" si="63">C140</f>
        <v>2</v>
      </c>
      <c r="E140" s="136">
        <f t="shared" si="63"/>
        <v>2</v>
      </c>
      <c r="F140" s="136">
        <f t="shared" si="63"/>
        <v>2</v>
      </c>
      <c r="G140" s="136">
        <f t="shared" si="63"/>
        <v>2</v>
      </c>
      <c r="H140" s="136">
        <f t="shared" si="63"/>
        <v>2</v>
      </c>
      <c r="I140" s="136">
        <f t="shared" si="63"/>
        <v>2</v>
      </c>
      <c r="J140" s="136">
        <f t="shared" si="63"/>
        <v>2</v>
      </c>
      <c r="K140" s="136">
        <f t="shared" si="63"/>
        <v>2</v>
      </c>
      <c r="L140" s="136">
        <f t="shared" si="63"/>
        <v>2</v>
      </c>
      <c r="M140" s="136">
        <f t="shared" si="63"/>
        <v>2</v>
      </c>
      <c r="N140" s="136">
        <f t="shared" si="63"/>
        <v>2</v>
      </c>
      <c r="O140" s="136">
        <f t="shared" si="63"/>
        <v>2</v>
      </c>
      <c r="P140" s="136">
        <f t="shared" si="63"/>
        <v>2</v>
      </c>
      <c r="Q140" s="136">
        <f t="shared" si="63"/>
        <v>2</v>
      </c>
      <c r="R140" s="136">
        <f t="shared" si="63"/>
        <v>2</v>
      </c>
      <c r="S140" s="136">
        <f t="shared" si="63"/>
        <v>2</v>
      </c>
      <c r="T140" s="136">
        <f t="shared" ref="T140:AF146" si="64">S140</f>
        <v>2</v>
      </c>
      <c r="U140" s="136">
        <f t="shared" si="64"/>
        <v>2</v>
      </c>
      <c r="V140" s="136">
        <f t="shared" si="64"/>
        <v>2</v>
      </c>
      <c r="W140" s="136">
        <f t="shared" si="64"/>
        <v>2</v>
      </c>
      <c r="X140" s="136">
        <f t="shared" si="64"/>
        <v>2</v>
      </c>
      <c r="Y140" s="136">
        <f t="shared" si="64"/>
        <v>2</v>
      </c>
      <c r="Z140" s="136">
        <f t="shared" si="64"/>
        <v>2</v>
      </c>
      <c r="AA140" s="136">
        <f t="shared" si="64"/>
        <v>2</v>
      </c>
      <c r="AB140" s="136">
        <f t="shared" si="64"/>
        <v>2</v>
      </c>
      <c r="AC140" s="136">
        <f t="shared" si="64"/>
        <v>2</v>
      </c>
      <c r="AD140" s="136">
        <f t="shared" si="64"/>
        <v>2</v>
      </c>
      <c r="AE140" s="136">
        <f t="shared" si="64"/>
        <v>2</v>
      </c>
      <c r="AF140" s="136">
        <f t="shared" si="64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62"/>
        <v>5.61</v>
      </c>
      <c r="C141" s="137">
        <v>5.61</v>
      </c>
      <c r="D141" s="136">
        <f t="shared" si="63"/>
        <v>5.61</v>
      </c>
      <c r="E141" s="136">
        <f t="shared" si="63"/>
        <v>5.61</v>
      </c>
      <c r="F141" s="136">
        <f t="shared" si="63"/>
        <v>5.61</v>
      </c>
      <c r="G141" s="136">
        <f t="shared" si="63"/>
        <v>5.61</v>
      </c>
      <c r="H141" s="136">
        <f t="shared" si="63"/>
        <v>5.61</v>
      </c>
      <c r="I141" s="136">
        <f t="shared" si="63"/>
        <v>5.61</v>
      </c>
      <c r="J141" s="136">
        <f t="shared" si="63"/>
        <v>5.61</v>
      </c>
      <c r="K141" s="136">
        <f t="shared" si="63"/>
        <v>5.61</v>
      </c>
      <c r="L141" s="136">
        <f t="shared" si="63"/>
        <v>5.61</v>
      </c>
      <c r="M141" s="136">
        <f t="shared" si="63"/>
        <v>5.61</v>
      </c>
      <c r="N141" s="136">
        <f t="shared" si="63"/>
        <v>5.61</v>
      </c>
      <c r="O141" s="136">
        <f t="shared" si="63"/>
        <v>5.61</v>
      </c>
      <c r="P141" s="136">
        <f t="shared" si="63"/>
        <v>5.61</v>
      </c>
      <c r="Q141" s="136">
        <f t="shared" si="63"/>
        <v>5.61</v>
      </c>
      <c r="R141" s="136">
        <f t="shared" si="63"/>
        <v>5.61</v>
      </c>
      <c r="S141" s="136">
        <f t="shared" si="63"/>
        <v>5.61</v>
      </c>
      <c r="T141" s="136">
        <f t="shared" si="64"/>
        <v>5.61</v>
      </c>
      <c r="U141" s="136">
        <f t="shared" si="64"/>
        <v>5.61</v>
      </c>
      <c r="V141" s="136">
        <f t="shared" si="64"/>
        <v>5.61</v>
      </c>
      <c r="W141" s="136">
        <f t="shared" si="64"/>
        <v>5.61</v>
      </c>
      <c r="X141" s="136">
        <f t="shared" si="64"/>
        <v>5.61</v>
      </c>
      <c r="Y141" s="136">
        <f t="shared" si="64"/>
        <v>5.61</v>
      </c>
      <c r="Z141" s="136">
        <f t="shared" si="64"/>
        <v>5.61</v>
      </c>
      <c r="AA141" s="136">
        <f t="shared" si="64"/>
        <v>5.61</v>
      </c>
      <c r="AB141" s="136">
        <f t="shared" si="64"/>
        <v>5.61</v>
      </c>
      <c r="AC141" s="136">
        <f t="shared" si="64"/>
        <v>5.61</v>
      </c>
      <c r="AD141" s="136">
        <f t="shared" si="64"/>
        <v>5.61</v>
      </c>
      <c r="AE141" s="136">
        <f t="shared" si="64"/>
        <v>5.61</v>
      </c>
      <c r="AF141" s="136">
        <f t="shared" si="64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62"/>
        <v>1.25</v>
      </c>
      <c r="C142" s="137">
        <v>1.25</v>
      </c>
      <c r="D142" s="136">
        <f t="shared" si="63"/>
        <v>1.25</v>
      </c>
      <c r="E142" s="136">
        <f t="shared" si="63"/>
        <v>1.25</v>
      </c>
      <c r="F142" s="136">
        <f t="shared" si="63"/>
        <v>1.25</v>
      </c>
      <c r="G142" s="136">
        <f t="shared" si="63"/>
        <v>1.25</v>
      </c>
      <c r="H142" s="136">
        <f t="shared" si="63"/>
        <v>1.25</v>
      </c>
      <c r="I142" s="136">
        <f t="shared" si="63"/>
        <v>1.25</v>
      </c>
      <c r="J142" s="136">
        <f t="shared" si="63"/>
        <v>1.25</v>
      </c>
      <c r="K142" s="136">
        <f t="shared" si="63"/>
        <v>1.25</v>
      </c>
      <c r="L142" s="136">
        <f t="shared" si="63"/>
        <v>1.25</v>
      </c>
      <c r="M142" s="136">
        <f t="shared" si="63"/>
        <v>1.25</v>
      </c>
      <c r="N142" s="136">
        <f t="shared" si="63"/>
        <v>1.25</v>
      </c>
      <c r="O142" s="136">
        <f t="shared" si="63"/>
        <v>1.25</v>
      </c>
      <c r="P142" s="136">
        <f t="shared" si="63"/>
        <v>1.25</v>
      </c>
      <c r="Q142" s="136">
        <f t="shared" si="63"/>
        <v>1.25</v>
      </c>
      <c r="R142" s="136">
        <f t="shared" si="63"/>
        <v>1.25</v>
      </c>
      <c r="S142" s="136">
        <f t="shared" si="63"/>
        <v>1.25</v>
      </c>
      <c r="T142" s="136">
        <f t="shared" si="64"/>
        <v>1.25</v>
      </c>
      <c r="U142" s="136">
        <f t="shared" si="64"/>
        <v>1.25</v>
      </c>
      <c r="V142" s="136">
        <f t="shared" si="64"/>
        <v>1.25</v>
      </c>
      <c r="W142" s="136">
        <f t="shared" si="64"/>
        <v>1.25</v>
      </c>
      <c r="X142" s="136">
        <f t="shared" si="64"/>
        <v>1.25</v>
      </c>
      <c r="Y142" s="136">
        <f t="shared" si="64"/>
        <v>1.25</v>
      </c>
      <c r="Z142" s="136">
        <f t="shared" si="64"/>
        <v>1.25</v>
      </c>
      <c r="AA142" s="136">
        <f t="shared" si="64"/>
        <v>1.25</v>
      </c>
      <c r="AB142" s="136">
        <f t="shared" si="64"/>
        <v>1.25</v>
      </c>
      <c r="AC142" s="136">
        <f t="shared" si="64"/>
        <v>1.25</v>
      </c>
      <c r="AD142" s="136">
        <f t="shared" si="64"/>
        <v>1.25</v>
      </c>
      <c r="AE142" s="136">
        <f t="shared" si="64"/>
        <v>1.25</v>
      </c>
      <c r="AF142" s="136">
        <f t="shared" si="64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62"/>
        <v>1.25</v>
      </c>
      <c r="C143" s="137">
        <v>1.25</v>
      </c>
      <c r="D143" s="136">
        <f t="shared" si="63"/>
        <v>1.25</v>
      </c>
      <c r="E143" s="136">
        <f t="shared" si="63"/>
        <v>1.25</v>
      </c>
      <c r="F143" s="136">
        <f t="shared" si="63"/>
        <v>1.25</v>
      </c>
      <c r="G143" s="136">
        <f t="shared" si="63"/>
        <v>1.25</v>
      </c>
      <c r="H143" s="136">
        <f t="shared" si="63"/>
        <v>1.25</v>
      </c>
      <c r="I143" s="136">
        <f t="shared" si="63"/>
        <v>1.25</v>
      </c>
      <c r="J143" s="136">
        <f t="shared" si="63"/>
        <v>1.25</v>
      </c>
      <c r="K143" s="136">
        <f t="shared" si="63"/>
        <v>1.25</v>
      </c>
      <c r="L143" s="136">
        <f t="shared" si="63"/>
        <v>1.25</v>
      </c>
      <c r="M143" s="136">
        <f t="shared" si="63"/>
        <v>1.25</v>
      </c>
      <c r="N143" s="136">
        <f t="shared" si="63"/>
        <v>1.25</v>
      </c>
      <c r="O143" s="136">
        <f t="shared" si="63"/>
        <v>1.25</v>
      </c>
      <c r="P143" s="136">
        <f t="shared" si="63"/>
        <v>1.25</v>
      </c>
      <c r="Q143" s="136">
        <f t="shared" si="63"/>
        <v>1.25</v>
      </c>
      <c r="R143" s="136">
        <f t="shared" si="63"/>
        <v>1.25</v>
      </c>
      <c r="S143" s="136">
        <f t="shared" si="63"/>
        <v>1.25</v>
      </c>
      <c r="T143" s="136">
        <f t="shared" si="64"/>
        <v>1.25</v>
      </c>
      <c r="U143" s="136">
        <f t="shared" si="64"/>
        <v>1.25</v>
      </c>
      <c r="V143" s="136">
        <f t="shared" si="64"/>
        <v>1.25</v>
      </c>
      <c r="W143" s="136">
        <f t="shared" si="64"/>
        <v>1.25</v>
      </c>
      <c r="X143" s="136">
        <f t="shared" si="64"/>
        <v>1.25</v>
      </c>
      <c r="Y143" s="136">
        <f t="shared" si="64"/>
        <v>1.25</v>
      </c>
      <c r="Z143" s="136">
        <f t="shared" si="64"/>
        <v>1.25</v>
      </c>
      <c r="AA143" s="136">
        <f t="shared" si="64"/>
        <v>1.25</v>
      </c>
      <c r="AB143" s="136">
        <f t="shared" si="64"/>
        <v>1.25</v>
      </c>
      <c r="AC143" s="136">
        <f t="shared" si="64"/>
        <v>1.25</v>
      </c>
      <c r="AD143" s="136">
        <f t="shared" si="64"/>
        <v>1.25</v>
      </c>
      <c r="AE143" s="136">
        <f t="shared" si="64"/>
        <v>1.25</v>
      </c>
      <c r="AF143" s="136">
        <f t="shared" si="64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62"/>
        <v>1.46</v>
      </c>
      <c r="C144" s="137">
        <v>1.46</v>
      </c>
      <c r="D144" s="136">
        <f t="shared" si="63"/>
        <v>1.46</v>
      </c>
      <c r="E144" s="136">
        <f t="shared" si="63"/>
        <v>1.46</v>
      </c>
      <c r="F144" s="136">
        <f t="shared" si="63"/>
        <v>1.46</v>
      </c>
      <c r="G144" s="136">
        <f t="shared" si="63"/>
        <v>1.46</v>
      </c>
      <c r="H144" s="136">
        <f t="shared" si="63"/>
        <v>1.46</v>
      </c>
      <c r="I144" s="136">
        <f t="shared" si="63"/>
        <v>1.46</v>
      </c>
      <c r="J144" s="136">
        <f t="shared" si="63"/>
        <v>1.46</v>
      </c>
      <c r="K144" s="136">
        <f t="shared" si="63"/>
        <v>1.46</v>
      </c>
      <c r="L144" s="136">
        <f t="shared" si="63"/>
        <v>1.46</v>
      </c>
      <c r="M144" s="136">
        <f t="shared" si="63"/>
        <v>1.46</v>
      </c>
      <c r="N144" s="136">
        <f t="shared" si="63"/>
        <v>1.46</v>
      </c>
      <c r="O144" s="136">
        <f t="shared" si="63"/>
        <v>1.46</v>
      </c>
      <c r="P144" s="136">
        <f t="shared" si="63"/>
        <v>1.46</v>
      </c>
      <c r="Q144" s="136">
        <f t="shared" si="63"/>
        <v>1.46</v>
      </c>
      <c r="R144" s="136">
        <f t="shared" si="63"/>
        <v>1.46</v>
      </c>
      <c r="S144" s="136">
        <f t="shared" si="63"/>
        <v>1.46</v>
      </c>
      <c r="T144" s="136">
        <f t="shared" si="64"/>
        <v>1.46</v>
      </c>
      <c r="U144" s="136">
        <f t="shared" si="64"/>
        <v>1.46</v>
      </c>
      <c r="V144" s="136">
        <f t="shared" si="64"/>
        <v>1.46</v>
      </c>
      <c r="W144" s="136">
        <f t="shared" si="64"/>
        <v>1.46</v>
      </c>
      <c r="X144" s="136">
        <f t="shared" si="64"/>
        <v>1.46</v>
      </c>
      <c r="Y144" s="136">
        <f t="shared" si="64"/>
        <v>1.46</v>
      </c>
      <c r="Z144" s="136">
        <f t="shared" si="64"/>
        <v>1.46</v>
      </c>
      <c r="AA144" s="136">
        <f t="shared" si="64"/>
        <v>1.46</v>
      </c>
      <c r="AB144" s="136">
        <f t="shared" si="64"/>
        <v>1.46</v>
      </c>
      <c r="AC144" s="136">
        <f t="shared" si="64"/>
        <v>1.46</v>
      </c>
      <c r="AD144" s="136">
        <f t="shared" si="64"/>
        <v>1.46</v>
      </c>
      <c r="AE144" s="136">
        <f t="shared" si="64"/>
        <v>1.46</v>
      </c>
      <c r="AF144" s="136">
        <f t="shared" si="64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62"/>
        <v>3</v>
      </c>
      <c r="C145" s="137">
        <v>3</v>
      </c>
      <c r="D145" s="136">
        <f t="shared" si="63"/>
        <v>3</v>
      </c>
      <c r="E145" s="136">
        <f t="shared" si="63"/>
        <v>3</v>
      </c>
      <c r="F145" s="136">
        <f t="shared" si="63"/>
        <v>3</v>
      </c>
      <c r="G145" s="136">
        <f t="shared" si="63"/>
        <v>3</v>
      </c>
      <c r="H145" s="136">
        <f t="shared" si="63"/>
        <v>3</v>
      </c>
      <c r="I145" s="136">
        <f t="shared" si="63"/>
        <v>3</v>
      </c>
      <c r="J145" s="136">
        <f t="shared" si="63"/>
        <v>3</v>
      </c>
      <c r="K145" s="136">
        <f t="shared" si="63"/>
        <v>3</v>
      </c>
      <c r="L145" s="136">
        <f t="shared" si="63"/>
        <v>3</v>
      </c>
      <c r="M145" s="136">
        <f t="shared" si="63"/>
        <v>3</v>
      </c>
      <c r="N145" s="136">
        <f t="shared" si="63"/>
        <v>3</v>
      </c>
      <c r="O145" s="136">
        <f t="shared" si="63"/>
        <v>3</v>
      </c>
      <c r="P145" s="136">
        <f t="shared" si="63"/>
        <v>3</v>
      </c>
      <c r="Q145" s="136">
        <f t="shared" si="63"/>
        <v>3</v>
      </c>
      <c r="R145" s="136">
        <f t="shared" si="63"/>
        <v>3</v>
      </c>
      <c r="S145" s="136">
        <f t="shared" si="63"/>
        <v>3</v>
      </c>
      <c r="T145" s="136">
        <f t="shared" si="64"/>
        <v>3</v>
      </c>
      <c r="U145" s="136">
        <f t="shared" si="64"/>
        <v>3</v>
      </c>
      <c r="V145" s="136">
        <f t="shared" si="64"/>
        <v>3</v>
      </c>
      <c r="W145" s="136">
        <f t="shared" si="64"/>
        <v>3</v>
      </c>
      <c r="X145" s="136">
        <f t="shared" si="64"/>
        <v>3</v>
      </c>
      <c r="Y145" s="136">
        <f t="shared" si="64"/>
        <v>3</v>
      </c>
      <c r="Z145" s="136">
        <f t="shared" si="64"/>
        <v>3</v>
      </c>
      <c r="AA145" s="136">
        <f t="shared" si="64"/>
        <v>3</v>
      </c>
      <c r="AB145" s="136">
        <f t="shared" si="64"/>
        <v>3</v>
      </c>
      <c r="AC145" s="136">
        <f t="shared" si="64"/>
        <v>3</v>
      </c>
      <c r="AD145" s="136">
        <f t="shared" si="64"/>
        <v>3</v>
      </c>
      <c r="AE145" s="136">
        <f t="shared" si="64"/>
        <v>3</v>
      </c>
      <c r="AF145" s="136">
        <f t="shared" si="64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62"/>
        <v>3.3</v>
      </c>
      <c r="C146" s="137">
        <v>3.3</v>
      </c>
      <c r="D146" s="136">
        <f t="shared" si="63"/>
        <v>3.3</v>
      </c>
      <c r="E146" s="136">
        <f t="shared" si="63"/>
        <v>3.3</v>
      </c>
      <c r="F146" s="136">
        <f t="shared" si="63"/>
        <v>3.3</v>
      </c>
      <c r="G146" s="136">
        <f t="shared" si="63"/>
        <v>3.3</v>
      </c>
      <c r="H146" s="136">
        <f t="shared" si="63"/>
        <v>3.3</v>
      </c>
      <c r="I146" s="136">
        <f t="shared" si="63"/>
        <v>3.3</v>
      </c>
      <c r="J146" s="136">
        <f t="shared" si="63"/>
        <v>3.3</v>
      </c>
      <c r="K146" s="136">
        <f t="shared" si="63"/>
        <v>3.3</v>
      </c>
      <c r="L146" s="136">
        <f t="shared" si="63"/>
        <v>3.3</v>
      </c>
      <c r="M146" s="136">
        <f t="shared" si="63"/>
        <v>3.3</v>
      </c>
      <c r="N146" s="136">
        <f t="shared" si="63"/>
        <v>3.3</v>
      </c>
      <c r="O146" s="136">
        <f t="shared" si="63"/>
        <v>3.3</v>
      </c>
      <c r="P146" s="136">
        <f t="shared" si="63"/>
        <v>3.3</v>
      </c>
      <c r="Q146" s="136">
        <f t="shared" si="63"/>
        <v>3.3</v>
      </c>
      <c r="R146" s="136">
        <f t="shared" si="63"/>
        <v>3.3</v>
      </c>
      <c r="S146" s="136">
        <f t="shared" si="63"/>
        <v>3.3</v>
      </c>
      <c r="T146" s="136">
        <f t="shared" si="64"/>
        <v>3.3</v>
      </c>
      <c r="U146" s="136">
        <f t="shared" si="64"/>
        <v>3.3</v>
      </c>
      <c r="V146" s="136">
        <f t="shared" si="64"/>
        <v>3.3</v>
      </c>
      <c r="W146" s="136">
        <f t="shared" si="64"/>
        <v>3.3</v>
      </c>
      <c r="X146" s="136">
        <f t="shared" si="64"/>
        <v>3.3</v>
      </c>
      <c r="Y146" s="136">
        <f t="shared" si="64"/>
        <v>3.3</v>
      </c>
      <c r="Z146" s="136">
        <f t="shared" si="64"/>
        <v>3.3</v>
      </c>
      <c r="AA146" s="136">
        <f t="shared" si="64"/>
        <v>3.3</v>
      </c>
      <c r="AB146" s="136">
        <f t="shared" si="64"/>
        <v>3.3</v>
      </c>
      <c r="AC146" s="136">
        <f t="shared" si="64"/>
        <v>3.3</v>
      </c>
      <c r="AD146" s="136">
        <f t="shared" si="64"/>
        <v>3.3</v>
      </c>
      <c r="AE146" s="136">
        <f t="shared" si="64"/>
        <v>3.3</v>
      </c>
      <c r="AF146" s="136">
        <f t="shared" si="64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65">C148</f>
        <v>1.76</v>
      </c>
      <c r="E148" s="136">
        <f t="shared" si="65"/>
        <v>1.76</v>
      </c>
      <c r="F148" s="136">
        <f t="shared" si="65"/>
        <v>1.76</v>
      </c>
      <c r="G148" s="136">
        <f t="shared" si="65"/>
        <v>1.76</v>
      </c>
      <c r="H148" s="136">
        <f t="shared" si="65"/>
        <v>1.76</v>
      </c>
      <c r="I148" s="136">
        <f t="shared" si="65"/>
        <v>1.76</v>
      </c>
      <c r="J148" s="136">
        <f t="shared" si="65"/>
        <v>1.76</v>
      </c>
      <c r="K148" s="136">
        <f t="shared" si="65"/>
        <v>1.76</v>
      </c>
      <c r="L148" s="136">
        <f t="shared" si="65"/>
        <v>1.76</v>
      </c>
      <c r="M148" s="136">
        <f t="shared" si="65"/>
        <v>1.76</v>
      </c>
      <c r="N148" s="136">
        <f t="shared" si="65"/>
        <v>1.76</v>
      </c>
      <c r="O148" s="136">
        <f t="shared" si="65"/>
        <v>1.76</v>
      </c>
      <c r="P148" s="136">
        <f t="shared" si="65"/>
        <v>1.76</v>
      </c>
      <c r="Q148" s="136">
        <f t="shared" si="65"/>
        <v>1.76</v>
      </c>
      <c r="R148" s="136">
        <f t="shared" si="65"/>
        <v>1.76</v>
      </c>
      <c r="S148" s="136">
        <f t="shared" si="65"/>
        <v>1.76</v>
      </c>
      <c r="T148" s="136">
        <f t="shared" ref="T148:AF149" si="66">S148</f>
        <v>1.76</v>
      </c>
      <c r="U148" s="136">
        <f t="shared" si="66"/>
        <v>1.76</v>
      </c>
      <c r="V148" s="136">
        <f t="shared" si="66"/>
        <v>1.76</v>
      </c>
      <c r="W148" s="136">
        <f t="shared" si="66"/>
        <v>1.76</v>
      </c>
      <c r="X148" s="136">
        <f t="shared" si="66"/>
        <v>1.76</v>
      </c>
      <c r="Y148" s="136">
        <f t="shared" si="66"/>
        <v>1.76</v>
      </c>
      <c r="Z148" s="136">
        <f t="shared" si="66"/>
        <v>1.76</v>
      </c>
      <c r="AA148" s="136">
        <f t="shared" si="66"/>
        <v>1.76</v>
      </c>
      <c r="AB148" s="136">
        <f t="shared" si="66"/>
        <v>1.76</v>
      </c>
      <c r="AC148" s="136">
        <f t="shared" si="66"/>
        <v>1.76</v>
      </c>
      <c r="AD148" s="136">
        <f t="shared" si="66"/>
        <v>1.76</v>
      </c>
      <c r="AE148" s="136">
        <f t="shared" si="66"/>
        <v>1.76</v>
      </c>
      <c r="AF148" s="136">
        <f t="shared" si="66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65"/>
        <v>0</v>
      </c>
      <c r="E149" s="136">
        <f t="shared" si="65"/>
        <v>0</v>
      </c>
      <c r="F149" s="136">
        <f t="shared" si="65"/>
        <v>0</v>
      </c>
      <c r="G149" s="136">
        <f t="shared" si="65"/>
        <v>0</v>
      </c>
      <c r="H149" s="136">
        <f t="shared" si="65"/>
        <v>0</v>
      </c>
      <c r="I149" s="136">
        <f t="shared" si="65"/>
        <v>0</v>
      </c>
      <c r="J149" s="136">
        <f t="shared" si="65"/>
        <v>0</v>
      </c>
      <c r="K149" s="136">
        <f t="shared" si="65"/>
        <v>0</v>
      </c>
      <c r="L149" s="136">
        <f t="shared" si="65"/>
        <v>0</v>
      </c>
      <c r="M149" s="136">
        <f t="shared" si="65"/>
        <v>0</v>
      </c>
      <c r="N149" s="136">
        <f t="shared" si="65"/>
        <v>0</v>
      </c>
      <c r="O149" s="136">
        <f t="shared" si="65"/>
        <v>0</v>
      </c>
      <c r="P149" s="136">
        <f t="shared" si="65"/>
        <v>0</v>
      </c>
      <c r="Q149" s="136">
        <f t="shared" si="65"/>
        <v>0</v>
      </c>
      <c r="R149" s="136">
        <f t="shared" si="65"/>
        <v>0</v>
      </c>
      <c r="S149" s="136">
        <f t="shared" si="65"/>
        <v>0</v>
      </c>
      <c r="T149" s="136">
        <f t="shared" si="66"/>
        <v>0</v>
      </c>
      <c r="U149" s="136">
        <f t="shared" si="66"/>
        <v>0</v>
      </c>
      <c r="V149" s="136">
        <f t="shared" si="66"/>
        <v>0</v>
      </c>
      <c r="W149" s="136">
        <f t="shared" si="66"/>
        <v>0</v>
      </c>
      <c r="X149" s="136">
        <f t="shared" si="66"/>
        <v>0</v>
      </c>
      <c r="Y149" s="136">
        <f t="shared" si="66"/>
        <v>0</v>
      </c>
      <c r="Z149" s="136">
        <f t="shared" si="66"/>
        <v>0</v>
      </c>
      <c r="AA149" s="136">
        <f t="shared" si="66"/>
        <v>0</v>
      </c>
      <c r="AB149" s="136">
        <f t="shared" si="66"/>
        <v>0</v>
      </c>
      <c r="AC149" s="136">
        <f t="shared" si="66"/>
        <v>0</v>
      </c>
      <c r="AD149" s="136">
        <f t="shared" si="66"/>
        <v>0</v>
      </c>
      <c r="AE149" s="136">
        <f t="shared" si="66"/>
        <v>0</v>
      </c>
      <c r="AF149" s="136">
        <f t="shared" si="66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67">C151</f>
        <v>0.1</v>
      </c>
      <c r="E151" s="136">
        <f t="shared" si="67"/>
        <v>0.1</v>
      </c>
      <c r="F151" s="136">
        <f t="shared" si="67"/>
        <v>0.1</v>
      </c>
      <c r="G151" s="136">
        <f t="shared" si="67"/>
        <v>0.1</v>
      </c>
      <c r="H151" s="136">
        <f t="shared" si="67"/>
        <v>0.1</v>
      </c>
      <c r="I151" s="136">
        <f t="shared" si="67"/>
        <v>0.1</v>
      </c>
      <c r="J151" s="136">
        <f t="shared" si="67"/>
        <v>0.1</v>
      </c>
      <c r="K151" s="136">
        <f t="shared" si="67"/>
        <v>0.1</v>
      </c>
      <c r="L151" s="136">
        <f t="shared" si="67"/>
        <v>0.1</v>
      </c>
      <c r="M151" s="136">
        <f t="shared" si="67"/>
        <v>0.1</v>
      </c>
      <c r="N151" s="136">
        <f t="shared" si="67"/>
        <v>0.1</v>
      </c>
      <c r="O151" s="136">
        <f t="shared" si="67"/>
        <v>0.1</v>
      </c>
      <c r="P151" s="136">
        <f t="shared" si="67"/>
        <v>0.1</v>
      </c>
      <c r="Q151" s="136">
        <f t="shared" si="67"/>
        <v>0.1</v>
      </c>
      <c r="R151" s="136">
        <f t="shared" si="67"/>
        <v>0.1</v>
      </c>
      <c r="S151" s="136">
        <f t="shared" si="67"/>
        <v>0.1</v>
      </c>
      <c r="T151" s="136">
        <f t="shared" ref="T151:AF154" si="68">S151</f>
        <v>0.1</v>
      </c>
      <c r="U151" s="136">
        <f t="shared" si="68"/>
        <v>0.1</v>
      </c>
      <c r="V151" s="136">
        <f t="shared" si="68"/>
        <v>0.1</v>
      </c>
      <c r="W151" s="136">
        <f t="shared" si="68"/>
        <v>0.1</v>
      </c>
      <c r="X151" s="136">
        <f t="shared" si="68"/>
        <v>0.1</v>
      </c>
      <c r="Y151" s="136">
        <f t="shared" si="68"/>
        <v>0.1</v>
      </c>
      <c r="Z151" s="136">
        <f t="shared" si="68"/>
        <v>0.1</v>
      </c>
      <c r="AA151" s="136">
        <f t="shared" si="68"/>
        <v>0.1</v>
      </c>
      <c r="AB151" s="136">
        <f t="shared" si="68"/>
        <v>0.1</v>
      </c>
      <c r="AC151" s="136">
        <f t="shared" si="68"/>
        <v>0.1</v>
      </c>
      <c r="AD151" s="136">
        <f t="shared" si="68"/>
        <v>0.1</v>
      </c>
      <c r="AE151" s="136">
        <f t="shared" si="68"/>
        <v>0.1</v>
      </c>
      <c r="AF151" s="136">
        <f t="shared" si="68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67"/>
        <v>2.0499999999999998</v>
      </c>
      <c r="E152" s="136">
        <f t="shared" si="67"/>
        <v>2.0499999999999998</v>
      </c>
      <c r="F152" s="136">
        <f t="shared" si="67"/>
        <v>2.0499999999999998</v>
      </c>
      <c r="G152" s="136">
        <f t="shared" si="67"/>
        <v>2.0499999999999998</v>
      </c>
      <c r="H152" s="136">
        <f t="shared" si="67"/>
        <v>2.0499999999999998</v>
      </c>
      <c r="I152" s="136">
        <f t="shared" si="67"/>
        <v>2.0499999999999998</v>
      </c>
      <c r="J152" s="136">
        <f t="shared" si="67"/>
        <v>2.0499999999999998</v>
      </c>
      <c r="K152" s="136">
        <f t="shared" si="67"/>
        <v>2.0499999999999998</v>
      </c>
      <c r="L152" s="136">
        <f t="shared" si="67"/>
        <v>2.0499999999999998</v>
      </c>
      <c r="M152" s="136">
        <f t="shared" si="67"/>
        <v>2.0499999999999998</v>
      </c>
      <c r="N152" s="136">
        <f t="shared" si="67"/>
        <v>2.0499999999999998</v>
      </c>
      <c r="O152" s="136">
        <f t="shared" si="67"/>
        <v>2.0499999999999998</v>
      </c>
      <c r="P152" s="136">
        <f t="shared" si="67"/>
        <v>2.0499999999999998</v>
      </c>
      <c r="Q152" s="136">
        <f t="shared" si="67"/>
        <v>2.0499999999999998</v>
      </c>
      <c r="R152" s="136">
        <f t="shared" si="67"/>
        <v>2.0499999999999998</v>
      </c>
      <c r="S152" s="136">
        <f t="shared" si="67"/>
        <v>2.0499999999999998</v>
      </c>
      <c r="T152" s="136">
        <f t="shared" si="68"/>
        <v>2.0499999999999998</v>
      </c>
      <c r="U152" s="136">
        <f t="shared" si="68"/>
        <v>2.0499999999999998</v>
      </c>
      <c r="V152" s="136">
        <f t="shared" si="68"/>
        <v>2.0499999999999998</v>
      </c>
      <c r="W152" s="136">
        <f t="shared" si="68"/>
        <v>2.0499999999999998</v>
      </c>
      <c r="X152" s="136">
        <f t="shared" si="68"/>
        <v>2.0499999999999998</v>
      </c>
      <c r="Y152" s="136">
        <f t="shared" si="68"/>
        <v>2.0499999999999998</v>
      </c>
      <c r="Z152" s="136">
        <f t="shared" si="68"/>
        <v>2.0499999999999998</v>
      </c>
      <c r="AA152" s="136">
        <f t="shared" si="68"/>
        <v>2.0499999999999998</v>
      </c>
      <c r="AB152" s="136">
        <f t="shared" si="68"/>
        <v>2.0499999999999998</v>
      </c>
      <c r="AC152" s="136">
        <f t="shared" si="68"/>
        <v>2.0499999999999998</v>
      </c>
      <c r="AD152" s="136">
        <f t="shared" si="68"/>
        <v>2.0499999999999998</v>
      </c>
      <c r="AE152" s="136">
        <f t="shared" si="68"/>
        <v>2.0499999999999998</v>
      </c>
      <c r="AF152" s="136">
        <f t="shared" si="68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67"/>
        <v>2.7</v>
      </c>
      <c r="E153" s="136">
        <f t="shared" si="67"/>
        <v>2.7</v>
      </c>
      <c r="F153" s="136">
        <f t="shared" si="67"/>
        <v>2.7</v>
      </c>
      <c r="G153" s="136">
        <f t="shared" si="67"/>
        <v>2.7</v>
      </c>
      <c r="H153" s="136">
        <f t="shared" si="67"/>
        <v>2.7</v>
      </c>
      <c r="I153" s="136">
        <f t="shared" si="67"/>
        <v>2.7</v>
      </c>
      <c r="J153" s="136">
        <f t="shared" si="67"/>
        <v>2.7</v>
      </c>
      <c r="K153" s="136">
        <f t="shared" si="67"/>
        <v>2.7</v>
      </c>
      <c r="L153" s="136">
        <f t="shared" si="67"/>
        <v>2.7</v>
      </c>
      <c r="M153" s="136">
        <f t="shared" si="67"/>
        <v>2.7</v>
      </c>
      <c r="N153" s="136">
        <f t="shared" si="67"/>
        <v>2.7</v>
      </c>
      <c r="O153" s="136">
        <f t="shared" si="67"/>
        <v>2.7</v>
      </c>
      <c r="P153" s="136">
        <f t="shared" si="67"/>
        <v>2.7</v>
      </c>
      <c r="Q153" s="136">
        <f t="shared" si="67"/>
        <v>2.7</v>
      </c>
      <c r="R153" s="136">
        <f t="shared" si="67"/>
        <v>2.7</v>
      </c>
      <c r="S153" s="136">
        <f t="shared" si="67"/>
        <v>2.7</v>
      </c>
      <c r="T153" s="136">
        <f t="shared" si="68"/>
        <v>2.7</v>
      </c>
      <c r="U153" s="136">
        <f t="shared" si="68"/>
        <v>2.7</v>
      </c>
      <c r="V153" s="136">
        <f t="shared" si="68"/>
        <v>2.7</v>
      </c>
      <c r="W153" s="136">
        <f t="shared" si="68"/>
        <v>2.7</v>
      </c>
      <c r="X153" s="136">
        <f t="shared" si="68"/>
        <v>2.7</v>
      </c>
      <c r="Y153" s="136">
        <f t="shared" si="68"/>
        <v>2.7</v>
      </c>
      <c r="Z153" s="136">
        <f t="shared" si="68"/>
        <v>2.7</v>
      </c>
      <c r="AA153" s="136">
        <f t="shared" si="68"/>
        <v>2.7</v>
      </c>
      <c r="AB153" s="136">
        <f t="shared" si="68"/>
        <v>2.7</v>
      </c>
      <c r="AC153" s="136">
        <f t="shared" si="68"/>
        <v>2.7</v>
      </c>
      <c r="AD153" s="136">
        <f t="shared" si="68"/>
        <v>2.7</v>
      </c>
      <c r="AE153" s="136">
        <f t="shared" si="68"/>
        <v>2.7</v>
      </c>
      <c r="AF153" s="136">
        <f t="shared" si="68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67"/>
        <v>2.15</v>
      </c>
      <c r="E154" s="136">
        <f t="shared" si="67"/>
        <v>2.15</v>
      </c>
      <c r="F154" s="136">
        <f t="shared" si="67"/>
        <v>2.15</v>
      </c>
      <c r="G154" s="136">
        <f t="shared" si="67"/>
        <v>2.15</v>
      </c>
      <c r="H154" s="136">
        <f t="shared" si="67"/>
        <v>2.15</v>
      </c>
      <c r="I154" s="136">
        <f t="shared" si="67"/>
        <v>2.15</v>
      </c>
      <c r="J154" s="136">
        <f t="shared" si="67"/>
        <v>2.15</v>
      </c>
      <c r="K154" s="136">
        <f t="shared" si="67"/>
        <v>2.15</v>
      </c>
      <c r="L154" s="136">
        <f t="shared" si="67"/>
        <v>2.15</v>
      </c>
      <c r="M154" s="136">
        <f t="shared" si="67"/>
        <v>2.15</v>
      </c>
      <c r="N154" s="136">
        <f t="shared" si="67"/>
        <v>2.15</v>
      </c>
      <c r="O154" s="136">
        <f t="shared" si="67"/>
        <v>2.15</v>
      </c>
      <c r="P154" s="136">
        <f t="shared" si="67"/>
        <v>2.15</v>
      </c>
      <c r="Q154" s="136">
        <f t="shared" si="67"/>
        <v>2.15</v>
      </c>
      <c r="R154" s="136">
        <f t="shared" si="67"/>
        <v>2.15</v>
      </c>
      <c r="S154" s="136">
        <f t="shared" si="67"/>
        <v>2.15</v>
      </c>
      <c r="T154" s="136">
        <f t="shared" si="68"/>
        <v>2.15</v>
      </c>
      <c r="U154" s="136">
        <f t="shared" si="68"/>
        <v>2.15</v>
      </c>
      <c r="V154" s="136">
        <f t="shared" si="68"/>
        <v>2.15</v>
      </c>
      <c r="W154" s="136">
        <f t="shared" si="68"/>
        <v>2.15</v>
      </c>
      <c r="X154" s="136">
        <f t="shared" si="68"/>
        <v>2.15</v>
      </c>
      <c r="Y154" s="136">
        <f t="shared" si="68"/>
        <v>2.15</v>
      </c>
      <c r="Z154" s="136">
        <f t="shared" si="68"/>
        <v>2.15</v>
      </c>
      <c r="AA154" s="136">
        <f t="shared" si="68"/>
        <v>2.15</v>
      </c>
      <c r="AB154" s="136">
        <f t="shared" si="68"/>
        <v>2.15</v>
      </c>
      <c r="AC154" s="136">
        <f t="shared" si="68"/>
        <v>2.15</v>
      </c>
      <c r="AD154" s="136">
        <f t="shared" si="68"/>
        <v>2.15</v>
      </c>
      <c r="AE154" s="136">
        <f t="shared" si="68"/>
        <v>2.15</v>
      </c>
      <c r="AF154" s="136">
        <f t="shared" si="68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69">AF156</f>
        <v>0.9</v>
      </c>
      <c r="C156" s="137">
        <v>0.9</v>
      </c>
      <c r="D156" s="136">
        <f t="shared" ref="D156:S168" si="70">C156</f>
        <v>0.9</v>
      </c>
      <c r="E156" s="136">
        <f t="shared" si="70"/>
        <v>0.9</v>
      </c>
      <c r="F156" s="136">
        <f t="shared" si="70"/>
        <v>0.9</v>
      </c>
      <c r="G156" s="136">
        <f t="shared" si="70"/>
        <v>0.9</v>
      </c>
      <c r="H156" s="136">
        <f t="shared" si="70"/>
        <v>0.9</v>
      </c>
      <c r="I156" s="136">
        <f t="shared" si="70"/>
        <v>0.9</v>
      </c>
      <c r="J156" s="136">
        <f t="shared" si="70"/>
        <v>0.9</v>
      </c>
      <c r="K156" s="136">
        <f t="shared" si="70"/>
        <v>0.9</v>
      </c>
      <c r="L156" s="136">
        <f t="shared" si="70"/>
        <v>0.9</v>
      </c>
      <c r="M156" s="136">
        <f t="shared" si="70"/>
        <v>0.9</v>
      </c>
      <c r="N156" s="136">
        <f t="shared" si="70"/>
        <v>0.9</v>
      </c>
      <c r="O156" s="136">
        <f t="shared" si="70"/>
        <v>0.9</v>
      </c>
      <c r="P156" s="136">
        <f t="shared" si="70"/>
        <v>0.9</v>
      </c>
      <c r="Q156" s="136">
        <f t="shared" si="70"/>
        <v>0.9</v>
      </c>
      <c r="R156" s="136">
        <f t="shared" si="70"/>
        <v>0.9</v>
      </c>
      <c r="S156" s="136">
        <f t="shared" si="70"/>
        <v>0.9</v>
      </c>
      <c r="T156" s="136">
        <f t="shared" ref="S156:AF168" si="71">S156</f>
        <v>0.9</v>
      </c>
      <c r="U156" s="136">
        <f t="shared" si="71"/>
        <v>0.9</v>
      </c>
      <c r="V156" s="136">
        <f t="shared" si="71"/>
        <v>0.9</v>
      </c>
      <c r="W156" s="136">
        <f t="shared" si="71"/>
        <v>0.9</v>
      </c>
      <c r="X156" s="136">
        <f t="shared" si="71"/>
        <v>0.9</v>
      </c>
      <c r="Y156" s="136">
        <f t="shared" si="71"/>
        <v>0.9</v>
      </c>
      <c r="Z156" s="136">
        <f t="shared" si="71"/>
        <v>0.9</v>
      </c>
      <c r="AA156" s="136">
        <f t="shared" si="71"/>
        <v>0.9</v>
      </c>
      <c r="AB156" s="136">
        <f t="shared" si="71"/>
        <v>0.9</v>
      </c>
      <c r="AC156" s="136">
        <f t="shared" si="71"/>
        <v>0.9</v>
      </c>
      <c r="AD156" s="136">
        <f t="shared" si="71"/>
        <v>0.9</v>
      </c>
      <c r="AE156" s="136">
        <f t="shared" si="71"/>
        <v>0.9</v>
      </c>
      <c r="AF156" s="136">
        <f t="shared" si="71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69"/>
        <v>1.08</v>
      </c>
      <c r="C157" s="137">
        <v>1.08</v>
      </c>
      <c r="D157" s="136">
        <f t="shared" si="70"/>
        <v>1.08</v>
      </c>
      <c r="E157" s="136">
        <f t="shared" si="70"/>
        <v>1.08</v>
      </c>
      <c r="F157" s="136">
        <f t="shared" si="70"/>
        <v>1.08</v>
      </c>
      <c r="G157" s="136">
        <f t="shared" si="70"/>
        <v>1.08</v>
      </c>
      <c r="H157" s="136">
        <f t="shared" si="70"/>
        <v>1.08</v>
      </c>
      <c r="I157" s="136">
        <f t="shared" si="70"/>
        <v>1.08</v>
      </c>
      <c r="J157" s="136">
        <f t="shared" si="70"/>
        <v>1.08</v>
      </c>
      <c r="K157" s="136">
        <f t="shared" si="70"/>
        <v>1.08</v>
      </c>
      <c r="L157" s="136">
        <f t="shared" si="70"/>
        <v>1.08</v>
      </c>
      <c r="M157" s="136">
        <f t="shared" si="70"/>
        <v>1.08</v>
      </c>
      <c r="N157" s="136">
        <f t="shared" si="70"/>
        <v>1.08</v>
      </c>
      <c r="O157" s="136">
        <f t="shared" si="70"/>
        <v>1.08</v>
      </c>
      <c r="P157" s="136">
        <f t="shared" si="70"/>
        <v>1.08</v>
      </c>
      <c r="Q157" s="136">
        <f t="shared" si="70"/>
        <v>1.08</v>
      </c>
      <c r="R157" s="136">
        <f t="shared" si="70"/>
        <v>1.08</v>
      </c>
      <c r="S157" s="136">
        <f t="shared" si="70"/>
        <v>1.08</v>
      </c>
      <c r="T157" s="136">
        <f t="shared" si="71"/>
        <v>1.08</v>
      </c>
      <c r="U157" s="136">
        <f t="shared" si="71"/>
        <v>1.08</v>
      </c>
      <c r="V157" s="136">
        <f t="shared" si="71"/>
        <v>1.08</v>
      </c>
      <c r="W157" s="136">
        <f t="shared" si="71"/>
        <v>1.08</v>
      </c>
      <c r="X157" s="136">
        <f t="shared" si="71"/>
        <v>1.08</v>
      </c>
      <c r="Y157" s="136">
        <f t="shared" si="71"/>
        <v>1.08</v>
      </c>
      <c r="Z157" s="136">
        <f t="shared" si="71"/>
        <v>1.08</v>
      </c>
      <c r="AA157" s="136">
        <f t="shared" si="71"/>
        <v>1.08</v>
      </c>
      <c r="AB157" s="136">
        <f t="shared" si="71"/>
        <v>1.08</v>
      </c>
      <c r="AC157" s="136">
        <f t="shared" si="71"/>
        <v>1.08</v>
      </c>
      <c r="AD157" s="136">
        <f t="shared" si="71"/>
        <v>1.08</v>
      </c>
      <c r="AE157" s="136">
        <f t="shared" si="71"/>
        <v>1.08</v>
      </c>
      <c r="AF157" s="136">
        <f t="shared" si="71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69"/>
        <v>2.37</v>
      </c>
      <c r="C158" s="137">
        <v>2.37</v>
      </c>
      <c r="D158" s="136">
        <f t="shared" si="70"/>
        <v>2.37</v>
      </c>
      <c r="E158" s="136">
        <f t="shared" si="70"/>
        <v>2.37</v>
      </c>
      <c r="F158" s="136">
        <f t="shared" si="70"/>
        <v>2.37</v>
      </c>
      <c r="G158" s="136">
        <f t="shared" si="70"/>
        <v>2.37</v>
      </c>
      <c r="H158" s="136">
        <f t="shared" si="70"/>
        <v>2.37</v>
      </c>
      <c r="I158" s="136">
        <f t="shared" si="70"/>
        <v>2.37</v>
      </c>
      <c r="J158" s="136">
        <f t="shared" si="70"/>
        <v>2.37</v>
      </c>
      <c r="K158" s="136">
        <f t="shared" si="70"/>
        <v>2.37</v>
      </c>
      <c r="L158" s="136">
        <f t="shared" si="70"/>
        <v>2.37</v>
      </c>
      <c r="M158" s="136">
        <f t="shared" si="70"/>
        <v>2.37</v>
      </c>
      <c r="N158" s="136">
        <f t="shared" si="70"/>
        <v>2.37</v>
      </c>
      <c r="O158" s="136">
        <f t="shared" si="70"/>
        <v>2.37</v>
      </c>
      <c r="P158" s="136">
        <f t="shared" si="70"/>
        <v>2.37</v>
      </c>
      <c r="Q158" s="136">
        <f t="shared" si="70"/>
        <v>2.37</v>
      </c>
      <c r="R158" s="136">
        <f t="shared" si="70"/>
        <v>2.37</v>
      </c>
      <c r="S158" s="136">
        <f t="shared" si="70"/>
        <v>2.37</v>
      </c>
      <c r="T158" s="136">
        <f t="shared" si="71"/>
        <v>2.37</v>
      </c>
      <c r="U158" s="136">
        <f t="shared" si="71"/>
        <v>2.37</v>
      </c>
      <c r="V158" s="136">
        <f t="shared" si="71"/>
        <v>2.37</v>
      </c>
      <c r="W158" s="136">
        <f t="shared" si="71"/>
        <v>2.37</v>
      </c>
      <c r="X158" s="136">
        <f t="shared" si="71"/>
        <v>2.37</v>
      </c>
      <c r="Y158" s="136">
        <f t="shared" si="71"/>
        <v>2.37</v>
      </c>
      <c r="Z158" s="136">
        <f t="shared" si="71"/>
        <v>2.37</v>
      </c>
      <c r="AA158" s="136">
        <f t="shared" si="71"/>
        <v>2.37</v>
      </c>
      <c r="AB158" s="136">
        <f t="shared" si="71"/>
        <v>2.37</v>
      </c>
      <c r="AC158" s="136">
        <f t="shared" si="71"/>
        <v>2.37</v>
      </c>
      <c r="AD158" s="136">
        <f t="shared" si="71"/>
        <v>2.37</v>
      </c>
      <c r="AE158" s="136">
        <f t="shared" si="71"/>
        <v>2.37</v>
      </c>
      <c r="AF158" s="136">
        <f t="shared" si="71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69"/>
        <v>1.81</v>
      </c>
      <c r="C159" s="137">
        <v>1.81</v>
      </c>
      <c r="D159" s="136">
        <f t="shared" si="70"/>
        <v>1.81</v>
      </c>
      <c r="E159" s="136">
        <f t="shared" si="70"/>
        <v>1.81</v>
      </c>
      <c r="F159" s="136">
        <f t="shared" si="70"/>
        <v>1.81</v>
      </c>
      <c r="G159" s="136">
        <f t="shared" si="70"/>
        <v>1.81</v>
      </c>
      <c r="H159" s="136">
        <f t="shared" si="70"/>
        <v>1.81</v>
      </c>
      <c r="I159" s="136">
        <f t="shared" si="70"/>
        <v>1.81</v>
      </c>
      <c r="J159" s="136">
        <f t="shared" si="70"/>
        <v>1.81</v>
      </c>
      <c r="K159" s="136">
        <f t="shared" si="70"/>
        <v>1.81</v>
      </c>
      <c r="L159" s="136">
        <f t="shared" si="70"/>
        <v>1.81</v>
      </c>
      <c r="M159" s="136">
        <f t="shared" si="70"/>
        <v>1.81</v>
      </c>
      <c r="N159" s="136">
        <f t="shared" si="70"/>
        <v>1.81</v>
      </c>
      <c r="O159" s="136">
        <f t="shared" si="70"/>
        <v>1.81</v>
      </c>
      <c r="P159" s="136">
        <f t="shared" si="70"/>
        <v>1.81</v>
      </c>
      <c r="Q159" s="136">
        <f t="shared" si="70"/>
        <v>1.81</v>
      </c>
      <c r="R159" s="136">
        <f t="shared" si="70"/>
        <v>1.81</v>
      </c>
      <c r="S159" s="136">
        <f t="shared" si="70"/>
        <v>1.81</v>
      </c>
      <c r="T159" s="136">
        <f t="shared" si="71"/>
        <v>1.81</v>
      </c>
      <c r="U159" s="136">
        <f t="shared" si="71"/>
        <v>1.81</v>
      </c>
      <c r="V159" s="136">
        <f t="shared" si="71"/>
        <v>1.81</v>
      </c>
      <c r="W159" s="136">
        <f t="shared" si="71"/>
        <v>1.81</v>
      </c>
      <c r="X159" s="136">
        <f t="shared" si="71"/>
        <v>1.81</v>
      </c>
      <c r="Y159" s="136">
        <f t="shared" si="71"/>
        <v>1.81</v>
      </c>
      <c r="Z159" s="136">
        <f t="shared" si="71"/>
        <v>1.81</v>
      </c>
      <c r="AA159" s="136">
        <f t="shared" si="71"/>
        <v>1.81</v>
      </c>
      <c r="AB159" s="136">
        <f t="shared" si="71"/>
        <v>1.81</v>
      </c>
      <c r="AC159" s="136">
        <f t="shared" si="71"/>
        <v>1.81</v>
      </c>
      <c r="AD159" s="136">
        <f t="shared" si="71"/>
        <v>1.81</v>
      </c>
      <c r="AE159" s="136">
        <f t="shared" si="71"/>
        <v>1.81</v>
      </c>
      <c r="AF159" s="136">
        <f t="shared" si="71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69"/>
        <v>1.0900000000000001</v>
      </c>
      <c r="C160" s="137">
        <v>1.0900000000000001</v>
      </c>
      <c r="D160" s="136">
        <f t="shared" si="70"/>
        <v>1.0900000000000001</v>
      </c>
      <c r="E160" s="136">
        <f t="shared" si="70"/>
        <v>1.0900000000000001</v>
      </c>
      <c r="F160" s="136">
        <f t="shared" si="70"/>
        <v>1.0900000000000001</v>
      </c>
      <c r="G160" s="136">
        <f t="shared" si="70"/>
        <v>1.0900000000000001</v>
      </c>
      <c r="H160" s="136">
        <f t="shared" si="70"/>
        <v>1.0900000000000001</v>
      </c>
      <c r="I160" s="136">
        <f t="shared" si="70"/>
        <v>1.0900000000000001</v>
      </c>
      <c r="J160" s="136">
        <f t="shared" si="70"/>
        <v>1.0900000000000001</v>
      </c>
      <c r="K160" s="136">
        <f t="shared" si="70"/>
        <v>1.0900000000000001</v>
      </c>
      <c r="L160" s="136">
        <f t="shared" si="70"/>
        <v>1.0900000000000001</v>
      </c>
      <c r="M160" s="136">
        <f t="shared" si="70"/>
        <v>1.0900000000000001</v>
      </c>
      <c r="N160" s="136">
        <f t="shared" si="70"/>
        <v>1.0900000000000001</v>
      </c>
      <c r="O160" s="136">
        <f t="shared" si="70"/>
        <v>1.0900000000000001</v>
      </c>
      <c r="P160" s="136">
        <f t="shared" si="70"/>
        <v>1.0900000000000001</v>
      </c>
      <c r="Q160" s="136">
        <f t="shared" si="70"/>
        <v>1.0900000000000001</v>
      </c>
      <c r="R160" s="136">
        <f t="shared" si="70"/>
        <v>1.0900000000000001</v>
      </c>
      <c r="S160" s="136">
        <f t="shared" si="70"/>
        <v>1.0900000000000001</v>
      </c>
      <c r="T160" s="136">
        <f t="shared" si="71"/>
        <v>1.0900000000000001</v>
      </c>
      <c r="U160" s="136">
        <f t="shared" si="71"/>
        <v>1.0900000000000001</v>
      </c>
      <c r="V160" s="136">
        <f t="shared" si="71"/>
        <v>1.0900000000000001</v>
      </c>
      <c r="W160" s="136">
        <f t="shared" si="71"/>
        <v>1.0900000000000001</v>
      </c>
      <c r="X160" s="136">
        <f t="shared" si="71"/>
        <v>1.0900000000000001</v>
      </c>
      <c r="Y160" s="136">
        <f t="shared" si="71"/>
        <v>1.0900000000000001</v>
      </c>
      <c r="Z160" s="136">
        <f t="shared" si="71"/>
        <v>1.0900000000000001</v>
      </c>
      <c r="AA160" s="136">
        <f t="shared" si="71"/>
        <v>1.0900000000000001</v>
      </c>
      <c r="AB160" s="136">
        <f t="shared" si="71"/>
        <v>1.0900000000000001</v>
      </c>
      <c r="AC160" s="136">
        <f t="shared" si="71"/>
        <v>1.0900000000000001</v>
      </c>
      <c r="AD160" s="136">
        <f t="shared" si="71"/>
        <v>1.0900000000000001</v>
      </c>
      <c r="AE160" s="136">
        <f t="shared" si="71"/>
        <v>1.0900000000000001</v>
      </c>
      <c r="AF160" s="136">
        <f t="shared" si="71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69"/>
        <v>1.58</v>
      </c>
      <c r="C161" s="137">
        <v>1.58</v>
      </c>
      <c r="D161" s="136">
        <f t="shared" si="70"/>
        <v>1.58</v>
      </c>
      <c r="E161" s="136">
        <f t="shared" si="70"/>
        <v>1.58</v>
      </c>
      <c r="F161" s="136">
        <f t="shared" si="70"/>
        <v>1.58</v>
      </c>
      <c r="G161" s="136">
        <f t="shared" si="70"/>
        <v>1.58</v>
      </c>
      <c r="H161" s="136">
        <f t="shared" si="70"/>
        <v>1.58</v>
      </c>
      <c r="I161" s="136">
        <f t="shared" si="70"/>
        <v>1.58</v>
      </c>
      <c r="J161" s="136">
        <f t="shared" si="70"/>
        <v>1.58</v>
      </c>
      <c r="K161" s="136">
        <f t="shared" si="70"/>
        <v>1.58</v>
      </c>
      <c r="L161" s="136">
        <f t="shared" si="70"/>
        <v>1.58</v>
      </c>
      <c r="M161" s="136">
        <f t="shared" si="70"/>
        <v>1.58</v>
      </c>
      <c r="N161" s="136">
        <f t="shared" si="70"/>
        <v>1.58</v>
      </c>
      <c r="O161" s="136">
        <f t="shared" si="70"/>
        <v>1.58</v>
      </c>
      <c r="P161" s="136">
        <f t="shared" si="70"/>
        <v>1.58</v>
      </c>
      <c r="Q161" s="136">
        <f t="shared" si="70"/>
        <v>1.58</v>
      </c>
      <c r="R161" s="136">
        <f t="shared" si="70"/>
        <v>1.58</v>
      </c>
      <c r="S161" s="136">
        <f t="shared" si="70"/>
        <v>1.58</v>
      </c>
      <c r="T161" s="136">
        <f t="shared" si="71"/>
        <v>1.58</v>
      </c>
      <c r="U161" s="136">
        <f t="shared" si="71"/>
        <v>1.58</v>
      </c>
      <c r="V161" s="136">
        <f t="shared" si="71"/>
        <v>1.58</v>
      </c>
      <c r="W161" s="136">
        <f t="shared" si="71"/>
        <v>1.58</v>
      </c>
      <c r="X161" s="136">
        <f t="shared" si="71"/>
        <v>1.58</v>
      </c>
      <c r="Y161" s="136">
        <f t="shared" si="71"/>
        <v>1.58</v>
      </c>
      <c r="Z161" s="136">
        <f t="shared" si="71"/>
        <v>1.58</v>
      </c>
      <c r="AA161" s="136">
        <f t="shared" si="71"/>
        <v>1.58</v>
      </c>
      <c r="AB161" s="136">
        <f t="shared" si="71"/>
        <v>1.58</v>
      </c>
      <c r="AC161" s="136">
        <f t="shared" si="71"/>
        <v>1.58</v>
      </c>
      <c r="AD161" s="136">
        <f t="shared" si="71"/>
        <v>1.58</v>
      </c>
      <c r="AE161" s="136">
        <f t="shared" si="71"/>
        <v>1.58</v>
      </c>
      <c r="AF161" s="136">
        <f t="shared" si="71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69"/>
        <v>2</v>
      </c>
      <c r="C162" s="137">
        <v>2</v>
      </c>
      <c r="D162" s="136">
        <f t="shared" si="70"/>
        <v>2</v>
      </c>
      <c r="E162" s="136">
        <f t="shared" si="70"/>
        <v>2</v>
      </c>
      <c r="F162" s="136">
        <f t="shared" si="70"/>
        <v>2</v>
      </c>
      <c r="G162" s="136">
        <f t="shared" si="70"/>
        <v>2</v>
      </c>
      <c r="H162" s="136">
        <f t="shared" si="70"/>
        <v>2</v>
      </c>
      <c r="I162" s="136">
        <f t="shared" si="70"/>
        <v>2</v>
      </c>
      <c r="J162" s="136">
        <f t="shared" si="70"/>
        <v>2</v>
      </c>
      <c r="K162" s="136">
        <f t="shared" si="70"/>
        <v>2</v>
      </c>
      <c r="L162" s="136">
        <f t="shared" si="70"/>
        <v>2</v>
      </c>
      <c r="M162" s="136">
        <f t="shared" si="70"/>
        <v>2</v>
      </c>
      <c r="N162" s="136">
        <f t="shared" si="70"/>
        <v>2</v>
      </c>
      <c r="O162" s="136">
        <f t="shared" si="70"/>
        <v>2</v>
      </c>
      <c r="P162" s="136">
        <f t="shared" si="70"/>
        <v>2</v>
      </c>
      <c r="Q162" s="136">
        <f t="shared" si="70"/>
        <v>2</v>
      </c>
      <c r="R162" s="136">
        <f t="shared" si="70"/>
        <v>2</v>
      </c>
      <c r="S162" s="136">
        <f t="shared" si="70"/>
        <v>2</v>
      </c>
      <c r="T162" s="136">
        <f t="shared" si="71"/>
        <v>2</v>
      </c>
      <c r="U162" s="136">
        <f t="shared" si="71"/>
        <v>2</v>
      </c>
      <c r="V162" s="136">
        <f t="shared" si="71"/>
        <v>2</v>
      </c>
      <c r="W162" s="136">
        <f t="shared" si="71"/>
        <v>2</v>
      </c>
      <c r="X162" s="136">
        <f t="shared" si="71"/>
        <v>2</v>
      </c>
      <c r="Y162" s="136">
        <f t="shared" si="71"/>
        <v>2</v>
      </c>
      <c r="Z162" s="136">
        <f t="shared" si="71"/>
        <v>2</v>
      </c>
      <c r="AA162" s="136">
        <f t="shared" si="71"/>
        <v>2</v>
      </c>
      <c r="AB162" s="136">
        <f t="shared" si="71"/>
        <v>2</v>
      </c>
      <c r="AC162" s="136">
        <f t="shared" si="71"/>
        <v>2</v>
      </c>
      <c r="AD162" s="136">
        <f t="shared" si="71"/>
        <v>2</v>
      </c>
      <c r="AE162" s="136">
        <f t="shared" si="71"/>
        <v>2</v>
      </c>
      <c r="AF162" s="136">
        <f t="shared" si="71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69"/>
        <v>0.47</v>
      </c>
      <c r="C163" s="137">
        <v>0.47</v>
      </c>
      <c r="D163" s="136">
        <f t="shared" si="70"/>
        <v>0.47</v>
      </c>
      <c r="E163" s="136">
        <f t="shared" si="70"/>
        <v>0.47</v>
      </c>
      <c r="F163" s="136">
        <f t="shared" si="70"/>
        <v>0.47</v>
      </c>
      <c r="G163" s="136">
        <f t="shared" si="70"/>
        <v>0.47</v>
      </c>
      <c r="H163" s="136">
        <f t="shared" si="70"/>
        <v>0.47</v>
      </c>
      <c r="I163" s="136">
        <f t="shared" si="70"/>
        <v>0.47</v>
      </c>
      <c r="J163" s="136">
        <f t="shared" si="70"/>
        <v>0.47</v>
      </c>
      <c r="K163" s="136">
        <f t="shared" si="70"/>
        <v>0.47</v>
      </c>
      <c r="L163" s="136">
        <f t="shared" si="70"/>
        <v>0.47</v>
      </c>
      <c r="M163" s="136">
        <f t="shared" si="70"/>
        <v>0.47</v>
      </c>
      <c r="N163" s="136">
        <f t="shared" si="70"/>
        <v>0.47</v>
      </c>
      <c r="O163" s="136">
        <f t="shared" si="70"/>
        <v>0.47</v>
      </c>
      <c r="P163" s="136">
        <f t="shared" si="70"/>
        <v>0.47</v>
      </c>
      <c r="Q163" s="136">
        <f t="shared" si="70"/>
        <v>0.47</v>
      </c>
      <c r="R163" s="136">
        <f t="shared" si="70"/>
        <v>0.47</v>
      </c>
      <c r="S163" s="136">
        <f t="shared" si="70"/>
        <v>0.47</v>
      </c>
      <c r="T163" s="136">
        <f t="shared" si="71"/>
        <v>0.47</v>
      </c>
      <c r="U163" s="136">
        <f t="shared" si="71"/>
        <v>0.47</v>
      </c>
      <c r="V163" s="136">
        <f t="shared" si="71"/>
        <v>0.47</v>
      </c>
      <c r="W163" s="136">
        <f t="shared" si="71"/>
        <v>0.47</v>
      </c>
      <c r="X163" s="136">
        <f t="shared" si="71"/>
        <v>0.47</v>
      </c>
      <c r="Y163" s="136">
        <f t="shared" si="71"/>
        <v>0.47</v>
      </c>
      <c r="Z163" s="136">
        <f t="shared" si="71"/>
        <v>0.47</v>
      </c>
      <c r="AA163" s="136">
        <f t="shared" si="71"/>
        <v>0.47</v>
      </c>
      <c r="AB163" s="136">
        <f t="shared" si="71"/>
        <v>0.47</v>
      </c>
      <c r="AC163" s="136">
        <f t="shared" si="71"/>
        <v>0.47</v>
      </c>
      <c r="AD163" s="136">
        <f t="shared" si="71"/>
        <v>0.47</v>
      </c>
      <c r="AE163" s="136">
        <f t="shared" si="71"/>
        <v>0.47</v>
      </c>
      <c r="AF163" s="136">
        <f t="shared" si="71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69"/>
        <v>0</v>
      </c>
      <c r="C164" s="137">
        <v>0</v>
      </c>
      <c r="D164" s="136">
        <f t="shared" si="70"/>
        <v>0</v>
      </c>
      <c r="E164" s="136">
        <f t="shared" si="70"/>
        <v>0</v>
      </c>
      <c r="F164" s="136">
        <f t="shared" si="70"/>
        <v>0</v>
      </c>
      <c r="G164" s="136">
        <f t="shared" si="70"/>
        <v>0</v>
      </c>
      <c r="H164" s="136">
        <f t="shared" si="70"/>
        <v>0</v>
      </c>
      <c r="I164" s="136">
        <f t="shared" si="70"/>
        <v>0</v>
      </c>
      <c r="J164" s="136">
        <f t="shared" si="70"/>
        <v>0</v>
      </c>
      <c r="K164" s="136">
        <f t="shared" si="70"/>
        <v>0</v>
      </c>
      <c r="L164" s="136">
        <f t="shared" si="70"/>
        <v>0</v>
      </c>
      <c r="M164" s="136">
        <f t="shared" si="70"/>
        <v>0</v>
      </c>
      <c r="N164" s="136">
        <f t="shared" si="70"/>
        <v>0</v>
      </c>
      <c r="O164" s="136">
        <f t="shared" si="70"/>
        <v>0</v>
      </c>
      <c r="P164" s="136">
        <f t="shared" si="70"/>
        <v>0</v>
      </c>
      <c r="Q164" s="136">
        <f t="shared" si="70"/>
        <v>0</v>
      </c>
      <c r="R164" s="136">
        <f t="shared" si="70"/>
        <v>0</v>
      </c>
      <c r="S164" s="136">
        <f t="shared" si="70"/>
        <v>0</v>
      </c>
      <c r="T164" s="136">
        <f t="shared" si="71"/>
        <v>0</v>
      </c>
      <c r="U164" s="136">
        <f t="shared" si="71"/>
        <v>0</v>
      </c>
      <c r="V164" s="136">
        <f t="shared" si="71"/>
        <v>0</v>
      </c>
      <c r="W164" s="136">
        <f t="shared" si="71"/>
        <v>0</v>
      </c>
      <c r="X164" s="136">
        <f t="shared" si="71"/>
        <v>0</v>
      </c>
      <c r="Y164" s="136">
        <f t="shared" si="71"/>
        <v>0</v>
      </c>
      <c r="Z164" s="136">
        <f t="shared" si="71"/>
        <v>0</v>
      </c>
      <c r="AA164" s="136">
        <f t="shared" si="71"/>
        <v>0</v>
      </c>
      <c r="AB164" s="136">
        <f t="shared" si="71"/>
        <v>0</v>
      </c>
      <c r="AC164" s="136">
        <f t="shared" si="71"/>
        <v>0</v>
      </c>
      <c r="AD164" s="136">
        <f t="shared" si="71"/>
        <v>0</v>
      </c>
      <c r="AE164" s="136">
        <f t="shared" si="71"/>
        <v>0</v>
      </c>
      <c r="AF164" s="136">
        <f t="shared" si="71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69"/>
        <v>0</v>
      </c>
      <c r="C165" s="137">
        <v>0</v>
      </c>
      <c r="D165" s="136">
        <f t="shared" si="70"/>
        <v>0</v>
      </c>
      <c r="E165" s="136">
        <f t="shared" si="70"/>
        <v>0</v>
      </c>
      <c r="F165" s="136">
        <f t="shared" si="70"/>
        <v>0</v>
      </c>
      <c r="G165" s="136">
        <f t="shared" si="70"/>
        <v>0</v>
      </c>
      <c r="H165" s="136">
        <f t="shared" si="70"/>
        <v>0</v>
      </c>
      <c r="I165" s="136">
        <f t="shared" si="70"/>
        <v>0</v>
      </c>
      <c r="J165" s="136">
        <f t="shared" si="70"/>
        <v>0</v>
      </c>
      <c r="K165" s="136">
        <f t="shared" si="70"/>
        <v>0</v>
      </c>
      <c r="L165" s="136">
        <f t="shared" si="70"/>
        <v>0</v>
      </c>
      <c r="M165" s="136">
        <f t="shared" si="70"/>
        <v>0</v>
      </c>
      <c r="N165" s="136">
        <f t="shared" si="70"/>
        <v>0</v>
      </c>
      <c r="O165" s="136">
        <f t="shared" si="70"/>
        <v>0</v>
      </c>
      <c r="P165" s="136">
        <f t="shared" si="70"/>
        <v>0</v>
      </c>
      <c r="Q165" s="136">
        <f t="shared" si="70"/>
        <v>0</v>
      </c>
      <c r="R165" s="136">
        <f t="shared" si="70"/>
        <v>0</v>
      </c>
      <c r="S165" s="136">
        <f t="shared" si="71"/>
        <v>0</v>
      </c>
      <c r="T165" s="136">
        <f t="shared" si="71"/>
        <v>0</v>
      </c>
      <c r="U165" s="136">
        <f t="shared" si="71"/>
        <v>0</v>
      </c>
      <c r="V165" s="136">
        <f t="shared" si="71"/>
        <v>0</v>
      </c>
      <c r="W165" s="136">
        <f t="shared" si="71"/>
        <v>0</v>
      </c>
      <c r="X165" s="136">
        <f t="shared" si="71"/>
        <v>0</v>
      </c>
      <c r="Y165" s="136">
        <f t="shared" si="71"/>
        <v>0</v>
      </c>
      <c r="Z165" s="136">
        <f t="shared" si="71"/>
        <v>0</v>
      </c>
      <c r="AA165" s="136">
        <f t="shared" si="71"/>
        <v>0</v>
      </c>
      <c r="AB165" s="136">
        <f t="shared" si="71"/>
        <v>0</v>
      </c>
      <c r="AC165" s="136">
        <f t="shared" si="71"/>
        <v>0</v>
      </c>
      <c r="AD165" s="136">
        <f t="shared" si="71"/>
        <v>0</v>
      </c>
      <c r="AE165" s="136">
        <f t="shared" si="71"/>
        <v>0</v>
      </c>
      <c r="AF165" s="136">
        <f t="shared" si="71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69"/>
        <v>0.8</v>
      </c>
      <c r="C166" s="137">
        <v>0.8</v>
      </c>
      <c r="D166" s="136">
        <f t="shared" si="70"/>
        <v>0.8</v>
      </c>
      <c r="E166" s="136">
        <f t="shared" si="70"/>
        <v>0.8</v>
      </c>
      <c r="F166" s="136">
        <f t="shared" si="70"/>
        <v>0.8</v>
      </c>
      <c r="G166" s="136">
        <f t="shared" si="70"/>
        <v>0.8</v>
      </c>
      <c r="H166" s="136">
        <f t="shared" si="70"/>
        <v>0.8</v>
      </c>
      <c r="I166" s="136">
        <f t="shared" si="70"/>
        <v>0.8</v>
      </c>
      <c r="J166" s="136">
        <f t="shared" si="70"/>
        <v>0.8</v>
      </c>
      <c r="K166" s="136">
        <f t="shared" si="70"/>
        <v>0.8</v>
      </c>
      <c r="L166" s="136">
        <f t="shared" si="70"/>
        <v>0.8</v>
      </c>
      <c r="M166" s="136">
        <f t="shared" si="70"/>
        <v>0.8</v>
      </c>
      <c r="N166" s="136">
        <f t="shared" si="70"/>
        <v>0.8</v>
      </c>
      <c r="O166" s="136">
        <f t="shared" si="70"/>
        <v>0.8</v>
      </c>
      <c r="P166" s="136">
        <f t="shared" si="70"/>
        <v>0.8</v>
      </c>
      <c r="Q166" s="136">
        <f t="shared" si="70"/>
        <v>0.8</v>
      </c>
      <c r="R166" s="136">
        <f t="shared" si="70"/>
        <v>0.8</v>
      </c>
      <c r="S166" s="136">
        <f t="shared" si="71"/>
        <v>0.8</v>
      </c>
      <c r="T166" s="136">
        <f t="shared" si="71"/>
        <v>0.8</v>
      </c>
      <c r="U166" s="136">
        <f t="shared" si="71"/>
        <v>0.8</v>
      </c>
      <c r="V166" s="136">
        <f t="shared" si="71"/>
        <v>0.8</v>
      </c>
      <c r="W166" s="136">
        <f t="shared" si="71"/>
        <v>0.8</v>
      </c>
      <c r="X166" s="136">
        <f t="shared" si="71"/>
        <v>0.8</v>
      </c>
      <c r="Y166" s="136">
        <f t="shared" si="71"/>
        <v>0.8</v>
      </c>
      <c r="Z166" s="136">
        <f t="shared" si="71"/>
        <v>0.8</v>
      </c>
      <c r="AA166" s="136">
        <f t="shared" si="71"/>
        <v>0.8</v>
      </c>
      <c r="AB166" s="136">
        <f t="shared" si="71"/>
        <v>0.8</v>
      </c>
      <c r="AC166" s="136">
        <f t="shared" si="71"/>
        <v>0.8</v>
      </c>
      <c r="AD166" s="136">
        <f t="shared" si="71"/>
        <v>0.8</v>
      </c>
      <c r="AE166" s="136">
        <f t="shared" si="71"/>
        <v>0.8</v>
      </c>
      <c r="AF166" s="136">
        <f t="shared" si="71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69"/>
        <v>1.5</v>
      </c>
      <c r="C167" s="137">
        <v>1.5</v>
      </c>
      <c r="D167" s="136">
        <f t="shared" si="70"/>
        <v>1.5</v>
      </c>
      <c r="E167" s="136">
        <f t="shared" si="70"/>
        <v>1.5</v>
      </c>
      <c r="F167" s="136">
        <f t="shared" si="70"/>
        <v>1.5</v>
      </c>
      <c r="G167" s="136">
        <f t="shared" si="70"/>
        <v>1.5</v>
      </c>
      <c r="H167" s="136">
        <f t="shared" si="70"/>
        <v>1.5</v>
      </c>
      <c r="I167" s="136">
        <f t="shared" si="70"/>
        <v>1.5</v>
      </c>
      <c r="J167" s="136">
        <f t="shared" si="70"/>
        <v>1.5</v>
      </c>
      <c r="K167" s="136">
        <f t="shared" si="70"/>
        <v>1.5</v>
      </c>
      <c r="L167" s="136">
        <f t="shared" si="70"/>
        <v>1.5</v>
      </c>
      <c r="M167" s="136">
        <f t="shared" si="70"/>
        <v>1.5</v>
      </c>
      <c r="N167" s="136">
        <f t="shared" si="70"/>
        <v>1.5</v>
      </c>
      <c r="O167" s="136">
        <f t="shared" si="70"/>
        <v>1.5</v>
      </c>
      <c r="P167" s="136">
        <f t="shared" si="70"/>
        <v>1.5</v>
      </c>
      <c r="Q167" s="136">
        <f t="shared" si="70"/>
        <v>1.5</v>
      </c>
      <c r="R167" s="136">
        <f t="shared" si="70"/>
        <v>1.5</v>
      </c>
      <c r="S167" s="136">
        <f t="shared" si="71"/>
        <v>1.5</v>
      </c>
      <c r="T167" s="136">
        <f t="shared" si="71"/>
        <v>1.5</v>
      </c>
      <c r="U167" s="136">
        <f t="shared" si="71"/>
        <v>1.5</v>
      </c>
      <c r="V167" s="136">
        <f t="shared" si="71"/>
        <v>1.5</v>
      </c>
      <c r="W167" s="136">
        <f t="shared" si="71"/>
        <v>1.5</v>
      </c>
      <c r="X167" s="136">
        <f t="shared" si="71"/>
        <v>1.5</v>
      </c>
      <c r="Y167" s="136">
        <f t="shared" si="71"/>
        <v>1.5</v>
      </c>
      <c r="Z167" s="136">
        <f t="shared" si="71"/>
        <v>1.5</v>
      </c>
      <c r="AA167" s="136">
        <f t="shared" si="71"/>
        <v>1.5</v>
      </c>
      <c r="AB167" s="136">
        <f t="shared" si="71"/>
        <v>1.5</v>
      </c>
      <c r="AC167" s="136">
        <f t="shared" si="71"/>
        <v>1.5</v>
      </c>
      <c r="AD167" s="136">
        <f t="shared" si="71"/>
        <v>1.5</v>
      </c>
      <c r="AE167" s="136">
        <f t="shared" si="71"/>
        <v>1.5</v>
      </c>
      <c r="AF167" s="136">
        <f t="shared" si="71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69"/>
        <v>1</v>
      </c>
      <c r="C168" s="137">
        <v>1</v>
      </c>
      <c r="D168" s="136">
        <f t="shared" si="70"/>
        <v>1</v>
      </c>
      <c r="E168" s="136">
        <f t="shared" si="70"/>
        <v>1</v>
      </c>
      <c r="F168" s="136">
        <f t="shared" si="70"/>
        <v>1</v>
      </c>
      <c r="G168" s="136">
        <f t="shared" si="70"/>
        <v>1</v>
      </c>
      <c r="H168" s="136">
        <f t="shared" si="70"/>
        <v>1</v>
      </c>
      <c r="I168" s="136">
        <f t="shared" si="70"/>
        <v>1</v>
      </c>
      <c r="J168" s="136">
        <f t="shared" si="70"/>
        <v>1</v>
      </c>
      <c r="K168" s="136">
        <f t="shared" si="70"/>
        <v>1</v>
      </c>
      <c r="L168" s="136">
        <f t="shared" si="70"/>
        <v>1</v>
      </c>
      <c r="M168" s="136">
        <f t="shared" si="70"/>
        <v>1</v>
      </c>
      <c r="N168" s="136">
        <f t="shared" si="70"/>
        <v>1</v>
      </c>
      <c r="O168" s="136">
        <f t="shared" si="70"/>
        <v>1</v>
      </c>
      <c r="P168" s="136">
        <f t="shared" si="70"/>
        <v>1</v>
      </c>
      <c r="Q168" s="136">
        <f t="shared" si="70"/>
        <v>1</v>
      </c>
      <c r="R168" s="136">
        <f t="shared" si="70"/>
        <v>1</v>
      </c>
      <c r="S168" s="136">
        <f t="shared" si="71"/>
        <v>1</v>
      </c>
      <c r="T168" s="136">
        <f t="shared" si="71"/>
        <v>1</v>
      </c>
      <c r="U168" s="136">
        <f t="shared" si="71"/>
        <v>1</v>
      </c>
      <c r="V168" s="136">
        <f t="shared" si="71"/>
        <v>1</v>
      </c>
      <c r="W168" s="136">
        <f t="shared" si="71"/>
        <v>1</v>
      </c>
      <c r="X168" s="136">
        <f t="shared" si="71"/>
        <v>1</v>
      </c>
      <c r="Y168" s="136">
        <f t="shared" si="71"/>
        <v>1</v>
      </c>
      <c r="Z168" s="136">
        <f t="shared" si="71"/>
        <v>1</v>
      </c>
      <c r="AA168" s="136">
        <f t="shared" si="71"/>
        <v>1</v>
      </c>
      <c r="AB168" s="136">
        <f t="shared" si="71"/>
        <v>1</v>
      </c>
      <c r="AC168" s="136">
        <f t="shared" si="71"/>
        <v>1</v>
      </c>
      <c r="AD168" s="136">
        <f t="shared" si="71"/>
        <v>1</v>
      </c>
      <c r="AE168" s="136">
        <f t="shared" si="71"/>
        <v>1</v>
      </c>
      <c r="AF168" s="136">
        <f t="shared" si="71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72">AF170</f>
        <v>1</v>
      </c>
      <c r="C170" s="137">
        <v>1</v>
      </c>
      <c r="D170" s="136">
        <f t="shared" ref="D170:S177" si="73">C170</f>
        <v>1</v>
      </c>
      <c r="E170" s="136">
        <f t="shared" si="73"/>
        <v>1</v>
      </c>
      <c r="F170" s="136">
        <f t="shared" si="73"/>
        <v>1</v>
      </c>
      <c r="G170" s="136">
        <f t="shared" si="73"/>
        <v>1</v>
      </c>
      <c r="H170" s="136">
        <f t="shared" si="73"/>
        <v>1</v>
      </c>
      <c r="I170" s="136">
        <f t="shared" si="73"/>
        <v>1</v>
      </c>
      <c r="J170" s="136">
        <f t="shared" si="73"/>
        <v>1</v>
      </c>
      <c r="K170" s="136">
        <f t="shared" si="73"/>
        <v>1</v>
      </c>
      <c r="L170" s="136">
        <f t="shared" si="73"/>
        <v>1</v>
      </c>
      <c r="M170" s="136">
        <f t="shared" si="73"/>
        <v>1</v>
      </c>
      <c r="N170" s="136">
        <f t="shared" si="73"/>
        <v>1</v>
      </c>
      <c r="O170" s="136">
        <f t="shared" si="73"/>
        <v>1</v>
      </c>
      <c r="P170" s="136">
        <f t="shared" si="73"/>
        <v>1</v>
      </c>
      <c r="Q170" s="136">
        <f t="shared" si="73"/>
        <v>1</v>
      </c>
      <c r="R170" s="136">
        <f t="shared" si="73"/>
        <v>1</v>
      </c>
      <c r="S170" s="136">
        <f t="shared" si="73"/>
        <v>1</v>
      </c>
      <c r="T170" s="136">
        <f t="shared" ref="S170:AF177" si="74">S170</f>
        <v>1</v>
      </c>
      <c r="U170" s="136">
        <f t="shared" si="74"/>
        <v>1</v>
      </c>
      <c r="V170" s="136">
        <f t="shared" si="74"/>
        <v>1</v>
      </c>
      <c r="W170" s="136">
        <f t="shared" si="74"/>
        <v>1</v>
      </c>
      <c r="X170" s="136">
        <f t="shared" si="74"/>
        <v>1</v>
      </c>
      <c r="Y170" s="136">
        <f t="shared" si="74"/>
        <v>1</v>
      </c>
      <c r="Z170" s="136">
        <f t="shared" si="74"/>
        <v>1</v>
      </c>
      <c r="AA170" s="136">
        <f t="shared" si="74"/>
        <v>1</v>
      </c>
      <c r="AB170" s="136">
        <f t="shared" si="74"/>
        <v>1</v>
      </c>
      <c r="AC170" s="136">
        <f t="shared" si="74"/>
        <v>1</v>
      </c>
      <c r="AD170" s="136">
        <f t="shared" si="74"/>
        <v>1</v>
      </c>
      <c r="AE170" s="136">
        <f t="shared" si="74"/>
        <v>1</v>
      </c>
      <c r="AF170" s="136">
        <f t="shared" si="74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72"/>
        <v>0.42</v>
      </c>
      <c r="C171" s="137">
        <v>0.42</v>
      </c>
      <c r="D171" s="136">
        <f t="shared" si="73"/>
        <v>0.42</v>
      </c>
      <c r="E171" s="136">
        <f t="shared" si="73"/>
        <v>0.42</v>
      </c>
      <c r="F171" s="136">
        <f t="shared" si="73"/>
        <v>0.42</v>
      </c>
      <c r="G171" s="136">
        <f t="shared" si="73"/>
        <v>0.42</v>
      </c>
      <c r="H171" s="136">
        <f t="shared" si="73"/>
        <v>0.42</v>
      </c>
      <c r="I171" s="136">
        <f t="shared" si="73"/>
        <v>0.42</v>
      </c>
      <c r="J171" s="136">
        <f t="shared" si="73"/>
        <v>0.42</v>
      </c>
      <c r="K171" s="136">
        <f t="shared" si="73"/>
        <v>0.42</v>
      </c>
      <c r="L171" s="136">
        <f t="shared" si="73"/>
        <v>0.42</v>
      </c>
      <c r="M171" s="136">
        <f t="shared" si="73"/>
        <v>0.42</v>
      </c>
      <c r="N171" s="136">
        <f t="shared" si="73"/>
        <v>0.42</v>
      </c>
      <c r="O171" s="136">
        <f t="shared" si="73"/>
        <v>0.42</v>
      </c>
      <c r="P171" s="136">
        <f t="shared" si="73"/>
        <v>0.42</v>
      </c>
      <c r="Q171" s="136">
        <f t="shared" si="73"/>
        <v>0.42</v>
      </c>
      <c r="R171" s="136">
        <f t="shared" si="73"/>
        <v>0.42</v>
      </c>
      <c r="S171" s="136">
        <f t="shared" si="74"/>
        <v>0.42</v>
      </c>
      <c r="T171" s="136">
        <f t="shared" si="74"/>
        <v>0.42</v>
      </c>
      <c r="U171" s="136">
        <f t="shared" si="74"/>
        <v>0.42</v>
      </c>
      <c r="V171" s="136">
        <f t="shared" si="74"/>
        <v>0.42</v>
      </c>
      <c r="W171" s="136">
        <f t="shared" si="74"/>
        <v>0.42</v>
      </c>
      <c r="X171" s="136">
        <f t="shared" si="74"/>
        <v>0.42</v>
      </c>
      <c r="Y171" s="136">
        <f t="shared" si="74"/>
        <v>0.42</v>
      </c>
      <c r="Z171" s="136">
        <f t="shared" si="74"/>
        <v>0.42</v>
      </c>
      <c r="AA171" s="136">
        <f t="shared" si="74"/>
        <v>0.42</v>
      </c>
      <c r="AB171" s="136">
        <f t="shared" si="74"/>
        <v>0.42</v>
      </c>
      <c r="AC171" s="136">
        <f t="shared" si="74"/>
        <v>0.42</v>
      </c>
      <c r="AD171" s="136">
        <f t="shared" si="74"/>
        <v>0.42</v>
      </c>
      <c r="AE171" s="136">
        <f t="shared" si="74"/>
        <v>0.42</v>
      </c>
      <c r="AF171" s="136">
        <f t="shared" si="74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72"/>
        <v>0.46</v>
      </c>
      <c r="C172" s="137">
        <v>0.46</v>
      </c>
      <c r="D172" s="136">
        <f t="shared" si="73"/>
        <v>0.46</v>
      </c>
      <c r="E172" s="136">
        <f t="shared" si="73"/>
        <v>0.46</v>
      </c>
      <c r="F172" s="136">
        <f t="shared" si="73"/>
        <v>0.46</v>
      </c>
      <c r="G172" s="136">
        <f t="shared" si="73"/>
        <v>0.46</v>
      </c>
      <c r="H172" s="136">
        <f t="shared" si="73"/>
        <v>0.46</v>
      </c>
      <c r="I172" s="136">
        <f t="shared" si="73"/>
        <v>0.46</v>
      </c>
      <c r="J172" s="136">
        <f t="shared" si="73"/>
        <v>0.46</v>
      </c>
      <c r="K172" s="136">
        <f t="shared" si="73"/>
        <v>0.46</v>
      </c>
      <c r="L172" s="136">
        <f t="shared" si="73"/>
        <v>0.46</v>
      </c>
      <c r="M172" s="136">
        <f t="shared" si="73"/>
        <v>0.46</v>
      </c>
      <c r="N172" s="136">
        <f t="shared" si="73"/>
        <v>0.46</v>
      </c>
      <c r="O172" s="136">
        <f t="shared" si="73"/>
        <v>0.46</v>
      </c>
      <c r="P172" s="136">
        <f t="shared" si="73"/>
        <v>0.46</v>
      </c>
      <c r="Q172" s="136">
        <f t="shared" si="73"/>
        <v>0.46</v>
      </c>
      <c r="R172" s="136">
        <f t="shared" si="73"/>
        <v>0.46</v>
      </c>
      <c r="S172" s="136">
        <f t="shared" si="74"/>
        <v>0.46</v>
      </c>
      <c r="T172" s="136">
        <f t="shared" si="74"/>
        <v>0.46</v>
      </c>
      <c r="U172" s="136">
        <f t="shared" si="74"/>
        <v>0.46</v>
      </c>
      <c r="V172" s="136">
        <f t="shared" si="74"/>
        <v>0.46</v>
      </c>
      <c r="W172" s="136">
        <f t="shared" si="74"/>
        <v>0.46</v>
      </c>
      <c r="X172" s="136">
        <f t="shared" si="74"/>
        <v>0.46</v>
      </c>
      <c r="Y172" s="136">
        <f t="shared" si="74"/>
        <v>0.46</v>
      </c>
      <c r="Z172" s="136">
        <f t="shared" si="74"/>
        <v>0.46</v>
      </c>
      <c r="AA172" s="136">
        <f t="shared" si="74"/>
        <v>0.46</v>
      </c>
      <c r="AB172" s="136">
        <f t="shared" si="74"/>
        <v>0.46</v>
      </c>
      <c r="AC172" s="136">
        <f t="shared" si="74"/>
        <v>0.46</v>
      </c>
      <c r="AD172" s="136">
        <f t="shared" si="74"/>
        <v>0.46</v>
      </c>
      <c r="AE172" s="136">
        <f t="shared" si="74"/>
        <v>0.46</v>
      </c>
      <c r="AF172" s="136">
        <f t="shared" si="74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72"/>
        <v>0.85</v>
      </c>
      <c r="C173" s="137">
        <v>0.85</v>
      </c>
      <c r="D173" s="136">
        <f t="shared" si="73"/>
        <v>0.85</v>
      </c>
      <c r="E173" s="136">
        <f t="shared" si="73"/>
        <v>0.85</v>
      </c>
      <c r="F173" s="136">
        <f t="shared" si="73"/>
        <v>0.85</v>
      </c>
      <c r="G173" s="136">
        <f t="shared" si="73"/>
        <v>0.85</v>
      </c>
      <c r="H173" s="136">
        <f t="shared" si="73"/>
        <v>0.85</v>
      </c>
      <c r="I173" s="136">
        <f t="shared" si="73"/>
        <v>0.85</v>
      </c>
      <c r="J173" s="136">
        <f t="shared" si="73"/>
        <v>0.85</v>
      </c>
      <c r="K173" s="136">
        <f t="shared" si="73"/>
        <v>0.85</v>
      </c>
      <c r="L173" s="136">
        <f t="shared" si="73"/>
        <v>0.85</v>
      </c>
      <c r="M173" s="136">
        <f t="shared" si="73"/>
        <v>0.85</v>
      </c>
      <c r="N173" s="136">
        <f t="shared" si="73"/>
        <v>0.85</v>
      </c>
      <c r="O173" s="136">
        <f t="shared" si="73"/>
        <v>0.85</v>
      </c>
      <c r="P173" s="136">
        <f t="shared" si="73"/>
        <v>0.85</v>
      </c>
      <c r="Q173" s="136">
        <f t="shared" si="73"/>
        <v>0.85</v>
      </c>
      <c r="R173" s="136">
        <f t="shared" si="73"/>
        <v>0.85</v>
      </c>
      <c r="S173" s="136">
        <f t="shared" si="74"/>
        <v>0.85</v>
      </c>
      <c r="T173" s="136">
        <f t="shared" si="74"/>
        <v>0.85</v>
      </c>
      <c r="U173" s="136">
        <f t="shared" si="74"/>
        <v>0.85</v>
      </c>
      <c r="V173" s="136">
        <f t="shared" si="74"/>
        <v>0.85</v>
      </c>
      <c r="W173" s="136">
        <f t="shared" si="74"/>
        <v>0.85</v>
      </c>
      <c r="X173" s="136">
        <f t="shared" si="74"/>
        <v>0.85</v>
      </c>
      <c r="Y173" s="136">
        <f t="shared" si="74"/>
        <v>0.85</v>
      </c>
      <c r="Z173" s="136">
        <f t="shared" si="74"/>
        <v>0.85</v>
      </c>
      <c r="AA173" s="136">
        <f t="shared" si="74"/>
        <v>0.85</v>
      </c>
      <c r="AB173" s="136">
        <f t="shared" si="74"/>
        <v>0.85</v>
      </c>
      <c r="AC173" s="136">
        <f t="shared" si="74"/>
        <v>0.85</v>
      </c>
      <c r="AD173" s="136">
        <f t="shared" si="74"/>
        <v>0.85</v>
      </c>
      <c r="AE173" s="136">
        <f t="shared" si="74"/>
        <v>0.85</v>
      </c>
      <c r="AF173" s="136">
        <f t="shared" si="74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72"/>
        <v>0.9</v>
      </c>
      <c r="C174" s="137">
        <v>0.9</v>
      </c>
      <c r="D174" s="136">
        <f t="shared" si="73"/>
        <v>0.9</v>
      </c>
      <c r="E174" s="136">
        <f t="shared" si="73"/>
        <v>0.9</v>
      </c>
      <c r="F174" s="136">
        <f t="shared" si="73"/>
        <v>0.9</v>
      </c>
      <c r="G174" s="136">
        <f t="shared" si="73"/>
        <v>0.9</v>
      </c>
      <c r="H174" s="136">
        <f t="shared" si="73"/>
        <v>0.9</v>
      </c>
      <c r="I174" s="136">
        <f t="shared" si="73"/>
        <v>0.9</v>
      </c>
      <c r="J174" s="136">
        <f t="shared" si="73"/>
        <v>0.9</v>
      </c>
      <c r="K174" s="136">
        <f t="shared" si="73"/>
        <v>0.9</v>
      </c>
      <c r="L174" s="136">
        <f t="shared" si="73"/>
        <v>0.9</v>
      </c>
      <c r="M174" s="136">
        <f t="shared" si="73"/>
        <v>0.9</v>
      </c>
      <c r="N174" s="136">
        <f t="shared" si="73"/>
        <v>0.9</v>
      </c>
      <c r="O174" s="136">
        <f t="shared" si="73"/>
        <v>0.9</v>
      </c>
      <c r="P174" s="136">
        <f t="shared" si="73"/>
        <v>0.9</v>
      </c>
      <c r="Q174" s="136">
        <f t="shared" si="73"/>
        <v>0.9</v>
      </c>
      <c r="R174" s="136">
        <f t="shared" si="73"/>
        <v>0.9</v>
      </c>
      <c r="S174" s="136">
        <f t="shared" si="74"/>
        <v>0.9</v>
      </c>
      <c r="T174" s="136">
        <f t="shared" si="74"/>
        <v>0.9</v>
      </c>
      <c r="U174" s="136">
        <f t="shared" si="74"/>
        <v>0.9</v>
      </c>
      <c r="V174" s="136">
        <f t="shared" si="74"/>
        <v>0.9</v>
      </c>
      <c r="W174" s="136">
        <f t="shared" si="74"/>
        <v>0.9</v>
      </c>
      <c r="X174" s="136">
        <f t="shared" si="74"/>
        <v>0.9</v>
      </c>
      <c r="Y174" s="136">
        <f t="shared" si="74"/>
        <v>0.9</v>
      </c>
      <c r="Z174" s="136">
        <f t="shared" si="74"/>
        <v>0.9</v>
      </c>
      <c r="AA174" s="136">
        <f t="shared" si="74"/>
        <v>0.9</v>
      </c>
      <c r="AB174" s="136">
        <f t="shared" si="74"/>
        <v>0.9</v>
      </c>
      <c r="AC174" s="136">
        <f t="shared" si="74"/>
        <v>0.9</v>
      </c>
      <c r="AD174" s="136">
        <f t="shared" si="74"/>
        <v>0.9</v>
      </c>
      <c r="AE174" s="136">
        <f t="shared" si="74"/>
        <v>0.9</v>
      </c>
      <c r="AF174" s="136">
        <f t="shared" si="74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72"/>
        <v>0.44</v>
      </c>
      <c r="C175" s="137">
        <v>0.44</v>
      </c>
      <c r="D175" s="136">
        <f t="shared" si="73"/>
        <v>0.44</v>
      </c>
      <c r="E175" s="136">
        <f t="shared" si="73"/>
        <v>0.44</v>
      </c>
      <c r="F175" s="136">
        <f t="shared" si="73"/>
        <v>0.44</v>
      </c>
      <c r="G175" s="136">
        <f t="shared" si="73"/>
        <v>0.44</v>
      </c>
      <c r="H175" s="136">
        <f t="shared" si="73"/>
        <v>0.44</v>
      </c>
      <c r="I175" s="136">
        <f t="shared" si="73"/>
        <v>0.44</v>
      </c>
      <c r="J175" s="136">
        <f t="shared" si="73"/>
        <v>0.44</v>
      </c>
      <c r="K175" s="136">
        <f t="shared" si="73"/>
        <v>0.44</v>
      </c>
      <c r="L175" s="136">
        <f t="shared" si="73"/>
        <v>0.44</v>
      </c>
      <c r="M175" s="136">
        <f t="shared" si="73"/>
        <v>0.44</v>
      </c>
      <c r="N175" s="136">
        <f t="shared" si="73"/>
        <v>0.44</v>
      </c>
      <c r="O175" s="136">
        <f t="shared" si="73"/>
        <v>0.44</v>
      </c>
      <c r="P175" s="136">
        <f t="shared" si="73"/>
        <v>0.44</v>
      </c>
      <c r="Q175" s="136">
        <f t="shared" si="73"/>
        <v>0.44</v>
      </c>
      <c r="R175" s="136">
        <f t="shared" si="73"/>
        <v>0.44</v>
      </c>
      <c r="S175" s="136">
        <f t="shared" si="74"/>
        <v>0.44</v>
      </c>
      <c r="T175" s="136">
        <f t="shared" si="74"/>
        <v>0.44</v>
      </c>
      <c r="U175" s="136">
        <f t="shared" si="74"/>
        <v>0.44</v>
      </c>
      <c r="V175" s="136">
        <f t="shared" si="74"/>
        <v>0.44</v>
      </c>
      <c r="W175" s="136">
        <f t="shared" si="74"/>
        <v>0.44</v>
      </c>
      <c r="X175" s="136">
        <f t="shared" si="74"/>
        <v>0.44</v>
      </c>
      <c r="Y175" s="136">
        <f t="shared" si="74"/>
        <v>0.44</v>
      </c>
      <c r="Z175" s="136">
        <f t="shared" si="74"/>
        <v>0.44</v>
      </c>
      <c r="AA175" s="136">
        <f t="shared" si="74"/>
        <v>0.44</v>
      </c>
      <c r="AB175" s="136">
        <f t="shared" si="74"/>
        <v>0.44</v>
      </c>
      <c r="AC175" s="136">
        <f t="shared" si="74"/>
        <v>0.44</v>
      </c>
      <c r="AD175" s="136">
        <f t="shared" si="74"/>
        <v>0.44</v>
      </c>
      <c r="AE175" s="136">
        <f t="shared" si="74"/>
        <v>0.44</v>
      </c>
      <c r="AF175" s="136">
        <f t="shared" si="74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72"/>
        <v>2.1</v>
      </c>
      <c r="C176" s="137">
        <v>2.1</v>
      </c>
      <c r="D176" s="136">
        <f t="shared" si="73"/>
        <v>2.1</v>
      </c>
      <c r="E176" s="136">
        <f t="shared" si="73"/>
        <v>2.1</v>
      </c>
      <c r="F176" s="136">
        <f t="shared" si="73"/>
        <v>2.1</v>
      </c>
      <c r="G176" s="136">
        <f t="shared" si="73"/>
        <v>2.1</v>
      </c>
      <c r="H176" s="136">
        <f t="shared" si="73"/>
        <v>2.1</v>
      </c>
      <c r="I176" s="136">
        <f t="shared" si="73"/>
        <v>2.1</v>
      </c>
      <c r="J176" s="136">
        <f t="shared" si="73"/>
        <v>2.1</v>
      </c>
      <c r="K176" s="136">
        <f t="shared" si="73"/>
        <v>2.1</v>
      </c>
      <c r="L176" s="136">
        <f t="shared" si="73"/>
        <v>2.1</v>
      </c>
      <c r="M176" s="136">
        <f t="shared" si="73"/>
        <v>2.1</v>
      </c>
      <c r="N176" s="136">
        <f t="shared" si="73"/>
        <v>2.1</v>
      </c>
      <c r="O176" s="136">
        <f t="shared" si="73"/>
        <v>2.1</v>
      </c>
      <c r="P176" s="136">
        <f t="shared" si="73"/>
        <v>2.1</v>
      </c>
      <c r="Q176" s="136">
        <f t="shared" si="73"/>
        <v>2.1</v>
      </c>
      <c r="R176" s="136">
        <f t="shared" si="73"/>
        <v>2.1</v>
      </c>
      <c r="S176" s="136">
        <f t="shared" si="74"/>
        <v>2.1</v>
      </c>
      <c r="T176" s="136">
        <f t="shared" si="74"/>
        <v>2.1</v>
      </c>
      <c r="U176" s="136">
        <f t="shared" si="74"/>
        <v>2.1</v>
      </c>
      <c r="V176" s="136">
        <f t="shared" si="74"/>
        <v>2.1</v>
      </c>
      <c r="W176" s="136">
        <f t="shared" si="74"/>
        <v>2.1</v>
      </c>
      <c r="X176" s="136">
        <f t="shared" si="74"/>
        <v>2.1</v>
      </c>
      <c r="Y176" s="136">
        <f t="shared" si="74"/>
        <v>2.1</v>
      </c>
      <c r="Z176" s="136">
        <f t="shared" si="74"/>
        <v>2.1</v>
      </c>
      <c r="AA176" s="136">
        <f t="shared" si="74"/>
        <v>2.1</v>
      </c>
      <c r="AB176" s="136">
        <f t="shared" si="74"/>
        <v>2.1</v>
      </c>
      <c r="AC176" s="136">
        <f t="shared" si="74"/>
        <v>2.1</v>
      </c>
      <c r="AD176" s="136">
        <f t="shared" si="74"/>
        <v>2.1</v>
      </c>
      <c r="AE176" s="136">
        <f t="shared" si="74"/>
        <v>2.1</v>
      </c>
      <c r="AF176" s="136">
        <f t="shared" si="74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72"/>
        <v>0.9</v>
      </c>
      <c r="C177" s="137">
        <v>0.9</v>
      </c>
      <c r="D177" s="136">
        <f t="shared" si="73"/>
        <v>0.9</v>
      </c>
      <c r="E177" s="136">
        <f t="shared" si="73"/>
        <v>0.9</v>
      </c>
      <c r="F177" s="136">
        <f t="shared" si="73"/>
        <v>0.9</v>
      </c>
      <c r="G177" s="136">
        <f t="shared" si="73"/>
        <v>0.9</v>
      </c>
      <c r="H177" s="136">
        <f t="shared" si="73"/>
        <v>0.9</v>
      </c>
      <c r="I177" s="136">
        <f t="shared" si="73"/>
        <v>0.9</v>
      </c>
      <c r="J177" s="136">
        <f t="shared" si="73"/>
        <v>0.9</v>
      </c>
      <c r="K177" s="136">
        <f t="shared" si="73"/>
        <v>0.9</v>
      </c>
      <c r="L177" s="136">
        <f t="shared" si="73"/>
        <v>0.9</v>
      </c>
      <c r="M177" s="136">
        <f t="shared" si="73"/>
        <v>0.9</v>
      </c>
      <c r="N177" s="136">
        <f t="shared" si="73"/>
        <v>0.9</v>
      </c>
      <c r="O177" s="136">
        <f t="shared" si="73"/>
        <v>0.9</v>
      </c>
      <c r="P177" s="136">
        <f t="shared" si="73"/>
        <v>0.9</v>
      </c>
      <c r="Q177" s="136">
        <f t="shared" si="73"/>
        <v>0.9</v>
      </c>
      <c r="R177" s="136">
        <f t="shared" si="73"/>
        <v>0.9</v>
      </c>
      <c r="S177" s="136">
        <f t="shared" si="74"/>
        <v>0.9</v>
      </c>
      <c r="T177" s="136">
        <f t="shared" si="74"/>
        <v>0.9</v>
      </c>
      <c r="U177" s="136">
        <f t="shared" si="74"/>
        <v>0.9</v>
      </c>
      <c r="V177" s="136">
        <f t="shared" si="74"/>
        <v>0.9</v>
      </c>
      <c r="W177" s="136">
        <f t="shared" si="74"/>
        <v>0.9</v>
      </c>
      <c r="X177" s="136">
        <f t="shared" si="74"/>
        <v>0.9</v>
      </c>
      <c r="Y177" s="136">
        <f t="shared" si="74"/>
        <v>0.9</v>
      </c>
      <c r="Z177" s="136">
        <f t="shared" si="74"/>
        <v>0.9</v>
      </c>
      <c r="AA177" s="136">
        <f t="shared" si="74"/>
        <v>0.9</v>
      </c>
      <c r="AB177" s="136">
        <f t="shared" si="74"/>
        <v>0.9</v>
      </c>
      <c r="AC177" s="136">
        <f t="shared" si="74"/>
        <v>0.9</v>
      </c>
      <c r="AD177" s="136">
        <f t="shared" si="74"/>
        <v>0.9</v>
      </c>
      <c r="AE177" s="136">
        <f t="shared" si="74"/>
        <v>0.9</v>
      </c>
      <c r="AF177" s="136">
        <f t="shared" si="74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75">AF179</f>
        <v>0.57999999999999996</v>
      </c>
      <c r="C179" s="137">
        <v>0.57999999999999996</v>
      </c>
      <c r="D179" s="136">
        <f t="shared" ref="D179:S191" si="76">C179</f>
        <v>0.57999999999999996</v>
      </c>
      <c r="E179" s="136">
        <f t="shared" si="76"/>
        <v>0.57999999999999996</v>
      </c>
      <c r="F179" s="136">
        <f t="shared" si="76"/>
        <v>0.57999999999999996</v>
      </c>
      <c r="G179" s="136">
        <f t="shared" si="76"/>
        <v>0.57999999999999996</v>
      </c>
      <c r="H179" s="136">
        <f t="shared" si="76"/>
        <v>0.57999999999999996</v>
      </c>
      <c r="I179" s="136">
        <f t="shared" si="76"/>
        <v>0.57999999999999996</v>
      </c>
      <c r="J179" s="136">
        <f t="shared" si="76"/>
        <v>0.57999999999999996</v>
      </c>
      <c r="K179" s="136">
        <f t="shared" si="76"/>
        <v>0.57999999999999996</v>
      </c>
      <c r="L179" s="136">
        <f t="shared" si="76"/>
        <v>0.57999999999999996</v>
      </c>
      <c r="M179" s="136">
        <f t="shared" si="76"/>
        <v>0.57999999999999996</v>
      </c>
      <c r="N179" s="136">
        <f t="shared" si="76"/>
        <v>0.57999999999999996</v>
      </c>
      <c r="O179" s="136">
        <f t="shared" si="76"/>
        <v>0.57999999999999996</v>
      </c>
      <c r="P179" s="136">
        <f t="shared" si="76"/>
        <v>0.57999999999999996</v>
      </c>
      <c r="Q179" s="136">
        <f t="shared" si="76"/>
        <v>0.57999999999999996</v>
      </c>
      <c r="R179" s="136">
        <f t="shared" si="76"/>
        <v>0.57999999999999996</v>
      </c>
      <c r="S179" s="136">
        <f t="shared" si="76"/>
        <v>0.57999999999999996</v>
      </c>
      <c r="T179" s="136">
        <f t="shared" ref="S179:AF191" si="77">S179</f>
        <v>0.57999999999999996</v>
      </c>
      <c r="U179" s="136">
        <f t="shared" si="77"/>
        <v>0.57999999999999996</v>
      </c>
      <c r="V179" s="136">
        <f t="shared" si="77"/>
        <v>0.57999999999999996</v>
      </c>
      <c r="W179" s="136">
        <f t="shared" si="77"/>
        <v>0.57999999999999996</v>
      </c>
      <c r="X179" s="136">
        <f t="shared" si="77"/>
        <v>0.57999999999999996</v>
      </c>
      <c r="Y179" s="136">
        <f t="shared" si="77"/>
        <v>0.57999999999999996</v>
      </c>
      <c r="Z179" s="136">
        <f t="shared" si="77"/>
        <v>0.57999999999999996</v>
      </c>
      <c r="AA179" s="136">
        <f t="shared" si="77"/>
        <v>0.57999999999999996</v>
      </c>
      <c r="AB179" s="136">
        <f t="shared" si="77"/>
        <v>0.57999999999999996</v>
      </c>
      <c r="AC179" s="136">
        <f t="shared" si="77"/>
        <v>0.57999999999999996</v>
      </c>
      <c r="AD179" s="136">
        <f t="shared" si="77"/>
        <v>0.57999999999999996</v>
      </c>
      <c r="AE179" s="136">
        <f t="shared" si="77"/>
        <v>0.57999999999999996</v>
      </c>
      <c r="AF179" s="136">
        <f t="shared" si="77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75"/>
        <v>0.8</v>
      </c>
      <c r="C180" s="137">
        <v>0.8</v>
      </c>
      <c r="D180" s="136">
        <f t="shared" si="76"/>
        <v>0.8</v>
      </c>
      <c r="E180" s="136">
        <f t="shared" si="76"/>
        <v>0.8</v>
      </c>
      <c r="F180" s="136">
        <f t="shared" si="76"/>
        <v>0.8</v>
      </c>
      <c r="G180" s="136">
        <f t="shared" si="76"/>
        <v>0.8</v>
      </c>
      <c r="H180" s="136">
        <f t="shared" si="76"/>
        <v>0.8</v>
      </c>
      <c r="I180" s="136">
        <f t="shared" si="76"/>
        <v>0.8</v>
      </c>
      <c r="J180" s="136">
        <f t="shared" si="76"/>
        <v>0.8</v>
      </c>
      <c r="K180" s="136">
        <f t="shared" si="76"/>
        <v>0.8</v>
      </c>
      <c r="L180" s="136">
        <f t="shared" si="76"/>
        <v>0.8</v>
      </c>
      <c r="M180" s="136">
        <f t="shared" si="76"/>
        <v>0.8</v>
      </c>
      <c r="N180" s="136">
        <f t="shared" si="76"/>
        <v>0.8</v>
      </c>
      <c r="O180" s="136">
        <f t="shared" si="76"/>
        <v>0.8</v>
      </c>
      <c r="P180" s="136">
        <f t="shared" si="76"/>
        <v>0.8</v>
      </c>
      <c r="Q180" s="136">
        <f t="shared" si="76"/>
        <v>0.8</v>
      </c>
      <c r="R180" s="136">
        <f t="shared" si="76"/>
        <v>0.8</v>
      </c>
      <c r="S180" s="136">
        <f t="shared" si="76"/>
        <v>0.8</v>
      </c>
      <c r="T180" s="136">
        <f t="shared" si="77"/>
        <v>0.8</v>
      </c>
      <c r="U180" s="136">
        <f t="shared" si="77"/>
        <v>0.8</v>
      </c>
      <c r="V180" s="136">
        <f t="shared" si="77"/>
        <v>0.8</v>
      </c>
      <c r="W180" s="136">
        <f t="shared" si="77"/>
        <v>0.8</v>
      </c>
      <c r="X180" s="136">
        <f t="shared" si="77"/>
        <v>0.8</v>
      </c>
      <c r="Y180" s="136">
        <f t="shared" si="77"/>
        <v>0.8</v>
      </c>
      <c r="Z180" s="136">
        <f t="shared" si="77"/>
        <v>0.8</v>
      </c>
      <c r="AA180" s="136">
        <f t="shared" si="77"/>
        <v>0.8</v>
      </c>
      <c r="AB180" s="136">
        <f t="shared" si="77"/>
        <v>0.8</v>
      </c>
      <c r="AC180" s="136">
        <f t="shared" si="77"/>
        <v>0.8</v>
      </c>
      <c r="AD180" s="136">
        <f t="shared" si="77"/>
        <v>0.8</v>
      </c>
      <c r="AE180" s="136">
        <f t="shared" si="77"/>
        <v>0.8</v>
      </c>
      <c r="AF180" s="136">
        <f t="shared" si="77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75"/>
        <v>0</v>
      </c>
      <c r="C181" s="137">
        <v>0</v>
      </c>
      <c r="D181" s="136">
        <f t="shared" si="76"/>
        <v>0</v>
      </c>
      <c r="E181" s="136">
        <f t="shared" si="76"/>
        <v>0</v>
      </c>
      <c r="F181" s="136">
        <f t="shared" si="76"/>
        <v>0</v>
      </c>
      <c r="G181" s="136">
        <f t="shared" si="76"/>
        <v>0</v>
      </c>
      <c r="H181" s="136">
        <f t="shared" si="76"/>
        <v>0</v>
      </c>
      <c r="I181" s="136">
        <f t="shared" si="76"/>
        <v>0</v>
      </c>
      <c r="J181" s="136">
        <f t="shared" si="76"/>
        <v>0</v>
      </c>
      <c r="K181" s="136">
        <f t="shared" si="76"/>
        <v>0</v>
      </c>
      <c r="L181" s="136">
        <f t="shared" si="76"/>
        <v>0</v>
      </c>
      <c r="M181" s="136">
        <f t="shared" si="76"/>
        <v>0</v>
      </c>
      <c r="N181" s="136">
        <f t="shared" si="76"/>
        <v>0</v>
      </c>
      <c r="O181" s="136">
        <f t="shared" si="76"/>
        <v>0</v>
      </c>
      <c r="P181" s="136">
        <f t="shared" si="76"/>
        <v>0</v>
      </c>
      <c r="Q181" s="136">
        <f t="shared" si="76"/>
        <v>0</v>
      </c>
      <c r="R181" s="136">
        <f t="shared" si="76"/>
        <v>0</v>
      </c>
      <c r="S181" s="136">
        <f t="shared" si="76"/>
        <v>0</v>
      </c>
      <c r="T181" s="136">
        <f t="shared" si="77"/>
        <v>0</v>
      </c>
      <c r="U181" s="136">
        <f t="shared" si="77"/>
        <v>0</v>
      </c>
      <c r="V181" s="136">
        <f t="shared" si="77"/>
        <v>0</v>
      </c>
      <c r="W181" s="136">
        <f t="shared" si="77"/>
        <v>0</v>
      </c>
      <c r="X181" s="136">
        <f t="shared" si="77"/>
        <v>0</v>
      </c>
      <c r="Y181" s="136">
        <f t="shared" si="77"/>
        <v>0</v>
      </c>
      <c r="Z181" s="136">
        <f t="shared" si="77"/>
        <v>0</v>
      </c>
      <c r="AA181" s="136">
        <f t="shared" si="77"/>
        <v>0</v>
      </c>
      <c r="AB181" s="136">
        <f t="shared" si="77"/>
        <v>0</v>
      </c>
      <c r="AC181" s="136">
        <f t="shared" si="77"/>
        <v>0</v>
      </c>
      <c r="AD181" s="136">
        <f t="shared" si="77"/>
        <v>0</v>
      </c>
      <c r="AE181" s="136">
        <f t="shared" si="77"/>
        <v>0</v>
      </c>
      <c r="AF181" s="136">
        <f t="shared" si="77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75"/>
        <v>0.6</v>
      </c>
      <c r="C182" s="137">
        <v>0.6</v>
      </c>
      <c r="D182" s="136">
        <f t="shared" si="76"/>
        <v>0.6</v>
      </c>
      <c r="E182" s="136">
        <f t="shared" si="76"/>
        <v>0.6</v>
      </c>
      <c r="F182" s="136">
        <f t="shared" si="76"/>
        <v>0.6</v>
      </c>
      <c r="G182" s="136">
        <f t="shared" si="76"/>
        <v>0.6</v>
      </c>
      <c r="H182" s="136">
        <f t="shared" si="76"/>
        <v>0.6</v>
      </c>
      <c r="I182" s="136">
        <f t="shared" si="76"/>
        <v>0.6</v>
      </c>
      <c r="J182" s="136">
        <f t="shared" si="76"/>
        <v>0.6</v>
      </c>
      <c r="K182" s="136">
        <f t="shared" si="76"/>
        <v>0.6</v>
      </c>
      <c r="L182" s="136">
        <f t="shared" si="76"/>
        <v>0.6</v>
      </c>
      <c r="M182" s="136">
        <f t="shared" si="76"/>
        <v>0.6</v>
      </c>
      <c r="N182" s="136">
        <f t="shared" si="76"/>
        <v>0.6</v>
      </c>
      <c r="O182" s="136">
        <f t="shared" si="76"/>
        <v>0.6</v>
      </c>
      <c r="P182" s="136">
        <f t="shared" si="76"/>
        <v>0.6</v>
      </c>
      <c r="Q182" s="136">
        <f t="shared" si="76"/>
        <v>0.6</v>
      </c>
      <c r="R182" s="136">
        <f t="shared" si="76"/>
        <v>0.6</v>
      </c>
      <c r="S182" s="136">
        <f t="shared" si="76"/>
        <v>0.6</v>
      </c>
      <c r="T182" s="136">
        <f t="shared" si="77"/>
        <v>0.6</v>
      </c>
      <c r="U182" s="136">
        <f t="shared" si="77"/>
        <v>0.6</v>
      </c>
      <c r="V182" s="136">
        <f t="shared" si="77"/>
        <v>0.6</v>
      </c>
      <c r="W182" s="136">
        <f t="shared" si="77"/>
        <v>0.6</v>
      </c>
      <c r="X182" s="136">
        <f t="shared" si="77"/>
        <v>0.6</v>
      </c>
      <c r="Y182" s="136">
        <f t="shared" si="77"/>
        <v>0.6</v>
      </c>
      <c r="Z182" s="136">
        <f t="shared" si="77"/>
        <v>0.6</v>
      </c>
      <c r="AA182" s="136">
        <f t="shared" si="77"/>
        <v>0.6</v>
      </c>
      <c r="AB182" s="136">
        <f t="shared" si="77"/>
        <v>0.6</v>
      </c>
      <c r="AC182" s="136">
        <f t="shared" si="77"/>
        <v>0.6</v>
      </c>
      <c r="AD182" s="136">
        <f t="shared" si="77"/>
        <v>0.6</v>
      </c>
      <c r="AE182" s="136">
        <f t="shared" si="77"/>
        <v>0.6</v>
      </c>
      <c r="AF182" s="136">
        <f t="shared" si="77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75"/>
        <v>0.6</v>
      </c>
      <c r="C183" s="137">
        <v>0.6</v>
      </c>
      <c r="D183" s="136">
        <f t="shared" si="76"/>
        <v>0.6</v>
      </c>
      <c r="E183" s="136">
        <f t="shared" si="76"/>
        <v>0.6</v>
      </c>
      <c r="F183" s="136">
        <f t="shared" si="76"/>
        <v>0.6</v>
      </c>
      <c r="G183" s="136">
        <f t="shared" si="76"/>
        <v>0.6</v>
      </c>
      <c r="H183" s="136">
        <f t="shared" si="76"/>
        <v>0.6</v>
      </c>
      <c r="I183" s="136">
        <f t="shared" si="76"/>
        <v>0.6</v>
      </c>
      <c r="J183" s="136">
        <f t="shared" si="76"/>
        <v>0.6</v>
      </c>
      <c r="K183" s="136">
        <f t="shared" si="76"/>
        <v>0.6</v>
      </c>
      <c r="L183" s="136">
        <f t="shared" si="76"/>
        <v>0.6</v>
      </c>
      <c r="M183" s="136">
        <f t="shared" si="76"/>
        <v>0.6</v>
      </c>
      <c r="N183" s="136">
        <f t="shared" si="76"/>
        <v>0.6</v>
      </c>
      <c r="O183" s="136">
        <f t="shared" si="76"/>
        <v>0.6</v>
      </c>
      <c r="P183" s="136">
        <f t="shared" si="76"/>
        <v>0.6</v>
      </c>
      <c r="Q183" s="136">
        <f t="shared" si="76"/>
        <v>0.6</v>
      </c>
      <c r="R183" s="136">
        <f t="shared" si="76"/>
        <v>0.6</v>
      </c>
      <c r="S183" s="136">
        <f t="shared" si="76"/>
        <v>0.6</v>
      </c>
      <c r="T183" s="136">
        <f t="shared" si="77"/>
        <v>0.6</v>
      </c>
      <c r="U183" s="136">
        <f t="shared" si="77"/>
        <v>0.6</v>
      </c>
      <c r="V183" s="136">
        <f t="shared" si="77"/>
        <v>0.6</v>
      </c>
      <c r="W183" s="136">
        <f t="shared" si="77"/>
        <v>0.6</v>
      </c>
      <c r="X183" s="136">
        <f t="shared" si="77"/>
        <v>0.6</v>
      </c>
      <c r="Y183" s="136">
        <f t="shared" si="77"/>
        <v>0.6</v>
      </c>
      <c r="Z183" s="136">
        <f t="shared" si="77"/>
        <v>0.6</v>
      </c>
      <c r="AA183" s="136">
        <f t="shared" si="77"/>
        <v>0.6</v>
      </c>
      <c r="AB183" s="136">
        <f t="shared" si="77"/>
        <v>0.6</v>
      </c>
      <c r="AC183" s="136">
        <f t="shared" si="77"/>
        <v>0.6</v>
      </c>
      <c r="AD183" s="136">
        <f t="shared" si="77"/>
        <v>0.6</v>
      </c>
      <c r="AE183" s="136">
        <f t="shared" si="77"/>
        <v>0.6</v>
      </c>
      <c r="AF183" s="136">
        <f t="shared" si="77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75"/>
        <v>0.35</v>
      </c>
      <c r="C184" s="137">
        <v>0.35</v>
      </c>
      <c r="D184" s="136">
        <f t="shared" si="76"/>
        <v>0.35</v>
      </c>
      <c r="E184" s="136">
        <f t="shared" si="76"/>
        <v>0.35</v>
      </c>
      <c r="F184" s="136">
        <f t="shared" si="76"/>
        <v>0.35</v>
      </c>
      <c r="G184" s="136">
        <f t="shared" si="76"/>
        <v>0.35</v>
      </c>
      <c r="H184" s="136">
        <f t="shared" si="76"/>
        <v>0.35</v>
      </c>
      <c r="I184" s="136">
        <f t="shared" si="76"/>
        <v>0.35</v>
      </c>
      <c r="J184" s="136">
        <f t="shared" si="76"/>
        <v>0.35</v>
      </c>
      <c r="K184" s="136">
        <f t="shared" si="76"/>
        <v>0.35</v>
      </c>
      <c r="L184" s="136">
        <f t="shared" si="76"/>
        <v>0.35</v>
      </c>
      <c r="M184" s="136">
        <f t="shared" si="76"/>
        <v>0.35</v>
      </c>
      <c r="N184" s="136">
        <f t="shared" si="76"/>
        <v>0.35</v>
      </c>
      <c r="O184" s="136">
        <f t="shared" si="76"/>
        <v>0.35</v>
      </c>
      <c r="P184" s="136">
        <f t="shared" si="76"/>
        <v>0.35</v>
      </c>
      <c r="Q184" s="136">
        <f t="shared" si="76"/>
        <v>0.35</v>
      </c>
      <c r="R184" s="136">
        <f t="shared" si="76"/>
        <v>0.35</v>
      </c>
      <c r="S184" s="136">
        <f t="shared" si="76"/>
        <v>0.35</v>
      </c>
      <c r="T184" s="136">
        <f t="shared" si="77"/>
        <v>0.35</v>
      </c>
      <c r="U184" s="136">
        <f t="shared" si="77"/>
        <v>0.35</v>
      </c>
      <c r="V184" s="136">
        <f t="shared" si="77"/>
        <v>0.35</v>
      </c>
      <c r="W184" s="136">
        <f t="shared" si="77"/>
        <v>0.35</v>
      </c>
      <c r="X184" s="136">
        <f t="shared" si="77"/>
        <v>0.35</v>
      </c>
      <c r="Y184" s="136">
        <f t="shared" si="77"/>
        <v>0.35</v>
      </c>
      <c r="Z184" s="136">
        <f t="shared" si="77"/>
        <v>0.35</v>
      </c>
      <c r="AA184" s="136">
        <f t="shared" si="77"/>
        <v>0.35</v>
      </c>
      <c r="AB184" s="136">
        <f t="shared" si="77"/>
        <v>0.35</v>
      </c>
      <c r="AC184" s="136">
        <f t="shared" si="77"/>
        <v>0.35</v>
      </c>
      <c r="AD184" s="136">
        <f t="shared" si="77"/>
        <v>0.35</v>
      </c>
      <c r="AE184" s="136">
        <f t="shared" si="77"/>
        <v>0.35</v>
      </c>
      <c r="AF184" s="136">
        <f t="shared" si="77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75"/>
        <v>0.28999999999999998</v>
      </c>
      <c r="C185" s="137">
        <v>0.28999999999999998</v>
      </c>
      <c r="D185" s="136">
        <f t="shared" si="76"/>
        <v>0.28999999999999998</v>
      </c>
      <c r="E185" s="136">
        <f t="shared" si="76"/>
        <v>0.28999999999999998</v>
      </c>
      <c r="F185" s="136">
        <f t="shared" si="76"/>
        <v>0.28999999999999998</v>
      </c>
      <c r="G185" s="136">
        <f t="shared" si="76"/>
        <v>0.28999999999999998</v>
      </c>
      <c r="H185" s="136">
        <f t="shared" si="76"/>
        <v>0.28999999999999998</v>
      </c>
      <c r="I185" s="136">
        <f t="shared" si="76"/>
        <v>0.28999999999999998</v>
      </c>
      <c r="J185" s="136">
        <f t="shared" si="76"/>
        <v>0.28999999999999998</v>
      </c>
      <c r="K185" s="136">
        <f t="shared" si="76"/>
        <v>0.28999999999999998</v>
      </c>
      <c r="L185" s="136">
        <f t="shared" si="76"/>
        <v>0.28999999999999998</v>
      </c>
      <c r="M185" s="136">
        <f t="shared" si="76"/>
        <v>0.28999999999999998</v>
      </c>
      <c r="N185" s="136">
        <f t="shared" si="76"/>
        <v>0.28999999999999998</v>
      </c>
      <c r="O185" s="136">
        <f t="shared" si="76"/>
        <v>0.28999999999999998</v>
      </c>
      <c r="P185" s="136">
        <f t="shared" si="76"/>
        <v>0.28999999999999998</v>
      </c>
      <c r="Q185" s="136">
        <f t="shared" si="76"/>
        <v>0.28999999999999998</v>
      </c>
      <c r="R185" s="136">
        <f t="shared" si="76"/>
        <v>0.28999999999999998</v>
      </c>
      <c r="S185" s="136">
        <f t="shared" si="76"/>
        <v>0.28999999999999998</v>
      </c>
      <c r="T185" s="136">
        <f t="shared" si="77"/>
        <v>0.28999999999999998</v>
      </c>
      <c r="U185" s="136">
        <f t="shared" si="77"/>
        <v>0.28999999999999998</v>
      </c>
      <c r="V185" s="136">
        <f t="shared" si="77"/>
        <v>0.28999999999999998</v>
      </c>
      <c r="W185" s="136">
        <f t="shared" si="77"/>
        <v>0.28999999999999998</v>
      </c>
      <c r="X185" s="136">
        <f t="shared" si="77"/>
        <v>0.28999999999999998</v>
      </c>
      <c r="Y185" s="136">
        <f t="shared" si="77"/>
        <v>0.28999999999999998</v>
      </c>
      <c r="Z185" s="136">
        <f t="shared" si="77"/>
        <v>0.28999999999999998</v>
      </c>
      <c r="AA185" s="136">
        <f t="shared" si="77"/>
        <v>0.28999999999999998</v>
      </c>
      <c r="AB185" s="136">
        <f t="shared" si="77"/>
        <v>0.28999999999999998</v>
      </c>
      <c r="AC185" s="136">
        <f t="shared" si="77"/>
        <v>0.28999999999999998</v>
      </c>
      <c r="AD185" s="136">
        <f t="shared" si="77"/>
        <v>0.28999999999999998</v>
      </c>
      <c r="AE185" s="136">
        <f t="shared" si="77"/>
        <v>0.28999999999999998</v>
      </c>
      <c r="AF185" s="136">
        <f t="shared" si="77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75"/>
        <v>0.06</v>
      </c>
      <c r="C186" s="137">
        <v>0.06</v>
      </c>
      <c r="D186" s="136">
        <f t="shared" si="76"/>
        <v>0.06</v>
      </c>
      <c r="E186" s="136">
        <f t="shared" si="76"/>
        <v>0.06</v>
      </c>
      <c r="F186" s="136">
        <f t="shared" si="76"/>
        <v>0.06</v>
      </c>
      <c r="G186" s="136">
        <f t="shared" si="76"/>
        <v>0.06</v>
      </c>
      <c r="H186" s="136">
        <f t="shared" si="76"/>
        <v>0.06</v>
      </c>
      <c r="I186" s="136">
        <f t="shared" si="76"/>
        <v>0.06</v>
      </c>
      <c r="J186" s="136">
        <f t="shared" si="76"/>
        <v>0.06</v>
      </c>
      <c r="K186" s="136">
        <f t="shared" si="76"/>
        <v>0.06</v>
      </c>
      <c r="L186" s="136">
        <f t="shared" si="76"/>
        <v>0.06</v>
      </c>
      <c r="M186" s="136">
        <f t="shared" si="76"/>
        <v>0.06</v>
      </c>
      <c r="N186" s="136">
        <f t="shared" si="76"/>
        <v>0.06</v>
      </c>
      <c r="O186" s="136">
        <f t="shared" si="76"/>
        <v>0.06</v>
      </c>
      <c r="P186" s="136">
        <f t="shared" si="76"/>
        <v>0.06</v>
      </c>
      <c r="Q186" s="136">
        <f t="shared" si="76"/>
        <v>0.06</v>
      </c>
      <c r="R186" s="136">
        <f t="shared" si="76"/>
        <v>0.06</v>
      </c>
      <c r="S186" s="136">
        <f t="shared" si="76"/>
        <v>0.06</v>
      </c>
      <c r="T186" s="136">
        <f t="shared" si="77"/>
        <v>0.06</v>
      </c>
      <c r="U186" s="136">
        <f t="shared" si="77"/>
        <v>0.06</v>
      </c>
      <c r="V186" s="136">
        <f t="shared" si="77"/>
        <v>0.06</v>
      </c>
      <c r="W186" s="136">
        <f t="shared" si="77"/>
        <v>0.06</v>
      </c>
      <c r="X186" s="136">
        <f t="shared" si="77"/>
        <v>0.06</v>
      </c>
      <c r="Y186" s="136">
        <f t="shared" si="77"/>
        <v>0.06</v>
      </c>
      <c r="Z186" s="136">
        <f t="shared" si="77"/>
        <v>0.06</v>
      </c>
      <c r="AA186" s="136">
        <f t="shared" si="77"/>
        <v>0.06</v>
      </c>
      <c r="AB186" s="136">
        <f t="shared" si="77"/>
        <v>0.06</v>
      </c>
      <c r="AC186" s="136">
        <f t="shared" si="77"/>
        <v>0.06</v>
      </c>
      <c r="AD186" s="136">
        <f t="shared" si="77"/>
        <v>0.06</v>
      </c>
      <c r="AE186" s="136">
        <f t="shared" si="77"/>
        <v>0.06</v>
      </c>
      <c r="AF186" s="136">
        <f t="shared" si="77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75"/>
        <v>0.11</v>
      </c>
      <c r="C187" s="137">
        <v>0.11</v>
      </c>
      <c r="D187" s="136">
        <f t="shared" si="76"/>
        <v>0.11</v>
      </c>
      <c r="E187" s="136">
        <f t="shared" si="76"/>
        <v>0.11</v>
      </c>
      <c r="F187" s="136">
        <f t="shared" si="76"/>
        <v>0.11</v>
      </c>
      <c r="G187" s="136">
        <f t="shared" si="76"/>
        <v>0.11</v>
      </c>
      <c r="H187" s="136">
        <f t="shared" si="76"/>
        <v>0.11</v>
      </c>
      <c r="I187" s="136">
        <f t="shared" si="76"/>
        <v>0.11</v>
      </c>
      <c r="J187" s="136">
        <f t="shared" si="76"/>
        <v>0.11</v>
      </c>
      <c r="K187" s="136">
        <f t="shared" si="76"/>
        <v>0.11</v>
      </c>
      <c r="L187" s="136">
        <f t="shared" si="76"/>
        <v>0.11</v>
      </c>
      <c r="M187" s="136">
        <f t="shared" si="76"/>
        <v>0.11</v>
      </c>
      <c r="N187" s="136">
        <f t="shared" si="76"/>
        <v>0.11</v>
      </c>
      <c r="O187" s="136">
        <f t="shared" si="76"/>
        <v>0.11</v>
      </c>
      <c r="P187" s="136">
        <f t="shared" si="76"/>
        <v>0.11</v>
      </c>
      <c r="Q187" s="136">
        <f t="shared" si="76"/>
        <v>0.11</v>
      </c>
      <c r="R187" s="136">
        <f t="shared" si="76"/>
        <v>0.11</v>
      </c>
      <c r="S187" s="136">
        <f t="shared" si="76"/>
        <v>0.11</v>
      </c>
      <c r="T187" s="136">
        <f t="shared" si="77"/>
        <v>0.11</v>
      </c>
      <c r="U187" s="136">
        <f t="shared" si="77"/>
        <v>0.11</v>
      </c>
      <c r="V187" s="136">
        <f t="shared" si="77"/>
        <v>0.11</v>
      </c>
      <c r="W187" s="136">
        <f t="shared" si="77"/>
        <v>0.11</v>
      </c>
      <c r="X187" s="136">
        <f t="shared" si="77"/>
        <v>0.11</v>
      </c>
      <c r="Y187" s="136">
        <f t="shared" si="77"/>
        <v>0.11</v>
      </c>
      <c r="Z187" s="136">
        <f t="shared" si="77"/>
        <v>0.11</v>
      </c>
      <c r="AA187" s="136">
        <f t="shared" si="77"/>
        <v>0.11</v>
      </c>
      <c r="AB187" s="136">
        <f t="shared" si="77"/>
        <v>0.11</v>
      </c>
      <c r="AC187" s="136">
        <f t="shared" si="77"/>
        <v>0.11</v>
      </c>
      <c r="AD187" s="136">
        <f t="shared" si="77"/>
        <v>0.11</v>
      </c>
      <c r="AE187" s="136">
        <f t="shared" si="77"/>
        <v>0.11</v>
      </c>
      <c r="AF187" s="136">
        <f t="shared" si="77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75"/>
        <v>0.1</v>
      </c>
      <c r="C188" s="137">
        <v>0.1</v>
      </c>
      <c r="D188" s="136">
        <f t="shared" si="76"/>
        <v>0.1</v>
      </c>
      <c r="E188" s="136">
        <f t="shared" si="76"/>
        <v>0.1</v>
      </c>
      <c r="F188" s="136">
        <f t="shared" si="76"/>
        <v>0.1</v>
      </c>
      <c r="G188" s="136">
        <f t="shared" si="76"/>
        <v>0.1</v>
      </c>
      <c r="H188" s="136">
        <f t="shared" si="76"/>
        <v>0.1</v>
      </c>
      <c r="I188" s="136">
        <f t="shared" si="76"/>
        <v>0.1</v>
      </c>
      <c r="J188" s="136">
        <f t="shared" si="76"/>
        <v>0.1</v>
      </c>
      <c r="K188" s="136">
        <f t="shared" si="76"/>
        <v>0.1</v>
      </c>
      <c r="L188" s="136">
        <f t="shared" si="76"/>
        <v>0.1</v>
      </c>
      <c r="M188" s="136">
        <f t="shared" si="76"/>
        <v>0.1</v>
      </c>
      <c r="N188" s="136">
        <f t="shared" si="76"/>
        <v>0.1</v>
      </c>
      <c r="O188" s="136">
        <f t="shared" si="76"/>
        <v>0.1</v>
      </c>
      <c r="P188" s="136">
        <f t="shared" si="76"/>
        <v>0.1</v>
      </c>
      <c r="Q188" s="136">
        <f t="shared" si="76"/>
        <v>0.1</v>
      </c>
      <c r="R188" s="136">
        <f t="shared" si="76"/>
        <v>0.1</v>
      </c>
      <c r="S188" s="136">
        <f t="shared" si="77"/>
        <v>0.1</v>
      </c>
      <c r="T188" s="136">
        <f t="shared" si="77"/>
        <v>0.1</v>
      </c>
      <c r="U188" s="136">
        <f t="shared" si="77"/>
        <v>0.1</v>
      </c>
      <c r="V188" s="136">
        <f t="shared" si="77"/>
        <v>0.1</v>
      </c>
      <c r="W188" s="136">
        <f t="shared" si="77"/>
        <v>0.1</v>
      </c>
      <c r="X188" s="136">
        <f t="shared" si="77"/>
        <v>0.1</v>
      </c>
      <c r="Y188" s="136">
        <f t="shared" si="77"/>
        <v>0.1</v>
      </c>
      <c r="Z188" s="136">
        <f t="shared" si="77"/>
        <v>0.1</v>
      </c>
      <c r="AA188" s="136">
        <f t="shared" si="77"/>
        <v>0.1</v>
      </c>
      <c r="AB188" s="136">
        <f t="shared" si="77"/>
        <v>0.1</v>
      </c>
      <c r="AC188" s="136">
        <f t="shared" si="77"/>
        <v>0.1</v>
      </c>
      <c r="AD188" s="136">
        <f t="shared" si="77"/>
        <v>0.1</v>
      </c>
      <c r="AE188" s="136">
        <f t="shared" si="77"/>
        <v>0.1</v>
      </c>
      <c r="AF188" s="136">
        <f t="shared" si="77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75"/>
        <v>0.09</v>
      </c>
      <c r="C189" s="137">
        <v>0.09</v>
      </c>
      <c r="D189" s="136">
        <f t="shared" si="76"/>
        <v>0.09</v>
      </c>
      <c r="E189" s="136">
        <f t="shared" si="76"/>
        <v>0.09</v>
      </c>
      <c r="F189" s="136">
        <f t="shared" si="76"/>
        <v>0.09</v>
      </c>
      <c r="G189" s="136">
        <f t="shared" si="76"/>
        <v>0.09</v>
      </c>
      <c r="H189" s="136">
        <f t="shared" si="76"/>
        <v>0.09</v>
      </c>
      <c r="I189" s="136">
        <f t="shared" si="76"/>
        <v>0.09</v>
      </c>
      <c r="J189" s="136">
        <f t="shared" si="76"/>
        <v>0.09</v>
      </c>
      <c r="K189" s="136">
        <f t="shared" si="76"/>
        <v>0.09</v>
      </c>
      <c r="L189" s="136">
        <f t="shared" si="76"/>
        <v>0.09</v>
      </c>
      <c r="M189" s="136">
        <f t="shared" si="76"/>
        <v>0.09</v>
      </c>
      <c r="N189" s="136">
        <f t="shared" si="76"/>
        <v>0.09</v>
      </c>
      <c r="O189" s="136">
        <f t="shared" si="76"/>
        <v>0.09</v>
      </c>
      <c r="P189" s="136">
        <f t="shared" si="76"/>
        <v>0.09</v>
      </c>
      <c r="Q189" s="136">
        <f t="shared" si="76"/>
        <v>0.09</v>
      </c>
      <c r="R189" s="136">
        <f t="shared" si="76"/>
        <v>0.09</v>
      </c>
      <c r="S189" s="136">
        <f t="shared" si="77"/>
        <v>0.09</v>
      </c>
      <c r="T189" s="136">
        <f t="shared" si="77"/>
        <v>0.09</v>
      </c>
      <c r="U189" s="136">
        <f t="shared" si="77"/>
        <v>0.09</v>
      </c>
      <c r="V189" s="136">
        <f t="shared" si="77"/>
        <v>0.09</v>
      </c>
      <c r="W189" s="136">
        <f t="shared" si="77"/>
        <v>0.09</v>
      </c>
      <c r="X189" s="136">
        <f t="shared" si="77"/>
        <v>0.09</v>
      </c>
      <c r="Y189" s="136">
        <f t="shared" si="77"/>
        <v>0.09</v>
      </c>
      <c r="Z189" s="136">
        <f t="shared" si="77"/>
        <v>0.09</v>
      </c>
      <c r="AA189" s="136">
        <f t="shared" si="77"/>
        <v>0.09</v>
      </c>
      <c r="AB189" s="136">
        <f t="shared" si="77"/>
        <v>0.09</v>
      </c>
      <c r="AC189" s="136">
        <f t="shared" si="77"/>
        <v>0.09</v>
      </c>
      <c r="AD189" s="136">
        <f t="shared" si="77"/>
        <v>0.09</v>
      </c>
      <c r="AE189" s="136">
        <f t="shared" si="77"/>
        <v>0.09</v>
      </c>
      <c r="AF189" s="136">
        <f t="shared" si="77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75"/>
        <v>0.04</v>
      </c>
      <c r="C190" s="53">
        <v>0.04</v>
      </c>
      <c r="D190" s="136">
        <f t="shared" si="76"/>
        <v>0.04</v>
      </c>
      <c r="E190" s="136">
        <f t="shared" si="76"/>
        <v>0.04</v>
      </c>
      <c r="F190" s="136">
        <f t="shared" si="76"/>
        <v>0.04</v>
      </c>
      <c r="G190" s="136">
        <f t="shared" si="76"/>
        <v>0.04</v>
      </c>
      <c r="H190" s="136">
        <f t="shared" si="76"/>
        <v>0.04</v>
      </c>
      <c r="I190" s="136">
        <f t="shared" si="76"/>
        <v>0.04</v>
      </c>
      <c r="J190" s="136">
        <f t="shared" si="76"/>
        <v>0.04</v>
      </c>
      <c r="K190" s="136">
        <f t="shared" si="76"/>
        <v>0.04</v>
      </c>
      <c r="L190" s="136">
        <f t="shared" si="76"/>
        <v>0.04</v>
      </c>
      <c r="M190" s="136">
        <f t="shared" si="76"/>
        <v>0.04</v>
      </c>
      <c r="N190" s="136">
        <f t="shared" si="76"/>
        <v>0.04</v>
      </c>
      <c r="O190" s="136">
        <f t="shared" si="76"/>
        <v>0.04</v>
      </c>
      <c r="P190" s="136">
        <f t="shared" si="76"/>
        <v>0.04</v>
      </c>
      <c r="Q190" s="136">
        <f t="shared" si="76"/>
        <v>0.04</v>
      </c>
      <c r="R190" s="136">
        <f t="shared" si="76"/>
        <v>0.04</v>
      </c>
      <c r="S190" s="136">
        <f t="shared" si="77"/>
        <v>0.04</v>
      </c>
      <c r="T190" s="136">
        <f t="shared" si="77"/>
        <v>0.04</v>
      </c>
      <c r="U190" s="136">
        <f t="shared" si="77"/>
        <v>0.04</v>
      </c>
      <c r="V190" s="136">
        <f t="shared" si="77"/>
        <v>0.04</v>
      </c>
      <c r="W190" s="136">
        <f t="shared" si="77"/>
        <v>0.04</v>
      </c>
      <c r="X190" s="136">
        <f t="shared" si="77"/>
        <v>0.04</v>
      </c>
      <c r="Y190" s="136">
        <f t="shared" si="77"/>
        <v>0.04</v>
      </c>
      <c r="Z190" s="136">
        <f t="shared" si="77"/>
        <v>0.04</v>
      </c>
      <c r="AA190" s="136">
        <f t="shared" si="77"/>
        <v>0.04</v>
      </c>
      <c r="AB190" s="136">
        <f t="shared" si="77"/>
        <v>0.04</v>
      </c>
      <c r="AC190" s="136">
        <f t="shared" si="77"/>
        <v>0.04</v>
      </c>
      <c r="AD190" s="136">
        <f t="shared" si="77"/>
        <v>0.04</v>
      </c>
      <c r="AE190" s="136">
        <f t="shared" si="77"/>
        <v>0.04</v>
      </c>
      <c r="AF190" s="136">
        <f t="shared" si="77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75"/>
        <v>2.3E-2</v>
      </c>
      <c r="C191" s="53">
        <v>2.3E-2</v>
      </c>
      <c r="D191" s="136">
        <f>C191</f>
        <v>2.3E-2</v>
      </c>
      <c r="E191" s="136">
        <f t="shared" si="76"/>
        <v>2.3E-2</v>
      </c>
      <c r="F191" s="136">
        <f t="shared" si="76"/>
        <v>2.3E-2</v>
      </c>
      <c r="G191" s="136">
        <f t="shared" si="76"/>
        <v>2.3E-2</v>
      </c>
      <c r="H191" s="136">
        <f t="shared" si="76"/>
        <v>2.3E-2</v>
      </c>
      <c r="I191" s="136">
        <f t="shared" si="76"/>
        <v>2.3E-2</v>
      </c>
      <c r="J191" s="136">
        <f t="shared" si="76"/>
        <v>2.3E-2</v>
      </c>
      <c r="K191" s="136">
        <f t="shared" si="76"/>
        <v>2.3E-2</v>
      </c>
      <c r="L191" s="136">
        <f t="shared" si="76"/>
        <v>2.3E-2</v>
      </c>
      <c r="M191" s="136">
        <f t="shared" si="76"/>
        <v>2.3E-2</v>
      </c>
      <c r="N191" s="136">
        <f t="shared" si="76"/>
        <v>2.3E-2</v>
      </c>
      <c r="O191" s="136">
        <f t="shared" si="76"/>
        <v>2.3E-2</v>
      </c>
      <c r="P191" s="136">
        <f t="shared" si="76"/>
        <v>2.3E-2</v>
      </c>
      <c r="Q191" s="136">
        <f t="shared" si="76"/>
        <v>2.3E-2</v>
      </c>
      <c r="R191" s="136">
        <f t="shared" si="76"/>
        <v>2.3E-2</v>
      </c>
      <c r="S191" s="136">
        <f t="shared" si="77"/>
        <v>2.3E-2</v>
      </c>
      <c r="T191" s="136">
        <f t="shared" si="77"/>
        <v>2.3E-2</v>
      </c>
      <c r="U191" s="136">
        <f t="shared" si="77"/>
        <v>2.3E-2</v>
      </c>
      <c r="V191" s="136">
        <f t="shared" si="77"/>
        <v>2.3E-2</v>
      </c>
      <c r="W191" s="136">
        <f t="shared" si="77"/>
        <v>2.3E-2</v>
      </c>
      <c r="X191" s="136">
        <f t="shared" si="77"/>
        <v>2.3E-2</v>
      </c>
      <c r="Y191" s="136">
        <f t="shared" si="77"/>
        <v>2.3E-2</v>
      </c>
      <c r="Z191" s="136">
        <f t="shared" si="77"/>
        <v>2.3E-2</v>
      </c>
      <c r="AA191" s="136">
        <f t="shared" si="77"/>
        <v>2.3E-2</v>
      </c>
      <c r="AB191" s="136">
        <f t="shared" si="77"/>
        <v>2.3E-2</v>
      </c>
      <c r="AC191" s="136">
        <f t="shared" si="77"/>
        <v>2.3E-2</v>
      </c>
      <c r="AD191" s="136">
        <f t="shared" si="77"/>
        <v>2.3E-2</v>
      </c>
      <c r="AE191" s="136">
        <f t="shared" si="77"/>
        <v>2.3E-2</v>
      </c>
      <c r="AF191" s="136">
        <f t="shared" si="77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78">SUM(C102:C191)</f>
        <v>194.70600000000002</v>
      </c>
      <c r="D192" s="141">
        <f t="shared" si="78"/>
        <v>194.70600000000002</v>
      </c>
      <c r="E192" s="141">
        <f t="shared" si="78"/>
        <v>194.70600000000002</v>
      </c>
      <c r="F192" s="141">
        <f t="shared" si="78"/>
        <v>194.70600000000002</v>
      </c>
      <c r="G192" s="141">
        <f t="shared" si="78"/>
        <v>194.70600000000002</v>
      </c>
      <c r="H192" s="141">
        <f t="shared" si="78"/>
        <v>194.70600000000002</v>
      </c>
      <c r="I192" s="141">
        <f t="shared" si="78"/>
        <v>194.70600000000002</v>
      </c>
      <c r="J192" s="141">
        <f t="shared" si="78"/>
        <v>192.10600000000005</v>
      </c>
      <c r="K192" s="141">
        <f t="shared" si="78"/>
        <v>192.10600000000005</v>
      </c>
      <c r="L192" s="141">
        <f t="shared" si="78"/>
        <v>192.10600000000005</v>
      </c>
      <c r="M192" s="141">
        <f t="shared" si="78"/>
        <v>192.10600000000005</v>
      </c>
      <c r="N192" s="141">
        <f t="shared" si="78"/>
        <v>192.10600000000005</v>
      </c>
      <c r="O192" s="141">
        <f t="shared" si="78"/>
        <v>192.10600000000005</v>
      </c>
      <c r="P192" s="141">
        <f t="shared" si="78"/>
        <v>192.10600000000005</v>
      </c>
      <c r="Q192" s="141">
        <f t="shared" si="78"/>
        <v>192.10600000000005</v>
      </c>
      <c r="R192" s="141">
        <f t="shared" si="78"/>
        <v>192.10600000000005</v>
      </c>
      <c r="S192" s="141">
        <f t="shared" si="78"/>
        <v>192.10600000000005</v>
      </c>
      <c r="T192" s="141">
        <f t="shared" si="78"/>
        <v>192.10600000000005</v>
      </c>
      <c r="U192" s="141">
        <f t="shared" si="78"/>
        <v>192.10600000000005</v>
      </c>
      <c r="V192" s="141">
        <f t="shared" si="78"/>
        <v>192.10600000000005</v>
      </c>
      <c r="W192" s="141">
        <f t="shared" si="78"/>
        <v>192.10600000000005</v>
      </c>
      <c r="X192" s="141">
        <f t="shared" si="78"/>
        <v>192.10600000000005</v>
      </c>
      <c r="Y192" s="141">
        <f t="shared" si="78"/>
        <v>192.10600000000005</v>
      </c>
      <c r="Z192" s="141">
        <f t="shared" si="78"/>
        <v>192.10600000000005</v>
      </c>
      <c r="AA192" s="141">
        <f t="shared" si="78"/>
        <v>192.10600000000005</v>
      </c>
      <c r="AB192" s="141">
        <f t="shared" si="78"/>
        <v>192.10600000000005</v>
      </c>
      <c r="AC192" s="141">
        <f t="shared" si="78"/>
        <v>192.10600000000005</v>
      </c>
      <c r="AD192" s="141">
        <f t="shared" si="78"/>
        <v>192.10600000000005</v>
      </c>
      <c r="AE192" s="141">
        <f t="shared" si="78"/>
        <v>192.10600000000005</v>
      </c>
      <c r="AF192" s="141">
        <f t="shared" si="78"/>
        <v>192.10600000000005</v>
      </c>
      <c r="AG192" s="142">
        <f t="shared" si="7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79">AF194</f>
        <v>0.3</v>
      </c>
      <c r="C194" s="143">
        <v>0.3</v>
      </c>
      <c r="D194" s="143">
        <f t="shared" ref="D194:S199" si="80">C194</f>
        <v>0.3</v>
      </c>
      <c r="E194" s="143">
        <f t="shared" si="80"/>
        <v>0.3</v>
      </c>
      <c r="F194" s="143">
        <f t="shared" si="80"/>
        <v>0.3</v>
      </c>
      <c r="G194" s="143">
        <f t="shared" si="80"/>
        <v>0.3</v>
      </c>
      <c r="H194" s="143">
        <f t="shared" si="80"/>
        <v>0.3</v>
      </c>
      <c r="I194" s="143">
        <f t="shared" si="80"/>
        <v>0.3</v>
      </c>
      <c r="J194" s="143">
        <f t="shared" si="80"/>
        <v>0.3</v>
      </c>
      <c r="K194" s="143">
        <f t="shared" si="80"/>
        <v>0.3</v>
      </c>
      <c r="L194" s="143">
        <f t="shared" si="80"/>
        <v>0.3</v>
      </c>
      <c r="M194" s="143">
        <f t="shared" si="80"/>
        <v>0.3</v>
      </c>
      <c r="N194" s="143">
        <f t="shared" si="80"/>
        <v>0.3</v>
      </c>
      <c r="O194" s="143">
        <f t="shared" si="80"/>
        <v>0.3</v>
      </c>
      <c r="P194" s="143">
        <f t="shared" si="80"/>
        <v>0.3</v>
      </c>
      <c r="Q194" s="143">
        <f t="shared" si="80"/>
        <v>0.3</v>
      </c>
      <c r="R194" s="143">
        <f t="shared" si="80"/>
        <v>0.3</v>
      </c>
      <c r="S194" s="143">
        <f t="shared" si="80"/>
        <v>0.3</v>
      </c>
      <c r="T194" s="143">
        <f t="shared" ref="T194:AF199" si="81">S194</f>
        <v>0.3</v>
      </c>
      <c r="U194" s="143">
        <f t="shared" si="81"/>
        <v>0.3</v>
      </c>
      <c r="V194" s="143">
        <f t="shared" si="81"/>
        <v>0.3</v>
      </c>
      <c r="W194" s="143">
        <f t="shared" si="81"/>
        <v>0.3</v>
      </c>
      <c r="X194" s="143">
        <f t="shared" si="81"/>
        <v>0.3</v>
      </c>
      <c r="Y194" s="143">
        <f t="shared" si="81"/>
        <v>0.3</v>
      </c>
      <c r="Z194" s="143">
        <f t="shared" si="81"/>
        <v>0.3</v>
      </c>
      <c r="AA194" s="143">
        <f t="shared" si="81"/>
        <v>0.3</v>
      </c>
      <c r="AB194" s="143">
        <f t="shared" si="81"/>
        <v>0.3</v>
      </c>
      <c r="AC194" s="143">
        <f t="shared" si="81"/>
        <v>0.3</v>
      </c>
      <c r="AD194" s="143">
        <f t="shared" si="81"/>
        <v>0.3</v>
      </c>
      <c r="AE194" s="143">
        <f t="shared" si="81"/>
        <v>0.3</v>
      </c>
      <c r="AF194" s="143">
        <f t="shared" si="81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79"/>
        <v>0.4</v>
      </c>
      <c r="C195" s="136">
        <v>0.4</v>
      </c>
      <c r="D195" s="136">
        <f t="shared" si="80"/>
        <v>0.4</v>
      </c>
      <c r="E195" s="136">
        <f t="shared" si="80"/>
        <v>0.4</v>
      </c>
      <c r="F195" s="136">
        <f t="shared" si="80"/>
        <v>0.4</v>
      </c>
      <c r="G195" s="136">
        <f t="shared" si="80"/>
        <v>0.4</v>
      </c>
      <c r="H195" s="136">
        <f t="shared" si="80"/>
        <v>0.4</v>
      </c>
      <c r="I195" s="136">
        <f t="shared" si="80"/>
        <v>0.4</v>
      </c>
      <c r="J195" s="136">
        <f t="shared" si="80"/>
        <v>0.4</v>
      </c>
      <c r="K195" s="136">
        <f t="shared" si="80"/>
        <v>0.4</v>
      </c>
      <c r="L195" s="136">
        <f t="shared" si="80"/>
        <v>0.4</v>
      </c>
      <c r="M195" s="136">
        <f t="shared" si="80"/>
        <v>0.4</v>
      </c>
      <c r="N195" s="136">
        <f t="shared" si="80"/>
        <v>0.4</v>
      </c>
      <c r="O195" s="136">
        <f t="shared" si="80"/>
        <v>0.4</v>
      </c>
      <c r="P195" s="136">
        <f t="shared" si="80"/>
        <v>0.4</v>
      </c>
      <c r="Q195" s="136">
        <f t="shared" si="80"/>
        <v>0.4</v>
      </c>
      <c r="R195" s="136">
        <f t="shared" si="80"/>
        <v>0.4</v>
      </c>
      <c r="S195" s="136">
        <f t="shared" si="80"/>
        <v>0.4</v>
      </c>
      <c r="T195" s="136">
        <f t="shared" si="81"/>
        <v>0.4</v>
      </c>
      <c r="U195" s="136">
        <f t="shared" si="81"/>
        <v>0.4</v>
      </c>
      <c r="V195" s="136">
        <f t="shared" si="81"/>
        <v>0.4</v>
      </c>
      <c r="W195" s="136">
        <f>V195</f>
        <v>0.4</v>
      </c>
      <c r="X195" s="136">
        <f>W195</f>
        <v>0.4</v>
      </c>
      <c r="Y195" s="136">
        <f t="shared" si="81"/>
        <v>0.4</v>
      </c>
      <c r="Z195" s="136">
        <f t="shared" si="81"/>
        <v>0.4</v>
      </c>
      <c r="AA195" s="136">
        <f t="shared" si="81"/>
        <v>0.4</v>
      </c>
      <c r="AB195" s="136">
        <f t="shared" si="81"/>
        <v>0.4</v>
      </c>
      <c r="AC195" s="136">
        <f t="shared" si="81"/>
        <v>0.4</v>
      </c>
      <c r="AD195" s="136">
        <f t="shared" si="81"/>
        <v>0.4</v>
      </c>
      <c r="AE195" s="136">
        <f t="shared" si="81"/>
        <v>0.4</v>
      </c>
      <c r="AF195" s="136">
        <f t="shared" si="81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79"/>
        <v>1.5</v>
      </c>
      <c r="C196" s="136">
        <v>1.5</v>
      </c>
      <c r="D196" s="136">
        <f t="shared" si="80"/>
        <v>1.5</v>
      </c>
      <c r="E196" s="136">
        <f t="shared" si="80"/>
        <v>1.5</v>
      </c>
      <c r="F196" s="136">
        <f t="shared" si="80"/>
        <v>1.5</v>
      </c>
      <c r="G196" s="136">
        <f t="shared" si="80"/>
        <v>1.5</v>
      </c>
      <c r="H196" s="136">
        <f t="shared" si="80"/>
        <v>1.5</v>
      </c>
      <c r="I196" s="136">
        <f t="shared" si="80"/>
        <v>1.5</v>
      </c>
      <c r="J196" s="136">
        <f t="shared" si="80"/>
        <v>1.5</v>
      </c>
      <c r="K196" s="136">
        <f t="shared" si="80"/>
        <v>1.5</v>
      </c>
      <c r="L196" s="136">
        <f t="shared" si="80"/>
        <v>1.5</v>
      </c>
      <c r="M196" s="136">
        <f t="shared" si="80"/>
        <v>1.5</v>
      </c>
      <c r="N196" s="136">
        <f t="shared" si="80"/>
        <v>1.5</v>
      </c>
      <c r="O196" s="136">
        <f t="shared" si="80"/>
        <v>1.5</v>
      </c>
      <c r="P196" s="136">
        <f t="shared" si="80"/>
        <v>1.5</v>
      </c>
      <c r="Q196" s="136">
        <f t="shared" si="80"/>
        <v>1.5</v>
      </c>
      <c r="R196" s="136">
        <f t="shared" si="80"/>
        <v>1.5</v>
      </c>
      <c r="S196" s="136">
        <f t="shared" si="80"/>
        <v>1.5</v>
      </c>
      <c r="T196" s="136">
        <f t="shared" si="81"/>
        <v>1.5</v>
      </c>
      <c r="U196" s="136">
        <f t="shared" si="81"/>
        <v>1.5</v>
      </c>
      <c r="V196" s="136">
        <f t="shared" si="81"/>
        <v>1.5</v>
      </c>
      <c r="W196" s="136">
        <f t="shared" si="81"/>
        <v>1.5</v>
      </c>
      <c r="X196" s="136">
        <f t="shared" si="81"/>
        <v>1.5</v>
      </c>
      <c r="Y196" s="136">
        <f t="shared" si="81"/>
        <v>1.5</v>
      </c>
      <c r="Z196" s="136">
        <f t="shared" si="81"/>
        <v>1.5</v>
      </c>
      <c r="AA196" s="136">
        <f t="shared" si="81"/>
        <v>1.5</v>
      </c>
      <c r="AB196" s="136">
        <f t="shared" si="81"/>
        <v>1.5</v>
      </c>
      <c r="AC196" s="136">
        <f t="shared" si="81"/>
        <v>1.5</v>
      </c>
      <c r="AD196" s="136">
        <f t="shared" si="81"/>
        <v>1.5</v>
      </c>
      <c r="AE196" s="136">
        <f t="shared" si="81"/>
        <v>1.5</v>
      </c>
      <c r="AF196" s="136">
        <f t="shared" si="81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79"/>
        <v>0.3</v>
      </c>
      <c r="C197" s="136">
        <v>0.3</v>
      </c>
      <c r="D197" s="136">
        <f t="shared" si="80"/>
        <v>0.3</v>
      </c>
      <c r="E197" s="136">
        <f t="shared" si="80"/>
        <v>0.3</v>
      </c>
      <c r="F197" s="136">
        <f t="shared" si="80"/>
        <v>0.3</v>
      </c>
      <c r="G197" s="136">
        <f t="shared" si="80"/>
        <v>0.3</v>
      </c>
      <c r="H197" s="136">
        <f t="shared" si="80"/>
        <v>0.3</v>
      </c>
      <c r="I197" s="136">
        <f t="shared" si="80"/>
        <v>0.3</v>
      </c>
      <c r="J197" s="136">
        <f t="shared" si="80"/>
        <v>0.3</v>
      </c>
      <c r="K197" s="136">
        <f t="shared" si="80"/>
        <v>0.3</v>
      </c>
      <c r="L197" s="136">
        <f t="shared" si="80"/>
        <v>0.3</v>
      </c>
      <c r="M197" s="136">
        <f t="shared" si="80"/>
        <v>0.3</v>
      </c>
      <c r="N197" s="136">
        <f t="shared" si="80"/>
        <v>0.3</v>
      </c>
      <c r="O197" s="136">
        <f t="shared" si="80"/>
        <v>0.3</v>
      </c>
      <c r="P197" s="136">
        <f t="shared" si="80"/>
        <v>0.3</v>
      </c>
      <c r="Q197" s="136">
        <f t="shared" si="80"/>
        <v>0.3</v>
      </c>
      <c r="R197" s="136">
        <f t="shared" si="80"/>
        <v>0.3</v>
      </c>
      <c r="S197" s="136">
        <f t="shared" si="80"/>
        <v>0.3</v>
      </c>
      <c r="T197" s="136">
        <f t="shared" si="81"/>
        <v>0.3</v>
      </c>
      <c r="U197" s="136">
        <f t="shared" si="81"/>
        <v>0.3</v>
      </c>
      <c r="V197" s="136">
        <f t="shared" si="81"/>
        <v>0.3</v>
      </c>
      <c r="W197" s="136">
        <f t="shared" si="81"/>
        <v>0.3</v>
      </c>
      <c r="X197" s="136">
        <f t="shared" si="81"/>
        <v>0.3</v>
      </c>
      <c r="Y197" s="136">
        <f t="shared" si="81"/>
        <v>0.3</v>
      </c>
      <c r="Z197" s="136">
        <f t="shared" si="81"/>
        <v>0.3</v>
      </c>
      <c r="AA197" s="136">
        <f t="shared" si="81"/>
        <v>0.3</v>
      </c>
      <c r="AB197" s="136">
        <f t="shared" si="81"/>
        <v>0.3</v>
      </c>
      <c r="AC197" s="136">
        <f t="shared" si="81"/>
        <v>0.3</v>
      </c>
      <c r="AD197" s="136">
        <f t="shared" si="81"/>
        <v>0.3</v>
      </c>
      <c r="AE197" s="136">
        <f t="shared" si="81"/>
        <v>0.3</v>
      </c>
      <c r="AF197" s="136">
        <f t="shared" si="81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79"/>
        <v>0.4</v>
      </c>
      <c r="C198" s="136">
        <v>0.4</v>
      </c>
      <c r="D198" s="136">
        <f t="shared" si="80"/>
        <v>0.4</v>
      </c>
      <c r="E198" s="136">
        <f t="shared" si="80"/>
        <v>0.4</v>
      </c>
      <c r="F198" s="136">
        <f t="shared" si="80"/>
        <v>0.4</v>
      </c>
      <c r="G198" s="136">
        <f t="shared" si="80"/>
        <v>0.4</v>
      </c>
      <c r="H198" s="136">
        <f t="shared" si="80"/>
        <v>0.4</v>
      </c>
      <c r="I198" s="136">
        <f t="shared" si="80"/>
        <v>0.4</v>
      </c>
      <c r="J198" s="136">
        <f t="shared" si="80"/>
        <v>0.4</v>
      </c>
      <c r="K198" s="136">
        <f t="shared" si="80"/>
        <v>0.4</v>
      </c>
      <c r="L198" s="136">
        <f t="shared" si="80"/>
        <v>0.4</v>
      </c>
      <c r="M198" s="136">
        <f t="shared" si="80"/>
        <v>0.4</v>
      </c>
      <c r="N198" s="136">
        <f t="shared" si="80"/>
        <v>0.4</v>
      </c>
      <c r="O198" s="136">
        <f t="shared" si="80"/>
        <v>0.4</v>
      </c>
      <c r="P198" s="136">
        <f t="shared" si="80"/>
        <v>0.4</v>
      </c>
      <c r="Q198" s="136">
        <f t="shared" si="80"/>
        <v>0.4</v>
      </c>
      <c r="R198" s="136">
        <f t="shared" si="80"/>
        <v>0.4</v>
      </c>
      <c r="S198" s="136">
        <f t="shared" si="80"/>
        <v>0.4</v>
      </c>
      <c r="T198" s="136">
        <f t="shared" si="81"/>
        <v>0.4</v>
      </c>
      <c r="U198" s="136">
        <f t="shared" si="81"/>
        <v>0.4</v>
      </c>
      <c r="V198" s="136">
        <f t="shared" si="81"/>
        <v>0.4</v>
      </c>
      <c r="W198" s="136">
        <f t="shared" si="81"/>
        <v>0.4</v>
      </c>
      <c r="X198" s="136">
        <f t="shared" si="81"/>
        <v>0.4</v>
      </c>
      <c r="Y198" s="136">
        <f t="shared" si="81"/>
        <v>0.4</v>
      </c>
      <c r="Z198" s="136">
        <f t="shared" si="81"/>
        <v>0.4</v>
      </c>
      <c r="AA198" s="136">
        <f t="shared" si="81"/>
        <v>0.4</v>
      </c>
      <c r="AB198" s="136">
        <f t="shared" si="81"/>
        <v>0.4</v>
      </c>
      <c r="AC198" s="136">
        <f t="shared" si="81"/>
        <v>0.4</v>
      </c>
      <c r="AD198" s="136">
        <f t="shared" si="81"/>
        <v>0.4</v>
      </c>
      <c r="AE198" s="136">
        <f t="shared" si="81"/>
        <v>0.4</v>
      </c>
      <c r="AF198" s="136">
        <f t="shared" si="81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79"/>
        <v>0.64</v>
      </c>
      <c r="C199" s="146">
        <v>0.64</v>
      </c>
      <c r="D199" s="146">
        <f t="shared" si="80"/>
        <v>0.64</v>
      </c>
      <c r="E199" s="146">
        <f t="shared" si="80"/>
        <v>0.64</v>
      </c>
      <c r="F199" s="146">
        <f t="shared" si="80"/>
        <v>0.64</v>
      </c>
      <c r="G199" s="146">
        <f t="shared" si="80"/>
        <v>0.64</v>
      </c>
      <c r="H199" s="146">
        <f t="shared" si="80"/>
        <v>0.64</v>
      </c>
      <c r="I199" s="146">
        <f t="shared" si="80"/>
        <v>0.64</v>
      </c>
      <c r="J199" s="146">
        <f t="shared" si="80"/>
        <v>0.64</v>
      </c>
      <c r="K199" s="146">
        <f t="shared" si="80"/>
        <v>0.64</v>
      </c>
      <c r="L199" s="146">
        <f t="shared" si="80"/>
        <v>0.64</v>
      </c>
      <c r="M199" s="146">
        <f t="shared" si="80"/>
        <v>0.64</v>
      </c>
      <c r="N199" s="146">
        <f t="shared" si="80"/>
        <v>0.64</v>
      </c>
      <c r="O199" s="146">
        <f t="shared" si="80"/>
        <v>0.64</v>
      </c>
      <c r="P199" s="146">
        <f t="shared" si="80"/>
        <v>0.64</v>
      </c>
      <c r="Q199" s="146">
        <f t="shared" si="80"/>
        <v>0.64</v>
      </c>
      <c r="R199" s="146">
        <f t="shared" si="80"/>
        <v>0.64</v>
      </c>
      <c r="S199" s="146">
        <f t="shared" si="80"/>
        <v>0.64</v>
      </c>
      <c r="T199" s="146">
        <f t="shared" si="81"/>
        <v>0.64</v>
      </c>
      <c r="U199" s="146">
        <f t="shared" si="81"/>
        <v>0.64</v>
      </c>
      <c r="V199" s="146">
        <f t="shared" si="81"/>
        <v>0.64</v>
      </c>
      <c r="W199" s="146">
        <f t="shared" si="81"/>
        <v>0.64</v>
      </c>
      <c r="X199" s="146">
        <f t="shared" si="81"/>
        <v>0.64</v>
      </c>
      <c r="Y199" s="146">
        <f t="shared" si="81"/>
        <v>0.64</v>
      </c>
      <c r="Z199" s="146">
        <f t="shared" si="81"/>
        <v>0.64</v>
      </c>
      <c r="AA199" s="146">
        <f t="shared" si="81"/>
        <v>0.64</v>
      </c>
      <c r="AB199" s="146">
        <f t="shared" si="81"/>
        <v>0.64</v>
      </c>
      <c r="AC199" s="146">
        <f t="shared" si="81"/>
        <v>0.64</v>
      </c>
      <c r="AD199" s="146">
        <f t="shared" si="81"/>
        <v>0.64</v>
      </c>
      <c r="AE199" s="146">
        <f t="shared" si="81"/>
        <v>0.64</v>
      </c>
      <c r="AF199" s="146">
        <f t="shared" si="81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82">SUM(D194:D199)</f>
        <v>3.54</v>
      </c>
      <c r="E200" s="149">
        <f t="shared" si="82"/>
        <v>3.54</v>
      </c>
      <c r="F200" s="149">
        <f t="shared" si="82"/>
        <v>3.54</v>
      </c>
      <c r="G200" s="149">
        <f t="shared" si="82"/>
        <v>3.54</v>
      </c>
      <c r="H200" s="149">
        <f t="shared" si="82"/>
        <v>3.54</v>
      </c>
      <c r="I200" s="149">
        <f t="shared" si="82"/>
        <v>3.54</v>
      </c>
      <c r="J200" s="149">
        <f t="shared" si="82"/>
        <v>3.54</v>
      </c>
      <c r="K200" s="149">
        <f t="shared" si="82"/>
        <v>3.54</v>
      </c>
      <c r="L200" s="149">
        <f t="shared" si="82"/>
        <v>3.54</v>
      </c>
      <c r="M200" s="149">
        <f>SUM(M194:M199)</f>
        <v>3.54</v>
      </c>
      <c r="N200" s="149">
        <f t="shared" ref="N200:S200" si="83">SUM(N194:N199)</f>
        <v>3.54</v>
      </c>
      <c r="O200" s="149">
        <f t="shared" si="83"/>
        <v>3.54</v>
      </c>
      <c r="P200" s="149">
        <f t="shared" si="83"/>
        <v>3.54</v>
      </c>
      <c r="Q200" s="149">
        <f t="shared" si="83"/>
        <v>3.54</v>
      </c>
      <c r="R200" s="149">
        <f t="shared" si="83"/>
        <v>3.54</v>
      </c>
      <c r="S200" s="149">
        <f t="shared" si="83"/>
        <v>3.54</v>
      </c>
      <c r="T200" s="149">
        <f>SUM(T194:T199)</f>
        <v>3.54</v>
      </c>
      <c r="U200" s="149">
        <f t="shared" ref="U200:AG200" si="84">SUM(U194:U199)</f>
        <v>3.54</v>
      </c>
      <c r="V200" s="149">
        <f t="shared" si="84"/>
        <v>3.54</v>
      </c>
      <c r="W200" s="149">
        <f t="shared" si="84"/>
        <v>3.54</v>
      </c>
      <c r="X200" s="149">
        <f t="shared" si="84"/>
        <v>3.54</v>
      </c>
      <c r="Y200" s="149">
        <f t="shared" si="84"/>
        <v>3.54</v>
      </c>
      <c r="Z200" s="149">
        <f t="shared" si="84"/>
        <v>3.54</v>
      </c>
      <c r="AA200" s="149">
        <f t="shared" si="84"/>
        <v>3.54</v>
      </c>
      <c r="AB200" s="149">
        <f t="shared" si="84"/>
        <v>3.54</v>
      </c>
      <c r="AC200" s="149">
        <f t="shared" si="84"/>
        <v>3.54</v>
      </c>
      <c r="AD200" s="149">
        <f t="shared" si="84"/>
        <v>3.54</v>
      </c>
      <c r="AE200" s="149">
        <f t="shared" si="84"/>
        <v>3.54</v>
      </c>
      <c r="AF200" s="149">
        <f t="shared" si="84"/>
        <v>3.54</v>
      </c>
      <c r="AG200" s="150">
        <f t="shared" si="8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1422.1400000000003</v>
      </c>
      <c r="C209" s="164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29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2078/11/29)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2078/11/29)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85">B75</f>
        <v>979.34</v>
      </c>
      <c r="U214" s="174">
        <f t="shared" si="85"/>
        <v>959.04</v>
      </c>
      <c r="V214" s="174">
        <f t="shared" si="85"/>
        <v>932.54</v>
      </c>
      <c r="W214" s="174">
        <f t="shared" si="85"/>
        <v>948.68000000000006</v>
      </c>
      <c r="X214" s="174">
        <f t="shared" si="85"/>
        <v>953.75</v>
      </c>
      <c r="Y214" s="174">
        <f t="shared" si="85"/>
        <v>999.88</v>
      </c>
      <c r="Z214" s="174">
        <f t="shared" si="85"/>
        <v>1031.96</v>
      </c>
      <c r="AA214" s="174">
        <f t="shared" si="85"/>
        <v>1088.93</v>
      </c>
      <c r="AB214" s="174">
        <f t="shared" si="85"/>
        <v>1178.04</v>
      </c>
      <c r="AC214" s="174">
        <f t="shared" si="85"/>
        <v>1323.23</v>
      </c>
      <c r="AD214" s="174">
        <f t="shared" si="85"/>
        <v>1394.64</v>
      </c>
      <c r="AE214" s="174">
        <f t="shared" si="85"/>
        <v>1422.1400000000003</v>
      </c>
      <c r="AF214" s="174">
        <f t="shared" si="85"/>
        <v>1337.1799999999998</v>
      </c>
      <c r="AG214" s="174">
        <f t="shared" si="85"/>
        <v>1354.33</v>
      </c>
      <c r="AH214" s="174">
        <f t="shared" si="85"/>
        <v>1325.04</v>
      </c>
      <c r="AI214" s="174">
        <f t="shared" si="85"/>
        <v>1292.54</v>
      </c>
      <c r="AJ214" s="174">
        <f t="shared" si="85"/>
        <v>1250.1400000000001</v>
      </c>
      <c r="AK214" s="174">
        <f t="shared" si="85"/>
        <v>1281.6400000000001</v>
      </c>
      <c r="AL214" s="174">
        <f t="shared" si="85"/>
        <v>1287.3400000000001</v>
      </c>
      <c r="AM214" s="174">
        <f t="shared" si="85"/>
        <v>1320.64</v>
      </c>
      <c r="AN214" s="174">
        <f t="shared" si="85"/>
        <v>1311.34</v>
      </c>
      <c r="AO214" s="174">
        <f t="shared" si="85"/>
        <v>1319.84</v>
      </c>
      <c r="AP214" s="174">
        <f t="shared" si="85"/>
        <v>1368.6399999999999</v>
      </c>
      <c r="AQ214" s="174">
        <f t="shared" si="85"/>
        <v>1467.94</v>
      </c>
      <c r="AR214" s="174">
        <f t="shared" si="85"/>
        <v>1546.8400000000001</v>
      </c>
      <c r="AS214" s="174">
        <f t="shared" si="85"/>
        <v>1464.3400000000001</v>
      </c>
      <c r="AT214" s="174">
        <f t="shared" si="85"/>
        <v>1419.34</v>
      </c>
      <c r="AU214" s="174">
        <f t="shared" si="85"/>
        <v>1314.34</v>
      </c>
      <c r="AV214" s="174">
        <f t="shared" si="85"/>
        <v>1260.1400000000001</v>
      </c>
      <c r="AW214" s="174">
        <f t="shared" si="85"/>
        <v>1157.3399999999999</v>
      </c>
      <c r="AX214" s="174">
        <f t="shared" si="85"/>
        <v>1122.8399999999999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86">C199</f>
        <v>0.64</v>
      </c>
      <c r="C235" s="177">
        <f t="shared" si="86"/>
        <v>0.64</v>
      </c>
      <c r="D235" s="177">
        <f t="shared" si="86"/>
        <v>0.64</v>
      </c>
      <c r="E235" s="177">
        <f t="shared" si="86"/>
        <v>0.64</v>
      </c>
      <c r="F235" s="177">
        <f t="shared" si="86"/>
        <v>0.64</v>
      </c>
      <c r="G235" s="177">
        <f t="shared" si="86"/>
        <v>0.64</v>
      </c>
      <c r="H235" s="177">
        <f t="shared" si="86"/>
        <v>0.64</v>
      </c>
      <c r="I235" s="177">
        <f t="shared" si="86"/>
        <v>0.64</v>
      </c>
      <c r="J235" s="177">
        <f t="shared" si="86"/>
        <v>0.64</v>
      </c>
      <c r="K235" s="177">
        <f t="shared" si="86"/>
        <v>0.64</v>
      </c>
      <c r="L235" s="177">
        <f t="shared" si="86"/>
        <v>0.64</v>
      </c>
      <c r="M235" s="177">
        <f t="shared" si="86"/>
        <v>0.64</v>
      </c>
      <c r="N235" s="177">
        <f t="shared" si="86"/>
        <v>0.64</v>
      </c>
      <c r="O235" s="177">
        <f t="shared" si="86"/>
        <v>0.64</v>
      </c>
      <c r="P235" s="177">
        <f t="shared" si="86"/>
        <v>0.64</v>
      </c>
      <c r="Q235" s="177">
        <f t="shared" si="86"/>
        <v>0.64</v>
      </c>
      <c r="R235" s="177">
        <f t="shared" si="86"/>
        <v>0.64</v>
      </c>
      <c r="S235" s="177">
        <f t="shared" si="86"/>
        <v>0.64</v>
      </c>
      <c r="T235" s="177">
        <f t="shared" si="86"/>
        <v>0.64</v>
      </c>
      <c r="U235" s="177">
        <f t="shared" si="86"/>
        <v>0.64</v>
      </c>
      <c r="V235" s="177">
        <f t="shared" si="86"/>
        <v>0.64</v>
      </c>
      <c r="W235" s="177">
        <f t="shared" si="86"/>
        <v>0.64</v>
      </c>
      <c r="X235" s="177">
        <f t="shared" si="86"/>
        <v>0.64</v>
      </c>
      <c r="Y235" s="177">
        <f t="shared" si="86"/>
        <v>0.64</v>
      </c>
      <c r="Z235" s="177">
        <f t="shared" si="86"/>
        <v>0.64</v>
      </c>
      <c r="AA235" s="177">
        <f t="shared" si="86"/>
        <v>0.64</v>
      </c>
      <c r="AB235" s="177">
        <f t="shared" si="86"/>
        <v>0.64</v>
      </c>
      <c r="AC235" s="177">
        <f t="shared" si="86"/>
        <v>0.64</v>
      </c>
      <c r="AD235" s="177">
        <f t="shared" si="86"/>
        <v>0.64</v>
      </c>
      <c r="AE235" s="177">
        <f t="shared" si="86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87">IF(C203&lt;100,"",C203-520)</f>
        <v/>
      </c>
      <c r="D236" s="120" t="str">
        <f t="shared" si="87"/>
        <v/>
      </c>
      <c r="E236" s="120" t="str">
        <f t="shared" si="87"/>
        <v/>
      </c>
      <c r="F236" s="120" t="str">
        <f t="shared" si="87"/>
        <v/>
      </c>
      <c r="G236" s="120" t="str">
        <f t="shared" si="87"/>
        <v/>
      </c>
      <c r="H236" s="120" t="str">
        <f t="shared" si="87"/>
        <v/>
      </c>
      <c r="I236" s="120" t="str">
        <f t="shared" si="87"/>
        <v/>
      </c>
      <c r="J236" s="120" t="str">
        <f t="shared" si="87"/>
        <v/>
      </c>
      <c r="K236" s="120" t="str">
        <f t="shared" si="87"/>
        <v/>
      </c>
      <c r="L236" s="120" t="str">
        <f t="shared" si="87"/>
        <v/>
      </c>
      <c r="M236" s="120" t="str">
        <f t="shared" si="87"/>
        <v/>
      </c>
      <c r="N236" s="120" t="str">
        <f t="shared" si="87"/>
        <v/>
      </c>
      <c r="O236" s="120" t="str">
        <f t="shared" si="87"/>
        <v/>
      </c>
      <c r="P236" s="120" t="str">
        <f t="shared" si="87"/>
        <v/>
      </c>
      <c r="Q236" s="120" t="str">
        <f t="shared" si="87"/>
        <v/>
      </c>
      <c r="R236" s="120" t="str">
        <f t="shared" si="87"/>
        <v/>
      </c>
      <c r="S236" s="120" t="str">
        <f t="shared" si="87"/>
        <v/>
      </c>
      <c r="T236" s="120" t="str">
        <f t="shared" si="87"/>
        <v/>
      </c>
      <c r="U236" s="120" t="str">
        <f t="shared" si="87"/>
        <v/>
      </c>
      <c r="V236" s="120" t="str">
        <f t="shared" si="87"/>
        <v/>
      </c>
      <c r="W236" s="120" t="str">
        <f t="shared" si="87"/>
        <v/>
      </c>
      <c r="X236" s="120" t="str">
        <f t="shared" si="87"/>
        <v/>
      </c>
      <c r="Y236" s="120" t="str">
        <f t="shared" si="87"/>
        <v/>
      </c>
      <c r="Z236" s="120" t="str">
        <f t="shared" si="87"/>
        <v/>
      </c>
      <c r="AA236" s="120" t="str">
        <f t="shared" si="87"/>
        <v/>
      </c>
      <c r="AB236" s="120" t="str">
        <f t="shared" si="87"/>
        <v/>
      </c>
      <c r="AC236" s="120" t="str">
        <f t="shared" si="87"/>
        <v/>
      </c>
      <c r="AD236" s="120" t="str">
        <f t="shared" si="87"/>
        <v/>
      </c>
      <c r="AE236" s="120" t="str">
        <f t="shared" si="87"/>
        <v/>
      </c>
      <c r="AF236" s="120" t="str">
        <f t="shared" si="87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88">IF(B204&lt;100,"",B204-620)</f>
        <v/>
      </c>
      <c r="C237" s="120" t="str">
        <f t="shared" si="88"/>
        <v/>
      </c>
      <c r="D237" s="120" t="str">
        <f t="shared" si="88"/>
        <v/>
      </c>
      <c r="E237" s="120" t="str">
        <f t="shared" si="88"/>
        <v/>
      </c>
      <c r="F237" s="120" t="str">
        <f t="shared" si="88"/>
        <v/>
      </c>
      <c r="G237" s="120" t="str">
        <f t="shared" si="88"/>
        <v/>
      </c>
      <c r="H237" s="120" t="str">
        <f t="shared" si="88"/>
        <v/>
      </c>
      <c r="I237" s="120" t="str">
        <f t="shared" si="88"/>
        <v/>
      </c>
      <c r="J237" s="120" t="str">
        <f t="shared" si="88"/>
        <v/>
      </c>
      <c r="K237" s="120" t="str">
        <f t="shared" si="88"/>
        <v/>
      </c>
      <c r="L237" s="120" t="str">
        <f t="shared" si="88"/>
        <v/>
      </c>
      <c r="M237" s="120" t="str">
        <f t="shared" si="88"/>
        <v/>
      </c>
      <c r="N237" s="120" t="str">
        <f t="shared" si="88"/>
        <v/>
      </c>
      <c r="O237" s="120" t="str">
        <f t="shared" si="88"/>
        <v/>
      </c>
      <c r="P237" s="120" t="str">
        <f t="shared" si="88"/>
        <v/>
      </c>
      <c r="Q237" s="120" t="str">
        <f t="shared" si="88"/>
        <v/>
      </c>
      <c r="R237" s="120" t="str">
        <f t="shared" si="88"/>
        <v/>
      </c>
      <c r="S237" s="120" t="str">
        <f t="shared" si="88"/>
        <v/>
      </c>
      <c r="T237" s="120" t="str">
        <f t="shared" si="88"/>
        <v/>
      </c>
      <c r="U237" s="120" t="str">
        <f t="shared" si="88"/>
        <v/>
      </c>
      <c r="V237" s="120" t="str">
        <f t="shared" si="88"/>
        <v/>
      </c>
      <c r="W237" s="120" t="str">
        <f t="shared" si="88"/>
        <v/>
      </c>
      <c r="X237" s="120" t="str">
        <f t="shared" si="88"/>
        <v/>
      </c>
      <c r="Y237" s="120" t="str">
        <f t="shared" si="88"/>
        <v/>
      </c>
      <c r="Z237" s="120" t="str">
        <f t="shared" si="88"/>
        <v/>
      </c>
      <c r="AA237" s="120" t="str">
        <f t="shared" si="88"/>
        <v/>
      </c>
      <c r="AB237" s="120" t="str">
        <f t="shared" si="88"/>
        <v/>
      </c>
      <c r="AC237" s="120" t="str">
        <f t="shared" si="88"/>
        <v/>
      </c>
      <c r="AD237" s="120" t="str">
        <f t="shared" si="88"/>
        <v/>
      </c>
      <c r="AE237" s="120" t="str">
        <f t="shared" si="88"/>
        <v/>
      </c>
      <c r="AF237" s="120" t="str">
        <f t="shared" si="88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89">IF(B205&lt;100,"",B205-330)</f>
        <v/>
      </c>
      <c r="C238" s="120" t="str">
        <f t="shared" si="89"/>
        <v/>
      </c>
      <c r="D238" s="120" t="str">
        <f t="shared" si="89"/>
        <v/>
      </c>
      <c r="E238" s="120" t="str">
        <f t="shared" si="89"/>
        <v/>
      </c>
      <c r="F238" s="120" t="str">
        <f t="shared" si="89"/>
        <v/>
      </c>
      <c r="G238" s="120" t="str">
        <f t="shared" si="89"/>
        <v/>
      </c>
      <c r="H238" s="120" t="str">
        <f t="shared" si="89"/>
        <v/>
      </c>
      <c r="I238" s="120" t="str">
        <f t="shared" si="89"/>
        <v/>
      </c>
      <c r="J238" s="120" t="str">
        <f t="shared" si="89"/>
        <v/>
      </c>
      <c r="K238" s="120" t="str">
        <f t="shared" si="89"/>
        <v/>
      </c>
      <c r="L238" s="120" t="str">
        <f t="shared" si="89"/>
        <v/>
      </c>
      <c r="M238" s="120" t="str">
        <f t="shared" si="89"/>
        <v/>
      </c>
      <c r="N238" s="120" t="str">
        <f t="shared" si="89"/>
        <v/>
      </c>
      <c r="O238" s="120" t="str">
        <f t="shared" si="89"/>
        <v/>
      </c>
      <c r="P238" s="120" t="str">
        <f t="shared" si="89"/>
        <v/>
      </c>
      <c r="Q238" s="120" t="str">
        <f t="shared" si="89"/>
        <v/>
      </c>
      <c r="R238" s="120" t="str">
        <f t="shared" si="89"/>
        <v/>
      </c>
      <c r="S238" s="120" t="str">
        <f t="shared" si="89"/>
        <v/>
      </c>
      <c r="T238" s="120" t="str">
        <f t="shared" si="89"/>
        <v/>
      </c>
      <c r="U238" s="120" t="str">
        <f t="shared" si="89"/>
        <v/>
      </c>
      <c r="V238" s="120" t="str">
        <f t="shared" si="89"/>
        <v/>
      </c>
      <c r="W238" s="120" t="str">
        <f t="shared" si="89"/>
        <v/>
      </c>
      <c r="X238" s="120" t="str">
        <f t="shared" si="89"/>
        <v/>
      </c>
      <c r="Y238" s="120" t="str">
        <f t="shared" si="89"/>
        <v/>
      </c>
      <c r="Z238" s="120" t="str">
        <f t="shared" si="89"/>
        <v/>
      </c>
      <c r="AA238" s="120" t="str">
        <f t="shared" si="89"/>
        <v/>
      </c>
      <c r="AB238" s="120" t="str">
        <f t="shared" si="89"/>
        <v/>
      </c>
      <c r="AC238" s="120" t="str">
        <f t="shared" si="89"/>
        <v/>
      </c>
      <c r="AD238" s="120" t="str">
        <f t="shared" si="89"/>
        <v/>
      </c>
      <c r="AE238" s="120" t="str">
        <f t="shared" si="89"/>
        <v/>
      </c>
      <c r="AF238" s="120" t="str">
        <f t="shared" si="89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90">IF(C206&lt;100,"",C206-1500)</f>
        <v/>
      </c>
      <c r="D239" s="120" t="str">
        <f t="shared" si="90"/>
        <v/>
      </c>
      <c r="E239" s="120" t="str">
        <f t="shared" si="90"/>
        <v/>
      </c>
      <c r="F239" s="120" t="str">
        <f t="shared" si="90"/>
        <v/>
      </c>
      <c r="G239" s="120" t="str">
        <f t="shared" si="90"/>
        <v/>
      </c>
      <c r="H239" s="120" t="str">
        <f t="shared" si="90"/>
        <v/>
      </c>
      <c r="I239" s="120" t="str">
        <f t="shared" si="90"/>
        <v/>
      </c>
      <c r="J239" s="120" t="str">
        <f t="shared" si="90"/>
        <v/>
      </c>
      <c r="K239" s="120" t="str">
        <f t="shared" si="90"/>
        <v/>
      </c>
      <c r="L239" s="120" t="str">
        <f t="shared" si="90"/>
        <v/>
      </c>
      <c r="M239" s="120" t="str">
        <f t="shared" si="90"/>
        <v/>
      </c>
      <c r="N239" s="120" t="str">
        <f t="shared" si="90"/>
        <v/>
      </c>
      <c r="O239" s="120" t="str">
        <f t="shared" si="90"/>
        <v/>
      </c>
      <c r="P239" s="120" t="str">
        <f t="shared" si="90"/>
        <v/>
      </c>
      <c r="Q239" s="120" t="str">
        <f t="shared" si="90"/>
        <v/>
      </c>
      <c r="R239" s="120" t="str">
        <f t="shared" si="90"/>
        <v/>
      </c>
      <c r="S239" s="120" t="str">
        <f t="shared" si="90"/>
        <v/>
      </c>
      <c r="T239" s="120" t="str">
        <f t="shared" si="90"/>
        <v/>
      </c>
      <c r="U239" s="120" t="str">
        <f t="shared" si="90"/>
        <v/>
      </c>
      <c r="V239" s="120" t="str">
        <f t="shared" si="90"/>
        <v/>
      </c>
      <c r="W239" s="120" t="str">
        <f t="shared" si="90"/>
        <v/>
      </c>
      <c r="X239" s="120" t="str">
        <f t="shared" si="90"/>
        <v/>
      </c>
      <c r="Y239" s="120" t="str">
        <f t="shared" si="90"/>
        <v/>
      </c>
      <c r="Z239" s="120" t="str">
        <f t="shared" si="90"/>
        <v/>
      </c>
      <c r="AA239" s="120" t="str">
        <f t="shared" si="90"/>
        <v/>
      </c>
      <c r="AB239" s="120" t="str">
        <f t="shared" si="90"/>
        <v/>
      </c>
      <c r="AC239" s="120" t="str">
        <f t="shared" si="90"/>
        <v/>
      </c>
      <c r="AD239" s="120" t="str">
        <f t="shared" si="90"/>
        <v/>
      </c>
      <c r="AE239" s="120" t="str">
        <f t="shared" si="90"/>
        <v/>
      </c>
      <c r="AF239" s="120" t="str">
        <f t="shared" si="9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4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83">
      <iconSet iconSet="3TrafficLights2" reverse="1">
        <cfvo type="percent" val="0"/>
        <cfvo type="num" val="1"/>
        <cfvo type="num" val="1"/>
      </iconSet>
    </cfRule>
  </conditionalFormatting>
  <conditionalFormatting sqref="M37:R37 C57:E60 P39:R39 M39:O42 C61:D61 P40:Q42 R42 Y85:Y91 AB81:AF81 C81:R81 C56:Y56 C82:Y83 D194:AF200 B194:B200 B9:AF10 B192:AF192 AG73 U213:AF213 D62:D67 G60:R61 E61:E67 G57:L59 F57:F67 G62:G67 C68:Y80 M11:R14 M16:R32 Y40:Y42 R40:X41 V42:X42 M53:Y55 M58:X59 S11:Y11 S18:Y30 M36:Y36 AA68:AF80 AA82:AF83 AE94:AF100 AA40:AC43 AA53:AF56 AA85:AC91">
    <cfRule type="expression" dxfId="1017" priority="479">
      <formula>B$9&gt;=20/24</formula>
    </cfRule>
    <cfRule type="expression" dxfId="1016" priority="480">
      <formula>AND(B$9&gt;=14/24,B$9&lt;20/24)</formula>
    </cfRule>
    <cfRule type="expression" dxfId="1015" priority="481">
      <formula>AND(B$9&gt;=8/24,B$9&lt;14/24)</formula>
    </cfRule>
    <cfRule type="expression" dxfId="1014" priority="482">
      <formula>B$9&lt;8/24</formula>
    </cfRule>
  </conditionalFormatting>
  <conditionalFormatting sqref="AL4:AL6">
    <cfRule type="iconSet" priority="478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1013" priority="474">
      <formula>M$9&gt;=20/24</formula>
    </cfRule>
    <cfRule type="expression" dxfId="1012" priority="475">
      <formula>AND(M$9&gt;=14/24,M$9&lt;20/24)</formula>
    </cfRule>
    <cfRule type="expression" dxfId="1011" priority="476">
      <formula>AND(M$9&gt;=8/24,M$9&lt;14/24)</formula>
    </cfRule>
    <cfRule type="expression" dxfId="1010" priority="477">
      <formula>M$9&lt;8/24</formula>
    </cfRule>
  </conditionalFormatting>
  <conditionalFormatting sqref="M43:R43">
    <cfRule type="expression" dxfId="1009" priority="470">
      <formula>M$9&gt;=20/24</formula>
    </cfRule>
    <cfRule type="expression" dxfId="1008" priority="471">
      <formula>AND(M$9&gt;=14/24,M$9&lt;20/24)</formula>
    </cfRule>
    <cfRule type="expression" dxfId="1007" priority="472">
      <formula>AND(M$9&gt;=8/24,M$9&lt;14/24)</formula>
    </cfRule>
    <cfRule type="expression" dxfId="1006" priority="473">
      <formula>M$9&lt;8/24</formula>
    </cfRule>
  </conditionalFormatting>
  <conditionalFormatting sqref="S39:Y39 AA39:AC39">
    <cfRule type="expression" dxfId="1005" priority="462">
      <formula>S$9&gt;=20/24</formula>
    </cfRule>
    <cfRule type="expression" dxfId="1004" priority="463">
      <formula>AND(S$9&gt;=14/24,S$9&lt;20/24)</formula>
    </cfRule>
    <cfRule type="expression" dxfId="1003" priority="464">
      <formula>AND(S$9&gt;=8/24,S$9&lt;14/24)</formula>
    </cfRule>
    <cfRule type="expression" dxfId="1002" priority="465">
      <formula>S$9&lt;8/24</formula>
    </cfRule>
  </conditionalFormatting>
  <conditionalFormatting sqref="S57:Y57 AA57:AC57">
    <cfRule type="expression" dxfId="1001" priority="458">
      <formula>S$9&gt;=20/24</formula>
    </cfRule>
    <cfRule type="expression" dxfId="1000" priority="459">
      <formula>AND(S$9&gt;=14/24,S$9&lt;20/24)</formula>
    </cfRule>
    <cfRule type="expression" dxfId="999" priority="460">
      <formula>AND(S$9&gt;=8/24,S$9&lt;14/24)</formula>
    </cfRule>
    <cfRule type="expression" dxfId="998" priority="461">
      <formula>S$9&lt;8/24</formula>
    </cfRule>
  </conditionalFormatting>
  <conditionalFormatting sqref="S81:Y81 AA81">
    <cfRule type="expression" dxfId="997" priority="454">
      <formula>S$9&gt;=20/24</formula>
    </cfRule>
    <cfRule type="expression" dxfId="996" priority="455">
      <formula>AND(S$9&gt;=14/24,S$9&lt;20/24)</formula>
    </cfRule>
    <cfRule type="expression" dxfId="995" priority="456">
      <formula>AND(S$9&gt;=8/24,S$9&lt;14/24)</formula>
    </cfRule>
    <cfRule type="expression" dxfId="994" priority="457">
      <formula>S$9&lt;8/24</formula>
    </cfRule>
  </conditionalFormatting>
  <conditionalFormatting sqref="U84:Y84 AA84:AC84">
    <cfRule type="expression" dxfId="993" priority="450">
      <formula>U$9&gt;=20/24</formula>
    </cfRule>
    <cfRule type="expression" dxfId="992" priority="451">
      <formula>AND(U$9&gt;=14/24,U$9&lt;20/24)</formula>
    </cfRule>
    <cfRule type="expression" dxfId="991" priority="452">
      <formula>AND(U$9&gt;=8/24,U$9&lt;14/24)</formula>
    </cfRule>
    <cfRule type="expression" dxfId="990" priority="453">
      <formula>U$9&lt;8/24</formula>
    </cfRule>
  </conditionalFormatting>
  <conditionalFormatting sqref="M35:R35">
    <cfRule type="expression" dxfId="989" priority="446">
      <formula>M$9&gt;=20/24</formula>
    </cfRule>
    <cfRule type="expression" dxfId="988" priority="447">
      <formula>AND(M$9&gt;=14/24,M$9&lt;20/24)</formula>
    </cfRule>
    <cfRule type="expression" dxfId="987" priority="448">
      <formula>AND(M$9&gt;=8/24,M$9&lt;14/24)</formula>
    </cfRule>
    <cfRule type="expression" dxfId="986" priority="449">
      <formula>M$9&lt;8/24</formula>
    </cfRule>
  </conditionalFormatting>
  <conditionalFormatting sqref="S12:Y13">
    <cfRule type="expression" dxfId="985" priority="257">
      <formula>S$9&gt;=20/24</formula>
    </cfRule>
    <cfRule type="expression" dxfId="984" priority="258">
      <formula>AND(S$9&gt;=14/24,S$9&lt;20/24)</formula>
    </cfRule>
    <cfRule type="expression" dxfId="983" priority="259">
      <formula>AND(S$9&gt;=8/24,S$9&lt;14/24)</formula>
    </cfRule>
    <cfRule type="expression" dxfId="982" priority="260">
      <formula>S$9&lt;8/24</formula>
    </cfRule>
  </conditionalFormatting>
  <conditionalFormatting sqref="S37:Y37">
    <cfRule type="expression" dxfId="981" priority="430">
      <formula>S$9&gt;=20/24</formula>
    </cfRule>
    <cfRule type="expression" dxfId="980" priority="431">
      <formula>AND(S$9&gt;=14/24,S$9&lt;20/24)</formula>
    </cfRule>
    <cfRule type="expression" dxfId="979" priority="432">
      <formula>AND(S$9&gt;=8/24,S$9&lt;14/24)</formula>
    </cfRule>
    <cfRule type="expression" dxfId="978" priority="433">
      <formula>S$9&lt;8/24</formula>
    </cfRule>
  </conditionalFormatting>
  <conditionalFormatting sqref="S31:Y32 S35:Y35">
    <cfRule type="expression" dxfId="977" priority="426">
      <formula>S$9&gt;=20/24</formula>
    </cfRule>
    <cfRule type="expression" dxfId="976" priority="427">
      <formula>AND(S$9&gt;=14/24,S$9&lt;20/24)</formula>
    </cfRule>
    <cfRule type="expression" dxfId="975" priority="428">
      <formula>AND(S$9&gt;=8/24,S$9&lt;14/24)</formula>
    </cfRule>
    <cfRule type="expression" dxfId="974" priority="429">
      <formula>S$9&lt;8/24</formula>
    </cfRule>
  </conditionalFormatting>
  <conditionalFormatting sqref="S42:U43 V43:Y43">
    <cfRule type="expression" dxfId="973" priority="422">
      <formula>S$9&gt;=20/24</formula>
    </cfRule>
    <cfRule type="expression" dxfId="972" priority="423">
      <formula>AND(S$9&gt;=14/24,S$9&lt;20/24)</formula>
    </cfRule>
    <cfRule type="expression" dxfId="971" priority="424">
      <formula>AND(S$9&gt;=8/24,S$9&lt;14/24)</formula>
    </cfRule>
    <cfRule type="expression" dxfId="970" priority="425">
      <formula>S$9&lt;8/24</formula>
    </cfRule>
  </conditionalFormatting>
  <conditionalFormatting sqref="S60:T67 Y60:Y67 AA60:AC67">
    <cfRule type="expression" dxfId="969" priority="410">
      <formula>S$9&gt;=20/24</formula>
    </cfRule>
    <cfRule type="expression" dxfId="968" priority="411">
      <formula>AND(S$9&gt;=14/24,S$9&lt;20/24)</formula>
    </cfRule>
    <cfRule type="expression" dxfId="967" priority="412">
      <formula>AND(S$9&gt;=8/24,S$9&lt;14/24)</formula>
    </cfRule>
    <cfRule type="expression" dxfId="966" priority="413">
      <formula>S$9&lt;8/24</formula>
    </cfRule>
  </conditionalFormatting>
  <conditionalFormatting sqref="I63:I67 C62:C67 H62:I62 J62:R67">
    <cfRule type="expression" dxfId="965" priority="406">
      <formula>C$9&gt;=20/24</formula>
    </cfRule>
    <cfRule type="expression" dxfId="964" priority="407">
      <formula>AND(C$9&gt;=14/24,C$9&lt;20/24)</formula>
    </cfRule>
    <cfRule type="expression" dxfId="963" priority="408">
      <formula>AND(C$9&gt;=8/24,C$9&lt;14/24)</formula>
    </cfRule>
    <cfRule type="expression" dxfId="962" priority="409">
      <formula>C$9&lt;8/24</formula>
    </cfRule>
  </conditionalFormatting>
  <conditionalFormatting sqref="U94:Y97 AA94:AC97">
    <cfRule type="expression" dxfId="961" priority="402">
      <formula>U$9&gt;=20/24</formula>
    </cfRule>
    <cfRule type="expression" dxfId="960" priority="403">
      <formula>AND(U$9&gt;=14/24,U$9&lt;20/24)</formula>
    </cfRule>
    <cfRule type="expression" dxfId="959" priority="404">
      <formula>AND(U$9&gt;=8/24,U$9&lt;14/24)</formula>
    </cfRule>
    <cfRule type="expression" dxfId="958" priority="405">
      <formula>U$9&lt;8/24</formula>
    </cfRule>
  </conditionalFormatting>
  <conditionalFormatting sqref="AG51 C51:Y52 C56:Y56 I11:P11 M12:P14 Q11:R14 M16:R32 C38:Y38 M44:T44 C42:T43 E37:X37 M34:X36 Y39:Y44 U42:X44 C39:X41 E53:Y55 S11:Y11 S18:Y32 Y34:Y37 AA38:AF38 AA39:AC44 AA51:AF56">
    <cfRule type="expression" dxfId="957" priority="401">
      <formula>C11&gt;$AG11</formula>
    </cfRule>
  </conditionalFormatting>
  <conditionalFormatting sqref="A101:A157 A84:A97 A11:A14 A16:A32 A45:A72 A80:A82 A74:A78 A35:A43 A170:A200">
    <cfRule type="expression" dxfId="956" priority="400">
      <formula>$AH11=0</formula>
    </cfRule>
  </conditionalFormatting>
  <conditionalFormatting sqref="U98:Y98 AA98:AC98">
    <cfRule type="expression" dxfId="955" priority="396">
      <formula>U$9&gt;=20/24</formula>
    </cfRule>
    <cfRule type="expression" dxfId="954" priority="397">
      <formula>AND(U$9&gt;=14/24,U$9&lt;20/24)</formula>
    </cfRule>
    <cfRule type="expression" dxfId="953" priority="398">
      <formula>AND(U$9&gt;=8/24,U$9&lt;14/24)</formula>
    </cfRule>
    <cfRule type="expression" dxfId="952" priority="399">
      <formula>U$9&lt;8/24</formula>
    </cfRule>
  </conditionalFormatting>
  <conditionalFormatting sqref="A98">
    <cfRule type="expression" dxfId="951" priority="395">
      <formula>$AH98=0</formula>
    </cfRule>
  </conditionalFormatting>
  <conditionalFormatting sqref="H63:H67">
    <cfRule type="expression" dxfId="950" priority="387">
      <formula>H$9&gt;=20/24</formula>
    </cfRule>
    <cfRule type="expression" dxfId="949" priority="388">
      <formula>AND(H$9&gt;=14/24,H$9&lt;20/24)</formula>
    </cfRule>
    <cfRule type="expression" dxfId="948" priority="389">
      <formula>AND(H$9&gt;=8/24,H$9&lt;14/24)</formula>
    </cfRule>
    <cfRule type="expression" dxfId="947" priority="390">
      <formula>H$9&lt;8/24</formula>
    </cfRule>
  </conditionalFormatting>
  <conditionalFormatting sqref="AL32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M34:R34">
    <cfRule type="expression" dxfId="946" priority="374">
      <formula>M$9&gt;=20/24</formula>
    </cfRule>
    <cfRule type="expression" dxfId="945" priority="375">
      <formula>AND(M$9&gt;=14/24,M$9&lt;20/24)</formula>
    </cfRule>
    <cfRule type="expression" dxfId="944" priority="376">
      <formula>AND(M$9&gt;=8/24,M$9&lt;14/24)</formula>
    </cfRule>
    <cfRule type="expression" dxfId="943" priority="377">
      <formula>M$9&lt;8/24</formula>
    </cfRule>
  </conditionalFormatting>
  <conditionalFormatting sqref="S34:Y34">
    <cfRule type="expression" dxfId="942" priority="370">
      <formula>S$9&gt;=20/24</formula>
    </cfRule>
    <cfRule type="expression" dxfId="941" priority="371">
      <formula>AND(S$9&gt;=14/24,S$9&lt;20/24)</formula>
    </cfRule>
    <cfRule type="expression" dxfId="940" priority="372">
      <formula>AND(S$9&gt;=8/24,S$9&lt;14/24)</formula>
    </cfRule>
    <cfRule type="expression" dxfId="939" priority="373">
      <formula>S$9&lt;8/24</formula>
    </cfRule>
  </conditionalFormatting>
  <conditionalFormatting sqref="A34">
    <cfRule type="expression" dxfId="938" priority="369">
      <formula>$AH34=0</formula>
    </cfRule>
  </conditionalFormatting>
  <conditionalFormatting sqref="A83">
    <cfRule type="expression" dxfId="937" priority="368">
      <formula>$AH83=0</formula>
    </cfRule>
  </conditionalFormatting>
  <conditionalFormatting sqref="M15:R15">
    <cfRule type="expression" dxfId="936" priority="360">
      <formula>M$9&gt;=20/24</formula>
    </cfRule>
    <cfRule type="expression" dxfId="935" priority="361">
      <formula>AND(M$9&gt;=14/24,M$9&lt;20/24)</formula>
    </cfRule>
    <cfRule type="expression" dxfId="934" priority="362">
      <formula>AND(M$9&gt;=8/24,M$9&lt;14/24)</formula>
    </cfRule>
    <cfRule type="expression" dxfId="933" priority="363">
      <formula>M$9&lt;8/24</formula>
    </cfRule>
  </conditionalFormatting>
  <conditionalFormatting sqref="M15:R15">
    <cfRule type="expression" dxfId="932" priority="359">
      <formula>M15&gt;$AG15</formula>
    </cfRule>
  </conditionalFormatting>
  <conditionalFormatting sqref="A15">
    <cfRule type="expression" dxfId="931" priority="358">
      <formula>$AH15=0</formula>
    </cfRule>
  </conditionalFormatting>
  <conditionalFormatting sqref="A164:A169">
    <cfRule type="expression" dxfId="930" priority="357">
      <formula>$AH164=0</formula>
    </cfRule>
  </conditionalFormatting>
  <conditionalFormatting sqref="A158:A163">
    <cfRule type="expression" dxfId="929" priority="356">
      <formula>$AH158=0</formula>
    </cfRule>
  </conditionalFormatting>
  <conditionalFormatting sqref="AA44:AC44">
    <cfRule type="expression" dxfId="928" priority="352">
      <formula>AA$9&gt;=20/24</formula>
    </cfRule>
    <cfRule type="expression" dxfId="927" priority="353">
      <formula>AND(AA$9&gt;=14/24,AA$9&lt;20/24)</formula>
    </cfRule>
    <cfRule type="expression" dxfId="926" priority="354">
      <formula>AND(AA$9&gt;=8/24,AA$9&lt;14/24)</formula>
    </cfRule>
    <cfRule type="expression" dxfId="925" priority="355">
      <formula>AA$9&lt;8/24</formula>
    </cfRule>
  </conditionalFormatting>
  <conditionalFormatting sqref="M44:R44">
    <cfRule type="expression" dxfId="924" priority="348">
      <formula>M$9&gt;=20/24</formula>
    </cfRule>
    <cfRule type="expression" dxfId="923" priority="349">
      <formula>AND(M$9&gt;=14/24,M$9&lt;20/24)</formula>
    </cfRule>
    <cfRule type="expression" dxfId="922" priority="350">
      <formula>AND(M$9&gt;=8/24,M$9&lt;14/24)</formula>
    </cfRule>
    <cfRule type="expression" dxfId="921" priority="351">
      <formula>M$9&lt;8/24</formula>
    </cfRule>
  </conditionalFormatting>
  <conditionalFormatting sqref="S44:Y44">
    <cfRule type="expression" dxfId="920" priority="344">
      <formula>S$9&gt;=20/24</formula>
    </cfRule>
    <cfRule type="expression" dxfId="919" priority="345">
      <formula>AND(S$9&gt;=14/24,S$9&lt;20/24)</formula>
    </cfRule>
    <cfRule type="expression" dxfId="918" priority="346">
      <formula>AND(S$9&gt;=8/24,S$9&lt;14/24)</formula>
    </cfRule>
    <cfRule type="expression" dxfId="917" priority="347">
      <formula>S$9&lt;8/24</formula>
    </cfRule>
  </conditionalFormatting>
  <conditionalFormatting sqref="A44">
    <cfRule type="expression" dxfId="916" priority="343">
      <formula>$AH44=0</formula>
    </cfRule>
  </conditionalFormatting>
  <conditionalFormatting sqref="A79">
    <cfRule type="expression" dxfId="915" priority="342">
      <formula>$AH79=0</formula>
    </cfRule>
  </conditionalFormatting>
  <conditionalFormatting sqref="A73">
    <cfRule type="expression" dxfId="914" priority="341">
      <formula>$AH73=0</formula>
    </cfRule>
  </conditionalFormatting>
  <conditionalFormatting sqref="AL34:AL35 AL7:AL31">
    <cfRule type="iconSet" priority="485">
      <iconSet iconSet="3TrafficLights2" reverse="1">
        <cfvo type="percent" val="0"/>
        <cfvo type="num" val="1"/>
        <cfvo type="num" val="1"/>
      </iconSet>
    </cfRule>
  </conditionalFormatting>
  <conditionalFormatting sqref="U60:X67">
    <cfRule type="expression" dxfId="913" priority="337">
      <formula>U$9&gt;=20/24</formula>
    </cfRule>
    <cfRule type="expression" dxfId="912" priority="338">
      <formula>AND(U$9&gt;=14/24,U$9&lt;20/24)</formula>
    </cfRule>
    <cfRule type="expression" dxfId="911" priority="339">
      <formula>AND(U$9&gt;=8/24,U$9&lt;14/24)</formula>
    </cfRule>
    <cfRule type="expression" dxfId="910" priority="340">
      <formula>U$9&lt;8/24</formula>
    </cfRule>
  </conditionalFormatting>
  <conditionalFormatting sqref="U85:X91">
    <cfRule type="expression" dxfId="909" priority="333">
      <formula>U$9&gt;=20/24</formula>
    </cfRule>
    <cfRule type="expression" dxfId="908" priority="334">
      <formula>AND(U$9&gt;=14/24,U$9&lt;20/24)</formula>
    </cfRule>
    <cfRule type="expression" dxfId="907" priority="335">
      <formula>AND(U$9&gt;=8/24,U$9&lt;14/24)</formula>
    </cfRule>
    <cfRule type="expression" dxfId="906" priority="336">
      <formula>U$9&lt;8/24</formula>
    </cfRule>
  </conditionalFormatting>
  <conditionalFormatting sqref="C84:R91 S85:T91">
    <cfRule type="expression" dxfId="905" priority="329">
      <formula>C$9&gt;=20/24</formula>
    </cfRule>
    <cfRule type="expression" dxfId="904" priority="330">
      <formula>AND(C$9&gt;=14/24,C$9&lt;20/24)</formula>
    </cfRule>
    <cfRule type="expression" dxfId="903" priority="331">
      <formula>AND(C$9&gt;=8/24,C$9&lt;14/24)</formula>
    </cfRule>
    <cfRule type="expression" dxfId="902" priority="332">
      <formula>C$9&lt;8/24</formula>
    </cfRule>
  </conditionalFormatting>
  <conditionalFormatting sqref="S84:T84">
    <cfRule type="expression" dxfId="901" priority="325">
      <formula>S$9&gt;=20/24</formula>
    </cfRule>
    <cfRule type="expression" dxfId="900" priority="326">
      <formula>AND(S$9&gt;=14/24,S$9&lt;20/24)</formula>
    </cfRule>
    <cfRule type="expression" dxfId="899" priority="327">
      <formula>AND(S$9&gt;=8/24,S$9&lt;14/24)</formula>
    </cfRule>
    <cfRule type="expression" dxfId="898" priority="328">
      <formula>S$9&lt;8/24</formula>
    </cfRule>
  </conditionalFormatting>
  <conditionalFormatting sqref="C95:M97 C94:F94">
    <cfRule type="expression" dxfId="897" priority="321">
      <formula>C$9&gt;=20/24</formula>
    </cfRule>
    <cfRule type="expression" dxfId="896" priority="322">
      <formula>AND(C$9&gt;=14/24,C$9&lt;20/24)</formula>
    </cfRule>
    <cfRule type="expression" dxfId="895" priority="323">
      <formula>AND(C$9&gt;=8/24,C$9&lt;14/24)</formula>
    </cfRule>
    <cfRule type="expression" dxfId="894" priority="324">
      <formula>C$9&lt;8/24</formula>
    </cfRule>
  </conditionalFormatting>
  <conditionalFormatting sqref="N95:R97 O94:R94">
    <cfRule type="expression" dxfId="893" priority="317">
      <formula>N$9&gt;=20/24</formula>
    </cfRule>
    <cfRule type="expression" dxfId="892" priority="318">
      <formula>AND(N$9&gt;=14/24,N$9&lt;20/24)</formula>
    </cfRule>
    <cfRule type="expression" dxfId="891" priority="319">
      <formula>AND(N$9&gt;=8/24,N$9&lt;14/24)</formula>
    </cfRule>
    <cfRule type="expression" dxfId="890" priority="320">
      <formula>N$9&lt;8/24</formula>
    </cfRule>
  </conditionalFormatting>
  <conditionalFormatting sqref="S94:T97">
    <cfRule type="expression" dxfId="889" priority="313">
      <formula>S$9&gt;=20/24</formula>
    </cfRule>
    <cfRule type="expression" dxfId="888" priority="314">
      <formula>AND(S$9&gt;=14/24,S$9&lt;20/24)</formula>
    </cfRule>
    <cfRule type="expression" dxfId="887" priority="315">
      <formula>AND(S$9&gt;=8/24,S$9&lt;14/24)</formula>
    </cfRule>
    <cfRule type="expression" dxfId="886" priority="316">
      <formula>S$9&lt;8/24</formula>
    </cfRule>
  </conditionalFormatting>
  <conditionalFormatting sqref="C98:M98">
    <cfRule type="expression" dxfId="885" priority="309">
      <formula>C$9&gt;=20/24</formula>
    </cfRule>
    <cfRule type="expression" dxfId="884" priority="310">
      <formula>AND(C$9&gt;=14/24,C$9&lt;20/24)</formula>
    </cfRule>
    <cfRule type="expression" dxfId="883" priority="311">
      <formula>AND(C$9&gt;=8/24,C$9&lt;14/24)</formula>
    </cfRule>
    <cfRule type="expression" dxfId="882" priority="312">
      <formula>C$9&lt;8/24</formula>
    </cfRule>
  </conditionalFormatting>
  <conditionalFormatting sqref="N98:R98">
    <cfRule type="expression" dxfId="881" priority="305">
      <formula>N$9&gt;=20/24</formula>
    </cfRule>
    <cfRule type="expression" dxfId="880" priority="306">
      <formula>AND(N$9&gt;=14/24,N$9&lt;20/24)</formula>
    </cfRule>
    <cfRule type="expression" dxfId="879" priority="307">
      <formula>AND(N$9&gt;=8/24,N$9&lt;14/24)</formula>
    </cfRule>
    <cfRule type="expression" dxfId="878" priority="308">
      <formula>N$9&lt;8/24</formula>
    </cfRule>
  </conditionalFormatting>
  <conditionalFormatting sqref="S98:T98">
    <cfRule type="expression" dxfId="877" priority="301">
      <formula>S$9&gt;=20/24</formula>
    </cfRule>
    <cfRule type="expression" dxfId="876" priority="302">
      <formula>AND(S$9&gt;=14/24,S$9&lt;20/24)</formula>
    </cfRule>
    <cfRule type="expression" dxfId="875" priority="303">
      <formula>AND(S$9&gt;=8/24,S$9&lt;14/24)</formula>
    </cfRule>
    <cfRule type="expression" dxfId="874" priority="304">
      <formula>S$9&lt;8/24</formula>
    </cfRule>
  </conditionalFormatting>
  <conditionalFormatting sqref="M94:N94">
    <cfRule type="expression" dxfId="873" priority="297">
      <formula>M$9&gt;=20/24</formula>
    </cfRule>
    <cfRule type="expression" dxfId="872" priority="298">
      <formula>AND(M$9&gt;=14/24,M$9&lt;20/24)</formula>
    </cfRule>
    <cfRule type="expression" dxfId="871" priority="299">
      <formula>AND(M$9&gt;=8/24,M$9&lt;14/24)</formula>
    </cfRule>
    <cfRule type="expression" dxfId="870" priority="300">
      <formula>M$9&lt;8/24</formula>
    </cfRule>
  </conditionalFormatting>
  <conditionalFormatting sqref="G94:L94">
    <cfRule type="expression" dxfId="869" priority="293">
      <formula>G$9&gt;=20/24</formula>
    </cfRule>
    <cfRule type="expression" dxfId="868" priority="294">
      <formula>AND(G$9&gt;=14/24,G$9&lt;20/24)</formula>
    </cfRule>
    <cfRule type="expression" dxfId="867" priority="295">
      <formula>AND(G$9&gt;=8/24,G$9&lt;14/24)</formula>
    </cfRule>
    <cfRule type="expression" dxfId="866" priority="296">
      <formula>G$9&lt;8/24</formula>
    </cfRule>
  </conditionalFormatting>
  <conditionalFormatting sqref="U94:W94">
    <cfRule type="expression" dxfId="865" priority="289">
      <formula>U$9&gt;=20/24</formula>
    </cfRule>
    <cfRule type="expression" dxfId="864" priority="290">
      <formula>AND(U$9&gt;=14/24,U$9&lt;20/24)</formula>
    </cfRule>
    <cfRule type="expression" dxfId="863" priority="291">
      <formula>AND(U$9&gt;=8/24,U$9&lt;14/24)</formula>
    </cfRule>
    <cfRule type="expression" dxfId="862" priority="292">
      <formula>U$9&lt;8/24</formula>
    </cfRule>
  </conditionalFormatting>
  <conditionalFormatting sqref="N94:T94">
    <cfRule type="expression" dxfId="861" priority="285">
      <formula>N$9&gt;=20/24</formula>
    </cfRule>
    <cfRule type="expression" dxfId="860" priority="286">
      <formula>AND(N$9&gt;=14/24,N$9&lt;20/24)</formula>
    </cfRule>
    <cfRule type="expression" dxfId="859" priority="287">
      <formula>AND(N$9&gt;=8/24,N$9&lt;14/24)</formula>
    </cfRule>
    <cfRule type="expression" dxfId="858" priority="288">
      <formula>N$9&lt;8/24</formula>
    </cfRule>
  </conditionalFormatting>
  <conditionalFormatting sqref="U99:Y100 AA99:AC100">
    <cfRule type="expression" dxfId="857" priority="281">
      <formula>U$9&gt;=20/24</formula>
    </cfRule>
    <cfRule type="expression" dxfId="856" priority="282">
      <formula>AND(U$9&gt;=14/24,U$9&lt;20/24)</formula>
    </cfRule>
    <cfRule type="expression" dxfId="855" priority="283">
      <formula>AND(U$9&gt;=8/24,U$9&lt;14/24)</formula>
    </cfRule>
    <cfRule type="expression" dxfId="854" priority="284">
      <formula>U$9&lt;8/24</formula>
    </cfRule>
  </conditionalFormatting>
  <conditionalFormatting sqref="C99:M100">
    <cfRule type="expression" dxfId="853" priority="277">
      <formula>C$9&gt;=20/24</formula>
    </cfRule>
    <cfRule type="expression" dxfId="852" priority="278">
      <formula>AND(C$9&gt;=14/24,C$9&lt;20/24)</formula>
    </cfRule>
    <cfRule type="expression" dxfId="851" priority="279">
      <formula>AND(C$9&gt;=8/24,C$9&lt;14/24)</formula>
    </cfRule>
    <cfRule type="expression" dxfId="850" priority="280">
      <formula>C$9&lt;8/24</formula>
    </cfRule>
  </conditionalFormatting>
  <conditionalFormatting sqref="N99:R100">
    <cfRule type="expression" dxfId="849" priority="273">
      <formula>N$9&gt;=20/24</formula>
    </cfRule>
    <cfRule type="expression" dxfId="848" priority="274">
      <formula>AND(N$9&gt;=14/24,N$9&lt;20/24)</formula>
    </cfRule>
    <cfRule type="expression" dxfId="847" priority="275">
      <formula>AND(N$9&gt;=8/24,N$9&lt;14/24)</formula>
    </cfRule>
    <cfRule type="expression" dxfId="846" priority="276">
      <formula>N$9&lt;8/24</formula>
    </cfRule>
  </conditionalFormatting>
  <conditionalFormatting sqref="S99:T100">
    <cfRule type="expression" dxfId="845" priority="269">
      <formula>S$9&gt;=20/24</formula>
    </cfRule>
    <cfRule type="expression" dxfId="844" priority="270">
      <formula>AND(S$9&gt;=14/24,S$9&lt;20/24)</formula>
    </cfRule>
    <cfRule type="expression" dxfId="843" priority="271">
      <formula>AND(S$9&gt;=8/24,S$9&lt;14/24)</formula>
    </cfRule>
    <cfRule type="expression" dxfId="842" priority="272">
      <formula>S$9&lt;8/24</formula>
    </cfRule>
  </conditionalFormatting>
  <conditionalFormatting sqref="S12:Y16">
    <cfRule type="expression" dxfId="841" priority="265">
      <formula>S$9&gt;=20/24</formula>
    </cfRule>
    <cfRule type="expression" dxfId="840" priority="266">
      <formula>AND(S$9&gt;=14/24,S$9&lt;20/24)</formula>
    </cfRule>
    <cfRule type="expression" dxfId="839" priority="267">
      <formula>AND(S$9&gt;=8/24,S$9&lt;14/24)</formula>
    </cfRule>
    <cfRule type="expression" dxfId="838" priority="268">
      <formula>S$9&lt;8/24</formula>
    </cfRule>
  </conditionalFormatting>
  <conditionalFormatting sqref="S17:Y17">
    <cfRule type="expression" dxfId="837" priority="261">
      <formula>S$9&gt;=20/24</formula>
    </cfRule>
    <cfRule type="expression" dxfId="836" priority="262">
      <formula>AND(S$9&gt;=14/24,S$9&lt;20/24)</formula>
    </cfRule>
    <cfRule type="expression" dxfId="835" priority="263">
      <formula>AND(S$9&gt;=8/24,S$9&lt;14/24)</formula>
    </cfRule>
    <cfRule type="expression" dxfId="834" priority="264">
      <formula>S$9&lt;8/24</formula>
    </cfRule>
  </conditionalFormatting>
  <conditionalFormatting sqref="AL3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833" priority="486">
      <formula>C$9&gt;=20/24</formula>
    </cfRule>
    <cfRule type="expression" dxfId="832" priority="487">
      <formula>AND(C$9&gt;=14/24,C$9&lt;20/24)</formula>
    </cfRule>
    <cfRule type="expression" dxfId="831" priority="488">
      <formula>AND(C$9&gt;=8/24,C$9&lt;14/24)</formula>
    </cfRule>
    <cfRule type="expression" dxfId="830" priority="489">
      <formula>C$9&lt;8/24</formula>
    </cfRule>
  </conditionalFormatting>
  <conditionalFormatting sqref="A201">
    <cfRule type="expression" dxfId="829" priority="490">
      <formula>$AH201=0</formula>
    </cfRule>
  </conditionalFormatting>
  <conditionalFormatting sqref="AG213">
    <cfRule type="expression" dxfId="828" priority="491">
      <formula>B$9&gt;=20/24</formula>
    </cfRule>
    <cfRule type="expression" dxfId="827" priority="492">
      <formula>AND(B$9&gt;=14/24,B$9&lt;20/24)</formula>
    </cfRule>
    <cfRule type="expression" dxfId="826" priority="493">
      <formula>AND(B$9&gt;=8/24,B$9&lt;14/24)</formula>
    </cfRule>
    <cfRule type="expression" dxfId="825" priority="494">
      <formula>B$9&lt;8/24</formula>
    </cfRule>
  </conditionalFormatting>
  <conditionalFormatting sqref="S8">
    <cfRule type="expression" dxfId="824" priority="247">
      <formula>U$9&gt;=20/24</formula>
    </cfRule>
    <cfRule type="expression" dxfId="823" priority="248">
      <formula>AND(U$9&gt;=14/24,U$9&lt;20/24)</formula>
    </cfRule>
    <cfRule type="expression" dxfId="822" priority="249">
      <formula>AND(U$9&gt;=8/24,U$9&lt;14/24)</formula>
    </cfRule>
    <cfRule type="expression" dxfId="821" priority="250">
      <formula>U$9&lt;8/24</formula>
    </cfRule>
  </conditionalFormatting>
  <conditionalFormatting sqref="AB8">
    <cfRule type="expression" dxfId="820" priority="243">
      <formula>AD$9&gt;=20/24</formula>
    </cfRule>
    <cfRule type="expression" dxfId="819" priority="244">
      <formula>AND(AD$9&gt;=14/24,AD$9&lt;20/24)</formula>
    </cfRule>
    <cfRule type="expression" dxfId="818" priority="245">
      <formula>AND(AD$9&gt;=8/24,AD$9&lt;14/24)</formula>
    </cfRule>
    <cfRule type="expression" dxfId="817" priority="246">
      <formula>AD$9&lt;8/24</formula>
    </cfRule>
  </conditionalFormatting>
  <conditionalFormatting sqref="AH213:AX213">
    <cfRule type="expression" dxfId="816" priority="495">
      <formula>AG$9&gt;=20/24</formula>
    </cfRule>
    <cfRule type="expression" dxfId="815" priority="496">
      <formula>AND(AG$9&gt;=14/24,AG$9&lt;20/24)</formula>
    </cfRule>
    <cfRule type="expression" dxfId="814" priority="497">
      <formula>AND(AG$9&gt;=8/24,AG$9&lt;14/24)</formula>
    </cfRule>
    <cfRule type="expression" dxfId="813" priority="498">
      <formula>AG$9&lt;8/24</formula>
    </cfRule>
  </conditionalFormatting>
  <conditionalFormatting sqref="T213">
    <cfRule type="expression" dxfId="812" priority="499">
      <formula>AX$9&gt;=20/24</formula>
    </cfRule>
    <cfRule type="expression" dxfId="811" priority="500">
      <formula>AND(AX$9&gt;=14/24,AX$9&lt;20/24)</formula>
    </cfRule>
    <cfRule type="expression" dxfId="810" priority="501">
      <formula>AND(AX$9&gt;=8/24,AX$9&lt;14/24)</formula>
    </cfRule>
    <cfRule type="expression" dxfId="809" priority="502">
      <formula>AX$9&lt;8/24</formula>
    </cfRule>
  </conditionalFormatting>
  <conditionalFormatting sqref="A99:A100">
    <cfRule type="expression" dxfId="808" priority="242">
      <formula>$AH99=0</formula>
    </cfRule>
  </conditionalFormatting>
  <conditionalFormatting sqref="M33:R33">
    <cfRule type="expression" dxfId="807" priority="238">
      <formula>M$9&gt;=20/24</formula>
    </cfRule>
    <cfRule type="expression" dxfId="806" priority="239">
      <formula>AND(M$9&gt;=14/24,M$9&lt;20/24)</formula>
    </cfRule>
    <cfRule type="expression" dxfId="805" priority="240">
      <formula>AND(M$9&gt;=8/24,M$9&lt;14/24)</formula>
    </cfRule>
    <cfRule type="expression" dxfId="804" priority="241">
      <formula>M$9&lt;8/24</formula>
    </cfRule>
  </conditionalFormatting>
  <conditionalFormatting sqref="S33:Y33">
    <cfRule type="expression" dxfId="803" priority="230">
      <formula>S$9&gt;=20/24</formula>
    </cfRule>
    <cfRule type="expression" dxfId="802" priority="231">
      <formula>AND(S$9&gt;=14/24,S$9&lt;20/24)</formula>
    </cfRule>
    <cfRule type="expression" dxfId="801" priority="232">
      <formula>AND(S$9&gt;=8/24,S$9&lt;14/24)</formula>
    </cfRule>
    <cfRule type="expression" dxfId="800" priority="233">
      <formula>S$9&lt;8/24</formula>
    </cfRule>
  </conditionalFormatting>
  <conditionalFormatting sqref="M33:Y33">
    <cfRule type="expression" dxfId="799" priority="229">
      <formula>M33&gt;$AG33</formula>
    </cfRule>
  </conditionalFormatting>
  <conditionalFormatting sqref="B94:B100 B53:B91 C53:D55 B11:H14 B36:L36 B16:L31 I12:L14">
    <cfRule type="expression" dxfId="798" priority="225">
      <formula>B$9&gt;=20/24</formula>
    </cfRule>
    <cfRule type="expression" dxfId="797" priority="226">
      <formula>AND(B$9&gt;=14/24,B$9&lt;20/24)</formula>
    </cfRule>
    <cfRule type="expression" dxfId="796" priority="227">
      <formula>AND(B$9&gt;=8/24,B$9&lt;14/24)</formula>
    </cfRule>
    <cfRule type="expression" dxfId="795" priority="228">
      <formula>B$9&lt;8/24</formula>
    </cfRule>
  </conditionalFormatting>
  <conditionalFormatting sqref="B35:L35">
    <cfRule type="expression" dxfId="794" priority="221">
      <formula>B$9&gt;=20/24</formula>
    </cfRule>
    <cfRule type="expression" dxfId="793" priority="222">
      <formula>AND(B$9&gt;=14/24,B$9&lt;20/24)</formula>
    </cfRule>
    <cfRule type="expression" dxfId="792" priority="223">
      <formula>AND(B$9&gt;=8/24,B$9&lt;14/24)</formula>
    </cfRule>
    <cfRule type="expression" dxfId="791" priority="224">
      <formula>B$9&lt;8/24</formula>
    </cfRule>
  </conditionalFormatting>
  <conditionalFormatting sqref="B37:D37">
    <cfRule type="expression" dxfId="790" priority="217">
      <formula>B$9&gt;=20/24</formula>
    </cfRule>
    <cfRule type="expression" dxfId="789" priority="218">
      <formula>AND(B$9&gt;=14/24,B$9&lt;20/24)</formula>
    </cfRule>
    <cfRule type="expression" dxfId="788" priority="219">
      <formula>AND(B$9&gt;=8/24,B$9&lt;14/24)</formula>
    </cfRule>
    <cfRule type="expression" dxfId="787" priority="220">
      <formula>B$9&lt;8/24</formula>
    </cfRule>
  </conditionalFormatting>
  <conditionalFormatting sqref="B45:Y48">
    <cfRule type="expression" dxfId="786" priority="213">
      <formula>B$9&gt;=20/24</formula>
    </cfRule>
    <cfRule type="expression" dxfId="785" priority="214">
      <formula>AND(B$9&gt;=14/24,B$9&lt;20/24)</formula>
    </cfRule>
    <cfRule type="expression" dxfId="784" priority="215">
      <formula>AND(B$9&gt;=8/24,B$9&lt;14/24)</formula>
    </cfRule>
    <cfRule type="expression" dxfId="783" priority="216">
      <formula>B$9&lt;8/24</formula>
    </cfRule>
  </conditionalFormatting>
  <conditionalFormatting sqref="B49:Y49">
    <cfRule type="expression" dxfId="782" priority="209">
      <formula>B$9&gt;=20/24</formula>
    </cfRule>
    <cfRule type="expression" dxfId="781" priority="210">
      <formula>AND(B$9&gt;=14/24,B$9&lt;20/24)</formula>
    </cfRule>
    <cfRule type="expression" dxfId="780" priority="211">
      <formula>AND(B$9&gt;=8/24,B$9&lt;14/24)</formula>
    </cfRule>
    <cfRule type="expression" dxfId="779" priority="212">
      <formula>B$9&lt;8/24</formula>
    </cfRule>
  </conditionalFormatting>
  <conditionalFormatting sqref="B50:Y50">
    <cfRule type="expression" dxfId="778" priority="205">
      <formula>B$9&gt;=20/24</formula>
    </cfRule>
    <cfRule type="expression" dxfId="777" priority="206">
      <formula>AND(B$9&gt;=14/24,B$9&lt;20/24)</formula>
    </cfRule>
    <cfRule type="expression" dxfId="776" priority="207">
      <formula>AND(B$9&gt;=8/24,B$9&lt;14/24)</formula>
    </cfRule>
    <cfRule type="expression" dxfId="775" priority="208">
      <formula>B$9&lt;8/24</formula>
    </cfRule>
  </conditionalFormatting>
  <conditionalFormatting sqref="B34:B56 C34:D37 C53:D55 B11:H31 I12:L31 E34:L36 C44:L50 M45:Y50">
    <cfRule type="expression" dxfId="774" priority="204">
      <formula>B11&gt;$AG11</formula>
    </cfRule>
  </conditionalFormatting>
  <conditionalFormatting sqref="B34:L34">
    <cfRule type="expression" dxfId="773" priority="200">
      <formula>B$9&gt;=20/24</formula>
    </cfRule>
    <cfRule type="expression" dxfId="772" priority="201">
      <formula>AND(B$9&gt;=14/24,B$9&lt;20/24)</formula>
    </cfRule>
    <cfRule type="expression" dxfId="771" priority="202">
      <formula>AND(B$9&gt;=8/24,B$9&lt;14/24)</formula>
    </cfRule>
    <cfRule type="expression" dxfId="770" priority="203">
      <formula>B$9&lt;8/24</formula>
    </cfRule>
  </conditionalFormatting>
  <conditionalFormatting sqref="B15:L15">
    <cfRule type="expression" dxfId="769" priority="196">
      <formula>B$9&gt;=20/24</formula>
    </cfRule>
    <cfRule type="expression" dxfId="768" priority="197">
      <formula>AND(B$9&gt;=14/24,B$9&lt;20/24)</formula>
    </cfRule>
    <cfRule type="expression" dxfId="767" priority="198">
      <formula>AND(B$9&gt;=8/24,B$9&lt;14/24)</formula>
    </cfRule>
    <cfRule type="expression" dxfId="766" priority="199">
      <formula>B$9&lt;8/24</formula>
    </cfRule>
  </conditionalFormatting>
  <conditionalFormatting sqref="B33:L33">
    <cfRule type="expression" dxfId="765" priority="192">
      <formula>B$9&gt;=20/24</formula>
    </cfRule>
    <cfRule type="expression" dxfId="764" priority="193">
      <formula>AND(B$9&gt;=14/24,B$9&lt;20/24)</formula>
    </cfRule>
    <cfRule type="expression" dxfId="763" priority="194">
      <formula>AND(B$9&gt;=8/24,B$9&lt;14/24)</formula>
    </cfRule>
    <cfRule type="expression" dxfId="762" priority="195">
      <formula>B$9&lt;8/24</formula>
    </cfRule>
  </conditionalFormatting>
  <conditionalFormatting sqref="B33:L33">
    <cfRule type="expression" dxfId="761" priority="191">
      <formula>B33&gt;$AG33</formula>
    </cfRule>
  </conditionalFormatting>
  <conditionalFormatting sqref="B32:L32">
    <cfRule type="expression" dxfId="760" priority="187">
      <formula>B$9&gt;=20/24</formula>
    </cfRule>
    <cfRule type="expression" dxfId="759" priority="188">
      <formula>AND(B$9&gt;=14/24,B$9&lt;20/24)</formula>
    </cfRule>
    <cfRule type="expression" dxfId="758" priority="189">
      <formula>AND(B$9&gt;=8/24,B$9&lt;14/24)</formula>
    </cfRule>
    <cfRule type="expression" dxfId="757" priority="190">
      <formula>B$9&lt;8/24</formula>
    </cfRule>
  </conditionalFormatting>
  <conditionalFormatting sqref="B32:L32">
    <cfRule type="expression" dxfId="756" priority="186">
      <formula>B32&gt;$AG32</formula>
    </cfRule>
  </conditionalFormatting>
  <conditionalFormatting sqref="Z11:AC11 Z18:AC30 Z36:AC36">
    <cfRule type="expression" dxfId="755" priority="177">
      <formula>Z$9&gt;=20/24</formula>
    </cfRule>
    <cfRule type="expression" dxfId="754" priority="178">
      <formula>AND(Z$9&gt;=14/24,Z$9&lt;20/24)</formula>
    </cfRule>
    <cfRule type="expression" dxfId="753" priority="179">
      <formula>AND(Z$9&gt;=8/24,Z$9&lt;14/24)</formula>
    </cfRule>
    <cfRule type="expression" dxfId="752" priority="180">
      <formula>Z$9&lt;8/24</formula>
    </cfRule>
  </conditionalFormatting>
  <conditionalFormatting sqref="Z37:AC37">
    <cfRule type="expression" dxfId="751" priority="173">
      <formula>Z$9&gt;=20/24</formula>
    </cfRule>
    <cfRule type="expression" dxfId="750" priority="174">
      <formula>AND(Z$9&gt;=14/24,Z$9&lt;20/24)</formula>
    </cfRule>
    <cfRule type="expression" dxfId="749" priority="175">
      <formula>AND(Z$9&gt;=8/24,Z$9&lt;14/24)</formula>
    </cfRule>
    <cfRule type="expression" dxfId="748" priority="176">
      <formula>Z$9&lt;8/24</formula>
    </cfRule>
  </conditionalFormatting>
  <conditionalFormatting sqref="Z31:AC32 Z35:AC35">
    <cfRule type="expression" dxfId="747" priority="169">
      <formula>Z$9&gt;=20/24</formula>
    </cfRule>
    <cfRule type="expression" dxfId="746" priority="170">
      <formula>AND(Z$9&gt;=14/24,Z$9&lt;20/24)</formula>
    </cfRule>
    <cfRule type="expression" dxfId="745" priority="171">
      <formula>AND(Z$9&gt;=8/24,Z$9&lt;14/24)</formula>
    </cfRule>
    <cfRule type="expression" dxfId="744" priority="172">
      <formula>Z$9&lt;8/24</formula>
    </cfRule>
  </conditionalFormatting>
  <conditionalFormatting sqref="Z11:AC11 Z18:AC32 Z34:AC37">
    <cfRule type="expression" dxfId="743" priority="168">
      <formula>Z11&gt;$AG11</formula>
    </cfRule>
  </conditionalFormatting>
  <conditionalFormatting sqref="Z34:AC34">
    <cfRule type="expression" dxfId="742" priority="164">
      <formula>Z$9&gt;=20/24</formula>
    </cfRule>
    <cfRule type="expression" dxfId="741" priority="165">
      <formula>AND(Z$9&gt;=14/24,Z$9&lt;20/24)</formula>
    </cfRule>
    <cfRule type="expression" dxfId="740" priority="166">
      <formula>AND(Z$9&gt;=8/24,Z$9&lt;14/24)</formula>
    </cfRule>
    <cfRule type="expression" dxfId="739" priority="167">
      <formula>Z$9&lt;8/24</formula>
    </cfRule>
  </conditionalFormatting>
  <conditionalFormatting sqref="Z12:AC16">
    <cfRule type="expression" dxfId="738" priority="160">
      <formula>Z$9&gt;=20/24</formula>
    </cfRule>
    <cfRule type="expression" dxfId="737" priority="161">
      <formula>AND(Z$9&gt;=14/24,Z$9&lt;20/24)</formula>
    </cfRule>
    <cfRule type="expression" dxfId="736" priority="162">
      <formula>AND(Z$9&gt;=8/24,Z$9&lt;14/24)</formula>
    </cfRule>
    <cfRule type="expression" dxfId="735" priority="163">
      <formula>Z$9&lt;8/24</formula>
    </cfRule>
  </conditionalFormatting>
  <conditionalFormatting sqref="Z17:AC17">
    <cfRule type="expression" dxfId="734" priority="156">
      <formula>Z$9&gt;=20/24</formula>
    </cfRule>
    <cfRule type="expression" dxfId="733" priority="157">
      <formula>AND(Z$9&gt;=14/24,Z$9&lt;20/24)</formula>
    </cfRule>
    <cfRule type="expression" dxfId="732" priority="158">
      <formula>AND(Z$9&gt;=8/24,Z$9&lt;14/24)</formula>
    </cfRule>
    <cfRule type="expression" dxfId="731" priority="159">
      <formula>Z$9&lt;8/24</formula>
    </cfRule>
  </conditionalFormatting>
  <conditionalFormatting sqref="Z12:AC13">
    <cfRule type="expression" dxfId="730" priority="152">
      <formula>Z$9&gt;=20/24</formula>
    </cfRule>
    <cfRule type="expression" dxfId="729" priority="153">
      <formula>AND(Z$9&gt;=14/24,Z$9&lt;20/24)</formula>
    </cfRule>
    <cfRule type="expression" dxfId="728" priority="154">
      <formula>AND(Z$9&gt;=8/24,Z$9&lt;14/24)</formula>
    </cfRule>
    <cfRule type="expression" dxfId="727" priority="155">
      <formula>Z$9&lt;8/24</formula>
    </cfRule>
  </conditionalFormatting>
  <conditionalFormatting sqref="Z33:AC33">
    <cfRule type="expression" dxfId="726" priority="148">
      <formula>Z$9&gt;=20/24</formula>
    </cfRule>
    <cfRule type="expression" dxfId="725" priority="149">
      <formula>AND(Z$9&gt;=14/24,Z$9&lt;20/24)</formula>
    </cfRule>
    <cfRule type="expression" dxfId="724" priority="150">
      <formula>AND(Z$9&gt;=8/24,Z$9&lt;14/24)</formula>
    </cfRule>
    <cfRule type="expression" dxfId="723" priority="151">
      <formula>Z$9&lt;8/24</formula>
    </cfRule>
  </conditionalFormatting>
  <conditionalFormatting sqref="Z33:AC33">
    <cfRule type="expression" dxfId="722" priority="147">
      <formula>Z33&gt;$AG33</formula>
    </cfRule>
  </conditionalFormatting>
  <conditionalFormatting sqref="Z85:Z91 Z82:Z83 Z68:Z80 Z40:Z42 Z53:Z56">
    <cfRule type="expression" dxfId="721" priority="143">
      <formula>Z$9&gt;=20/24</formula>
    </cfRule>
    <cfRule type="expression" dxfId="720" priority="144">
      <formula>AND(Z$9&gt;=14/24,Z$9&lt;20/24)</formula>
    </cfRule>
    <cfRule type="expression" dxfId="719" priority="145">
      <formula>AND(Z$9&gt;=8/24,Z$9&lt;14/24)</formula>
    </cfRule>
    <cfRule type="expression" dxfId="718" priority="146">
      <formula>Z$9&lt;8/24</formula>
    </cfRule>
  </conditionalFormatting>
  <conditionalFormatting sqref="Z39">
    <cfRule type="expression" dxfId="717" priority="139">
      <formula>Z$9&gt;=20/24</formula>
    </cfRule>
    <cfRule type="expression" dxfId="716" priority="140">
      <formula>AND(Z$9&gt;=14/24,Z$9&lt;20/24)</formula>
    </cfRule>
    <cfRule type="expression" dxfId="715" priority="141">
      <formula>AND(Z$9&gt;=8/24,Z$9&lt;14/24)</formula>
    </cfRule>
    <cfRule type="expression" dxfId="714" priority="142">
      <formula>Z$9&lt;8/24</formula>
    </cfRule>
  </conditionalFormatting>
  <conditionalFormatting sqref="Z57">
    <cfRule type="expression" dxfId="713" priority="135">
      <formula>Z$9&gt;=20/24</formula>
    </cfRule>
    <cfRule type="expression" dxfId="712" priority="136">
      <formula>AND(Z$9&gt;=14/24,Z$9&lt;20/24)</formula>
    </cfRule>
    <cfRule type="expression" dxfId="711" priority="137">
      <formula>AND(Z$9&gt;=8/24,Z$9&lt;14/24)</formula>
    </cfRule>
    <cfRule type="expression" dxfId="710" priority="138">
      <formula>Z$9&lt;8/24</formula>
    </cfRule>
  </conditionalFormatting>
  <conditionalFormatting sqref="Z81">
    <cfRule type="expression" dxfId="709" priority="131">
      <formula>Z$9&gt;=20/24</formula>
    </cfRule>
    <cfRule type="expression" dxfId="708" priority="132">
      <formula>AND(Z$9&gt;=14/24,Z$9&lt;20/24)</formula>
    </cfRule>
    <cfRule type="expression" dxfId="707" priority="133">
      <formula>AND(Z$9&gt;=8/24,Z$9&lt;14/24)</formula>
    </cfRule>
    <cfRule type="expression" dxfId="706" priority="134">
      <formula>Z$9&lt;8/24</formula>
    </cfRule>
  </conditionalFormatting>
  <conditionalFormatting sqref="Z84">
    <cfRule type="expression" dxfId="705" priority="127">
      <formula>Z$9&gt;=20/24</formula>
    </cfRule>
    <cfRule type="expression" dxfId="704" priority="128">
      <formula>AND(Z$9&gt;=14/24,Z$9&lt;20/24)</formula>
    </cfRule>
    <cfRule type="expression" dxfId="703" priority="129">
      <formula>AND(Z$9&gt;=8/24,Z$9&lt;14/24)</formula>
    </cfRule>
    <cfRule type="expression" dxfId="702" priority="130">
      <formula>Z$9&lt;8/24</formula>
    </cfRule>
  </conditionalFormatting>
  <conditionalFormatting sqref="Z43">
    <cfRule type="expression" dxfId="701" priority="123">
      <formula>Z$9&gt;=20/24</formula>
    </cfRule>
    <cfRule type="expression" dxfId="700" priority="124">
      <formula>AND(Z$9&gt;=14/24,Z$9&lt;20/24)</formula>
    </cfRule>
    <cfRule type="expression" dxfId="699" priority="125">
      <formula>AND(Z$9&gt;=8/24,Z$9&lt;14/24)</formula>
    </cfRule>
    <cfRule type="expression" dxfId="698" priority="126">
      <formula>Z$9&lt;8/24</formula>
    </cfRule>
  </conditionalFormatting>
  <conditionalFormatting sqref="Z60:Z67">
    <cfRule type="expression" dxfId="697" priority="119">
      <formula>Z$9&gt;=20/24</formula>
    </cfRule>
    <cfRule type="expression" dxfId="696" priority="120">
      <formula>AND(Z$9&gt;=14/24,Z$9&lt;20/24)</formula>
    </cfRule>
    <cfRule type="expression" dxfId="695" priority="121">
      <formula>AND(Z$9&gt;=8/24,Z$9&lt;14/24)</formula>
    </cfRule>
    <cfRule type="expression" dxfId="694" priority="122">
      <formula>Z$9&lt;8/24</formula>
    </cfRule>
  </conditionalFormatting>
  <conditionalFormatting sqref="Z94:Z97">
    <cfRule type="expression" dxfId="693" priority="115">
      <formula>Z$9&gt;=20/24</formula>
    </cfRule>
    <cfRule type="expression" dxfId="692" priority="116">
      <formula>AND(Z$9&gt;=14/24,Z$9&lt;20/24)</formula>
    </cfRule>
    <cfRule type="expression" dxfId="691" priority="117">
      <formula>AND(Z$9&gt;=8/24,Z$9&lt;14/24)</formula>
    </cfRule>
    <cfRule type="expression" dxfId="690" priority="118">
      <formula>Z$9&lt;8/24</formula>
    </cfRule>
  </conditionalFormatting>
  <conditionalFormatting sqref="Z38:Z44 Z51:Z56">
    <cfRule type="expression" dxfId="689" priority="114">
      <formula>Z38&gt;$AG38</formula>
    </cfRule>
  </conditionalFormatting>
  <conditionalFormatting sqref="Z98">
    <cfRule type="expression" dxfId="688" priority="110">
      <formula>Z$9&gt;=20/24</formula>
    </cfRule>
    <cfRule type="expression" dxfId="687" priority="111">
      <formula>AND(Z$9&gt;=14/24,Z$9&lt;20/24)</formula>
    </cfRule>
    <cfRule type="expression" dxfId="686" priority="112">
      <formula>AND(Z$9&gt;=8/24,Z$9&lt;14/24)</formula>
    </cfRule>
    <cfRule type="expression" dxfId="685" priority="113">
      <formula>Z$9&lt;8/24</formula>
    </cfRule>
  </conditionalFormatting>
  <conditionalFormatting sqref="Z44">
    <cfRule type="expression" dxfId="684" priority="106">
      <formula>Z$9&gt;=20/24</formula>
    </cfRule>
    <cfRule type="expression" dxfId="683" priority="107">
      <formula>AND(Z$9&gt;=14/24,Z$9&lt;20/24)</formula>
    </cfRule>
    <cfRule type="expression" dxfId="682" priority="108">
      <formula>AND(Z$9&gt;=8/24,Z$9&lt;14/24)</formula>
    </cfRule>
    <cfRule type="expression" dxfId="681" priority="109">
      <formula>Z$9&lt;8/24</formula>
    </cfRule>
  </conditionalFormatting>
  <conditionalFormatting sqref="Z99:Z100">
    <cfRule type="expression" dxfId="680" priority="102">
      <formula>Z$9&gt;=20/24</formula>
    </cfRule>
    <cfRule type="expression" dxfId="679" priority="103">
      <formula>AND(Z$9&gt;=14/24,Z$9&lt;20/24)</formula>
    </cfRule>
    <cfRule type="expression" dxfId="678" priority="104">
      <formula>AND(Z$9&gt;=8/24,Z$9&lt;14/24)</formula>
    </cfRule>
    <cfRule type="expression" dxfId="677" priority="105">
      <formula>Z$9&lt;8/24</formula>
    </cfRule>
  </conditionalFormatting>
  <conditionalFormatting sqref="Z45:AC48">
    <cfRule type="expression" dxfId="676" priority="98">
      <formula>Z$9&gt;=20/24</formula>
    </cfRule>
    <cfRule type="expression" dxfId="675" priority="99">
      <formula>AND(Z$9&gt;=14/24,Z$9&lt;20/24)</formula>
    </cfRule>
    <cfRule type="expression" dxfId="674" priority="100">
      <formula>AND(Z$9&gt;=8/24,Z$9&lt;14/24)</formula>
    </cfRule>
    <cfRule type="expression" dxfId="673" priority="101">
      <formula>Z$9&lt;8/24</formula>
    </cfRule>
  </conditionalFormatting>
  <conditionalFormatting sqref="Z49:AC49">
    <cfRule type="expression" dxfId="672" priority="94">
      <formula>Z$9&gt;=20/24</formula>
    </cfRule>
    <cfRule type="expression" dxfId="671" priority="95">
      <formula>AND(Z$9&gt;=14/24,Z$9&lt;20/24)</formula>
    </cfRule>
    <cfRule type="expression" dxfId="670" priority="96">
      <formula>AND(Z$9&gt;=8/24,Z$9&lt;14/24)</formula>
    </cfRule>
    <cfRule type="expression" dxfId="669" priority="97">
      <formula>Z$9&lt;8/24</formula>
    </cfRule>
  </conditionalFormatting>
  <conditionalFormatting sqref="Z50:AC50">
    <cfRule type="expression" dxfId="668" priority="90">
      <formula>Z$9&gt;=20/24</formula>
    </cfRule>
    <cfRule type="expression" dxfId="667" priority="91">
      <formula>AND(Z$9&gt;=14/24,Z$9&lt;20/24)</formula>
    </cfRule>
    <cfRule type="expression" dxfId="666" priority="92">
      <formula>AND(Z$9&gt;=8/24,Z$9&lt;14/24)</formula>
    </cfRule>
    <cfRule type="expression" dxfId="665" priority="93">
      <formula>Z$9&lt;8/24</formula>
    </cfRule>
  </conditionalFormatting>
  <conditionalFormatting sqref="Z45:AC50">
    <cfRule type="expression" dxfId="664" priority="89">
      <formula>Z45&gt;$AG45</formula>
    </cfRule>
  </conditionalFormatting>
  <conditionalFormatting sqref="AD11:AF11 AD18:AF30 AD36:AF36">
    <cfRule type="expression" dxfId="663" priority="85">
      <formula>AD$9&gt;=20/24</formula>
    </cfRule>
    <cfRule type="expression" dxfId="662" priority="86">
      <formula>AND(AD$9&gt;=14/24,AD$9&lt;20/24)</formula>
    </cfRule>
    <cfRule type="expression" dxfId="661" priority="87">
      <formula>AND(AD$9&gt;=8/24,AD$9&lt;14/24)</formula>
    </cfRule>
    <cfRule type="expression" dxfId="660" priority="88">
      <formula>AD$9&lt;8/24</formula>
    </cfRule>
  </conditionalFormatting>
  <conditionalFormatting sqref="AD37:AF37">
    <cfRule type="expression" dxfId="659" priority="81">
      <formula>AD$9&gt;=20/24</formula>
    </cfRule>
    <cfRule type="expression" dxfId="658" priority="82">
      <formula>AND(AD$9&gt;=14/24,AD$9&lt;20/24)</formula>
    </cfRule>
    <cfRule type="expression" dxfId="657" priority="83">
      <formula>AND(AD$9&gt;=8/24,AD$9&lt;14/24)</formula>
    </cfRule>
    <cfRule type="expression" dxfId="656" priority="84">
      <formula>AD$9&lt;8/24</formula>
    </cfRule>
  </conditionalFormatting>
  <conditionalFormatting sqref="AD31:AF32 AD35:AF35">
    <cfRule type="expression" dxfId="655" priority="77">
      <formula>AD$9&gt;=20/24</formula>
    </cfRule>
    <cfRule type="expression" dxfId="654" priority="78">
      <formula>AND(AD$9&gt;=14/24,AD$9&lt;20/24)</formula>
    </cfRule>
    <cfRule type="expression" dxfId="653" priority="79">
      <formula>AND(AD$9&gt;=8/24,AD$9&lt;14/24)</formula>
    </cfRule>
    <cfRule type="expression" dxfId="652" priority="80">
      <formula>AD$9&lt;8/24</formula>
    </cfRule>
  </conditionalFormatting>
  <conditionalFormatting sqref="AD11:AF11 AD18:AF32 AD34:AF37">
    <cfRule type="expression" dxfId="651" priority="76">
      <formula>AD11&gt;$AG11</formula>
    </cfRule>
  </conditionalFormatting>
  <conditionalFormatting sqref="AD34:AF34">
    <cfRule type="expression" dxfId="650" priority="72">
      <formula>AD$9&gt;=20/24</formula>
    </cfRule>
    <cfRule type="expression" dxfId="649" priority="73">
      <formula>AND(AD$9&gt;=14/24,AD$9&lt;20/24)</formula>
    </cfRule>
    <cfRule type="expression" dxfId="648" priority="74">
      <formula>AND(AD$9&gt;=8/24,AD$9&lt;14/24)</formula>
    </cfRule>
    <cfRule type="expression" dxfId="647" priority="75">
      <formula>AD$9&lt;8/24</formula>
    </cfRule>
  </conditionalFormatting>
  <conditionalFormatting sqref="AD12:AF16">
    <cfRule type="expression" dxfId="646" priority="68">
      <formula>AD$9&gt;=20/24</formula>
    </cfRule>
    <cfRule type="expression" dxfId="645" priority="69">
      <formula>AND(AD$9&gt;=14/24,AD$9&lt;20/24)</formula>
    </cfRule>
    <cfRule type="expression" dxfId="644" priority="70">
      <formula>AND(AD$9&gt;=8/24,AD$9&lt;14/24)</formula>
    </cfRule>
    <cfRule type="expression" dxfId="643" priority="71">
      <formula>AD$9&lt;8/24</formula>
    </cfRule>
  </conditionalFormatting>
  <conditionalFormatting sqref="AD17:AF17">
    <cfRule type="expression" dxfId="642" priority="64">
      <formula>AD$9&gt;=20/24</formula>
    </cfRule>
    <cfRule type="expression" dxfId="641" priority="65">
      <formula>AND(AD$9&gt;=14/24,AD$9&lt;20/24)</formula>
    </cfRule>
    <cfRule type="expression" dxfId="640" priority="66">
      <formula>AND(AD$9&gt;=8/24,AD$9&lt;14/24)</formula>
    </cfRule>
    <cfRule type="expression" dxfId="639" priority="67">
      <formula>AD$9&lt;8/24</formula>
    </cfRule>
  </conditionalFormatting>
  <conditionalFormatting sqref="AD12:AF13">
    <cfRule type="expression" dxfId="638" priority="60">
      <formula>AD$9&gt;=20/24</formula>
    </cfRule>
    <cfRule type="expression" dxfId="637" priority="61">
      <formula>AND(AD$9&gt;=14/24,AD$9&lt;20/24)</formula>
    </cfRule>
    <cfRule type="expression" dxfId="636" priority="62">
      <formula>AND(AD$9&gt;=8/24,AD$9&lt;14/24)</formula>
    </cfRule>
    <cfRule type="expression" dxfId="635" priority="63">
      <formula>AD$9&lt;8/24</formula>
    </cfRule>
  </conditionalFormatting>
  <conditionalFormatting sqref="AD33:AF33">
    <cfRule type="expression" dxfId="634" priority="56">
      <formula>AD$9&gt;=20/24</formula>
    </cfRule>
    <cfRule type="expression" dxfId="633" priority="57">
      <formula>AND(AD$9&gt;=14/24,AD$9&lt;20/24)</formula>
    </cfRule>
    <cfRule type="expression" dxfId="632" priority="58">
      <formula>AND(AD$9&gt;=8/24,AD$9&lt;14/24)</formula>
    </cfRule>
    <cfRule type="expression" dxfId="631" priority="59">
      <formula>AD$9&lt;8/24</formula>
    </cfRule>
  </conditionalFormatting>
  <conditionalFormatting sqref="AD33:AF33">
    <cfRule type="expression" dxfId="630" priority="55">
      <formula>AD33&gt;$AG33</formula>
    </cfRule>
  </conditionalFormatting>
  <conditionalFormatting sqref="AD40:AF43">
    <cfRule type="expression" dxfId="629" priority="51">
      <formula>AD$9&gt;=20/24</formula>
    </cfRule>
    <cfRule type="expression" dxfId="628" priority="52">
      <formula>AND(AD$9&gt;=14/24,AD$9&lt;20/24)</formula>
    </cfRule>
    <cfRule type="expression" dxfId="627" priority="53">
      <formula>AND(AD$9&gt;=8/24,AD$9&lt;14/24)</formula>
    </cfRule>
    <cfRule type="expression" dxfId="626" priority="54">
      <formula>AD$9&lt;8/24</formula>
    </cfRule>
  </conditionalFormatting>
  <conditionalFormatting sqref="AD39:AF39">
    <cfRule type="expression" dxfId="625" priority="47">
      <formula>AD$9&gt;=20/24</formula>
    </cfRule>
    <cfRule type="expression" dxfId="624" priority="48">
      <formula>AND(AD$9&gt;=14/24,AD$9&lt;20/24)</formula>
    </cfRule>
    <cfRule type="expression" dxfId="623" priority="49">
      <formula>AND(AD$9&gt;=8/24,AD$9&lt;14/24)</formula>
    </cfRule>
    <cfRule type="expression" dxfId="622" priority="50">
      <formula>AD$9&lt;8/24</formula>
    </cfRule>
  </conditionalFormatting>
  <conditionalFormatting sqref="AD39:AF44">
    <cfRule type="expression" dxfId="621" priority="46">
      <formula>AD39&gt;$AG39</formula>
    </cfRule>
  </conditionalFormatting>
  <conditionalFormatting sqref="AD44:AF44">
    <cfRule type="expression" dxfId="620" priority="42">
      <formula>AD$9&gt;=20/24</formula>
    </cfRule>
    <cfRule type="expression" dxfId="619" priority="43">
      <formula>AND(AD$9&gt;=14/24,AD$9&lt;20/24)</formula>
    </cfRule>
    <cfRule type="expression" dxfId="618" priority="44">
      <formula>AND(AD$9&gt;=8/24,AD$9&lt;14/24)</formula>
    </cfRule>
    <cfRule type="expression" dxfId="617" priority="45">
      <formula>AD$9&lt;8/24</formula>
    </cfRule>
  </conditionalFormatting>
  <conditionalFormatting sqref="AD45:AF48">
    <cfRule type="expression" dxfId="616" priority="38">
      <formula>AD$9&gt;=20/24</formula>
    </cfRule>
    <cfRule type="expression" dxfId="615" priority="39">
      <formula>AND(AD$9&gt;=14/24,AD$9&lt;20/24)</formula>
    </cfRule>
    <cfRule type="expression" dxfId="614" priority="40">
      <formula>AND(AD$9&gt;=8/24,AD$9&lt;14/24)</formula>
    </cfRule>
    <cfRule type="expression" dxfId="613" priority="41">
      <formula>AD$9&lt;8/24</formula>
    </cfRule>
  </conditionalFormatting>
  <conditionalFormatting sqref="AD49:AF49">
    <cfRule type="expression" dxfId="612" priority="34">
      <formula>AD$9&gt;=20/24</formula>
    </cfRule>
    <cfRule type="expression" dxfId="611" priority="35">
      <formula>AND(AD$9&gt;=14/24,AD$9&lt;20/24)</formula>
    </cfRule>
    <cfRule type="expression" dxfId="610" priority="36">
      <formula>AND(AD$9&gt;=8/24,AD$9&lt;14/24)</formula>
    </cfRule>
    <cfRule type="expression" dxfId="609" priority="37">
      <formula>AD$9&lt;8/24</formula>
    </cfRule>
  </conditionalFormatting>
  <conditionalFormatting sqref="AD50:AF50">
    <cfRule type="expression" dxfId="608" priority="30">
      <formula>AD$9&gt;=20/24</formula>
    </cfRule>
    <cfRule type="expression" dxfId="607" priority="31">
      <formula>AND(AD$9&gt;=14/24,AD$9&lt;20/24)</formula>
    </cfRule>
    <cfRule type="expression" dxfId="606" priority="32">
      <formula>AND(AD$9&gt;=8/24,AD$9&lt;14/24)</formula>
    </cfRule>
    <cfRule type="expression" dxfId="605" priority="33">
      <formula>AD$9&lt;8/24</formula>
    </cfRule>
  </conditionalFormatting>
  <conditionalFormatting sqref="AD45:AF50">
    <cfRule type="expression" dxfId="604" priority="29">
      <formula>AD45&gt;$AG45</formula>
    </cfRule>
  </conditionalFormatting>
  <conditionalFormatting sqref="AD57:AF57">
    <cfRule type="expression" dxfId="603" priority="25">
      <formula>AD$9&gt;=20/24</formula>
    </cfRule>
    <cfRule type="expression" dxfId="602" priority="26">
      <formula>AND(AD$9&gt;=14/24,AD$9&lt;20/24)</formula>
    </cfRule>
    <cfRule type="expression" dxfId="601" priority="27">
      <formula>AND(AD$9&gt;=8/24,AD$9&lt;14/24)</formula>
    </cfRule>
    <cfRule type="expression" dxfId="600" priority="28">
      <formula>AD$9&lt;8/24</formula>
    </cfRule>
  </conditionalFormatting>
  <conditionalFormatting sqref="AD60:AF67">
    <cfRule type="expression" dxfId="599" priority="21">
      <formula>AD$9&gt;=20/24</formula>
    </cfRule>
    <cfRule type="expression" dxfId="598" priority="22">
      <formula>AND(AD$9&gt;=14/24,AD$9&lt;20/24)</formula>
    </cfRule>
    <cfRule type="expression" dxfId="597" priority="23">
      <formula>AND(AD$9&gt;=8/24,AD$9&lt;14/24)</formula>
    </cfRule>
    <cfRule type="expression" dxfId="596" priority="24">
      <formula>AD$9&lt;8/24</formula>
    </cfRule>
  </conditionalFormatting>
  <conditionalFormatting sqref="AD85:AF91">
    <cfRule type="expression" dxfId="595" priority="17">
      <formula>AD$9&gt;=20/24</formula>
    </cfRule>
    <cfRule type="expression" dxfId="594" priority="18">
      <formula>AND(AD$9&gt;=14/24,AD$9&lt;20/24)</formula>
    </cfRule>
    <cfRule type="expression" dxfId="593" priority="19">
      <formula>AND(AD$9&gt;=8/24,AD$9&lt;14/24)</formula>
    </cfRule>
    <cfRule type="expression" dxfId="592" priority="20">
      <formula>AD$9&lt;8/24</formula>
    </cfRule>
  </conditionalFormatting>
  <conditionalFormatting sqref="AD84:AF84">
    <cfRule type="expression" dxfId="591" priority="13">
      <formula>AD$9&gt;=20/24</formula>
    </cfRule>
    <cfRule type="expression" dxfId="590" priority="14">
      <formula>AND(AD$9&gt;=14/24,AD$9&lt;20/24)</formula>
    </cfRule>
    <cfRule type="expression" dxfId="589" priority="15">
      <formula>AND(AD$9&gt;=8/24,AD$9&lt;14/24)</formula>
    </cfRule>
    <cfRule type="expression" dxfId="588" priority="16">
      <formula>AD$9&lt;8/24</formula>
    </cfRule>
  </conditionalFormatting>
  <conditionalFormatting sqref="AD94:AD97">
    <cfRule type="expression" dxfId="587" priority="9">
      <formula>AD$9&gt;=20/24</formula>
    </cfRule>
    <cfRule type="expression" dxfId="586" priority="10">
      <formula>AND(AD$9&gt;=14/24,AD$9&lt;20/24)</formula>
    </cfRule>
    <cfRule type="expression" dxfId="585" priority="11">
      <formula>AND(AD$9&gt;=8/24,AD$9&lt;14/24)</formula>
    </cfRule>
    <cfRule type="expression" dxfId="584" priority="12">
      <formula>AD$9&lt;8/24</formula>
    </cfRule>
  </conditionalFormatting>
  <conditionalFormatting sqref="AD98">
    <cfRule type="expression" dxfId="583" priority="5">
      <formula>AD$9&gt;=20/24</formula>
    </cfRule>
    <cfRule type="expression" dxfId="582" priority="6">
      <formula>AND(AD$9&gt;=14/24,AD$9&lt;20/24)</formula>
    </cfRule>
    <cfRule type="expression" dxfId="581" priority="7">
      <formula>AND(AD$9&gt;=8/24,AD$9&lt;14/24)</formula>
    </cfRule>
    <cfRule type="expression" dxfId="580" priority="8">
      <formula>AD$9&lt;8/24</formula>
    </cfRule>
  </conditionalFormatting>
  <conditionalFormatting sqref="AD99:AD100">
    <cfRule type="expression" dxfId="579" priority="1">
      <formula>AD$9&gt;=20/24</formula>
    </cfRule>
    <cfRule type="expression" dxfId="578" priority="2">
      <formula>AND(AD$9&gt;=14/24,AD$9&lt;20/24)</formula>
    </cfRule>
    <cfRule type="expression" dxfId="577" priority="3">
      <formula>AND(AD$9&gt;=8/24,AD$9&lt;14/24)</formula>
    </cfRule>
    <cfRule type="expression" dxfId="576" priority="4">
      <formula>AD$9&lt;8/24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2" id="{CC248790-563B-4C51-B005-5A3F437BAB0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B21" sqref="AB2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5" width="6.85546875" customWidth="1"/>
    <col min="26" max="26" width="7.42578125" customWidth="1"/>
    <col min="27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str">
        <f ca="1">"2078/"&amp;"11/"&amp;INT(MID(CELL("filename",D6),FIND("]",CELL("filename",D6))+1,200))</f>
        <v>2078/11/30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453.79999999999995</v>
      </c>
      <c r="C5" s="32">
        <f t="shared" si="0"/>
        <v>500</v>
      </c>
      <c r="D5" s="32">
        <f t="shared" si="0"/>
        <v>499.2</v>
      </c>
      <c r="E5" s="32">
        <f t="shared" si="0"/>
        <v>462.9</v>
      </c>
      <c r="F5" s="32">
        <f t="shared" si="0"/>
        <v>479.5</v>
      </c>
      <c r="G5" s="32">
        <f t="shared" si="0"/>
        <v>386</v>
      </c>
      <c r="H5" s="32">
        <f t="shared" si="0"/>
        <v>290.7</v>
      </c>
      <c r="I5" s="32">
        <f t="shared" si="0"/>
        <v>272.60000000000002</v>
      </c>
      <c r="J5" s="32">
        <f t="shared" si="0"/>
        <v>346</v>
      </c>
      <c r="K5" s="32">
        <f t="shared" si="0"/>
        <v>329.09999999999997</v>
      </c>
      <c r="L5" s="32">
        <f t="shared" si="0"/>
        <v>343.81000000000006</v>
      </c>
      <c r="M5" s="32">
        <f t="shared" si="0"/>
        <v>476.3</v>
      </c>
      <c r="N5" s="32">
        <f t="shared" si="0"/>
        <v>605.5</v>
      </c>
      <c r="O5" s="32">
        <f t="shared" si="0"/>
        <v>469.5</v>
      </c>
      <c r="P5" s="32">
        <f t="shared" si="0"/>
        <v>569.69999999999993</v>
      </c>
      <c r="Q5" s="32">
        <f t="shared" si="0"/>
        <v>660.00000000000011</v>
      </c>
      <c r="R5" s="32">
        <f t="shared" si="0"/>
        <v>666</v>
      </c>
      <c r="S5" s="32">
        <f t="shared" si="0"/>
        <v>668.7</v>
      </c>
      <c r="T5" s="32">
        <f t="shared" si="0"/>
        <v>686</v>
      </c>
      <c r="U5" s="32">
        <f t="shared" si="0"/>
        <v>361</v>
      </c>
      <c r="V5" s="32">
        <f t="shared" si="0"/>
        <v>353.9</v>
      </c>
      <c r="W5" s="32">
        <f t="shared" si="0"/>
        <v>361.9</v>
      </c>
      <c r="X5" s="32">
        <f t="shared" si="0"/>
        <v>332.61</v>
      </c>
      <c r="Y5" s="32">
        <f t="shared" si="0"/>
        <v>343.8</v>
      </c>
      <c r="Z5" s="32">
        <f t="shared" si="0"/>
        <v>343.8</v>
      </c>
      <c r="AA5" s="32">
        <f t="shared" si="0"/>
        <v>311.10000000000002</v>
      </c>
      <c r="AB5" s="32">
        <f t="shared" si="0"/>
        <v>314.43</v>
      </c>
      <c r="AC5" s="32">
        <f t="shared" si="0"/>
        <v>290.89999999999998</v>
      </c>
      <c r="AD5" s="32">
        <f t="shared" si="0"/>
        <v>456.90000000000003</v>
      </c>
      <c r="AE5" s="32">
        <f t="shared" si="0"/>
        <v>265.5</v>
      </c>
      <c r="AF5" s="32">
        <f>B68</f>
        <v>542.69999999999993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1420MW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Load=964</v>
      </c>
      <c r="B7" s="37">
        <f>B75</f>
        <v>1122.8399999999999</v>
      </c>
      <c r="C7" s="37">
        <f t="shared" ref="C7:AF7" si="1">C75</f>
        <v>963.93999999999994</v>
      </c>
      <c r="D7" s="37">
        <f t="shared" si="1"/>
        <v>995.74</v>
      </c>
      <c r="E7" s="37">
        <f t="shared" si="1"/>
        <v>994.34</v>
      </c>
      <c r="F7" s="37">
        <f t="shared" si="1"/>
        <v>1005.3399999999999</v>
      </c>
      <c r="G7" s="37">
        <f t="shared" si="1"/>
        <v>1025.04</v>
      </c>
      <c r="H7" s="37">
        <f t="shared" si="1"/>
        <v>1109.1399999999999</v>
      </c>
      <c r="I7" s="37">
        <f t="shared" si="1"/>
        <v>1178.6399999999999</v>
      </c>
      <c r="J7" s="37">
        <f t="shared" si="1"/>
        <v>1257.44</v>
      </c>
      <c r="K7" s="37">
        <f t="shared" si="1"/>
        <v>1348.64</v>
      </c>
      <c r="L7" s="37">
        <f t="shared" si="1"/>
        <v>1366.74</v>
      </c>
      <c r="M7" s="37">
        <f t="shared" si="1"/>
        <v>1420.0500000000002</v>
      </c>
      <c r="N7" s="37">
        <f t="shared" si="1"/>
        <v>1358.84</v>
      </c>
      <c r="O7" s="37">
        <f t="shared" si="1"/>
        <v>1339.74</v>
      </c>
      <c r="P7" s="37">
        <f t="shared" si="1"/>
        <v>1299.74</v>
      </c>
      <c r="Q7" s="37">
        <f t="shared" si="1"/>
        <v>1297.1399999999999</v>
      </c>
      <c r="R7" s="37">
        <f t="shared" si="1"/>
        <v>1294.7400000000002</v>
      </c>
      <c r="S7" s="37">
        <f t="shared" si="1"/>
        <v>1335.34</v>
      </c>
      <c r="T7" s="37">
        <f t="shared" si="1"/>
        <v>1329.54</v>
      </c>
      <c r="U7" s="37">
        <f t="shared" si="1"/>
        <v>1358.8400000000001</v>
      </c>
      <c r="V7" s="37">
        <f t="shared" si="1"/>
        <v>1298.1400000000001</v>
      </c>
      <c r="W7" s="37">
        <f t="shared" si="1"/>
        <v>1306.1399999999999</v>
      </c>
      <c r="X7" s="37">
        <f t="shared" si="1"/>
        <v>1310.6400000000001</v>
      </c>
      <c r="Y7" s="37">
        <f t="shared" si="1"/>
        <v>1387.65</v>
      </c>
      <c r="Z7" s="37">
        <f t="shared" si="1"/>
        <v>1573.7400000000002</v>
      </c>
      <c r="AA7" s="37">
        <f t="shared" si="1"/>
        <v>1573.7400000000002</v>
      </c>
      <c r="AB7" s="37">
        <f t="shared" si="1"/>
        <v>1397.14</v>
      </c>
      <c r="AC7" s="37">
        <f t="shared" si="1"/>
        <v>1356.37</v>
      </c>
      <c r="AD7" s="37">
        <f t="shared" si="1"/>
        <v>1295.8400000000001</v>
      </c>
      <c r="AE7" s="37">
        <f t="shared" si="1"/>
        <v>1128.1399999999999</v>
      </c>
      <c r="AF7" s="37">
        <f t="shared" si="1"/>
        <v>1111.04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12</v>
      </c>
      <c r="C11" s="49">
        <v>10</v>
      </c>
      <c r="D11" s="49">
        <v>10</v>
      </c>
      <c r="E11" s="49">
        <v>10</v>
      </c>
      <c r="F11" s="49">
        <v>10</v>
      </c>
      <c r="G11" s="49">
        <v>10</v>
      </c>
      <c r="H11" s="49">
        <v>150</v>
      </c>
      <c r="I11" s="49">
        <v>240</v>
      </c>
      <c r="J11" s="49">
        <v>260</v>
      </c>
      <c r="K11" s="49">
        <v>280</v>
      </c>
      <c r="L11" s="49">
        <v>280</v>
      </c>
      <c r="M11" s="50">
        <v>290</v>
      </c>
      <c r="N11" s="50">
        <v>100</v>
      </c>
      <c r="O11" s="50">
        <v>25</v>
      </c>
      <c r="P11" s="50">
        <v>100</v>
      </c>
      <c r="Q11" s="50">
        <v>12</v>
      </c>
      <c r="R11" s="51">
        <v>10</v>
      </c>
      <c r="S11" s="51">
        <v>10</v>
      </c>
      <c r="T11" s="51">
        <v>10</v>
      </c>
      <c r="U11" s="50">
        <v>10</v>
      </c>
      <c r="V11" s="50">
        <v>220</v>
      </c>
      <c r="W11" s="50">
        <v>250</v>
      </c>
      <c r="X11" s="50">
        <v>250</v>
      </c>
      <c r="Y11" s="50">
        <v>270</v>
      </c>
      <c r="Z11" s="73">
        <v>385</v>
      </c>
      <c r="AA11" s="73">
        <v>385</v>
      </c>
      <c r="AB11" s="50">
        <v>250</v>
      </c>
      <c r="AC11" s="50">
        <v>250</v>
      </c>
      <c r="AD11" s="50">
        <v>220</v>
      </c>
      <c r="AE11" s="50">
        <v>30</v>
      </c>
      <c r="AF11" s="49">
        <v>140</v>
      </c>
      <c r="AG11" s="53">
        <v>456</v>
      </c>
      <c r="AH11" s="54">
        <f>MAX(B11:AF11)</f>
        <v>385</v>
      </c>
      <c r="AI11" s="55">
        <f>MIN(B11:AF11)</f>
        <v>10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>
        <v>31</v>
      </c>
      <c r="C12" s="49">
        <v>31</v>
      </c>
      <c r="D12" s="49">
        <v>31</v>
      </c>
      <c r="E12" s="49">
        <v>31</v>
      </c>
      <c r="F12" s="49">
        <v>31</v>
      </c>
      <c r="G12" s="49">
        <v>31</v>
      </c>
      <c r="H12" s="49">
        <v>31</v>
      </c>
      <c r="I12" s="49">
        <v>31</v>
      </c>
      <c r="J12" s="49">
        <v>31</v>
      </c>
      <c r="K12" s="49">
        <v>31</v>
      </c>
      <c r="L12" s="49">
        <v>31</v>
      </c>
      <c r="M12" s="49">
        <v>31</v>
      </c>
      <c r="N12" s="49">
        <v>31</v>
      </c>
      <c r="O12" s="49">
        <v>31</v>
      </c>
      <c r="P12" s="49">
        <v>31</v>
      </c>
      <c r="Q12" s="49">
        <v>31</v>
      </c>
      <c r="R12" s="49">
        <v>31</v>
      </c>
      <c r="S12" s="49">
        <v>31</v>
      </c>
      <c r="T12" s="49">
        <v>31</v>
      </c>
      <c r="U12" s="49">
        <v>31</v>
      </c>
      <c r="V12" s="49">
        <v>31</v>
      </c>
      <c r="W12" s="49">
        <v>31</v>
      </c>
      <c r="X12" s="49">
        <v>31</v>
      </c>
      <c r="Y12" s="49">
        <v>31</v>
      </c>
      <c r="Z12" s="73">
        <v>31</v>
      </c>
      <c r="AA12" s="73">
        <v>31</v>
      </c>
      <c r="AB12" s="50">
        <v>31</v>
      </c>
      <c r="AC12" s="50">
        <v>31</v>
      </c>
      <c r="AD12" s="50">
        <v>31</v>
      </c>
      <c r="AE12" s="50">
        <v>31</v>
      </c>
      <c r="AF12" s="49">
        <v>31</v>
      </c>
      <c r="AG12" s="59">
        <v>60</v>
      </c>
      <c r="AH12" s="54">
        <f t="shared" ref="AH12:AH75" si="2">MAX(B12:AF12)</f>
        <v>31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>
        <v>15.2</v>
      </c>
      <c r="C13" s="49">
        <v>15.2</v>
      </c>
      <c r="D13" s="49">
        <v>15.2</v>
      </c>
      <c r="E13" s="49">
        <v>15.2</v>
      </c>
      <c r="F13" s="49">
        <v>15.2</v>
      </c>
      <c r="G13" s="49">
        <v>15.2</v>
      </c>
      <c r="H13" s="49">
        <v>15.2</v>
      </c>
      <c r="I13" s="49">
        <v>15.2</v>
      </c>
      <c r="J13" s="49">
        <v>15.2</v>
      </c>
      <c r="K13" s="49">
        <v>15.2</v>
      </c>
      <c r="L13" s="49">
        <v>15.2</v>
      </c>
      <c r="M13" s="49">
        <v>16.899999999999999</v>
      </c>
      <c r="N13" s="49">
        <v>16.899999999999999</v>
      </c>
      <c r="O13" s="49">
        <v>16.899999999999999</v>
      </c>
      <c r="P13" s="49">
        <v>16.899999999999999</v>
      </c>
      <c r="Q13" s="49">
        <v>16.8</v>
      </c>
      <c r="R13" s="49">
        <v>16.8</v>
      </c>
      <c r="S13" s="49">
        <v>16.8</v>
      </c>
      <c r="T13" s="49">
        <v>16.8</v>
      </c>
      <c r="U13" s="49">
        <v>16.8</v>
      </c>
      <c r="V13" s="49">
        <v>16.8</v>
      </c>
      <c r="W13" s="49">
        <v>16.8</v>
      </c>
      <c r="X13" s="49">
        <v>16.8</v>
      </c>
      <c r="Y13" s="49">
        <v>16.8</v>
      </c>
      <c r="Z13" s="73">
        <v>16.8</v>
      </c>
      <c r="AA13" s="73">
        <v>16.8</v>
      </c>
      <c r="AB13" s="50">
        <v>16.100000000000001</v>
      </c>
      <c r="AC13" s="50">
        <v>16</v>
      </c>
      <c r="AD13" s="50">
        <v>16</v>
      </c>
      <c r="AE13" s="50">
        <v>16</v>
      </c>
      <c r="AF13" s="49">
        <v>16</v>
      </c>
      <c r="AG13" s="59">
        <v>52.4</v>
      </c>
      <c r="AH13" s="54">
        <f t="shared" si="2"/>
        <v>16.899999999999999</v>
      </c>
      <c r="AI13" s="55">
        <f t="shared" si="3"/>
        <v>15.2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>
        <v>32.9</v>
      </c>
      <c r="C14" s="49">
        <v>32.9</v>
      </c>
      <c r="D14" s="49">
        <v>32.9</v>
      </c>
      <c r="E14" s="49">
        <v>32.9</v>
      </c>
      <c r="F14" s="49">
        <v>37.6</v>
      </c>
      <c r="G14" s="49">
        <v>37.5</v>
      </c>
      <c r="H14" s="49">
        <v>37.4</v>
      </c>
      <c r="I14" s="49">
        <v>37.4</v>
      </c>
      <c r="J14" s="49">
        <v>37.4</v>
      </c>
      <c r="K14" s="49">
        <v>39.700000000000003</v>
      </c>
      <c r="L14" s="49">
        <v>39.700000000000003</v>
      </c>
      <c r="M14" s="50">
        <v>39.299999999999997</v>
      </c>
      <c r="N14" s="50">
        <v>39.299999999999997</v>
      </c>
      <c r="O14" s="50">
        <v>39.299999999999997</v>
      </c>
      <c r="P14" s="50">
        <v>39.299999999999997</v>
      </c>
      <c r="Q14" s="50">
        <v>39.5</v>
      </c>
      <c r="R14" s="50">
        <v>39.5</v>
      </c>
      <c r="S14" s="50">
        <v>39.5</v>
      </c>
      <c r="T14" s="50">
        <v>39.5</v>
      </c>
      <c r="U14" s="50">
        <v>39.5</v>
      </c>
      <c r="V14" s="50">
        <v>39.5</v>
      </c>
      <c r="W14" s="50">
        <v>39.5</v>
      </c>
      <c r="X14" s="50">
        <v>39.5</v>
      </c>
      <c r="Y14" s="50">
        <v>39.5</v>
      </c>
      <c r="Z14" s="73">
        <v>39.5</v>
      </c>
      <c r="AA14" s="73">
        <v>39.5</v>
      </c>
      <c r="AB14" s="50">
        <v>34.9</v>
      </c>
      <c r="AC14" s="50">
        <v>37</v>
      </c>
      <c r="AD14" s="50">
        <v>37</v>
      </c>
      <c r="AE14" s="50">
        <v>37</v>
      </c>
      <c r="AF14" s="49">
        <v>37.700000000000003</v>
      </c>
      <c r="AG14" s="59">
        <v>50</v>
      </c>
      <c r="AH14" s="54">
        <f t="shared" si="2"/>
        <v>39.700000000000003</v>
      </c>
      <c r="AI14" s="55">
        <f t="shared" si="3"/>
        <v>32.9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>
        <v>23.1</v>
      </c>
      <c r="C15" s="61">
        <v>23.1</v>
      </c>
      <c r="D15" s="61">
        <v>23.1</v>
      </c>
      <c r="E15" s="61">
        <v>23.1</v>
      </c>
      <c r="F15" s="61">
        <v>23.1</v>
      </c>
      <c r="G15" s="61">
        <v>23.1</v>
      </c>
      <c r="H15" s="61">
        <v>23.1</v>
      </c>
      <c r="I15" s="61">
        <v>23.1</v>
      </c>
      <c r="J15" s="61">
        <v>23.1</v>
      </c>
      <c r="K15" s="61">
        <v>23.1</v>
      </c>
      <c r="L15" s="61">
        <v>23.1</v>
      </c>
      <c r="M15" s="50">
        <v>22.1</v>
      </c>
      <c r="N15" s="50">
        <v>22.1</v>
      </c>
      <c r="O15" s="50">
        <v>22.1</v>
      </c>
      <c r="P15" s="50">
        <v>22.1</v>
      </c>
      <c r="Q15" s="50">
        <v>21.1</v>
      </c>
      <c r="R15" s="50">
        <v>21.1</v>
      </c>
      <c r="S15" s="50">
        <v>21.1</v>
      </c>
      <c r="T15" s="50">
        <v>21.1</v>
      </c>
      <c r="U15" s="50">
        <v>21.1</v>
      </c>
      <c r="V15" s="50">
        <v>21.1</v>
      </c>
      <c r="W15" s="50">
        <v>21.1</v>
      </c>
      <c r="X15" s="50">
        <v>21.1</v>
      </c>
      <c r="Y15" s="50">
        <v>21.1</v>
      </c>
      <c r="Z15" s="73">
        <v>21.1</v>
      </c>
      <c r="AA15" s="73">
        <v>21.1</v>
      </c>
      <c r="AB15" s="50">
        <v>23.7</v>
      </c>
      <c r="AC15" s="50">
        <v>23.7</v>
      </c>
      <c r="AD15" s="50">
        <v>23.7</v>
      </c>
      <c r="AE15" s="50">
        <v>23.7</v>
      </c>
      <c r="AF15" s="61">
        <v>23.7</v>
      </c>
      <c r="AG15" s="62">
        <v>45</v>
      </c>
      <c r="AH15" s="54">
        <f t="shared" si="2"/>
        <v>23.7</v>
      </c>
      <c r="AI15" s="55">
        <f t="shared" si="3"/>
        <v>21.1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>
        <v>9</v>
      </c>
      <c r="C16" s="49">
        <v>9</v>
      </c>
      <c r="D16" s="49">
        <v>9</v>
      </c>
      <c r="E16" s="49">
        <v>9</v>
      </c>
      <c r="F16" s="49">
        <v>9</v>
      </c>
      <c r="G16" s="49">
        <v>9</v>
      </c>
      <c r="H16" s="49">
        <v>9</v>
      </c>
      <c r="I16" s="49">
        <v>9</v>
      </c>
      <c r="J16" s="49">
        <v>9</v>
      </c>
      <c r="K16" s="49">
        <v>9</v>
      </c>
      <c r="L16" s="49">
        <v>9</v>
      </c>
      <c r="M16" s="50">
        <v>9</v>
      </c>
      <c r="N16" s="50">
        <v>9</v>
      </c>
      <c r="O16" s="50">
        <v>9</v>
      </c>
      <c r="P16" s="50">
        <v>9</v>
      </c>
      <c r="Q16" s="50">
        <v>9</v>
      </c>
      <c r="R16" s="50">
        <v>0</v>
      </c>
      <c r="S16" s="50">
        <v>9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73">
        <v>0</v>
      </c>
      <c r="AA16" s="73">
        <v>0</v>
      </c>
      <c r="AB16" s="50">
        <v>0</v>
      </c>
      <c r="AC16" s="50">
        <v>0</v>
      </c>
      <c r="AD16" s="50">
        <v>0</v>
      </c>
      <c r="AE16" s="50">
        <v>14</v>
      </c>
      <c r="AF16" s="49">
        <v>14</v>
      </c>
      <c r="AG16" s="59">
        <v>45</v>
      </c>
      <c r="AH16" s="54">
        <f t="shared" si="2"/>
        <v>14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>
        <v>6.5</v>
      </c>
      <c r="C17" s="49">
        <v>6.5</v>
      </c>
      <c r="D17" s="49">
        <v>6.5</v>
      </c>
      <c r="E17" s="49">
        <v>6.5</v>
      </c>
      <c r="F17" s="49">
        <v>6.5</v>
      </c>
      <c r="G17" s="49">
        <v>6.5</v>
      </c>
      <c r="H17" s="49">
        <v>6.5</v>
      </c>
      <c r="I17" s="49">
        <v>6.5</v>
      </c>
      <c r="J17" s="49">
        <v>6.5</v>
      </c>
      <c r="K17" s="49">
        <v>6.5</v>
      </c>
      <c r="L17" s="49">
        <v>6.5</v>
      </c>
      <c r="M17" s="50">
        <v>6.5</v>
      </c>
      <c r="N17" s="50">
        <v>6.5</v>
      </c>
      <c r="O17" s="50">
        <v>6.5</v>
      </c>
      <c r="P17" s="50">
        <v>6.5</v>
      </c>
      <c r="Q17" s="50">
        <v>6.5</v>
      </c>
      <c r="R17" s="50">
        <v>6.5</v>
      </c>
      <c r="S17" s="50">
        <v>6.5</v>
      </c>
      <c r="T17" s="50">
        <v>6.5</v>
      </c>
      <c r="U17" s="50">
        <v>6.5</v>
      </c>
      <c r="V17" s="50">
        <v>6.5</v>
      </c>
      <c r="W17" s="50">
        <v>6.5</v>
      </c>
      <c r="X17" s="50">
        <v>6.5</v>
      </c>
      <c r="Y17" s="50">
        <v>6.5</v>
      </c>
      <c r="Z17" s="73">
        <v>6.5</v>
      </c>
      <c r="AA17" s="73">
        <v>6.5</v>
      </c>
      <c r="AB17" s="50">
        <v>6.5</v>
      </c>
      <c r="AC17" s="50">
        <v>6.5</v>
      </c>
      <c r="AD17" s="50">
        <v>6.5</v>
      </c>
      <c r="AE17" s="50">
        <v>6.5</v>
      </c>
      <c r="AF17" s="49">
        <v>6.5</v>
      </c>
      <c r="AG17" s="59">
        <v>42</v>
      </c>
      <c r="AH17" s="54">
        <f t="shared" si="2"/>
        <v>6.5</v>
      </c>
      <c r="AI17" s="55">
        <f t="shared" si="3"/>
        <v>6.5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>
        <v>8</v>
      </c>
      <c r="C18" s="49">
        <v>8</v>
      </c>
      <c r="D18" s="49">
        <v>8</v>
      </c>
      <c r="E18" s="49">
        <v>8</v>
      </c>
      <c r="F18" s="49">
        <v>8</v>
      </c>
      <c r="G18" s="49">
        <v>8</v>
      </c>
      <c r="H18" s="49">
        <v>8</v>
      </c>
      <c r="I18" s="49">
        <v>8</v>
      </c>
      <c r="J18" s="49">
        <v>8</v>
      </c>
      <c r="K18" s="49">
        <v>8</v>
      </c>
      <c r="L18" s="49">
        <v>8</v>
      </c>
      <c r="M18" s="50">
        <v>8</v>
      </c>
      <c r="N18" s="50">
        <v>8</v>
      </c>
      <c r="O18" s="50">
        <v>8</v>
      </c>
      <c r="P18" s="50">
        <v>8</v>
      </c>
      <c r="Q18" s="50">
        <v>8</v>
      </c>
      <c r="R18" s="50">
        <v>8</v>
      </c>
      <c r="S18" s="50">
        <v>8</v>
      </c>
      <c r="T18" s="50">
        <v>8</v>
      </c>
      <c r="U18" s="50">
        <v>8</v>
      </c>
      <c r="V18" s="50">
        <v>8</v>
      </c>
      <c r="W18" s="50">
        <v>8</v>
      </c>
      <c r="X18" s="50">
        <v>8</v>
      </c>
      <c r="Y18" s="50">
        <v>8</v>
      </c>
      <c r="Z18" s="73">
        <v>8</v>
      </c>
      <c r="AA18" s="73">
        <v>8</v>
      </c>
      <c r="AB18" s="50">
        <v>8</v>
      </c>
      <c r="AC18" s="50">
        <v>8</v>
      </c>
      <c r="AD18" s="50">
        <v>8</v>
      </c>
      <c r="AE18" s="50">
        <v>8</v>
      </c>
      <c r="AF18" s="49">
        <v>8</v>
      </c>
      <c r="AG18" s="59">
        <v>36</v>
      </c>
      <c r="AH18" s="54">
        <f t="shared" si="2"/>
        <v>8</v>
      </c>
      <c r="AI18" s="55">
        <f t="shared" si="3"/>
        <v>8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>
        <v>11.4</v>
      </c>
      <c r="C19" s="49">
        <v>11.4</v>
      </c>
      <c r="D19" s="49">
        <v>11.4</v>
      </c>
      <c r="E19" s="49">
        <v>11.4</v>
      </c>
      <c r="F19" s="49">
        <v>11.4</v>
      </c>
      <c r="G19" s="49">
        <v>11.4</v>
      </c>
      <c r="H19" s="49">
        <v>11.4</v>
      </c>
      <c r="I19" s="49">
        <v>11.4</v>
      </c>
      <c r="J19" s="49">
        <v>11.4</v>
      </c>
      <c r="K19" s="49">
        <v>11.4</v>
      </c>
      <c r="L19" s="49">
        <v>11.4</v>
      </c>
      <c r="M19" s="50">
        <v>11.4</v>
      </c>
      <c r="N19" s="50">
        <v>11.4</v>
      </c>
      <c r="O19" s="50">
        <v>11.4</v>
      </c>
      <c r="P19" s="50">
        <v>11.4</v>
      </c>
      <c r="Q19" s="50">
        <v>10.6</v>
      </c>
      <c r="R19" s="50">
        <v>10.6</v>
      </c>
      <c r="S19" s="50">
        <v>10.6</v>
      </c>
      <c r="T19" s="50">
        <v>10.6</v>
      </c>
      <c r="U19" s="50">
        <v>10.6</v>
      </c>
      <c r="V19" s="50">
        <v>10.6</v>
      </c>
      <c r="W19" s="50">
        <v>10.6</v>
      </c>
      <c r="X19" s="50">
        <v>10.6</v>
      </c>
      <c r="Y19" s="50">
        <v>10.6</v>
      </c>
      <c r="Z19" s="73">
        <v>10.6</v>
      </c>
      <c r="AA19" s="73">
        <v>10.6</v>
      </c>
      <c r="AB19" s="50">
        <v>12.2</v>
      </c>
      <c r="AC19" s="50">
        <v>12.2</v>
      </c>
      <c r="AD19" s="50">
        <v>12.2</v>
      </c>
      <c r="AE19" s="50">
        <v>12.2</v>
      </c>
      <c r="AF19" s="49">
        <v>13.2</v>
      </c>
      <c r="AG19" s="59">
        <v>30</v>
      </c>
      <c r="AH19" s="54">
        <f t="shared" si="2"/>
        <v>13.2</v>
      </c>
      <c r="AI19" s="55">
        <f t="shared" si="3"/>
        <v>10.6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>
        <v>7</v>
      </c>
      <c r="C20" s="49">
        <v>7</v>
      </c>
      <c r="D20" s="49">
        <v>7</v>
      </c>
      <c r="E20" s="49">
        <v>7</v>
      </c>
      <c r="F20" s="49">
        <v>7</v>
      </c>
      <c r="G20" s="49">
        <v>7</v>
      </c>
      <c r="H20" s="49">
        <v>7</v>
      </c>
      <c r="I20" s="49">
        <v>7</v>
      </c>
      <c r="J20" s="49">
        <v>7</v>
      </c>
      <c r="K20" s="49">
        <v>7</v>
      </c>
      <c r="L20" s="49">
        <v>7</v>
      </c>
      <c r="M20" s="50">
        <v>7</v>
      </c>
      <c r="N20" s="50">
        <v>7</v>
      </c>
      <c r="O20" s="50">
        <v>7</v>
      </c>
      <c r="P20" s="50">
        <v>7</v>
      </c>
      <c r="Q20" s="50">
        <v>7</v>
      </c>
      <c r="R20" s="50">
        <v>7</v>
      </c>
      <c r="S20" s="50">
        <v>7</v>
      </c>
      <c r="T20" s="50">
        <v>7</v>
      </c>
      <c r="U20" s="50">
        <v>7</v>
      </c>
      <c r="V20" s="50">
        <v>7</v>
      </c>
      <c r="W20" s="50">
        <v>7</v>
      </c>
      <c r="X20" s="50">
        <v>7</v>
      </c>
      <c r="Y20" s="50">
        <v>7</v>
      </c>
      <c r="Z20" s="73">
        <v>7</v>
      </c>
      <c r="AA20" s="73">
        <v>7</v>
      </c>
      <c r="AB20" s="50">
        <v>7</v>
      </c>
      <c r="AC20" s="50">
        <v>7</v>
      </c>
      <c r="AD20" s="50">
        <v>7</v>
      </c>
      <c r="AE20" s="50">
        <v>7</v>
      </c>
      <c r="AF20" s="49">
        <v>7.6</v>
      </c>
      <c r="AG20" s="59">
        <v>27</v>
      </c>
      <c r="AH20" s="54">
        <f t="shared" si="2"/>
        <v>7.6</v>
      </c>
      <c r="AI20" s="55">
        <f t="shared" si="3"/>
        <v>7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>
        <v>3.5</v>
      </c>
      <c r="C21" s="49">
        <v>3.5</v>
      </c>
      <c r="D21" s="49">
        <v>3.5</v>
      </c>
      <c r="E21" s="49">
        <v>3.5</v>
      </c>
      <c r="F21" s="49">
        <v>3.5</v>
      </c>
      <c r="G21" s="49">
        <v>3.5</v>
      </c>
      <c r="H21" s="49">
        <v>3.5</v>
      </c>
      <c r="I21" s="49">
        <v>3.5</v>
      </c>
      <c r="J21" s="49">
        <v>3.5</v>
      </c>
      <c r="K21" s="49">
        <v>3.5</v>
      </c>
      <c r="L21" s="49">
        <v>3.5</v>
      </c>
      <c r="M21" s="50">
        <v>3.5</v>
      </c>
      <c r="N21" s="50">
        <v>3.5</v>
      </c>
      <c r="O21" s="50">
        <v>3.5</v>
      </c>
      <c r="P21" s="50">
        <v>3.5</v>
      </c>
      <c r="Q21" s="50">
        <v>3.5</v>
      </c>
      <c r="R21" s="50">
        <v>3.5</v>
      </c>
      <c r="S21" s="50">
        <v>3.5</v>
      </c>
      <c r="T21" s="50">
        <v>3.5</v>
      </c>
      <c r="U21" s="50">
        <v>3.5</v>
      </c>
      <c r="V21" s="50">
        <v>3.5</v>
      </c>
      <c r="W21" s="50">
        <v>3.5</v>
      </c>
      <c r="X21" s="50">
        <v>3.5</v>
      </c>
      <c r="Y21" s="50">
        <v>3.5</v>
      </c>
      <c r="Z21" s="73">
        <v>3.5</v>
      </c>
      <c r="AA21" s="73">
        <v>3.5</v>
      </c>
      <c r="AB21" s="50">
        <v>3.5</v>
      </c>
      <c r="AC21" s="50">
        <v>3.5</v>
      </c>
      <c r="AD21" s="50">
        <v>3.5</v>
      </c>
      <c r="AE21" s="50">
        <v>3.5</v>
      </c>
      <c r="AF21" s="49">
        <v>3.5</v>
      </c>
      <c r="AG21" s="59">
        <v>25</v>
      </c>
      <c r="AH21" s="54">
        <f t="shared" si="2"/>
        <v>3.5</v>
      </c>
      <c r="AI21" s="55">
        <f t="shared" si="3"/>
        <v>3.5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>
        <v>11</v>
      </c>
      <c r="C22" s="49">
        <v>11</v>
      </c>
      <c r="D22" s="49">
        <v>11</v>
      </c>
      <c r="E22" s="49">
        <v>11</v>
      </c>
      <c r="F22" s="49">
        <v>11</v>
      </c>
      <c r="G22" s="49">
        <v>11</v>
      </c>
      <c r="H22" s="49">
        <v>11</v>
      </c>
      <c r="I22" s="49">
        <v>11</v>
      </c>
      <c r="J22" s="49">
        <v>11</v>
      </c>
      <c r="K22" s="49">
        <v>11</v>
      </c>
      <c r="L22" s="49">
        <v>11</v>
      </c>
      <c r="M22" s="50">
        <v>15.2</v>
      </c>
      <c r="N22" s="50">
        <v>15.2</v>
      </c>
      <c r="O22" s="50">
        <v>15.2</v>
      </c>
      <c r="P22" s="50">
        <v>15.2</v>
      </c>
      <c r="Q22" s="50">
        <v>12.7</v>
      </c>
      <c r="R22" s="50">
        <v>12.7</v>
      </c>
      <c r="S22" s="50">
        <v>12.7</v>
      </c>
      <c r="T22" s="50">
        <v>12.7</v>
      </c>
      <c r="U22" s="50">
        <v>12.7</v>
      </c>
      <c r="V22" s="50">
        <v>12.7</v>
      </c>
      <c r="W22" s="50">
        <v>12.7</v>
      </c>
      <c r="X22" s="50">
        <v>12.7</v>
      </c>
      <c r="Y22" s="50">
        <v>12.7</v>
      </c>
      <c r="Z22" s="73">
        <v>12.7</v>
      </c>
      <c r="AA22" s="73">
        <v>12.7</v>
      </c>
      <c r="AB22" s="50">
        <v>20</v>
      </c>
      <c r="AC22" s="50">
        <v>20</v>
      </c>
      <c r="AD22" s="50">
        <v>20</v>
      </c>
      <c r="AE22" s="50">
        <v>9.5</v>
      </c>
      <c r="AF22" s="49">
        <v>19.100000000000001</v>
      </c>
      <c r="AG22" s="59">
        <v>25</v>
      </c>
      <c r="AH22" s="54">
        <f t="shared" si="2"/>
        <v>20</v>
      </c>
      <c r="AI22" s="55">
        <f t="shared" si="3"/>
        <v>9.5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>
        <v>4.8</v>
      </c>
      <c r="C23" s="49">
        <v>4.8</v>
      </c>
      <c r="D23" s="49">
        <v>4.8</v>
      </c>
      <c r="E23" s="49">
        <v>4.8</v>
      </c>
      <c r="F23" s="49">
        <v>4.8</v>
      </c>
      <c r="G23" s="49">
        <v>4.8</v>
      </c>
      <c r="H23" s="49">
        <v>4.8</v>
      </c>
      <c r="I23" s="49">
        <v>4.8</v>
      </c>
      <c r="J23" s="49">
        <v>4.8</v>
      </c>
      <c r="K23" s="49">
        <v>4.8</v>
      </c>
      <c r="L23" s="49">
        <v>4.8</v>
      </c>
      <c r="M23" s="50">
        <v>4.8</v>
      </c>
      <c r="N23" s="50">
        <v>4.8</v>
      </c>
      <c r="O23" s="50">
        <v>4.8</v>
      </c>
      <c r="P23" s="50">
        <v>4.8</v>
      </c>
      <c r="Q23" s="50">
        <v>4.8</v>
      </c>
      <c r="R23" s="50">
        <v>4.8</v>
      </c>
      <c r="S23" s="50">
        <v>4.8</v>
      </c>
      <c r="T23" s="50">
        <v>4.8</v>
      </c>
      <c r="U23" s="50">
        <v>4.8</v>
      </c>
      <c r="V23" s="50">
        <v>4.8</v>
      </c>
      <c r="W23" s="50">
        <v>4.8</v>
      </c>
      <c r="X23" s="50">
        <v>4.8</v>
      </c>
      <c r="Y23" s="50">
        <v>4.8</v>
      </c>
      <c r="Z23" s="73">
        <v>4.8</v>
      </c>
      <c r="AA23" s="73">
        <v>4.8</v>
      </c>
      <c r="AB23" s="50">
        <v>4.8</v>
      </c>
      <c r="AC23" s="50">
        <v>4.8</v>
      </c>
      <c r="AD23" s="50">
        <v>4.8</v>
      </c>
      <c r="AE23" s="50">
        <v>4.8</v>
      </c>
      <c r="AF23" s="49">
        <v>4.8</v>
      </c>
      <c r="AG23" s="59">
        <v>25</v>
      </c>
      <c r="AH23" s="54">
        <f t="shared" si="2"/>
        <v>4.8</v>
      </c>
      <c r="AI23" s="55">
        <f t="shared" si="3"/>
        <v>4.8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>
        <v>9.3000000000000007</v>
      </c>
      <c r="C24" s="49">
        <v>9.3000000000000007</v>
      </c>
      <c r="D24" s="49">
        <v>9.3000000000000007</v>
      </c>
      <c r="E24" s="49">
        <v>9.3000000000000007</v>
      </c>
      <c r="F24" s="49">
        <v>8.5</v>
      </c>
      <c r="G24" s="49">
        <v>8.5</v>
      </c>
      <c r="H24" s="49">
        <v>7.8</v>
      </c>
      <c r="I24" s="49">
        <v>7.8</v>
      </c>
      <c r="J24" s="49">
        <v>7.8</v>
      </c>
      <c r="K24" s="49">
        <v>7.8</v>
      </c>
      <c r="L24" s="49">
        <v>7.8</v>
      </c>
      <c r="M24" s="50">
        <v>7.8</v>
      </c>
      <c r="N24" s="50">
        <v>7.8</v>
      </c>
      <c r="O24" s="50">
        <v>7.8</v>
      </c>
      <c r="P24" s="50">
        <v>7.8</v>
      </c>
      <c r="Q24" s="50">
        <v>6.5</v>
      </c>
      <c r="R24" s="50">
        <v>6.5</v>
      </c>
      <c r="S24" s="50">
        <v>6.5</v>
      </c>
      <c r="T24" s="50">
        <v>6.5</v>
      </c>
      <c r="U24" s="50">
        <v>6.5</v>
      </c>
      <c r="V24" s="50">
        <v>4.8</v>
      </c>
      <c r="W24" s="50">
        <v>4.8</v>
      </c>
      <c r="X24" s="50">
        <v>4.8</v>
      </c>
      <c r="Y24" s="50">
        <v>4.8</v>
      </c>
      <c r="Z24" s="73">
        <v>4.8</v>
      </c>
      <c r="AA24" s="73">
        <v>4.8</v>
      </c>
      <c r="AB24" s="50">
        <v>5.7</v>
      </c>
      <c r="AC24" s="50">
        <v>5.7</v>
      </c>
      <c r="AD24" s="50">
        <v>5.7</v>
      </c>
      <c r="AE24" s="50">
        <v>5.7</v>
      </c>
      <c r="AF24" s="49">
        <v>8.9</v>
      </c>
      <c r="AG24" s="59">
        <v>25</v>
      </c>
      <c r="AH24" s="54">
        <f t="shared" si="2"/>
        <v>9.3000000000000007</v>
      </c>
      <c r="AI24" s="55">
        <f t="shared" si="3"/>
        <v>4.8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>
        <v>5</v>
      </c>
      <c r="C25" s="49">
        <v>5</v>
      </c>
      <c r="D25" s="49">
        <v>5</v>
      </c>
      <c r="E25" s="49">
        <v>5</v>
      </c>
      <c r="F25" s="49">
        <v>5</v>
      </c>
      <c r="G25" s="49">
        <v>5</v>
      </c>
      <c r="H25" s="49">
        <v>5</v>
      </c>
      <c r="I25" s="49">
        <v>5</v>
      </c>
      <c r="J25" s="49">
        <v>5</v>
      </c>
      <c r="K25" s="49">
        <v>5</v>
      </c>
      <c r="L25" s="49">
        <v>5</v>
      </c>
      <c r="M25" s="50">
        <v>5</v>
      </c>
      <c r="N25" s="50">
        <v>5</v>
      </c>
      <c r="O25" s="50">
        <v>5</v>
      </c>
      <c r="P25" s="50">
        <v>5</v>
      </c>
      <c r="Q25" s="50">
        <v>5</v>
      </c>
      <c r="R25" s="50">
        <v>5</v>
      </c>
      <c r="S25" s="50">
        <v>5</v>
      </c>
      <c r="T25" s="50">
        <v>5</v>
      </c>
      <c r="U25" s="50">
        <v>5</v>
      </c>
      <c r="V25" s="50">
        <v>5</v>
      </c>
      <c r="W25" s="50">
        <v>5</v>
      </c>
      <c r="X25" s="50">
        <v>5</v>
      </c>
      <c r="Y25" s="50">
        <v>5</v>
      </c>
      <c r="Z25" s="73">
        <v>5</v>
      </c>
      <c r="AA25" s="73">
        <v>5</v>
      </c>
      <c r="AB25" s="50">
        <v>5</v>
      </c>
      <c r="AC25" s="50">
        <v>5</v>
      </c>
      <c r="AD25" s="50">
        <v>5</v>
      </c>
      <c r="AE25" s="50">
        <v>5</v>
      </c>
      <c r="AF25" s="49">
        <v>5</v>
      </c>
      <c r="AG25" s="59">
        <v>24.2</v>
      </c>
      <c r="AH25" s="54">
        <f t="shared" si="2"/>
        <v>5</v>
      </c>
      <c r="AI25" s="55">
        <f t="shared" si="3"/>
        <v>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>
        <v>6.7</v>
      </c>
      <c r="C26" s="49">
        <v>6.7</v>
      </c>
      <c r="D26" s="49">
        <v>6.7</v>
      </c>
      <c r="E26" s="49">
        <v>6.7</v>
      </c>
      <c r="F26" s="49">
        <v>6.7</v>
      </c>
      <c r="G26" s="49">
        <v>6.7</v>
      </c>
      <c r="H26" s="49">
        <v>6.7</v>
      </c>
      <c r="I26" s="49">
        <v>6.7</v>
      </c>
      <c r="J26" s="49">
        <v>6.7</v>
      </c>
      <c r="K26" s="49">
        <v>6.7</v>
      </c>
      <c r="L26" s="49">
        <v>6.7</v>
      </c>
      <c r="M26" s="50">
        <v>6.7</v>
      </c>
      <c r="N26" s="50">
        <v>6.7</v>
      </c>
      <c r="O26" s="50">
        <v>6.7</v>
      </c>
      <c r="P26" s="50">
        <v>6.7</v>
      </c>
      <c r="Q26" s="50">
        <v>6.7</v>
      </c>
      <c r="R26" s="50">
        <v>6.7</v>
      </c>
      <c r="S26" s="50">
        <v>6.7</v>
      </c>
      <c r="T26" s="50">
        <v>6.7</v>
      </c>
      <c r="U26" s="50">
        <v>6.7</v>
      </c>
      <c r="V26" s="50">
        <v>6.7</v>
      </c>
      <c r="W26" s="50">
        <v>6.7</v>
      </c>
      <c r="X26" s="50">
        <v>6.7</v>
      </c>
      <c r="Y26" s="50">
        <v>6.7</v>
      </c>
      <c r="Z26" s="73">
        <v>6.7</v>
      </c>
      <c r="AA26" s="73">
        <v>6.7</v>
      </c>
      <c r="AB26" s="73">
        <v>6.7</v>
      </c>
      <c r="AC26" s="73">
        <v>6.7</v>
      </c>
      <c r="AD26" s="73">
        <v>6.7</v>
      </c>
      <c r="AE26" s="73">
        <v>6.7</v>
      </c>
      <c r="AF26" s="73">
        <v>6.7</v>
      </c>
      <c r="AG26" s="59">
        <v>20</v>
      </c>
      <c r="AH26" s="54">
        <f t="shared" si="2"/>
        <v>6.7</v>
      </c>
      <c r="AI26" s="55">
        <f t="shared" si="3"/>
        <v>6.7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>
        <v>2.5</v>
      </c>
      <c r="C27" s="49">
        <v>2.5</v>
      </c>
      <c r="D27" s="49">
        <v>2.5</v>
      </c>
      <c r="E27" s="49">
        <v>2.5</v>
      </c>
      <c r="F27" s="49">
        <v>2.5</v>
      </c>
      <c r="G27" s="49">
        <v>2.5</v>
      </c>
      <c r="H27" s="49">
        <v>2.5</v>
      </c>
      <c r="I27" s="49">
        <v>2.5</v>
      </c>
      <c r="J27" s="49">
        <v>2.5</v>
      </c>
      <c r="K27" s="49">
        <v>2.5</v>
      </c>
      <c r="L27" s="49">
        <v>2.5</v>
      </c>
      <c r="M27" s="50">
        <v>2.5</v>
      </c>
      <c r="N27" s="50">
        <v>2.5</v>
      </c>
      <c r="O27" s="50">
        <v>2.5</v>
      </c>
      <c r="P27" s="50">
        <v>2.5</v>
      </c>
      <c r="Q27" s="50">
        <v>2.5</v>
      </c>
      <c r="R27" s="50">
        <v>2.5</v>
      </c>
      <c r="S27" s="50">
        <v>2.5</v>
      </c>
      <c r="T27" s="50">
        <v>2.5</v>
      </c>
      <c r="U27" s="50">
        <v>2.5</v>
      </c>
      <c r="V27" s="50">
        <v>2.5</v>
      </c>
      <c r="W27" s="50">
        <v>2.5</v>
      </c>
      <c r="X27" s="50">
        <v>2.5</v>
      </c>
      <c r="Y27" s="50">
        <v>2.5</v>
      </c>
      <c r="Z27" s="73">
        <v>2.5</v>
      </c>
      <c r="AA27" s="73">
        <v>2.5</v>
      </c>
      <c r="AB27" s="73">
        <v>2.5</v>
      </c>
      <c r="AC27" s="73">
        <v>2.5</v>
      </c>
      <c r="AD27" s="73">
        <v>2.5</v>
      </c>
      <c r="AE27" s="73">
        <v>2.5</v>
      </c>
      <c r="AF27" s="73">
        <v>2.5</v>
      </c>
      <c r="AG27" s="59">
        <v>23.5</v>
      </c>
      <c r="AH27" s="54">
        <f t="shared" si="2"/>
        <v>2.5</v>
      </c>
      <c r="AI27" s="55">
        <f t="shared" si="3"/>
        <v>2.5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73">
        <v>0</v>
      </c>
      <c r="AA28" s="73">
        <v>0</v>
      </c>
      <c r="AB28" s="73">
        <v>0</v>
      </c>
      <c r="AC28" s="73">
        <v>0</v>
      </c>
      <c r="AD28" s="73">
        <v>0</v>
      </c>
      <c r="AE28" s="73">
        <v>0</v>
      </c>
      <c r="AF28" s="73">
        <v>0</v>
      </c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>
        <v>4.5999999999999996</v>
      </c>
      <c r="C29" s="49">
        <v>4.5999999999999996</v>
      </c>
      <c r="D29" s="49">
        <v>4.5999999999999996</v>
      </c>
      <c r="E29" s="49">
        <v>4.5999999999999996</v>
      </c>
      <c r="F29" s="49">
        <v>4.5999999999999996</v>
      </c>
      <c r="G29" s="49">
        <v>4.5999999999999996</v>
      </c>
      <c r="H29" s="49">
        <v>4.5999999999999996</v>
      </c>
      <c r="I29" s="49">
        <v>4.5999999999999996</v>
      </c>
      <c r="J29" s="49">
        <v>4.5999999999999996</v>
      </c>
      <c r="K29" s="49">
        <v>4.5999999999999996</v>
      </c>
      <c r="L29" s="49">
        <v>4.5999999999999996</v>
      </c>
      <c r="M29" s="50">
        <v>4.5999999999999996</v>
      </c>
      <c r="N29" s="50">
        <v>4.5999999999999996</v>
      </c>
      <c r="O29" s="50">
        <v>4.5999999999999996</v>
      </c>
      <c r="P29" s="50">
        <v>4.5999999999999996</v>
      </c>
      <c r="Q29" s="50">
        <v>4.5999999999999996</v>
      </c>
      <c r="R29" s="50">
        <v>4.5999999999999996</v>
      </c>
      <c r="S29" s="50">
        <v>4.5999999999999996</v>
      </c>
      <c r="T29" s="50">
        <v>4.5999999999999996</v>
      </c>
      <c r="U29" s="50">
        <v>4.5999999999999996</v>
      </c>
      <c r="V29" s="50">
        <v>4.5999999999999996</v>
      </c>
      <c r="W29" s="50">
        <v>4.5999999999999996</v>
      </c>
      <c r="X29" s="50">
        <v>4.5999999999999996</v>
      </c>
      <c r="Y29" s="50">
        <v>4.5999999999999996</v>
      </c>
      <c r="Z29" s="73">
        <v>4.5999999999999996</v>
      </c>
      <c r="AA29" s="73">
        <v>4.5999999999999996</v>
      </c>
      <c r="AB29" s="73">
        <v>4.5999999999999996</v>
      </c>
      <c r="AC29" s="73">
        <v>4.5999999999999996</v>
      </c>
      <c r="AD29" s="73">
        <v>4.5999999999999996</v>
      </c>
      <c r="AE29" s="73">
        <v>4.5999999999999996</v>
      </c>
      <c r="AF29" s="73">
        <v>4.5999999999999996</v>
      </c>
      <c r="AG29" s="59">
        <v>22.1</v>
      </c>
      <c r="AH29" s="54">
        <f t="shared" si="2"/>
        <v>4.5999999999999996</v>
      </c>
      <c r="AI29" s="55">
        <f t="shared" si="3"/>
        <v>4.5999999999999996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>
        <v>10</v>
      </c>
      <c r="C30" s="49">
        <v>10</v>
      </c>
      <c r="D30" s="49">
        <v>10</v>
      </c>
      <c r="E30" s="49">
        <v>10</v>
      </c>
      <c r="F30" s="49">
        <v>10</v>
      </c>
      <c r="G30" s="49">
        <v>10</v>
      </c>
      <c r="H30" s="49">
        <v>10</v>
      </c>
      <c r="I30" s="49">
        <v>10</v>
      </c>
      <c r="J30" s="49">
        <v>10</v>
      </c>
      <c r="K30" s="49">
        <v>10</v>
      </c>
      <c r="L30" s="49">
        <v>10</v>
      </c>
      <c r="M30" s="50">
        <v>10</v>
      </c>
      <c r="N30" s="50">
        <v>10</v>
      </c>
      <c r="O30" s="50">
        <v>10</v>
      </c>
      <c r="P30" s="50">
        <v>10</v>
      </c>
      <c r="Q30" s="50">
        <v>10</v>
      </c>
      <c r="R30" s="50">
        <v>10</v>
      </c>
      <c r="S30" s="50">
        <v>10</v>
      </c>
      <c r="T30" s="50">
        <v>10</v>
      </c>
      <c r="U30" s="50">
        <v>10</v>
      </c>
      <c r="V30" s="50">
        <v>10</v>
      </c>
      <c r="W30" s="50">
        <v>10</v>
      </c>
      <c r="X30" s="50">
        <v>10</v>
      </c>
      <c r="Y30" s="50">
        <v>10</v>
      </c>
      <c r="Z30" s="73">
        <v>10</v>
      </c>
      <c r="AA30" s="73">
        <v>10</v>
      </c>
      <c r="AB30" s="73">
        <v>10</v>
      </c>
      <c r="AC30" s="73">
        <v>10</v>
      </c>
      <c r="AD30" s="73">
        <v>10</v>
      </c>
      <c r="AE30" s="73">
        <v>10</v>
      </c>
      <c r="AF30" s="73">
        <v>10</v>
      </c>
      <c r="AG30" s="59">
        <v>22.1</v>
      </c>
      <c r="AH30" s="54">
        <f t="shared" si="2"/>
        <v>10</v>
      </c>
      <c r="AI30" s="55">
        <f t="shared" si="3"/>
        <v>10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>
        <v>6</v>
      </c>
      <c r="C31" s="61">
        <v>6</v>
      </c>
      <c r="D31" s="61">
        <v>6</v>
      </c>
      <c r="E31" s="61">
        <v>6</v>
      </c>
      <c r="F31" s="61">
        <v>6</v>
      </c>
      <c r="G31" s="61">
        <v>6</v>
      </c>
      <c r="H31" s="61">
        <v>6</v>
      </c>
      <c r="I31" s="61">
        <v>6</v>
      </c>
      <c r="J31" s="61">
        <v>6</v>
      </c>
      <c r="K31" s="61">
        <v>6</v>
      </c>
      <c r="L31" s="61">
        <v>6</v>
      </c>
      <c r="M31" s="50">
        <v>6</v>
      </c>
      <c r="N31" s="50">
        <v>6</v>
      </c>
      <c r="O31" s="50">
        <v>6</v>
      </c>
      <c r="P31" s="50">
        <v>6</v>
      </c>
      <c r="Q31" s="50">
        <v>6</v>
      </c>
      <c r="R31" s="50">
        <v>6</v>
      </c>
      <c r="S31" s="50">
        <v>6</v>
      </c>
      <c r="T31" s="50">
        <v>6</v>
      </c>
      <c r="U31" s="50">
        <v>6</v>
      </c>
      <c r="V31" s="50">
        <v>6</v>
      </c>
      <c r="W31" s="50">
        <v>6</v>
      </c>
      <c r="X31" s="50">
        <v>6</v>
      </c>
      <c r="Y31" s="50">
        <v>6</v>
      </c>
      <c r="Z31" s="73">
        <v>6</v>
      </c>
      <c r="AA31" s="73">
        <v>6</v>
      </c>
      <c r="AB31" s="73">
        <v>6</v>
      </c>
      <c r="AC31" s="73">
        <v>6</v>
      </c>
      <c r="AD31" s="73">
        <v>6</v>
      </c>
      <c r="AE31" s="73">
        <v>6</v>
      </c>
      <c r="AF31" s="73">
        <v>6</v>
      </c>
      <c r="AG31" s="62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>
        <v>3.7</v>
      </c>
      <c r="C32" s="61">
        <v>3.7</v>
      </c>
      <c r="D32" s="61">
        <v>3.7</v>
      </c>
      <c r="E32" s="61">
        <v>3.7</v>
      </c>
      <c r="F32" s="61">
        <v>3.7</v>
      </c>
      <c r="G32" s="61">
        <v>3.7</v>
      </c>
      <c r="H32" s="61">
        <v>3.7</v>
      </c>
      <c r="I32" s="61">
        <v>3.7</v>
      </c>
      <c r="J32" s="61">
        <v>3.7</v>
      </c>
      <c r="K32" s="61">
        <v>3.7</v>
      </c>
      <c r="L32" s="61">
        <v>3.7</v>
      </c>
      <c r="M32" s="50">
        <v>3.7</v>
      </c>
      <c r="N32" s="50">
        <v>3.7</v>
      </c>
      <c r="O32" s="50">
        <v>3.7</v>
      </c>
      <c r="P32" s="50">
        <v>3.7</v>
      </c>
      <c r="Q32" s="50">
        <v>3.7</v>
      </c>
      <c r="R32" s="50">
        <v>3.7</v>
      </c>
      <c r="S32" s="50">
        <v>3.7</v>
      </c>
      <c r="T32" s="50">
        <v>3.7</v>
      </c>
      <c r="U32" s="50">
        <v>3.7</v>
      </c>
      <c r="V32" s="50">
        <v>3.7</v>
      </c>
      <c r="W32" s="50">
        <v>3.7</v>
      </c>
      <c r="X32" s="50">
        <v>3.7</v>
      </c>
      <c r="Y32" s="50">
        <v>3.7</v>
      </c>
      <c r="Z32" s="73">
        <v>3.7</v>
      </c>
      <c r="AA32" s="73">
        <v>3.7</v>
      </c>
      <c r="AB32" s="73">
        <v>3.7</v>
      </c>
      <c r="AC32" s="73">
        <v>3.7</v>
      </c>
      <c r="AD32" s="73">
        <v>3.7</v>
      </c>
      <c r="AE32" s="73">
        <v>3.7</v>
      </c>
      <c r="AF32" s="73">
        <v>3.7</v>
      </c>
      <c r="AG32" s="67">
        <v>22</v>
      </c>
      <c r="AH32" s="54">
        <f t="shared" si="2"/>
        <v>3.7</v>
      </c>
      <c r="AI32" s="55">
        <f t="shared" si="3"/>
        <v>3.7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>
        <v>0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50">
        <v>0</v>
      </c>
      <c r="N33" s="50">
        <v>0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Z33" s="73">
        <v>0</v>
      </c>
      <c r="AA33" s="73">
        <v>0</v>
      </c>
      <c r="AB33" s="73">
        <v>0</v>
      </c>
      <c r="AC33" s="73">
        <v>0</v>
      </c>
      <c r="AD33" s="73">
        <v>0</v>
      </c>
      <c r="AE33" s="73">
        <v>0</v>
      </c>
      <c r="AF33" s="73">
        <v>0</v>
      </c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>
        <v>4.2</v>
      </c>
      <c r="C34" s="61">
        <v>4.2</v>
      </c>
      <c r="D34" s="61">
        <v>4.2</v>
      </c>
      <c r="E34" s="61">
        <v>4.2</v>
      </c>
      <c r="F34" s="61">
        <v>4.2</v>
      </c>
      <c r="G34" s="61">
        <v>4.2</v>
      </c>
      <c r="H34" s="61">
        <v>4.2</v>
      </c>
      <c r="I34" s="61">
        <v>4.2</v>
      </c>
      <c r="J34" s="61">
        <v>4.2</v>
      </c>
      <c r="K34" s="61">
        <v>4.2</v>
      </c>
      <c r="L34" s="61">
        <v>4.2</v>
      </c>
      <c r="M34" s="50">
        <v>4.2</v>
      </c>
      <c r="N34" s="50">
        <v>4.2</v>
      </c>
      <c r="O34" s="50">
        <v>4.2</v>
      </c>
      <c r="P34" s="50">
        <v>4.2</v>
      </c>
      <c r="Q34" s="50">
        <v>4.2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73">
        <v>0</v>
      </c>
      <c r="AA34" s="73">
        <v>0</v>
      </c>
      <c r="AB34" s="73">
        <v>0</v>
      </c>
      <c r="AC34" s="73">
        <v>0</v>
      </c>
      <c r="AD34" s="73">
        <v>0</v>
      </c>
      <c r="AE34" s="73">
        <v>0</v>
      </c>
      <c r="AF34" s="73">
        <v>0</v>
      </c>
      <c r="AG34" s="67">
        <v>20</v>
      </c>
      <c r="AH34" s="54">
        <f t="shared" si="2"/>
        <v>4.2</v>
      </c>
      <c r="AI34" s="55">
        <f t="shared" si="3"/>
        <v>0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>
        <v>0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50">
        <v>0</v>
      </c>
      <c r="N35" s="50">
        <v>0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>
        <v>130</v>
      </c>
      <c r="C36" s="61">
        <v>130</v>
      </c>
      <c r="D36" s="61">
        <v>130</v>
      </c>
      <c r="E36" s="61">
        <v>130</v>
      </c>
      <c r="F36" s="61">
        <v>130</v>
      </c>
      <c r="G36" s="61">
        <v>130</v>
      </c>
      <c r="H36" s="61">
        <v>130</v>
      </c>
      <c r="I36" s="61">
        <v>130</v>
      </c>
      <c r="J36" s="61">
        <v>130</v>
      </c>
      <c r="K36" s="61">
        <v>130</v>
      </c>
      <c r="L36" s="61">
        <v>130</v>
      </c>
      <c r="M36" s="61">
        <v>130</v>
      </c>
      <c r="N36" s="61">
        <v>130</v>
      </c>
      <c r="O36" s="61">
        <v>130</v>
      </c>
      <c r="P36" s="61">
        <v>130</v>
      </c>
      <c r="Q36" s="61">
        <v>130</v>
      </c>
      <c r="R36" s="61">
        <v>130</v>
      </c>
      <c r="S36" s="61">
        <v>130</v>
      </c>
      <c r="T36" s="61">
        <v>130</v>
      </c>
      <c r="U36" s="61">
        <v>130</v>
      </c>
      <c r="V36" s="61">
        <v>130</v>
      </c>
      <c r="W36" s="61">
        <v>130</v>
      </c>
      <c r="X36" s="61">
        <v>130</v>
      </c>
      <c r="Y36" s="61">
        <v>130</v>
      </c>
      <c r="Z36" s="61">
        <v>160</v>
      </c>
      <c r="AA36" s="61">
        <v>160</v>
      </c>
      <c r="AB36" s="61">
        <v>130</v>
      </c>
      <c r="AC36" s="61">
        <v>130</v>
      </c>
      <c r="AD36" s="61">
        <v>130</v>
      </c>
      <c r="AE36" s="61">
        <v>130</v>
      </c>
      <c r="AF36" s="61">
        <v>130</v>
      </c>
      <c r="AG36" s="67">
        <v>85</v>
      </c>
      <c r="AH36" s="54">
        <f t="shared" si="2"/>
        <v>160</v>
      </c>
      <c r="AI36" s="55">
        <f t="shared" si="3"/>
        <v>130</v>
      </c>
      <c r="AK36" s="56"/>
    </row>
    <row r="37" spans="1:88" ht="15.75" thickBot="1" x14ac:dyDescent="0.3">
      <c r="A37" s="69" t="s">
        <v>45</v>
      </c>
      <c r="B37" s="61">
        <v>28.799999999999997</v>
      </c>
      <c r="C37" s="61">
        <v>28.799999999999997</v>
      </c>
      <c r="D37" s="61">
        <f>11.5+19.7</f>
        <v>31.2</v>
      </c>
      <c r="E37" s="61">
        <f>31.7</f>
        <v>31.7</v>
      </c>
      <c r="F37" s="61">
        <f>194+11.5</f>
        <v>205.5</v>
      </c>
      <c r="G37" s="61">
        <f>19+11.4</f>
        <v>30.4</v>
      </c>
      <c r="H37" s="61">
        <v>30.4</v>
      </c>
      <c r="I37" s="61">
        <f>18.5+11</f>
        <v>29.5</v>
      </c>
      <c r="J37" s="61">
        <v>29</v>
      </c>
      <c r="K37" s="61">
        <v>28.2</v>
      </c>
      <c r="L37" s="61">
        <f>18.3+10.8</f>
        <v>29.1</v>
      </c>
      <c r="M37" s="70">
        <f>11.1+19.2</f>
        <v>30.299999999999997</v>
      </c>
      <c r="N37" s="70">
        <f>10+18.8</f>
        <v>28.8</v>
      </c>
      <c r="O37" s="70">
        <f>11.4+18.5</f>
        <v>29.9</v>
      </c>
      <c r="P37" s="70">
        <f>11.4+18.5</f>
        <v>29.9</v>
      </c>
      <c r="Q37" s="70">
        <f>12.6+20.1</f>
        <v>32.700000000000003</v>
      </c>
      <c r="R37" s="70">
        <f>12+20.1</f>
        <v>32.1</v>
      </c>
      <c r="S37" s="70">
        <f>10.1+17.5</f>
        <v>27.6</v>
      </c>
      <c r="T37" s="70">
        <f>10+16.9</f>
        <v>26.9</v>
      </c>
      <c r="U37" s="70">
        <f>10+16.9</f>
        <v>26.9</v>
      </c>
      <c r="V37" s="70">
        <f>10.2+16.9</f>
        <v>27.099999999999998</v>
      </c>
      <c r="W37" s="70">
        <f>8.9+16.5</f>
        <v>25.4</v>
      </c>
      <c r="X37" s="70">
        <f>8.9+16.5</f>
        <v>25.4</v>
      </c>
      <c r="Y37" s="70">
        <f>8+13.7</f>
        <v>21.7</v>
      </c>
      <c r="Z37" s="73">
        <f>17.2+31.6</f>
        <v>48.8</v>
      </c>
      <c r="AA37" s="73">
        <f>17.2+31.6</f>
        <v>48.8</v>
      </c>
      <c r="AB37" s="70">
        <v>26.3</v>
      </c>
      <c r="AC37" s="70">
        <v>26.8</v>
      </c>
      <c r="AD37" s="70">
        <v>26.5</v>
      </c>
      <c r="AE37" s="70">
        <v>28</v>
      </c>
      <c r="AF37" s="61">
        <v>28.7</v>
      </c>
      <c r="AG37" s="67">
        <v>240</v>
      </c>
      <c r="AH37" s="54">
        <f t="shared" si="2"/>
        <v>205.5</v>
      </c>
      <c r="AI37" s="55">
        <f t="shared" si="3"/>
        <v>21.7</v>
      </c>
      <c r="AK37" s="56"/>
    </row>
    <row r="38" spans="1:88" ht="15.75" thickBot="1" x14ac:dyDescent="0.3">
      <c r="A38" s="71" t="s">
        <v>46</v>
      </c>
      <c r="B38" s="72">
        <f t="shared" ref="B38:AF38" si="4">SUM(B11:B36)</f>
        <v>357.4</v>
      </c>
      <c r="C38" s="72">
        <f t="shared" si="4"/>
        <v>355.4</v>
      </c>
      <c r="D38" s="72">
        <f t="shared" si="4"/>
        <v>355.4</v>
      </c>
      <c r="E38" s="72">
        <f t="shared" si="4"/>
        <v>355.4</v>
      </c>
      <c r="F38" s="72">
        <f t="shared" si="4"/>
        <v>359.29999999999995</v>
      </c>
      <c r="G38" s="72">
        <f t="shared" si="4"/>
        <v>359.2</v>
      </c>
      <c r="H38" s="72">
        <f t="shared" si="4"/>
        <v>498.4</v>
      </c>
      <c r="I38" s="72">
        <f t="shared" si="4"/>
        <v>588.4</v>
      </c>
      <c r="J38" s="72">
        <f t="shared" si="4"/>
        <v>608.4</v>
      </c>
      <c r="K38" s="72">
        <f t="shared" si="4"/>
        <v>630.70000000000005</v>
      </c>
      <c r="L38" s="72">
        <f t="shared" si="4"/>
        <v>630.70000000000005</v>
      </c>
      <c r="M38" s="72">
        <f t="shared" si="4"/>
        <v>645.20000000000005</v>
      </c>
      <c r="N38" s="72">
        <f t="shared" si="4"/>
        <v>455.2</v>
      </c>
      <c r="O38" s="72">
        <f t="shared" si="4"/>
        <v>380.2</v>
      </c>
      <c r="P38" s="72">
        <f t="shared" si="4"/>
        <v>455.2</v>
      </c>
      <c r="Q38" s="72">
        <f t="shared" si="4"/>
        <v>361.69999999999993</v>
      </c>
      <c r="R38" s="72">
        <f t="shared" si="4"/>
        <v>346.5</v>
      </c>
      <c r="S38" s="72">
        <f t="shared" si="4"/>
        <v>355.5</v>
      </c>
      <c r="T38" s="72">
        <f t="shared" si="4"/>
        <v>346.5</v>
      </c>
      <c r="U38" s="72">
        <f t="shared" si="4"/>
        <v>346.5</v>
      </c>
      <c r="V38" s="72">
        <f t="shared" si="4"/>
        <v>554.80000000000007</v>
      </c>
      <c r="W38" s="72">
        <f t="shared" si="4"/>
        <v>584.80000000000007</v>
      </c>
      <c r="X38" s="72">
        <f t="shared" si="4"/>
        <v>584.80000000000007</v>
      </c>
      <c r="Y38" s="72">
        <f t="shared" si="4"/>
        <v>604.80000000000007</v>
      </c>
      <c r="Z38" s="73">
        <f t="shared" si="4"/>
        <v>749.80000000000007</v>
      </c>
      <c r="AA38" s="72">
        <f t="shared" si="4"/>
        <v>749.80000000000007</v>
      </c>
      <c r="AB38" s="72">
        <f t="shared" si="4"/>
        <v>591.9</v>
      </c>
      <c r="AC38" s="72">
        <f t="shared" si="4"/>
        <v>593.9</v>
      </c>
      <c r="AD38" s="72">
        <f t="shared" si="4"/>
        <v>563.9</v>
      </c>
      <c r="AE38" s="72">
        <f t="shared" si="4"/>
        <v>377.4</v>
      </c>
      <c r="AF38" s="72">
        <f t="shared" si="4"/>
        <v>502.5</v>
      </c>
      <c r="AG38" s="67">
        <f>SUM(AG11:AG37)</f>
        <v>1492.8299999999997</v>
      </c>
      <c r="AH38" s="54">
        <f t="shared" si="2"/>
        <v>749.80000000000007</v>
      </c>
      <c r="AI38" s="55">
        <f t="shared" si="3"/>
        <v>346.5</v>
      </c>
      <c r="AK38" s="56"/>
    </row>
    <row r="39" spans="1:88" x14ac:dyDescent="0.25">
      <c r="A39" s="57" t="s">
        <v>47</v>
      </c>
      <c r="B39" s="49">
        <v>0</v>
      </c>
      <c r="C39" s="49">
        <v>0</v>
      </c>
      <c r="D39" s="49">
        <v>0</v>
      </c>
      <c r="E39" s="61">
        <v>0</v>
      </c>
      <c r="F39" s="61">
        <v>66</v>
      </c>
      <c r="G39" s="61">
        <v>65.8</v>
      </c>
      <c r="H39" s="61">
        <v>90</v>
      </c>
      <c r="I39" s="61">
        <v>96</v>
      </c>
      <c r="J39" s="61">
        <v>144</v>
      </c>
      <c r="K39" s="61">
        <v>131.4</v>
      </c>
      <c r="L39" s="61">
        <v>139.9</v>
      </c>
      <c r="M39" s="50">
        <v>140.5</v>
      </c>
      <c r="N39" s="50">
        <v>140.6</v>
      </c>
      <c r="O39" s="50">
        <v>101.2</v>
      </c>
      <c r="P39" s="50">
        <v>112</v>
      </c>
      <c r="Q39" s="50">
        <v>86.5</v>
      </c>
      <c r="R39" s="50">
        <v>81</v>
      </c>
      <c r="S39" s="50">
        <v>97</v>
      </c>
      <c r="T39" s="50">
        <v>97</v>
      </c>
      <c r="U39" s="50">
        <v>86</v>
      </c>
      <c r="V39" s="50">
        <v>92.7</v>
      </c>
      <c r="W39" s="50">
        <v>91.6</v>
      </c>
      <c r="X39" s="50">
        <v>91</v>
      </c>
      <c r="Y39" s="50">
        <v>145.4</v>
      </c>
      <c r="Z39" s="50">
        <v>145.4</v>
      </c>
      <c r="AA39" s="50">
        <v>145.4</v>
      </c>
      <c r="AB39" s="50">
        <v>144.6</v>
      </c>
      <c r="AC39" s="50">
        <v>144.69999999999999</v>
      </c>
      <c r="AD39" s="50">
        <v>142.30000000000001</v>
      </c>
      <c r="AE39" s="50">
        <v>65.099999999999994</v>
      </c>
      <c r="AF39" s="49">
        <v>75.7</v>
      </c>
      <c r="AG39" s="62">
        <v>144</v>
      </c>
      <c r="AH39" s="54">
        <f t="shared" si="2"/>
        <v>145.4</v>
      </c>
      <c r="AI39" s="55">
        <f t="shared" si="3"/>
        <v>0</v>
      </c>
      <c r="AK39" s="56"/>
    </row>
    <row r="40" spans="1:88" x14ac:dyDescent="0.25">
      <c r="A40" s="66" t="s">
        <v>48</v>
      </c>
      <c r="B40" s="61">
        <v>0</v>
      </c>
      <c r="C40" s="61">
        <v>0</v>
      </c>
      <c r="D40" s="61">
        <v>0</v>
      </c>
      <c r="E40" s="61">
        <v>0</v>
      </c>
      <c r="F40" s="61">
        <v>19.399999999999999</v>
      </c>
      <c r="G40" s="61">
        <v>22.8</v>
      </c>
      <c r="H40" s="61">
        <v>35</v>
      </c>
      <c r="I40" s="61">
        <v>36.1</v>
      </c>
      <c r="J40" s="61">
        <v>36.9</v>
      </c>
      <c r="K40" s="61">
        <v>36.700000000000003</v>
      </c>
      <c r="L40" s="61">
        <v>36.6</v>
      </c>
      <c r="M40" s="73">
        <v>36.299999999999997</v>
      </c>
      <c r="N40" s="73">
        <v>59.6</v>
      </c>
      <c r="O40" s="73">
        <v>49.4</v>
      </c>
      <c r="P40" s="73">
        <v>59</v>
      </c>
      <c r="Q40" s="73">
        <v>60.8</v>
      </c>
      <c r="R40" s="73">
        <v>60.1</v>
      </c>
      <c r="S40" s="73">
        <v>71.3</v>
      </c>
      <c r="T40" s="73">
        <v>71.3</v>
      </c>
      <c r="U40" s="73">
        <v>71</v>
      </c>
      <c r="V40" s="73">
        <v>43.4</v>
      </c>
      <c r="W40" s="73">
        <v>44.6</v>
      </c>
      <c r="X40" s="73">
        <v>43.3</v>
      </c>
      <c r="Y40" s="73">
        <v>44</v>
      </c>
      <c r="Z40" s="73">
        <v>71</v>
      </c>
      <c r="AA40" s="73">
        <v>71</v>
      </c>
      <c r="AB40" s="73">
        <v>70.099999999999994</v>
      </c>
      <c r="AC40" s="73">
        <v>45.6</v>
      </c>
      <c r="AD40" s="73">
        <v>45.9</v>
      </c>
      <c r="AE40" s="73">
        <v>23</v>
      </c>
      <c r="AF40" s="61">
        <v>22.8</v>
      </c>
      <c r="AG40" s="67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6" t="s">
        <v>49</v>
      </c>
      <c r="B41" s="61">
        <v>46.6</v>
      </c>
      <c r="C41" s="61">
        <v>48</v>
      </c>
      <c r="D41" s="61">
        <v>33.6</v>
      </c>
      <c r="E41" s="61">
        <v>32</v>
      </c>
      <c r="F41" s="61">
        <v>0</v>
      </c>
      <c r="G41" s="61">
        <v>0</v>
      </c>
      <c r="H41" s="61">
        <v>0</v>
      </c>
      <c r="I41" s="61">
        <v>46</v>
      </c>
      <c r="J41" s="61">
        <v>45.8</v>
      </c>
      <c r="K41" s="61">
        <v>45.9</v>
      </c>
      <c r="L41" s="61">
        <v>60.6</v>
      </c>
      <c r="M41" s="73">
        <v>61.1</v>
      </c>
      <c r="N41" s="73">
        <v>60.4</v>
      </c>
      <c r="O41" s="73">
        <v>34</v>
      </c>
      <c r="P41" s="73">
        <v>34</v>
      </c>
      <c r="Q41" s="73">
        <v>16.8</v>
      </c>
      <c r="R41" s="73">
        <v>17.3</v>
      </c>
      <c r="S41" s="73">
        <v>0</v>
      </c>
      <c r="T41" s="73">
        <v>0</v>
      </c>
      <c r="U41" s="73">
        <v>22.4</v>
      </c>
      <c r="V41" s="73">
        <v>51</v>
      </c>
      <c r="W41" s="73">
        <v>51.8</v>
      </c>
      <c r="X41" s="73">
        <v>51.5</v>
      </c>
      <c r="Y41" s="73">
        <v>68.7</v>
      </c>
      <c r="Z41" s="73">
        <v>68.7</v>
      </c>
      <c r="AA41" s="73">
        <v>68.7</v>
      </c>
      <c r="AB41" s="73">
        <v>67.400000000000006</v>
      </c>
      <c r="AC41" s="73">
        <v>45.7</v>
      </c>
      <c r="AD41" s="73">
        <v>50.6</v>
      </c>
      <c r="AE41" s="73">
        <v>34.299999999999997</v>
      </c>
      <c r="AF41" s="61">
        <v>46.5</v>
      </c>
      <c r="AG41" s="67">
        <v>69</v>
      </c>
      <c r="AH41" s="54">
        <f t="shared" si="2"/>
        <v>68.7</v>
      </c>
      <c r="AI41" s="55">
        <f t="shared" si="3"/>
        <v>0</v>
      </c>
      <c r="AK41" s="56"/>
    </row>
    <row r="42" spans="1:88" x14ac:dyDescent="0.25">
      <c r="A42" s="66" t="s">
        <v>50</v>
      </c>
      <c r="B42" s="61">
        <v>49</v>
      </c>
      <c r="C42" s="61">
        <v>52.4</v>
      </c>
      <c r="D42" s="61">
        <v>52.4</v>
      </c>
      <c r="E42" s="61">
        <v>52.4</v>
      </c>
      <c r="F42" s="61">
        <v>52.4</v>
      </c>
      <c r="G42" s="61">
        <v>52.4</v>
      </c>
      <c r="H42" s="61">
        <v>54.4</v>
      </c>
      <c r="I42" s="61">
        <v>54.2</v>
      </c>
      <c r="J42" s="61">
        <v>54.2</v>
      </c>
      <c r="K42" s="61">
        <v>53.9</v>
      </c>
      <c r="L42" s="61">
        <v>53.9</v>
      </c>
      <c r="M42" s="73">
        <v>52.1</v>
      </c>
      <c r="N42" s="73">
        <v>49.9</v>
      </c>
      <c r="O42" s="73">
        <v>52.1</v>
      </c>
      <c r="P42" s="73">
        <v>52.1</v>
      </c>
      <c r="Q42" s="73">
        <v>59.6</v>
      </c>
      <c r="R42" s="73">
        <v>48.6</v>
      </c>
      <c r="S42" s="73">
        <v>48.6</v>
      </c>
      <c r="T42" s="73">
        <v>48.6</v>
      </c>
      <c r="U42" s="73">
        <v>48.6</v>
      </c>
      <c r="V42" s="73">
        <v>48.6</v>
      </c>
      <c r="W42" s="73">
        <v>48.6</v>
      </c>
      <c r="X42" s="73">
        <v>48.6</v>
      </c>
      <c r="Y42" s="73">
        <v>48.6</v>
      </c>
      <c r="Z42" s="73">
        <v>48.6</v>
      </c>
      <c r="AA42" s="73">
        <v>48.6</v>
      </c>
      <c r="AB42" s="73">
        <v>46.6</v>
      </c>
      <c r="AC42" s="73">
        <v>46.6</v>
      </c>
      <c r="AD42" s="73">
        <v>46.6</v>
      </c>
      <c r="AE42" s="73">
        <v>56.4</v>
      </c>
      <c r="AF42" s="61">
        <v>60.9</v>
      </c>
      <c r="AG42" s="67">
        <v>60</v>
      </c>
      <c r="AH42" s="54">
        <f t="shared" si="2"/>
        <v>60.9</v>
      </c>
      <c r="AI42" s="55">
        <f t="shared" si="3"/>
        <v>46.6</v>
      </c>
      <c r="AK42" s="56"/>
    </row>
    <row r="43" spans="1:88" x14ac:dyDescent="0.25">
      <c r="A43" s="66" t="s">
        <v>51</v>
      </c>
      <c r="B43" s="61">
        <v>14</v>
      </c>
      <c r="C43" s="61">
        <v>10.5</v>
      </c>
      <c r="D43" s="61">
        <v>10.5</v>
      </c>
      <c r="E43" s="61">
        <v>10</v>
      </c>
      <c r="F43" s="61">
        <v>0</v>
      </c>
      <c r="G43" s="61">
        <v>0</v>
      </c>
      <c r="H43" s="61">
        <v>0</v>
      </c>
      <c r="I43" s="61">
        <v>0</v>
      </c>
      <c r="J43" s="61">
        <v>10</v>
      </c>
      <c r="K43" s="61">
        <v>10</v>
      </c>
      <c r="L43" s="61">
        <v>10</v>
      </c>
      <c r="M43" s="50">
        <v>10</v>
      </c>
      <c r="N43" s="50">
        <v>9.6999999999999993</v>
      </c>
      <c r="O43" s="50">
        <v>8.3000000000000007</v>
      </c>
      <c r="P43" s="50">
        <v>8.3000000000000007</v>
      </c>
      <c r="Q43" s="50">
        <v>8.9</v>
      </c>
      <c r="R43" s="50">
        <v>9.3000000000000007</v>
      </c>
      <c r="S43" s="50">
        <v>9.3000000000000007</v>
      </c>
      <c r="T43" s="50">
        <v>9.3000000000000007</v>
      </c>
      <c r="U43" s="50">
        <v>10.3</v>
      </c>
      <c r="V43" s="50">
        <v>10.3</v>
      </c>
      <c r="W43" s="50">
        <v>10.3</v>
      </c>
      <c r="X43" s="50">
        <v>10.3</v>
      </c>
      <c r="Y43" s="50">
        <v>10.3</v>
      </c>
      <c r="Z43" s="73">
        <v>10.3</v>
      </c>
      <c r="AA43" s="73">
        <v>10.3</v>
      </c>
      <c r="AB43" s="73">
        <v>27.1</v>
      </c>
      <c r="AC43" s="73">
        <v>27.1</v>
      </c>
      <c r="AD43" s="73">
        <v>18.600000000000001</v>
      </c>
      <c r="AE43" s="73">
        <v>6.7</v>
      </c>
      <c r="AF43" s="61">
        <v>0</v>
      </c>
      <c r="AG43" s="67">
        <v>30</v>
      </c>
      <c r="AH43" s="54">
        <f t="shared" si="2"/>
        <v>27.1</v>
      </c>
      <c r="AI43" s="55">
        <f t="shared" si="3"/>
        <v>0</v>
      </c>
      <c r="AK43" s="56"/>
    </row>
    <row r="44" spans="1:88" x14ac:dyDescent="0.25">
      <c r="A44" s="66" t="s">
        <v>52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50">
        <v>0</v>
      </c>
      <c r="N44" s="50">
        <v>0</v>
      </c>
      <c r="O44" s="50">
        <v>0</v>
      </c>
      <c r="P44" s="50">
        <v>0</v>
      </c>
      <c r="Q44" s="50">
        <v>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0</v>
      </c>
      <c r="Y44" s="50">
        <v>0</v>
      </c>
      <c r="Z44" s="73">
        <v>0</v>
      </c>
      <c r="AA44" s="73">
        <v>0</v>
      </c>
      <c r="AB44" s="50">
        <v>0</v>
      </c>
      <c r="AC44" s="50">
        <v>0</v>
      </c>
      <c r="AD44" s="50">
        <v>0</v>
      </c>
      <c r="AE44" s="50">
        <v>0</v>
      </c>
      <c r="AF44" s="50">
        <v>0</v>
      </c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>
        <v>13</v>
      </c>
      <c r="C45" s="61">
        <v>13</v>
      </c>
      <c r="D45" s="61">
        <v>13</v>
      </c>
      <c r="E45" s="74">
        <v>13</v>
      </c>
      <c r="F45" s="74">
        <v>13</v>
      </c>
      <c r="G45" s="74">
        <v>13</v>
      </c>
      <c r="H45" s="74">
        <v>13</v>
      </c>
      <c r="I45" s="74">
        <v>13</v>
      </c>
      <c r="J45" s="74">
        <v>13</v>
      </c>
      <c r="K45" s="74">
        <v>13</v>
      </c>
      <c r="L45" s="74">
        <v>13</v>
      </c>
      <c r="M45" s="74">
        <v>13</v>
      </c>
      <c r="N45" s="74">
        <v>13</v>
      </c>
      <c r="O45" s="74">
        <v>13</v>
      </c>
      <c r="P45" s="74">
        <v>13</v>
      </c>
      <c r="Q45" s="74">
        <v>13</v>
      </c>
      <c r="R45" s="74">
        <v>13</v>
      </c>
      <c r="S45" s="74">
        <v>13</v>
      </c>
      <c r="T45" s="74">
        <v>13</v>
      </c>
      <c r="U45" s="74">
        <v>13</v>
      </c>
      <c r="V45" s="74">
        <v>13</v>
      </c>
      <c r="W45" s="74">
        <v>13</v>
      </c>
      <c r="X45" s="74">
        <v>13</v>
      </c>
      <c r="Y45" s="74">
        <v>13</v>
      </c>
      <c r="Z45" s="73">
        <v>13</v>
      </c>
      <c r="AA45" s="73">
        <v>13</v>
      </c>
      <c r="AB45" s="50">
        <v>13</v>
      </c>
      <c r="AC45" s="50">
        <v>13</v>
      </c>
      <c r="AD45" s="50">
        <v>13</v>
      </c>
      <c r="AE45" s="50">
        <v>13</v>
      </c>
      <c r="AF45" s="50">
        <v>13</v>
      </c>
      <c r="AG45" s="67">
        <v>24</v>
      </c>
      <c r="AH45" s="54">
        <f t="shared" si="2"/>
        <v>13</v>
      </c>
      <c r="AI45" s="55">
        <f t="shared" si="3"/>
        <v>13</v>
      </c>
      <c r="AK45" s="56"/>
    </row>
    <row r="46" spans="1:88" x14ac:dyDescent="0.25">
      <c r="A46" s="66" t="s">
        <v>54</v>
      </c>
      <c r="B46" s="61">
        <v>4</v>
      </c>
      <c r="C46" s="61">
        <v>4</v>
      </c>
      <c r="D46" s="61">
        <v>4</v>
      </c>
      <c r="E46" s="61">
        <v>4</v>
      </c>
      <c r="F46" s="61">
        <v>4</v>
      </c>
      <c r="G46" s="61">
        <v>4</v>
      </c>
      <c r="H46" s="61">
        <v>4</v>
      </c>
      <c r="I46" s="61">
        <v>4</v>
      </c>
      <c r="J46" s="61">
        <v>4</v>
      </c>
      <c r="K46" s="61">
        <v>4</v>
      </c>
      <c r="L46" s="61">
        <v>4</v>
      </c>
      <c r="M46" s="61">
        <v>4</v>
      </c>
      <c r="N46" s="61">
        <v>4</v>
      </c>
      <c r="O46" s="61">
        <v>4</v>
      </c>
      <c r="P46" s="61">
        <v>4</v>
      </c>
      <c r="Q46" s="61">
        <v>4</v>
      </c>
      <c r="R46" s="61">
        <v>4</v>
      </c>
      <c r="S46" s="61">
        <v>4</v>
      </c>
      <c r="T46" s="61">
        <v>4</v>
      </c>
      <c r="U46" s="61">
        <v>4</v>
      </c>
      <c r="V46" s="61">
        <v>4</v>
      </c>
      <c r="W46" s="61">
        <v>4</v>
      </c>
      <c r="X46" s="61">
        <v>4</v>
      </c>
      <c r="Y46" s="61">
        <v>4</v>
      </c>
      <c r="Z46" s="73">
        <v>4</v>
      </c>
      <c r="AA46" s="73">
        <v>4</v>
      </c>
      <c r="AB46" s="50">
        <v>4</v>
      </c>
      <c r="AC46" s="50">
        <v>4</v>
      </c>
      <c r="AD46" s="50">
        <v>4</v>
      </c>
      <c r="AE46" s="50">
        <v>4</v>
      </c>
      <c r="AF46" s="50">
        <v>4</v>
      </c>
      <c r="AG46" s="67">
        <v>15</v>
      </c>
      <c r="AH46" s="54">
        <f t="shared" si="2"/>
        <v>4</v>
      </c>
      <c r="AI46" s="55">
        <f t="shared" si="3"/>
        <v>4</v>
      </c>
      <c r="AK46" s="56"/>
      <c r="AL46" s="75"/>
      <c r="AO46" s="75"/>
    </row>
    <row r="47" spans="1:88" s="75" customFormat="1" x14ac:dyDescent="0.25">
      <c r="A47" s="66" t="s">
        <v>55</v>
      </c>
      <c r="B47" s="61">
        <v>10</v>
      </c>
      <c r="C47" s="61">
        <v>10</v>
      </c>
      <c r="D47" s="61">
        <v>10</v>
      </c>
      <c r="E47" s="61">
        <v>10</v>
      </c>
      <c r="F47" s="61">
        <v>10</v>
      </c>
      <c r="G47" s="61">
        <v>10</v>
      </c>
      <c r="H47" s="61">
        <v>10</v>
      </c>
      <c r="I47" s="61">
        <v>10</v>
      </c>
      <c r="J47" s="61">
        <v>10</v>
      </c>
      <c r="K47" s="61">
        <v>10</v>
      </c>
      <c r="L47" s="61">
        <v>10</v>
      </c>
      <c r="M47" s="61">
        <v>10</v>
      </c>
      <c r="N47" s="61">
        <v>10</v>
      </c>
      <c r="O47" s="61">
        <v>10</v>
      </c>
      <c r="P47" s="61">
        <v>10</v>
      </c>
      <c r="Q47" s="61">
        <v>10</v>
      </c>
      <c r="R47" s="61">
        <v>10</v>
      </c>
      <c r="S47" s="61">
        <v>10</v>
      </c>
      <c r="T47" s="61">
        <v>10</v>
      </c>
      <c r="U47" s="61">
        <v>10</v>
      </c>
      <c r="V47" s="61">
        <v>10</v>
      </c>
      <c r="W47" s="61">
        <v>10</v>
      </c>
      <c r="X47" s="61">
        <v>10</v>
      </c>
      <c r="Y47" s="61">
        <v>10</v>
      </c>
      <c r="Z47" s="73">
        <v>10</v>
      </c>
      <c r="AA47" s="73">
        <v>10</v>
      </c>
      <c r="AB47" s="50">
        <v>10</v>
      </c>
      <c r="AC47" s="50">
        <v>10</v>
      </c>
      <c r="AD47" s="50">
        <v>10</v>
      </c>
      <c r="AE47" s="50">
        <v>10</v>
      </c>
      <c r="AF47" s="50">
        <v>10</v>
      </c>
      <c r="AG47" s="67">
        <v>14.1</v>
      </c>
      <c r="AH47" s="54">
        <f t="shared" si="2"/>
        <v>10</v>
      </c>
      <c r="AI47" s="55">
        <f t="shared" si="3"/>
        <v>10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>
        <v>5</v>
      </c>
      <c r="C48" s="61">
        <v>5</v>
      </c>
      <c r="D48" s="61">
        <v>5</v>
      </c>
      <c r="E48" s="74">
        <v>6.5</v>
      </c>
      <c r="F48" s="74">
        <v>6.5</v>
      </c>
      <c r="G48" s="74">
        <v>6.5</v>
      </c>
      <c r="H48" s="74">
        <v>6.5</v>
      </c>
      <c r="I48" s="74">
        <v>6.5</v>
      </c>
      <c r="J48" s="74">
        <v>6.5</v>
      </c>
      <c r="K48" s="74">
        <v>6.5</v>
      </c>
      <c r="L48" s="74">
        <v>6.5</v>
      </c>
      <c r="M48" s="74">
        <v>6.5</v>
      </c>
      <c r="N48" s="74">
        <v>6.5</v>
      </c>
      <c r="O48" s="74">
        <v>6.5</v>
      </c>
      <c r="P48" s="74">
        <v>6.5</v>
      </c>
      <c r="Q48" s="74">
        <v>6.5</v>
      </c>
      <c r="R48" s="74">
        <v>0</v>
      </c>
      <c r="S48" s="74">
        <v>0</v>
      </c>
      <c r="T48" s="74">
        <v>0</v>
      </c>
      <c r="U48" s="74">
        <v>0</v>
      </c>
      <c r="V48" s="74">
        <v>0</v>
      </c>
      <c r="W48" s="74">
        <v>0</v>
      </c>
      <c r="X48" s="74">
        <v>0</v>
      </c>
      <c r="Y48" s="74">
        <v>0</v>
      </c>
      <c r="Z48" s="73">
        <v>0</v>
      </c>
      <c r="AA48" s="73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0</v>
      </c>
      <c r="AG48" s="67">
        <v>14</v>
      </c>
      <c r="AH48" s="54">
        <f t="shared" si="2"/>
        <v>6.5</v>
      </c>
      <c r="AI48" s="55">
        <f t="shared" si="3"/>
        <v>0</v>
      </c>
      <c r="AK48" s="56"/>
    </row>
    <row r="49" spans="1:37" x14ac:dyDescent="0.25">
      <c r="A49" s="66" t="s">
        <v>57</v>
      </c>
      <c r="B49" s="61">
        <v>5.8</v>
      </c>
      <c r="C49" s="61">
        <v>5.8</v>
      </c>
      <c r="D49" s="61">
        <v>5.8</v>
      </c>
      <c r="E49" s="61">
        <v>5.8</v>
      </c>
      <c r="F49" s="61">
        <v>5.8</v>
      </c>
      <c r="G49" s="61">
        <v>5.8</v>
      </c>
      <c r="H49" s="61">
        <v>5.8</v>
      </c>
      <c r="I49" s="61">
        <v>5.8</v>
      </c>
      <c r="J49" s="61">
        <v>5.8</v>
      </c>
      <c r="K49" s="61">
        <v>5.8</v>
      </c>
      <c r="L49" s="61">
        <v>5.8</v>
      </c>
      <c r="M49" s="61">
        <v>5.8</v>
      </c>
      <c r="N49" s="61">
        <v>5.8</v>
      </c>
      <c r="O49" s="61">
        <v>5.8</v>
      </c>
      <c r="P49" s="61">
        <v>5.8</v>
      </c>
      <c r="Q49" s="61">
        <v>5.8</v>
      </c>
      <c r="R49" s="61">
        <v>5.8</v>
      </c>
      <c r="S49" s="61">
        <v>5.8</v>
      </c>
      <c r="T49" s="61">
        <v>5.8</v>
      </c>
      <c r="U49" s="61">
        <v>5.8</v>
      </c>
      <c r="V49" s="61">
        <v>5.8</v>
      </c>
      <c r="W49" s="61">
        <v>5.8</v>
      </c>
      <c r="X49" s="61">
        <v>5.8</v>
      </c>
      <c r="Y49" s="61">
        <v>5.8</v>
      </c>
      <c r="Z49" s="73">
        <v>5.8</v>
      </c>
      <c r="AA49" s="73">
        <v>5.8</v>
      </c>
      <c r="AB49" s="50">
        <v>5.8</v>
      </c>
      <c r="AC49" s="50">
        <v>5.8</v>
      </c>
      <c r="AD49" s="50">
        <v>5.8</v>
      </c>
      <c r="AE49" s="50">
        <v>5.8</v>
      </c>
      <c r="AF49" s="50">
        <v>5.8</v>
      </c>
      <c r="AG49" s="67">
        <v>10.050000000000001</v>
      </c>
      <c r="AH49" s="54">
        <f t="shared" si="2"/>
        <v>5.8</v>
      </c>
      <c r="AI49" s="55">
        <f t="shared" si="3"/>
        <v>5.8</v>
      </c>
      <c r="AK49" s="56"/>
    </row>
    <row r="50" spans="1:37" x14ac:dyDescent="0.25">
      <c r="A50" s="66" t="s">
        <v>58</v>
      </c>
      <c r="B50" s="61">
        <v>2.5</v>
      </c>
      <c r="C50" s="61">
        <v>2.5</v>
      </c>
      <c r="D50" s="61">
        <v>2.5</v>
      </c>
      <c r="E50" s="61">
        <v>2.5</v>
      </c>
      <c r="F50" s="61">
        <v>2.5</v>
      </c>
      <c r="G50" s="61">
        <v>2.5</v>
      </c>
      <c r="H50" s="61">
        <v>2.5</v>
      </c>
      <c r="I50" s="61">
        <v>2.5</v>
      </c>
      <c r="J50" s="61">
        <v>2.5</v>
      </c>
      <c r="K50" s="61">
        <v>2.5</v>
      </c>
      <c r="L50" s="61">
        <v>2.5</v>
      </c>
      <c r="M50" s="61">
        <v>2.5</v>
      </c>
      <c r="N50" s="61">
        <v>2.5</v>
      </c>
      <c r="O50" s="61">
        <v>2.5</v>
      </c>
      <c r="P50" s="61">
        <v>2.5</v>
      </c>
      <c r="Q50" s="61">
        <v>2.5</v>
      </c>
      <c r="R50" s="61">
        <v>2.5</v>
      </c>
      <c r="S50" s="61">
        <v>2.5</v>
      </c>
      <c r="T50" s="61">
        <v>2.5</v>
      </c>
      <c r="U50" s="61">
        <v>2.5</v>
      </c>
      <c r="V50" s="61">
        <v>2.5</v>
      </c>
      <c r="W50" s="61">
        <v>2.5</v>
      </c>
      <c r="X50" s="61">
        <v>2.5</v>
      </c>
      <c r="Y50" s="61">
        <v>2.5</v>
      </c>
      <c r="Z50" s="73">
        <v>2.5</v>
      </c>
      <c r="AA50" s="73">
        <v>2.5</v>
      </c>
      <c r="AB50" s="50">
        <v>2.5</v>
      </c>
      <c r="AC50" s="50">
        <v>2.5</v>
      </c>
      <c r="AD50" s="50">
        <v>2.5</v>
      </c>
      <c r="AE50" s="50">
        <v>2.5</v>
      </c>
      <c r="AF50" s="50">
        <v>2.5</v>
      </c>
      <c r="AG50" s="67">
        <v>6.2</v>
      </c>
      <c r="AH50" s="54">
        <f t="shared" si="2"/>
        <v>2.5</v>
      </c>
      <c r="AI50" s="55">
        <f t="shared" si="3"/>
        <v>2.5</v>
      </c>
      <c r="AK50" s="56"/>
    </row>
    <row r="51" spans="1:37" ht="15.75" thickBot="1" x14ac:dyDescent="0.3">
      <c r="A51" s="68" t="s">
        <v>59</v>
      </c>
      <c r="B51" s="77"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U200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3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 t="shared" ref="B52:AF52" si="6">SUM(B39:B51)</f>
        <v>153.44</v>
      </c>
      <c r="C52" s="72">
        <f t="shared" si="6"/>
        <v>154.74</v>
      </c>
      <c r="D52" s="72">
        <f t="shared" si="6"/>
        <v>140.34</v>
      </c>
      <c r="E52" s="72">
        <f t="shared" si="6"/>
        <v>139.74</v>
      </c>
      <c r="F52" s="72">
        <f t="shared" si="6"/>
        <v>183.14000000000001</v>
      </c>
      <c r="G52" s="72">
        <f t="shared" si="6"/>
        <v>186.34</v>
      </c>
      <c r="H52" s="72">
        <f t="shared" si="6"/>
        <v>224.74</v>
      </c>
      <c r="I52" s="72">
        <f t="shared" si="6"/>
        <v>277.64000000000004</v>
      </c>
      <c r="J52" s="72">
        <f t="shared" si="6"/>
        <v>336.24</v>
      </c>
      <c r="K52" s="72">
        <f t="shared" si="6"/>
        <v>323.24000000000007</v>
      </c>
      <c r="L52" s="72">
        <f t="shared" si="6"/>
        <v>346.34000000000003</v>
      </c>
      <c r="M52" s="72">
        <f t="shared" si="6"/>
        <v>345.34000000000003</v>
      </c>
      <c r="N52" s="72">
        <f t="shared" si="6"/>
        <v>365.53999999999996</v>
      </c>
      <c r="O52" s="72">
        <f t="shared" si="6"/>
        <v>290.34000000000003</v>
      </c>
      <c r="P52" s="72">
        <f t="shared" si="6"/>
        <v>310.74000000000007</v>
      </c>
      <c r="Q52" s="72">
        <f t="shared" si="6"/>
        <v>277.94000000000005</v>
      </c>
      <c r="R52" s="72">
        <f t="shared" si="6"/>
        <v>255.14000000000001</v>
      </c>
      <c r="S52" s="72">
        <f t="shared" si="6"/>
        <v>265.04000000000002</v>
      </c>
      <c r="T52" s="72">
        <f t="shared" si="6"/>
        <v>265.04000000000002</v>
      </c>
      <c r="U52" s="72">
        <f t="shared" si="6"/>
        <v>277.14000000000004</v>
      </c>
      <c r="V52" s="72">
        <f t="shared" si="6"/>
        <v>284.84000000000003</v>
      </c>
      <c r="W52" s="72">
        <f t="shared" si="6"/>
        <v>285.74</v>
      </c>
      <c r="X52" s="72">
        <f t="shared" si="6"/>
        <v>283.54000000000008</v>
      </c>
      <c r="Y52" s="72">
        <f t="shared" si="6"/>
        <v>355.84000000000009</v>
      </c>
      <c r="Z52" s="73">
        <f t="shared" si="6"/>
        <v>382.84000000000009</v>
      </c>
      <c r="AA52" s="72">
        <f t="shared" si="6"/>
        <v>382.84000000000009</v>
      </c>
      <c r="AB52" s="72">
        <f t="shared" si="6"/>
        <v>394.6400000000001</v>
      </c>
      <c r="AC52" s="72">
        <f t="shared" si="6"/>
        <v>348.54000000000008</v>
      </c>
      <c r="AD52" s="72">
        <f t="shared" si="6"/>
        <v>342.84000000000009</v>
      </c>
      <c r="AE52" s="72">
        <f t="shared" si="6"/>
        <v>224.33999999999997</v>
      </c>
      <c r="AF52" s="72">
        <f t="shared" si="6"/>
        <v>244.74</v>
      </c>
      <c r="AG52" s="78">
        <f>SUM(AG39:AG51)</f>
        <v>489.91</v>
      </c>
      <c r="AH52" s="54">
        <f t="shared" si="2"/>
        <v>394.6400000000001</v>
      </c>
      <c r="AI52" s="55">
        <f t="shared" si="3"/>
        <v>139.74</v>
      </c>
      <c r="AK52" s="56"/>
    </row>
    <row r="53" spans="1:37" x14ac:dyDescent="0.25">
      <c r="A53" s="57" t="s">
        <v>61</v>
      </c>
      <c r="B53" s="50">
        <v>0</v>
      </c>
      <c r="C53" s="50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14.1</v>
      </c>
      <c r="J53" s="61">
        <v>24.1</v>
      </c>
      <c r="K53" s="61">
        <v>29.2</v>
      </c>
      <c r="L53" s="61">
        <v>39.4</v>
      </c>
      <c r="M53" s="79">
        <v>50</v>
      </c>
      <c r="N53" s="79">
        <v>40</v>
      </c>
      <c r="O53" s="79">
        <v>39.6</v>
      </c>
      <c r="P53" s="79">
        <v>39.6</v>
      </c>
      <c r="Q53" s="50">
        <v>55</v>
      </c>
      <c r="R53" s="50">
        <v>20</v>
      </c>
      <c r="S53" s="50">
        <v>30</v>
      </c>
      <c r="T53" s="50">
        <v>29</v>
      </c>
      <c r="U53" s="50">
        <v>30</v>
      </c>
      <c r="V53" s="50">
        <v>60</v>
      </c>
      <c r="W53" s="50">
        <v>50</v>
      </c>
      <c r="X53" s="50">
        <v>50</v>
      </c>
      <c r="Y53" s="50">
        <v>60</v>
      </c>
      <c r="Z53" s="73">
        <v>60</v>
      </c>
      <c r="AA53" s="73">
        <v>60</v>
      </c>
      <c r="AB53" s="50">
        <v>60</v>
      </c>
      <c r="AC53" s="50">
        <v>60</v>
      </c>
      <c r="AD53" s="50">
        <v>59.6</v>
      </c>
      <c r="AE53" s="50">
        <v>41.3</v>
      </c>
      <c r="AF53" s="50">
        <v>59.4</v>
      </c>
      <c r="AG53" s="62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6" t="s">
        <v>62</v>
      </c>
      <c r="B54" s="73">
        <v>0</v>
      </c>
      <c r="C54" s="73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5.7</v>
      </c>
      <c r="J54" s="61">
        <v>11.8</v>
      </c>
      <c r="K54" s="61">
        <v>14.3</v>
      </c>
      <c r="L54" s="61">
        <v>15.5</v>
      </c>
      <c r="M54" s="79">
        <v>26.1</v>
      </c>
      <c r="N54" s="79">
        <v>16</v>
      </c>
      <c r="O54" s="79">
        <v>14</v>
      </c>
      <c r="P54" s="79">
        <v>18.2</v>
      </c>
      <c r="Q54" s="73">
        <v>24</v>
      </c>
      <c r="R54" s="73">
        <v>9.6</v>
      </c>
      <c r="S54" s="50">
        <v>13.8</v>
      </c>
      <c r="T54" s="50">
        <v>14.9</v>
      </c>
      <c r="U54" s="50">
        <v>14</v>
      </c>
      <c r="V54" s="50">
        <v>27.5</v>
      </c>
      <c r="W54" s="50">
        <v>23.2</v>
      </c>
      <c r="X54" s="50">
        <v>22.3</v>
      </c>
      <c r="Y54" s="73">
        <v>25.2</v>
      </c>
      <c r="Z54" s="73">
        <v>27.3</v>
      </c>
      <c r="AA54" s="73">
        <v>27.3</v>
      </c>
      <c r="AB54" s="73">
        <v>28.9</v>
      </c>
      <c r="AC54" s="73">
        <v>28.9</v>
      </c>
      <c r="AD54" s="73">
        <v>28.3</v>
      </c>
      <c r="AE54" s="73">
        <v>20.6</v>
      </c>
      <c r="AF54" s="73">
        <v>28.5</v>
      </c>
      <c r="AG54" s="67">
        <v>32</v>
      </c>
      <c r="AH54" s="54">
        <f t="shared" si="2"/>
        <v>28.9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>
        <v>0</v>
      </c>
      <c r="C55" s="80">
        <v>0</v>
      </c>
      <c r="D55" s="74">
        <v>0</v>
      </c>
      <c r="E55" s="74">
        <v>0</v>
      </c>
      <c r="F55" s="74">
        <v>0</v>
      </c>
      <c r="G55" s="74">
        <v>0</v>
      </c>
      <c r="H55" s="74">
        <v>0</v>
      </c>
      <c r="I55" s="74">
        <v>2.1</v>
      </c>
      <c r="J55" s="74">
        <v>4.3</v>
      </c>
      <c r="K55" s="74">
        <v>5.2</v>
      </c>
      <c r="L55" s="74">
        <v>5.7</v>
      </c>
      <c r="M55" s="81">
        <v>9.6</v>
      </c>
      <c r="N55" s="81">
        <v>5.8</v>
      </c>
      <c r="O55" s="81">
        <v>5.0999999999999996</v>
      </c>
      <c r="P55" s="81">
        <v>6.5</v>
      </c>
      <c r="Q55" s="80">
        <v>8.8000000000000007</v>
      </c>
      <c r="R55" s="80">
        <v>3.5</v>
      </c>
      <c r="S55" s="50">
        <v>5</v>
      </c>
      <c r="T55" s="50">
        <v>5.4</v>
      </c>
      <c r="U55" s="50">
        <v>5.2</v>
      </c>
      <c r="V55" s="50">
        <v>10</v>
      </c>
      <c r="W55" s="50">
        <v>8.5</v>
      </c>
      <c r="X55" s="50">
        <v>8.1</v>
      </c>
      <c r="Y55" s="80">
        <v>9.1999999999999993</v>
      </c>
      <c r="Z55" s="73">
        <v>10</v>
      </c>
      <c r="AA55" s="73">
        <v>10</v>
      </c>
      <c r="AB55" s="80">
        <v>10.6</v>
      </c>
      <c r="AC55" s="80">
        <v>10.6</v>
      </c>
      <c r="AD55" s="80">
        <v>10.3</v>
      </c>
      <c r="AE55" s="80">
        <v>7.6</v>
      </c>
      <c r="AF55" s="80">
        <v>10.4</v>
      </c>
      <c r="AG55" s="82">
        <v>14</v>
      </c>
      <c r="AH55" s="54">
        <f t="shared" si="2"/>
        <v>10.6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21.900000000000002</v>
      </c>
      <c r="J56" s="72">
        <f t="shared" si="7"/>
        <v>40.200000000000003</v>
      </c>
      <c r="K56" s="72">
        <f t="shared" si="7"/>
        <v>48.7</v>
      </c>
      <c r="L56" s="72">
        <f t="shared" si="7"/>
        <v>60.6</v>
      </c>
      <c r="M56" s="72">
        <f t="shared" si="7"/>
        <v>85.699999999999989</v>
      </c>
      <c r="N56" s="72">
        <f t="shared" si="7"/>
        <v>61.8</v>
      </c>
      <c r="O56" s="72">
        <f t="shared" si="7"/>
        <v>58.7</v>
      </c>
      <c r="P56" s="72">
        <f t="shared" si="7"/>
        <v>64.3</v>
      </c>
      <c r="Q56" s="72">
        <f t="shared" si="7"/>
        <v>87.8</v>
      </c>
      <c r="R56" s="72">
        <f t="shared" si="7"/>
        <v>33.1</v>
      </c>
      <c r="S56" s="72">
        <f t="shared" si="7"/>
        <v>48.8</v>
      </c>
      <c r="T56" s="72">
        <f t="shared" si="7"/>
        <v>49.3</v>
      </c>
      <c r="U56" s="72">
        <f t="shared" si="7"/>
        <v>49.2</v>
      </c>
      <c r="V56" s="72">
        <f t="shared" si="7"/>
        <v>97.5</v>
      </c>
      <c r="W56" s="72">
        <f t="shared" si="7"/>
        <v>81.7</v>
      </c>
      <c r="X56" s="72">
        <f t="shared" si="7"/>
        <v>80.399999999999991</v>
      </c>
      <c r="Y56" s="72">
        <f t="shared" si="7"/>
        <v>94.4</v>
      </c>
      <c r="Z56" s="73">
        <f t="shared" ref="Z56" si="8">SUM(Z53:Z55)</f>
        <v>97.3</v>
      </c>
      <c r="AA56" s="72">
        <f t="shared" si="7"/>
        <v>97.3</v>
      </c>
      <c r="AB56" s="72">
        <f t="shared" si="7"/>
        <v>99.5</v>
      </c>
      <c r="AC56" s="72">
        <f t="shared" si="7"/>
        <v>99.5</v>
      </c>
      <c r="AD56" s="72">
        <f t="shared" si="7"/>
        <v>98.2</v>
      </c>
      <c r="AE56" s="72">
        <f t="shared" si="7"/>
        <v>69.5</v>
      </c>
      <c r="AF56" s="72">
        <f t="shared" si="7"/>
        <v>98.300000000000011</v>
      </c>
      <c r="AG56" s="78">
        <f>SUM(AG53:AG55)</f>
        <v>106</v>
      </c>
      <c r="AH56" s="54">
        <f t="shared" si="2"/>
        <v>99.5</v>
      </c>
      <c r="AI56" s="55">
        <f t="shared" si="3"/>
        <v>0</v>
      </c>
      <c r="AK56" s="56"/>
    </row>
    <row r="57" spans="1:37" x14ac:dyDescent="0.25">
      <c r="A57" s="57" t="s">
        <v>65</v>
      </c>
      <c r="B57" s="50">
        <v>69.400000000000006</v>
      </c>
      <c r="C57" s="50">
        <v>71.400000000000006</v>
      </c>
      <c r="D57" s="50">
        <v>68</v>
      </c>
      <c r="E57" s="50">
        <v>68</v>
      </c>
      <c r="F57" s="50">
        <v>72.400000000000006</v>
      </c>
      <c r="G57" s="50">
        <v>71</v>
      </c>
      <c r="H57" s="50">
        <v>65</v>
      </c>
      <c r="I57" s="50">
        <v>26</v>
      </c>
      <c r="J57" s="50">
        <v>19.399999999999999</v>
      </c>
      <c r="K57" s="50">
        <v>21.3</v>
      </c>
      <c r="L57" s="50">
        <v>20.100000000000001</v>
      </c>
      <c r="M57" s="50">
        <v>20.81</v>
      </c>
      <c r="N57" s="50">
        <v>65.3</v>
      </c>
      <c r="O57" s="50">
        <v>69.2</v>
      </c>
      <c r="P57" s="50">
        <v>71</v>
      </c>
      <c r="Q57" s="50">
        <v>69.5</v>
      </c>
      <c r="R57" s="50">
        <v>67.099999999999994</v>
      </c>
      <c r="S57" s="50">
        <v>74</v>
      </c>
      <c r="T57" s="50">
        <v>72.400000000000006</v>
      </c>
      <c r="U57" s="50">
        <v>73</v>
      </c>
      <c r="V57" s="50">
        <v>67</v>
      </c>
      <c r="W57" s="50">
        <v>64</v>
      </c>
      <c r="X57" s="50">
        <v>70</v>
      </c>
      <c r="Y57" s="50">
        <v>23.31</v>
      </c>
      <c r="Z57" s="73">
        <v>25.8</v>
      </c>
      <c r="AA57" s="73">
        <v>25.8</v>
      </c>
      <c r="AB57" s="50">
        <v>26.7</v>
      </c>
      <c r="AC57" s="50">
        <v>23.33</v>
      </c>
      <c r="AD57" s="50">
        <v>30.4</v>
      </c>
      <c r="AE57" s="50">
        <v>61.1</v>
      </c>
      <c r="AF57" s="50">
        <v>23.5</v>
      </c>
      <c r="AG57" s="62"/>
      <c r="AH57" s="54">
        <f t="shared" si="2"/>
        <v>74</v>
      </c>
      <c r="AI57" s="55">
        <f t="shared" si="3"/>
        <v>19.399999999999999</v>
      </c>
      <c r="AK57" s="56"/>
    </row>
    <row r="58" spans="1:37" x14ac:dyDescent="0.25">
      <c r="A58" s="66" t="s">
        <v>66</v>
      </c>
      <c r="B58" s="73">
        <v>0</v>
      </c>
      <c r="C58" s="73">
        <v>0</v>
      </c>
      <c r="D58" s="73">
        <v>0</v>
      </c>
      <c r="E58" s="73">
        <v>0</v>
      </c>
      <c r="F58" s="73">
        <v>0</v>
      </c>
      <c r="G58" s="73">
        <v>0</v>
      </c>
      <c r="H58" s="73">
        <v>106</v>
      </c>
      <c r="I58" s="73">
        <v>120</v>
      </c>
      <c r="J58" s="73">
        <v>122</v>
      </c>
      <c r="K58" s="73">
        <v>135</v>
      </c>
      <c r="L58" s="73">
        <v>145</v>
      </c>
      <c r="M58" s="50">
        <v>142</v>
      </c>
      <c r="N58" s="50">
        <v>130</v>
      </c>
      <c r="O58" s="50">
        <v>81.099999999999994</v>
      </c>
      <c r="P58" s="50">
        <v>80</v>
      </c>
      <c r="Q58" s="50">
        <v>64.400000000000006</v>
      </c>
      <c r="R58" s="50">
        <v>62</v>
      </c>
      <c r="S58" s="50">
        <v>62</v>
      </c>
      <c r="T58" s="50">
        <v>63.7</v>
      </c>
      <c r="U58" s="50">
        <v>61</v>
      </c>
      <c r="V58" s="50">
        <v>52</v>
      </c>
      <c r="W58" s="50">
        <v>90</v>
      </c>
      <c r="X58" s="50">
        <v>94</v>
      </c>
      <c r="Y58" s="50">
        <v>113</v>
      </c>
      <c r="Z58" s="73">
        <v>124</v>
      </c>
      <c r="AA58" s="73">
        <v>124</v>
      </c>
      <c r="AB58" s="83">
        <v>96</v>
      </c>
      <c r="AC58" s="73">
        <v>97.5</v>
      </c>
      <c r="AD58" s="73">
        <v>93.7</v>
      </c>
      <c r="AE58" s="73">
        <v>0</v>
      </c>
      <c r="AF58" s="73">
        <v>80</v>
      </c>
      <c r="AG58" s="67"/>
      <c r="AH58" s="54">
        <f t="shared" si="2"/>
        <v>145</v>
      </c>
      <c r="AI58" s="55">
        <f t="shared" si="3"/>
        <v>0</v>
      </c>
      <c r="AK58" s="56"/>
    </row>
    <row r="59" spans="1:37" x14ac:dyDescent="0.25">
      <c r="A59" s="66" t="s">
        <v>67</v>
      </c>
      <c r="B59" s="73">
        <v>385</v>
      </c>
      <c r="C59" s="73">
        <v>305</v>
      </c>
      <c r="D59" s="73">
        <v>377</v>
      </c>
      <c r="E59" s="73">
        <v>380</v>
      </c>
      <c r="F59" s="73">
        <v>372</v>
      </c>
      <c r="G59" s="73">
        <v>390</v>
      </c>
      <c r="H59" s="50">
        <v>80</v>
      </c>
      <c r="I59" s="50">
        <v>0</v>
      </c>
      <c r="J59" s="50">
        <v>0</v>
      </c>
      <c r="K59" s="50">
        <v>50</v>
      </c>
      <c r="L59" s="50">
        <v>40</v>
      </c>
      <c r="M59" s="73">
        <v>48.9</v>
      </c>
      <c r="N59" s="73">
        <v>148.80000000000001</v>
      </c>
      <c r="O59" s="73">
        <v>402</v>
      </c>
      <c r="P59" s="73">
        <v>265</v>
      </c>
      <c r="Q59" s="73">
        <v>385</v>
      </c>
      <c r="R59" s="73">
        <v>393.1</v>
      </c>
      <c r="S59" s="73">
        <v>392</v>
      </c>
      <c r="T59" s="73">
        <v>397</v>
      </c>
      <c r="U59" s="73">
        <v>410</v>
      </c>
      <c r="V59" s="73">
        <v>100</v>
      </c>
      <c r="W59" s="73">
        <v>61.7</v>
      </c>
      <c r="X59" s="73">
        <v>66.599999999999994</v>
      </c>
      <c r="Y59" s="73">
        <v>51</v>
      </c>
      <c r="Z59" s="73">
        <v>55</v>
      </c>
      <c r="AA59" s="73">
        <v>55</v>
      </c>
      <c r="AB59" s="84">
        <v>52.8</v>
      </c>
      <c r="AC59" s="73">
        <v>52.8</v>
      </c>
      <c r="AD59" s="73">
        <v>32.1</v>
      </c>
      <c r="AE59" s="73">
        <v>348</v>
      </c>
      <c r="AF59" s="73">
        <v>31.6</v>
      </c>
      <c r="AG59" s="85"/>
      <c r="AH59" s="54">
        <f t="shared" si="2"/>
        <v>410</v>
      </c>
      <c r="AI59" s="55">
        <f t="shared" si="3"/>
        <v>0</v>
      </c>
      <c r="AK59" s="56"/>
    </row>
    <row r="60" spans="1:37" x14ac:dyDescent="0.25">
      <c r="A60" s="66" t="s">
        <v>68</v>
      </c>
      <c r="B60" s="58">
        <v>0</v>
      </c>
      <c r="C60" s="58">
        <v>0</v>
      </c>
      <c r="D60" s="58">
        <v>55</v>
      </c>
      <c r="E60" s="58">
        <v>51.2</v>
      </c>
      <c r="F60" s="58">
        <v>18.5</v>
      </c>
      <c r="G60" s="58">
        <v>18.5</v>
      </c>
      <c r="H60" s="58">
        <v>48.7</v>
      </c>
      <c r="I60" s="58">
        <v>53.6</v>
      </c>
      <c r="J60" s="58">
        <v>47.9</v>
      </c>
      <c r="K60" s="58">
        <v>51.2</v>
      </c>
      <c r="L60" s="58">
        <v>49.3</v>
      </c>
      <c r="M60" s="73">
        <v>46.5</v>
      </c>
      <c r="N60" s="73">
        <v>51</v>
      </c>
      <c r="O60" s="73">
        <v>53.2</v>
      </c>
      <c r="P60" s="73">
        <v>53.5</v>
      </c>
      <c r="Q60" s="73">
        <v>50.8</v>
      </c>
      <c r="R60" s="73">
        <v>52.6</v>
      </c>
      <c r="S60" s="73">
        <v>51.8</v>
      </c>
      <c r="T60" s="73">
        <v>53.4</v>
      </c>
      <c r="U60" s="73">
        <v>52</v>
      </c>
      <c r="V60" s="73">
        <v>52</v>
      </c>
      <c r="W60" s="73">
        <v>54</v>
      </c>
      <c r="X60" s="73">
        <v>50.3</v>
      </c>
      <c r="Y60" s="73">
        <v>50.3</v>
      </c>
      <c r="Z60" s="73">
        <v>50</v>
      </c>
      <c r="AA60" s="73">
        <v>50</v>
      </c>
      <c r="AB60" s="73">
        <v>47.1</v>
      </c>
      <c r="AC60" s="73">
        <v>62.1</v>
      </c>
      <c r="AD60" s="73">
        <v>45.4</v>
      </c>
      <c r="AE60" s="73">
        <v>41.8</v>
      </c>
      <c r="AF60" s="58">
        <v>42.4</v>
      </c>
      <c r="AG60" s="85"/>
      <c r="AH60" s="54">
        <f t="shared" si="2"/>
        <v>62.1</v>
      </c>
      <c r="AI60" s="55">
        <f t="shared" si="3"/>
        <v>0</v>
      </c>
      <c r="AK60" s="56"/>
    </row>
    <row r="61" spans="1:37" x14ac:dyDescent="0.25">
      <c r="A61" s="66" t="s">
        <v>69</v>
      </c>
      <c r="B61" s="50">
        <v>88.3</v>
      </c>
      <c r="C61" s="50">
        <v>77.400000000000006</v>
      </c>
      <c r="D61" s="50">
        <v>0</v>
      </c>
      <c r="E61" s="58">
        <v>0</v>
      </c>
      <c r="F61" s="58">
        <v>0</v>
      </c>
      <c r="G61" s="58">
        <v>0</v>
      </c>
      <c r="H61" s="58">
        <v>86.3</v>
      </c>
      <c r="I61" s="58">
        <v>85.1</v>
      </c>
      <c r="J61" s="58">
        <v>77.3</v>
      </c>
      <c r="K61" s="58">
        <v>82.5</v>
      </c>
      <c r="L61" s="58">
        <v>74.7</v>
      </c>
      <c r="M61" s="50">
        <v>85.6</v>
      </c>
      <c r="N61" s="50">
        <v>81.2</v>
      </c>
      <c r="O61" s="50">
        <v>0</v>
      </c>
      <c r="P61" s="50">
        <v>0</v>
      </c>
      <c r="Q61" s="50">
        <v>0</v>
      </c>
      <c r="R61" s="50">
        <v>85.2</v>
      </c>
      <c r="S61" s="50">
        <v>86.2</v>
      </c>
      <c r="T61" s="50">
        <v>82.2</v>
      </c>
      <c r="U61" s="50">
        <v>84</v>
      </c>
      <c r="V61" s="50">
        <v>84</v>
      </c>
      <c r="W61" s="50">
        <v>78.2</v>
      </c>
      <c r="X61" s="50">
        <v>75</v>
      </c>
      <c r="Y61" s="50">
        <v>84</v>
      </c>
      <c r="Z61" s="73">
        <v>78</v>
      </c>
      <c r="AA61" s="73">
        <v>78</v>
      </c>
      <c r="AB61" s="50">
        <v>82.5</v>
      </c>
      <c r="AC61" s="50">
        <v>72.7</v>
      </c>
      <c r="AD61" s="50">
        <v>83.3</v>
      </c>
      <c r="AE61" s="50">
        <v>0</v>
      </c>
      <c r="AF61" s="50">
        <v>82</v>
      </c>
      <c r="AG61" s="85"/>
      <c r="AH61" s="54">
        <f t="shared" si="2"/>
        <v>88.3</v>
      </c>
      <c r="AI61" s="55">
        <f t="shared" si="3"/>
        <v>0</v>
      </c>
      <c r="AK61" s="56"/>
    </row>
    <row r="62" spans="1:37" x14ac:dyDescent="0.25">
      <c r="A62" s="66" t="s">
        <v>70</v>
      </c>
      <c r="B62" s="60">
        <v>0</v>
      </c>
      <c r="C62" s="60">
        <v>0</v>
      </c>
      <c r="D62" s="60">
        <v>0</v>
      </c>
      <c r="E62" s="73">
        <v>0</v>
      </c>
      <c r="F62" s="73">
        <v>0</v>
      </c>
      <c r="G62" s="73">
        <v>0</v>
      </c>
      <c r="H62" s="73">
        <v>0</v>
      </c>
      <c r="I62" s="73">
        <v>6</v>
      </c>
      <c r="J62" s="73">
        <v>6</v>
      </c>
      <c r="K62" s="73">
        <v>6</v>
      </c>
      <c r="L62" s="73">
        <v>0</v>
      </c>
      <c r="M62" s="73">
        <v>0</v>
      </c>
      <c r="N62" s="60">
        <v>0</v>
      </c>
      <c r="O62" s="60">
        <v>0</v>
      </c>
      <c r="P62" s="60">
        <v>0</v>
      </c>
      <c r="Q62" s="50">
        <v>0</v>
      </c>
      <c r="R62" s="50">
        <v>0</v>
      </c>
      <c r="S62" s="50">
        <v>0</v>
      </c>
      <c r="T62" s="5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5</v>
      </c>
      <c r="Z62" s="73">
        <v>5</v>
      </c>
      <c r="AA62" s="73">
        <v>5</v>
      </c>
      <c r="AB62" s="73">
        <v>0</v>
      </c>
      <c r="AC62" s="73">
        <v>0</v>
      </c>
      <c r="AD62" s="73">
        <v>0</v>
      </c>
      <c r="AE62" s="73">
        <v>0</v>
      </c>
      <c r="AF62" s="60">
        <v>0</v>
      </c>
      <c r="AG62" s="85"/>
      <c r="AH62" s="54">
        <f t="shared" si="2"/>
        <v>6</v>
      </c>
      <c r="AI62" s="55">
        <f t="shared" si="3"/>
        <v>0</v>
      </c>
      <c r="AK62" s="56"/>
    </row>
    <row r="63" spans="1:37" x14ac:dyDescent="0.25">
      <c r="A63" s="66" t="s">
        <v>71</v>
      </c>
      <c r="B63" s="60">
        <v>0</v>
      </c>
      <c r="C63" s="60">
        <v>0</v>
      </c>
      <c r="D63" s="60">
        <v>0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0">
        <v>0</v>
      </c>
      <c r="N63" s="60">
        <v>0</v>
      </c>
      <c r="O63" s="60">
        <v>0</v>
      </c>
      <c r="P63" s="60">
        <v>0</v>
      </c>
      <c r="Q63" s="50">
        <v>0</v>
      </c>
      <c r="R63" s="50">
        <v>0</v>
      </c>
      <c r="S63" s="50">
        <v>0</v>
      </c>
      <c r="T63" s="5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60">
        <v>0</v>
      </c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>
        <v>0</v>
      </c>
      <c r="C64" s="58">
        <v>0</v>
      </c>
      <c r="D64" s="58">
        <v>0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0">
        <v>0</v>
      </c>
      <c r="R64" s="50">
        <v>0</v>
      </c>
      <c r="S64" s="50">
        <v>0</v>
      </c>
      <c r="T64" s="50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73">
        <v>0</v>
      </c>
      <c r="AA64" s="73">
        <v>0</v>
      </c>
      <c r="AB64" s="73">
        <v>0</v>
      </c>
      <c r="AC64" s="73">
        <v>0</v>
      </c>
      <c r="AD64" s="73">
        <v>0</v>
      </c>
      <c r="AE64" s="73">
        <v>0</v>
      </c>
      <c r="AF64" s="58">
        <v>0</v>
      </c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>
        <v>0</v>
      </c>
      <c r="C65" s="58">
        <v>0</v>
      </c>
      <c r="D65" s="58">
        <v>0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0">
        <v>0</v>
      </c>
      <c r="R65" s="50">
        <v>0</v>
      </c>
      <c r="S65" s="50">
        <v>0</v>
      </c>
      <c r="T65" s="50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58">
        <v>0</v>
      </c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>
        <v>0</v>
      </c>
      <c r="C66" s="63">
        <v>0</v>
      </c>
      <c r="D66" s="63">
        <v>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73">
        <v>0</v>
      </c>
      <c r="N66" s="63">
        <v>0</v>
      </c>
      <c r="O66" s="63">
        <v>0</v>
      </c>
      <c r="P66" s="63">
        <v>0</v>
      </c>
      <c r="Q66" s="50">
        <v>0</v>
      </c>
      <c r="R66" s="50">
        <v>0</v>
      </c>
      <c r="S66" s="50">
        <v>0</v>
      </c>
      <c r="T66" s="50">
        <v>0</v>
      </c>
      <c r="U66" s="63">
        <v>6</v>
      </c>
      <c r="V66" s="63">
        <v>6</v>
      </c>
      <c r="W66" s="63">
        <v>6</v>
      </c>
      <c r="X66" s="63">
        <v>6</v>
      </c>
      <c r="Y66" s="63">
        <v>6</v>
      </c>
      <c r="Z66" s="73">
        <v>6</v>
      </c>
      <c r="AA66" s="73">
        <v>6</v>
      </c>
      <c r="AB66" s="73">
        <v>6</v>
      </c>
      <c r="AC66" s="73">
        <v>6</v>
      </c>
      <c r="AD66" s="73">
        <v>6</v>
      </c>
      <c r="AE66" s="73">
        <v>6</v>
      </c>
      <c r="AF66" s="63">
        <v>6</v>
      </c>
      <c r="AG66" s="87"/>
      <c r="AH66" s="54">
        <f t="shared" si="2"/>
        <v>6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>
        <v>0</v>
      </c>
      <c r="C67" s="63">
        <v>0</v>
      </c>
      <c r="D67" s="63">
        <v>0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0">
        <v>0</v>
      </c>
      <c r="N67" s="63">
        <v>0</v>
      </c>
      <c r="O67" s="63">
        <v>0</v>
      </c>
      <c r="P67" s="63">
        <v>0</v>
      </c>
      <c r="Q67" s="50">
        <v>0</v>
      </c>
      <c r="R67" s="50">
        <v>0</v>
      </c>
      <c r="S67" s="50">
        <v>0</v>
      </c>
      <c r="T67" s="50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63">
        <v>0</v>
      </c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542.69999999999993</v>
      </c>
      <c r="C68" s="72">
        <f>SUM(C57:C67)</f>
        <v>453.79999999999995</v>
      </c>
      <c r="D68" s="72">
        <f t="shared" ref="D68:AF68" si="9">SUM(D57:D67)</f>
        <v>500</v>
      </c>
      <c r="E68" s="72">
        <f t="shared" si="9"/>
        <v>499.2</v>
      </c>
      <c r="F68" s="72">
        <f t="shared" si="9"/>
        <v>462.9</v>
      </c>
      <c r="G68" s="72">
        <f t="shared" si="9"/>
        <v>479.5</v>
      </c>
      <c r="H68" s="72">
        <f t="shared" si="9"/>
        <v>386</v>
      </c>
      <c r="I68" s="72">
        <f t="shared" si="9"/>
        <v>290.7</v>
      </c>
      <c r="J68" s="72">
        <f t="shared" si="9"/>
        <v>272.60000000000002</v>
      </c>
      <c r="K68" s="72">
        <f t="shared" si="9"/>
        <v>346</v>
      </c>
      <c r="L68" s="72">
        <f t="shared" si="9"/>
        <v>329.09999999999997</v>
      </c>
      <c r="M68" s="72">
        <f t="shared" si="9"/>
        <v>343.81000000000006</v>
      </c>
      <c r="N68" s="72">
        <f t="shared" si="9"/>
        <v>476.3</v>
      </c>
      <c r="O68" s="72">
        <f t="shared" si="9"/>
        <v>605.5</v>
      </c>
      <c r="P68" s="72">
        <f t="shared" si="9"/>
        <v>469.5</v>
      </c>
      <c r="Q68" s="72">
        <f t="shared" si="9"/>
        <v>569.69999999999993</v>
      </c>
      <c r="R68" s="72">
        <f t="shared" si="9"/>
        <v>660.00000000000011</v>
      </c>
      <c r="S68" s="72">
        <f t="shared" si="9"/>
        <v>666</v>
      </c>
      <c r="T68" s="72">
        <f t="shared" si="9"/>
        <v>668.7</v>
      </c>
      <c r="U68" s="72">
        <f t="shared" si="9"/>
        <v>686</v>
      </c>
      <c r="V68" s="72">
        <f t="shared" si="9"/>
        <v>361</v>
      </c>
      <c r="W68" s="72">
        <f t="shared" si="9"/>
        <v>353.9</v>
      </c>
      <c r="X68" s="72">
        <f t="shared" si="9"/>
        <v>361.9</v>
      </c>
      <c r="Y68" s="72">
        <f t="shared" si="9"/>
        <v>332.61</v>
      </c>
      <c r="Z68" s="73">
        <f>SUMIF(Z57:Z67,"&gt;0")</f>
        <v>343.8</v>
      </c>
      <c r="AA68" s="72">
        <f t="shared" si="9"/>
        <v>343.8</v>
      </c>
      <c r="AB68" s="72">
        <f t="shared" si="9"/>
        <v>311.10000000000002</v>
      </c>
      <c r="AC68" s="72">
        <f t="shared" si="9"/>
        <v>314.43</v>
      </c>
      <c r="AD68" s="72">
        <f t="shared" si="9"/>
        <v>290.89999999999998</v>
      </c>
      <c r="AE68" s="72">
        <f t="shared" si="9"/>
        <v>456.90000000000003</v>
      </c>
      <c r="AF68" s="72">
        <f t="shared" si="9"/>
        <v>265.5</v>
      </c>
      <c r="AG68" s="78">
        <f>SUM(AG57:AG67)</f>
        <v>0</v>
      </c>
      <c r="AH68" s="54">
        <f t="shared" si="2"/>
        <v>686</v>
      </c>
      <c r="AI68" s="55">
        <f t="shared" si="3"/>
        <v>265.5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7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7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7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v>0</v>
      </c>
      <c r="C72" s="72">
        <f>SUM(C69:C71)</f>
        <v>0</v>
      </c>
      <c r="D72" s="72">
        <f t="shared" ref="D72:AF72" si="10">SUM(D69:D71)</f>
        <v>0</v>
      </c>
      <c r="E72" s="72">
        <f t="shared" si="10"/>
        <v>0</v>
      </c>
      <c r="F72" s="72">
        <f t="shared" si="10"/>
        <v>0</v>
      </c>
      <c r="G72" s="72">
        <f t="shared" si="10"/>
        <v>0</v>
      </c>
      <c r="H72" s="72">
        <f t="shared" si="10"/>
        <v>0</v>
      </c>
      <c r="I72" s="72">
        <f t="shared" si="10"/>
        <v>0</v>
      </c>
      <c r="J72" s="72">
        <f t="shared" si="10"/>
        <v>0</v>
      </c>
      <c r="K72" s="72">
        <f t="shared" si="10"/>
        <v>0</v>
      </c>
      <c r="L72" s="72">
        <f t="shared" si="10"/>
        <v>0</v>
      </c>
      <c r="M72" s="72">
        <f t="shared" si="10"/>
        <v>0</v>
      </c>
      <c r="N72" s="72">
        <f t="shared" si="10"/>
        <v>0</v>
      </c>
      <c r="O72" s="72">
        <f t="shared" si="10"/>
        <v>0</v>
      </c>
      <c r="P72" s="72">
        <f t="shared" si="10"/>
        <v>0</v>
      </c>
      <c r="Q72" s="72">
        <f t="shared" si="10"/>
        <v>0</v>
      </c>
      <c r="R72" s="72">
        <f t="shared" si="10"/>
        <v>0</v>
      </c>
      <c r="S72" s="72">
        <f t="shared" si="10"/>
        <v>0</v>
      </c>
      <c r="T72" s="72">
        <f t="shared" si="10"/>
        <v>0</v>
      </c>
      <c r="U72" s="72">
        <f t="shared" si="10"/>
        <v>0</v>
      </c>
      <c r="V72" s="72">
        <f t="shared" si="10"/>
        <v>0</v>
      </c>
      <c r="W72" s="72">
        <f t="shared" si="10"/>
        <v>0</v>
      </c>
      <c r="X72" s="72">
        <f t="shared" si="10"/>
        <v>0</v>
      </c>
      <c r="Y72" s="72">
        <f t="shared" si="10"/>
        <v>0</v>
      </c>
      <c r="Z72" s="73">
        <f>SUM(Z69:Z71)</f>
        <v>0</v>
      </c>
      <c r="AA72" s="72">
        <f t="shared" si="10"/>
        <v>0</v>
      </c>
      <c r="AB72" s="72">
        <f t="shared" si="10"/>
        <v>0</v>
      </c>
      <c r="AC72" s="72">
        <f t="shared" si="10"/>
        <v>0</v>
      </c>
      <c r="AD72" s="72">
        <f t="shared" si="10"/>
        <v>0</v>
      </c>
      <c r="AE72" s="72">
        <f t="shared" si="10"/>
        <v>0</v>
      </c>
      <c r="AF72" s="72">
        <f t="shared" si="10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v>1122.8399999999999</v>
      </c>
      <c r="C73" s="89">
        <f>C68+C56+C52+C38+C72</f>
        <v>963.93999999999994</v>
      </c>
      <c r="D73" s="89">
        <f t="shared" ref="D73:AG73" si="11">D68+D56+D52+D38+D72</f>
        <v>995.74</v>
      </c>
      <c r="E73" s="89">
        <f t="shared" si="11"/>
        <v>994.34</v>
      </c>
      <c r="F73" s="89">
        <f t="shared" si="11"/>
        <v>1005.3399999999999</v>
      </c>
      <c r="G73" s="89">
        <f t="shared" si="11"/>
        <v>1025.04</v>
      </c>
      <c r="H73" s="89">
        <f t="shared" si="11"/>
        <v>1109.1399999999999</v>
      </c>
      <c r="I73" s="89">
        <f t="shared" si="11"/>
        <v>1178.6399999999999</v>
      </c>
      <c r="J73" s="89">
        <f t="shared" si="11"/>
        <v>1257.44</v>
      </c>
      <c r="K73" s="89">
        <f t="shared" si="11"/>
        <v>1348.64</v>
      </c>
      <c r="L73" s="89">
        <f t="shared" si="11"/>
        <v>1366.74</v>
      </c>
      <c r="M73" s="89">
        <f t="shared" si="11"/>
        <v>1420.0500000000002</v>
      </c>
      <c r="N73" s="89">
        <f t="shared" si="11"/>
        <v>1358.84</v>
      </c>
      <c r="O73" s="89">
        <f t="shared" si="11"/>
        <v>1334.74</v>
      </c>
      <c r="P73" s="89">
        <f t="shared" si="11"/>
        <v>1299.74</v>
      </c>
      <c r="Q73" s="89">
        <f t="shared" si="11"/>
        <v>1297.1399999999999</v>
      </c>
      <c r="R73" s="89">
        <f t="shared" si="11"/>
        <v>1294.7400000000002</v>
      </c>
      <c r="S73" s="89">
        <f t="shared" si="11"/>
        <v>1335.34</v>
      </c>
      <c r="T73" s="89">
        <f t="shared" si="11"/>
        <v>1329.54</v>
      </c>
      <c r="U73" s="89">
        <f t="shared" si="11"/>
        <v>1358.8400000000001</v>
      </c>
      <c r="V73" s="89">
        <f t="shared" si="11"/>
        <v>1298.1400000000001</v>
      </c>
      <c r="W73" s="89">
        <f t="shared" si="11"/>
        <v>1306.1399999999999</v>
      </c>
      <c r="X73" s="89">
        <f t="shared" si="11"/>
        <v>1310.6400000000001</v>
      </c>
      <c r="Y73" s="89">
        <f t="shared" si="11"/>
        <v>1387.65</v>
      </c>
      <c r="Z73" s="73">
        <f t="shared" si="11"/>
        <v>1573.7400000000002</v>
      </c>
      <c r="AA73" s="89">
        <f t="shared" si="11"/>
        <v>1573.7400000000002</v>
      </c>
      <c r="AB73" s="89">
        <f t="shared" si="11"/>
        <v>1397.14</v>
      </c>
      <c r="AC73" s="89">
        <f t="shared" si="11"/>
        <v>1356.37</v>
      </c>
      <c r="AD73" s="89">
        <f t="shared" si="11"/>
        <v>1295.8400000000001</v>
      </c>
      <c r="AE73" s="89">
        <f t="shared" si="11"/>
        <v>1128.1399999999999</v>
      </c>
      <c r="AF73" s="89">
        <f t="shared" si="11"/>
        <v>1111.04</v>
      </c>
      <c r="AG73" s="89">
        <f t="shared" si="11"/>
        <v>2144.14</v>
      </c>
      <c r="AH73" s="54">
        <f t="shared" si="2"/>
        <v>1573.7400000000002</v>
      </c>
      <c r="AI73" s="55">
        <f t="shared" si="3"/>
        <v>963.93999999999994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>
        <v>5</v>
      </c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73"/>
      <c r="AA74" s="91"/>
      <c r="AB74" s="91"/>
      <c r="AC74" s="91"/>
      <c r="AD74" s="91"/>
      <c r="AE74" s="91"/>
      <c r="AF74" s="91"/>
      <c r="AG74" s="78"/>
      <c r="AH74" s="54">
        <f t="shared" si="2"/>
        <v>5</v>
      </c>
      <c r="AI74" s="55">
        <f t="shared" si="3"/>
        <v>5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v>1122.8399999999999</v>
      </c>
      <c r="C75" s="89">
        <f>C73+C74</f>
        <v>963.93999999999994</v>
      </c>
      <c r="D75" s="89">
        <f t="shared" ref="D75:AF75" si="12">D72+D68+D56+D52+D38+D74</f>
        <v>995.74</v>
      </c>
      <c r="E75" s="89">
        <f t="shared" si="12"/>
        <v>994.34</v>
      </c>
      <c r="F75" s="89">
        <f t="shared" si="12"/>
        <v>1005.3399999999999</v>
      </c>
      <c r="G75" s="89">
        <f t="shared" si="12"/>
        <v>1025.04</v>
      </c>
      <c r="H75" s="89">
        <f t="shared" si="12"/>
        <v>1109.1399999999999</v>
      </c>
      <c r="I75" s="89">
        <f t="shared" si="12"/>
        <v>1178.6399999999999</v>
      </c>
      <c r="J75" s="89">
        <f t="shared" si="12"/>
        <v>1257.44</v>
      </c>
      <c r="K75" s="89">
        <f t="shared" si="12"/>
        <v>1348.64</v>
      </c>
      <c r="L75" s="89">
        <f t="shared" si="12"/>
        <v>1366.74</v>
      </c>
      <c r="M75" s="89">
        <f t="shared" si="12"/>
        <v>1420.0500000000002</v>
      </c>
      <c r="N75" s="89">
        <f t="shared" si="12"/>
        <v>1358.84</v>
      </c>
      <c r="O75" s="89">
        <f t="shared" si="12"/>
        <v>1339.74</v>
      </c>
      <c r="P75" s="89">
        <f t="shared" si="12"/>
        <v>1299.74</v>
      </c>
      <c r="Q75" s="89">
        <f t="shared" si="12"/>
        <v>1297.1399999999999</v>
      </c>
      <c r="R75" s="89">
        <f t="shared" si="12"/>
        <v>1294.7400000000002</v>
      </c>
      <c r="S75" s="89">
        <f t="shared" si="12"/>
        <v>1335.34</v>
      </c>
      <c r="T75" s="89">
        <f t="shared" si="12"/>
        <v>1329.54</v>
      </c>
      <c r="U75" s="89">
        <f t="shared" si="12"/>
        <v>1358.8400000000001</v>
      </c>
      <c r="V75" s="89">
        <f t="shared" si="12"/>
        <v>1298.1400000000001</v>
      </c>
      <c r="W75" s="89">
        <f t="shared" si="12"/>
        <v>1306.1399999999999</v>
      </c>
      <c r="X75" s="89">
        <f t="shared" si="12"/>
        <v>1310.6400000000001</v>
      </c>
      <c r="Y75" s="89">
        <f t="shared" si="12"/>
        <v>1387.65</v>
      </c>
      <c r="Z75" s="73">
        <f t="shared" ref="Z75" si="13">SUM(Z73+Z74)</f>
        <v>1573.7400000000002</v>
      </c>
      <c r="AA75" s="89">
        <f t="shared" si="12"/>
        <v>1573.7400000000002</v>
      </c>
      <c r="AB75" s="89">
        <f t="shared" si="12"/>
        <v>1397.14</v>
      </c>
      <c r="AC75" s="89">
        <f t="shared" si="12"/>
        <v>1356.37</v>
      </c>
      <c r="AD75" s="89">
        <f t="shared" si="12"/>
        <v>1295.8400000000001</v>
      </c>
      <c r="AE75" s="89">
        <f t="shared" si="12"/>
        <v>1128.1399999999999</v>
      </c>
      <c r="AF75" s="89">
        <f t="shared" si="12"/>
        <v>1111.04</v>
      </c>
      <c r="AG75" s="78">
        <f>AG72+AG68+AG56+AG52+AG38+AG74</f>
        <v>2144.14</v>
      </c>
      <c r="AH75" s="54">
        <f t="shared" si="2"/>
        <v>1573.7400000000002</v>
      </c>
      <c r="AI75" s="55">
        <f t="shared" si="3"/>
        <v>963.93999999999994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v>0</v>
      </c>
      <c r="C76" s="58">
        <f>IF(C60&lt;0,C60*-1,0)</f>
        <v>0</v>
      </c>
      <c r="D76" s="58">
        <f t="shared" ref="D76:AF76" si="14">IF(D60&lt;0,D60*-1,0)</f>
        <v>0</v>
      </c>
      <c r="E76" s="58">
        <f t="shared" si="14"/>
        <v>0</v>
      </c>
      <c r="F76" s="58">
        <f t="shared" si="14"/>
        <v>0</v>
      </c>
      <c r="G76" s="58">
        <f t="shared" si="14"/>
        <v>0</v>
      </c>
      <c r="H76" s="58">
        <f t="shared" si="14"/>
        <v>0</v>
      </c>
      <c r="I76" s="58">
        <f t="shared" si="14"/>
        <v>0</v>
      </c>
      <c r="J76" s="58">
        <f t="shared" si="14"/>
        <v>0</v>
      </c>
      <c r="K76" s="58">
        <f t="shared" si="14"/>
        <v>0</v>
      </c>
      <c r="L76" s="58">
        <f t="shared" si="14"/>
        <v>0</v>
      </c>
      <c r="M76" s="58">
        <f t="shared" si="14"/>
        <v>0</v>
      </c>
      <c r="N76" s="58">
        <f t="shared" si="14"/>
        <v>0</v>
      </c>
      <c r="O76" s="58">
        <f t="shared" si="14"/>
        <v>0</v>
      </c>
      <c r="P76" s="58">
        <f t="shared" si="14"/>
        <v>0</v>
      </c>
      <c r="Q76" s="58">
        <f t="shared" si="14"/>
        <v>0</v>
      </c>
      <c r="R76" s="58">
        <f t="shared" si="14"/>
        <v>0</v>
      </c>
      <c r="S76" s="58">
        <f t="shared" si="14"/>
        <v>0</v>
      </c>
      <c r="T76" s="58">
        <f t="shared" si="14"/>
        <v>0</v>
      </c>
      <c r="U76" s="58">
        <f t="shared" si="14"/>
        <v>0</v>
      </c>
      <c r="V76" s="58">
        <f t="shared" si="14"/>
        <v>0</v>
      </c>
      <c r="W76" s="58">
        <f t="shared" si="14"/>
        <v>0</v>
      </c>
      <c r="X76" s="58">
        <f t="shared" si="14"/>
        <v>0</v>
      </c>
      <c r="Y76" s="58">
        <f t="shared" si="14"/>
        <v>0</v>
      </c>
      <c r="Z76" s="73"/>
      <c r="AA76" s="58">
        <f t="shared" si="14"/>
        <v>0</v>
      </c>
      <c r="AB76" s="58">
        <f t="shared" si="14"/>
        <v>0</v>
      </c>
      <c r="AC76" s="58">
        <f t="shared" si="14"/>
        <v>0</v>
      </c>
      <c r="AD76" s="58">
        <f t="shared" si="14"/>
        <v>0</v>
      </c>
      <c r="AE76" s="58">
        <f t="shared" si="14"/>
        <v>0</v>
      </c>
      <c r="AF76" s="58">
        <f t="shared" si="14"/>
        <v>0</v>
      </c>
      <c r="AG76" s="62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v>0</v>
      </c>
      <c r="C77" s="58">
        <f>IF(C58&lt;0,C58*-1,0)</f>
        <v>0</v>
      </c>
      <c r="D77" s="58">
        <f t="shared" ref="D77:AF77" si="17">IF(D58&lt;0,D58*-1,0)</f>
        <v>0</v>
      </c>
      <c r="E77" s="58">
        <f t="shared" si="17"/>
        <v>0</v>
      </c>
      <c r="F77" s="58">
        <f t="shared" si="17"/>
        <v>0</v>
      </c>
      <c r="G77" s="58">
        <f t="shared" si="17"/>
        <v>0</v>
      </c>
      <c r="H77" s="58">
        <f t="shared" si="17"/>
        <v>0</v>
      </c>
      <c r="I77" s="58">
        <f t="shared" si="17"/>
        <v>0</v>
      </c>
      <c r="J77" s="58">
        <f t="shared" si="17"/>
        <v>0</v>
      </c>
      <c r="K77" s="58">
        <f t="shared" si="17"/>
        <v>0</v>
      </c>
      <c r="L77" s="58">
        <f t="shared" si="17"/>
        <v>0</v>
      </c>
      <c r="M77" s="58">
        <f t="shared" si="17"/>
        <v>0</v>
      </c>
      <c r="N77" s="58">
        <f t="shared" si="17"/>
        <v>0</v>
      </c>
      <c r="O77" s="58">
        <f t="shared" si="17"/>
        <v>0</v>
      </c>
      <c r="P77" s="58">
        <f t="shared" si="17"/>
        <v>0</v>
      </c>
      <c r="Q77" s="58">
        <f t="shared" si="17"/>
        <v>0</v>
      </c>
      <c r="R77" s="58">
        <f t="shared" si="17"/>
        <v>0</v>
      </c>
      <c r="S77" s="58">
        <f t="shared" si="17"/>
        <v>0</v>
      </c>
      <c r="T77" s="58">
        <f t="shared" si="17"/>
        <v>0</v>
      </c>
      <c r="U77" s="58">
        <f t="shared" si="17"/>
        <v>0</v>
      </c>
      <c r="V77" s="58">
        <f t="shared" si="17"/>
        <v>0</v>
      </c>
      <c r="W77" s="58">
        <f t="shared" si="17"/>
        <v>0</v>
      </c>
      <c r="X77" s="58">
        <f t="shared" si="17"/>
        <v>0</v>
      </c>
      <c r="Y77" s="58">
        <f t="shared" si="17"/>
        <v>0</v>
      </c>
      <c r="Z77" s="73">
        <f>IF(Z60&lt;0,Z60*-1,0)</f>
        <v>0</v>
      </c>
      <c r="AA77" s="58">
        <f t="shared" si="17"/>
        <v>0</v>
      </c>
      <c r="AB77" s="58">
        <f t="shared" si="17"/>
        <v>0</v>
      </c>
      <c r="AC77" s="58">
        <f t="shared" si="17"/>
        <v>0</v>
      </c>
      <c r="AD77" s="58">
        <f t="shared" si="17"/>
        <v>0</v>
      </c>
      <c r="AE77" s="58">
        <f t="shared" si="17"/>
        <v>0</v>
      </c>
      <c r="AF77" s="58">
        <f t="shared" si="17"/>
        <v>0</v>
      </c>
      <c r="AG77" s="67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v>0</v>
      </c>
      <c r="C78" s="58">
        <f>IF(C61&lt;0,C61*-1,0)</f>
        <v>0</v>
      </c>
      <c r="D78" s="58">
        <f t="shared" ref="D78:AF78" si="18">IF(D61&lt;0,D61*-1,0)</f>
        <v>0</v>
      </c>
      <c r="E78" s="58">
        <f t="shared" si="18"/>
        <v>0</v>
      </c>
      <c r="F78" s="58">
        <f t="shared" si="18"/>
        <v>0</v>
      </c>
      <c r="G78" s="58">
        <f t="shared" si="18"/>
        <v>0</v>
      </c>
      <c r="H78" s="58">
        <f t="shared" si="18"/>
        <v>0</v>
      </c>
      <c r="I78" s="58">
        <f t="shared" si="18"/>
        <v>0</v>
      </c>
      <c r="J78" s="58">
        <f t="shared" si="18"/>
        <v>0</v>
      </c>
      <c r="K78" s="58">
        <f t="shared" si="18"/>
        <v>0</v>
      </c>
      <c r="L78" s="58">
        <f t="shared" si="18"/>
        <v>0</v>
      </c>
      <c r="M78" s="58">
        <f t="shared" si="18"/>
        <v>0</v>
      </c>
      <c r="N78" s="58">
        <f t="shared" si="18"/>
        <v>0</v>
      </c>
      <c r="O78" s="58">
        <f t="shared" si="18"/>
        <v>0</v>
      </c>
      <c r="P78" s="58">
        <f t="shared" si="18"/>
        <v>0</v>
      </c>
      <c r="Q78" s="58">
        <f t="shared" si="18"/>
        <v>0</v>
      </c>
      <c r="R78" s="58">
        <f t="shared" si="18"/>
        <v>0</v>
      </c>
      <c r="S78" s="58">
        <f t="shared" si="18"/>
        <v>0</v>
      </c>
      <c r="T78" s="58">
        <f t="shared" si="18"/>
        <v>0</v>
      </c>
      <c r="U78" s="58">
        <f t="shared" si="18"/>
        <v>0</v>
      </c>
      <c r="V78" s="58">
        <f t="shared" si="18"/>
        <v>0</v>
      </c>
      <c r="W78" s="58">
        <f t="shared" si="18"/>
        <v>0</v>
      </c>
      <c r="X78" s="58">
        <f t="shared" si="18"/>
        <v>0</v>
      </c>
      <c r="Y78" s="58">
        <f t="shared" si="18"/>
        <v>0</v>
      </c>
      <c r="Z78" s="73">
        <f>IF(Z58&lt;0,Z58*-1,0)</f>
        <v>0</v>
      </c>
      <c r="AA78" s="58">
        <f t="shared" si="18"/>
        <v>0</v>
      </c>
      <c r="AB78" s="58">
        <f t="shared" si="18"/>
        <v>0</v>
      </c>
      <c r="AC78" s="58">
        <f t="shared" si="18"/>
        <v>0</v>
      </c>
      <c r="AD78" s="58">
        <f t="shared" si="18"/>
        <v>0</v>
      </c>
      <c r="AE78" s="58">
        <f t="shared" si="18"/>
        <v>0</v>
      </c>
      <c r="AF78" s="58">
        <f t="shared" si="18"/>
        <v>0</v>
      </c>
      <c r="AG78" s="92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v>0</v>
      </c>
      <c r="C79" s="58">
        <f>IF(C59&lt;0,C59*-1,0)</f>
        <v>0</v>
      </c>
      <c r="D79" s="58">
        <f t="shared" ref="D79:AF79" si="19">IF(D59&lt;0,D59*-1,0)</f>
        <v>0</v>
      </c>
      <c r="E79" s="58">
        <f t="shared" si="19"/>
        <v>0</v>
      </c>
      <c r="F79" s="58">
        <f t="shared" si="19"/>
        <v>0</v>
      </c>
      <c r="G79" s="58">
        <f t="shared" si="19"/>
        <v>0</v>
      </c>
      <c r="H79" s="58">
        <f t="shared" si="19"/>
        <v>0</v>
      </c>
      <c r="I79" s="58">
        <f t="shared" si="19"/>
        <v>0</v>
      </c>
      <c r="J79" s="58">
        <f t="shared" si="19"/>
        <v>0</v>
      </c>
      <c r="K79" s="58">
        <f t="shared" si="19"/>
        <v>0</v>
      </c>
      <c r="L79" s="58">
        <f t="shared" si="19"/>
        <v>0</v>
      </c>
      <c r="M79" s="58">
        <f t="shared" si="19"/>
        <v>0</v>
      </c>
      <c r="N79" s="58">
        <f t="shared" si="19"/>
        <v>0</v>
      </c>
      <c r="O79" s="58">
        <f t="shared" si="19"/>
        <v>0</v>
      </c>
      <c r="P79" s="58">
        <f t="shared" si="19"/>
        <v>0</v>
      </c>
      <c r="Q79" s="58">
        <f t="shared" si="19"/>
        <v>0</v>
      </c>
      <c r="R79" s="58">
        <f t="shared" si="19"/>
        <v>0</v>
      </c>
      <c r="S79" s="58">
        <f t="shared" si="19"/>
        <v>0</v>
      </c>
      <c r="T79" s="58">
        <f t="shared" si="19"/>
        <v>0</v>
      </c>
      <c r="U79" s="58">
        <f t="shared" si="19"/>
        <v>0</v>
      </c>
      <c r="V79" s="58">
        <f t="shared" si="19"/>
        <v>0</v>
      </c>
      <c r="W79" s="58">
        <f t="shared" si="19"/>
        <v>0</v>
      </c>
      <c r="X79" s="58">
        <f t="shared" si="19"/>
        <v>0</v>
      </c>
      <c r="Y79" s="58">
        <f t="shared" si="19"/>
        <v>0</v>
      </c>
      <c r="Z79" s="73">
        <f>IF(Z61&lt;0,Z61*-1,0)</f>
        <v>0</v>
      </c>
      <c r="AA79" s="58">
        <f t="shared" si="19"/>
        <v>0</v>
      </c>
      <c r="AB79" s="58">
        <f t="shared" si="19"/>
        <v>0</v>
      </c>
      <c r="AC79" s="58">
        <f t="shared" si="19"/>
        <v>0</v>
      </c>
      <c r="AD79" s="58">
        <f t="shared" si="19"/>
        <v>0</v>
      </c>
      <c r="AE79" s="58">
        <f t="shared" si="19"/>
        <v>0</v>
      </c>
      <c r="AF79" s="58">
        <f t="shared" si="19"/>
        <v>0</v>
      </c>
      <c r="AG79" s="92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v>0</v>
      </c>
      <c r="C80" s="58">
        <f>IF(C57&lt;0,C57*-1,0)</f>
        <v>0</v>
      </c>
      <c r="D80" s="58">
        <f t="shared" ref="D80:AF80" si="20">IF(D57&lt;0,D57*-1,0)</f>
        <v>0</v>
      </c>
      <c r="E80" s="58">
        <f t="shared" si="20"/>
        <v>0</v>
      </c>
      <c r="F80" s="58">
        <f t="shared" si="20"/>
        <v>0</v>
      </c>
      <c r="G80" s="58">
        <f t="shared" si="20"/>
        <v>0</v>
      </c>
      <c r="H80" s="58">
        <f t="shared" si="20"/>
        <v>0</v>
      </c>
      <c r="I80" s="58">
        <f t="shared" si="20"/>
        <v>0</v>
      </c>
      <c r="J80" s="58">
        <f t="shared" si="20"/>
        <v>0</v>
      </c>
      <c r="K80" s="58">
        <f t="shared" si="20"/>
        <v>0</v>
      </c>
      <c r="L80" s="58">
        <f t="shared" si="20"/>
        <v>0</v>
      </c>
      <c r="M80" s="58">
        <f t="shared" si="20"/>
        <v>0</v>
      </c>
      <c r="N80" s="58">
        <f t="shared" si="20"/>
        <v>0</v>
      </c>
      <c r="O80" s="58">
        <f t="shared" si="20"/>
        <v>0</v>
      </c>
      <c r="P80" s="58">
        <f t="shared" si="20"/>
        <v>0</v>
      </c>
      <c r="Q80" s="58">
        <f t="shared" si="20"/>
        <v>0</v>
      </c>
      <c r="R80" s="58">
        <f t="shared" si="20"/>
        <v>0</v>
      </c>
      <c r="S80" s="58">
        <f t="shared" si="20"/>
        <v>0</v>
      </c>
      <c r="T80" s="58">
        <f t="shared" si="20"/>
        <v>0</v>
      </c>
      <c r="U80" s="58">
        <f t="shared" si="20"/>
        <v>0</v>
      </c>
      <c r="V80" s="58">
        <f t="shared" si="20"/>
        <v>0</v>
      </c>
      <c r="W80" s="58">
        <f t="shared" si="20"/>
        <v>0</v>
      </c>
      <c r="X80" s="58">
        <f t="shared" si="20"/>
        <v>0</v>
      </c>
      <c r="Y80" s="58">
        <f t="shared" si="20"/>
        <v>0</v>
      </c>
      <c r="Z80" s="73">
        <f>IF(Z59&lt;0,Z59*-1,0)</f>
        <v>0</v>
      </c>
      <c r="AA80" s="58">
        <f t="shared" si="20"/>
        <v>0</v>
      </c>
      <c r="AB80" s="58">
        <f t="shared" si="20"/>
        <v>0</v>
      </c>
      <c r="AC80" s="58">
        <f t="shared" si="20"/>
        <v>0</v>
      </c>
      <c r="AD80" s="58">
        <f t="shared" si="20"/>
        <v>0</v>
      </c>
      <c r="AE80" s="58">
        <f t="shared" si="20"/>
        <v>0</v>
      </c>
      <c r="AF80" s="58">
        <f t="shared" si="20"/>
        <v>0</v>
      </c>
      <c r="AG80" s="92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73">
        <v>0</v>
      </c>
      <c r="AA81" s="50"/>
      <c r="AB81" s="63"/>
      <c r="AC81" s="63"/>
      <c r="AD81" s="63"/>
      <c r="AE81" s="63"/>
      <c r="AF81" s="63"/>
      <c r="AG81" s="87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v>0</v>
      </c>
      <c r="C82" s="72">
        <f t="shared" ref="C82:AG82" si="21">SUM(C76:C81)</f>
        <v>0</v>
      </c>
      <c r="D82" s="72">
        <f t="shared" si="21"/>
        <v>0</v>
      </c>
      <c r="E82" s="72">
        <f t="shared" si="21"/>
        <v>0</v>
      </c>
      <c r="F82" s="72">
        <f t="shared" si="21"/>
        <v>0</v>
      </c>
      <c r="G82" s="72">
        <f t="shared" si="21"/>
        <v>0</v>
      </c>
      <c r="H82" s="72">
        <f t="shared" si="21"/>
        <v>0</v>
      </c>
      <c r="I82" s="72">
        <f t="shared" si="21"/>
        <v>0</v>
      </c>
      <c r="J82" s="72">
        <f t="shared" si="21"/>
        <v>0</v>
      </c>
      <c r="K82" s="72">
        <f t="shared" si="21"/>
        <v>0</v>
      </c>
      <c r="L82" s="72">
        <f t="shared" si="21"/>
        <v>0</v>
      </c>
      <c r="M82" s="72">
        <f t="shared" si="21"/>
        <v>0</v>
      </c>
      <c r="N82" s="72">
        <f t="shared" si="21"/>
        <v>0</v>
      </c>
      <c r="O82" s="72">
        <f t="shared" si="21"/>
        <v>0</v>
      </c>
      <c r="P82" s="72">
        <f t="shared" si="21"/>
        <v>0</v>
      </c>
      <c r="Q82" s="72">
        <f t="shared" si="21"/>
        <v>0</v>
      </c>
      <c r="R82" s="72">
        <f t="shared" si="21"/>
        <v>0</v>
      </c>
      <c r="S82" s="72">
        <f t="shared" si="21"/>
        <v>0</v>
      </c>
      <c r="T82" s="72">
        <f t="shared" si="21"/>
        <v>0</v>
      </c>
      <c r="U82" s="72">
        <f t="shared" si="21"/>
        <v>0</v>
      </c>
      <c r="V82" s="72">
        <f t="shared" si="21"/>
        <v>0</v>
      </c>
      <c r="W82" s="72">
        <f t="shared" si="21"/>
        <v>0</v>
      </c>
      <c r="X82" s="72">
        <f t="shared" si="21"/>
        <v>0</v>
      </c>
      <c r="Y82" s="72">
        <f t="shared" si="21"/>
        <v>0</v>
      </c>
      <c r="Z82" s="73">
        <f>SUM(Z77:Z81)</f>
        <v>0</v>
      </c>
      <c r="AA82" s="72">
        <f t="shared" si="21"/>
        <v>0</v>
      </c>
      <c r="AB82" s="72">
        <f t="shared" si="21"/>
        <v>0</v>
      </c>
      <c r="AC82" s="72">
        <f t="shared" si="21"/>
        <v>0</v>
      </c>
      <c r="AD82" s="72">
        <f t="shared" si="21"/>
        <v>0</v>
      </c>
      <c r="AE82" s="72">
        <f t="shared" si="21"/>
        <v>0</v>
      </c>
      <c r="AF82" s="72">
        <f t="shared" si="21"/>
        <v>0</v>
      </c>
      <c r="AG82" s="78">
        <f t="shared" si="21"/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71" t="s">
        <v>88</v>
      </c>
      <c r="B83" s="72">
        <f t="shared" ref="B83:AG83" si="22">SUM(B70:B82)</f>
        <v>2245.6799999999998</v>
      </c>
      <c r="C83" s="72">
        <f t="shared" si="22"/>
        <v>1927.8799999999999</v>
      </c>
      <c r="D83" s="72">
        <f t="shared" si="22"/>
        <v>1991.48</v>
      </c>
      <c r="E83" s="72">
        <f t="shared" si="22"/>
        <v>1988.68</v>
      </c>
      <c r="F83" s="72">
        <f t="shared" si="22"/>
        <v>2010.6799999999998</v>
      </c>
      <c r="G83" s="72">
        <f t="shared" si="22"/>
        <v>2050.08</v>
      </c>
      <c r="H83" s="72">
        <f t="shared" si="22"/>
        <v>2218.2799999999997</v>
      </c>
      <c r="I83" s="72">
        <f t="shared" si="22"/>
        <v>2357.2799999999997</v>
      </c>
      <c r="J83" s="72">
        <f t="shared" si="22"/>
        <v>2514.88</v>
      </c>
      <c r="K83" s="72">
        <f t="shared" si="22"/>
        <v>2697.28</v>
      </c>
      <c r="L83" s="72">
        <f t="shared" si="22"/>
        <v>2733.48</v>
      </c>
      <c r="M83" s="72">
        <f t="shared" si="22"/>
        <v>2840.1000000000004</v>
      </c>
      <c r="N83" s="72">
        <f t="shared" si="22"/>
        <v>2717.68</v>
      </c>
      <c r="O83" s="72">
        <f t="shared" si="22"/>
        <v>2679.48</v>
      </c>
      <c r="P83" s="72">
        <f t="shared" si="22"/>
        <v>2599.48</v>
      </c>
      <c r="Q83" s="72">
        <f t="shared" si="22"/>
        <v>2594.2799999999997</v>
      </c>
      <c r="R83" s="72">
        <f t="shared" si="22"/>
        <v>2589.4800000000005</v>
      </c>
      <c r="S83" s="72">
        <f t="shared" si="22"/>
        <v>2670.68</v>
      </c>
      <c r="T83" s="72">
        <f t="shared" si="22"/>
        <v>2659.08</v>
      </c>
      <c r="U83" s="72">
        <f t="shared" si="22"/>
        <v>2717.6800000000003</v>
      </c>
      <c r="V83" s="72">
        <f t="shared" si="22"/>
        <v>2596.2800000000002</v>
      </c>
      <c r="W83" s="72">
        <f t="shared" si="22"/>
        <v>2612.2799999999997</v>
      </c>
      <c r="X83" s="72">
        <f t="shared" si="22"/>
        <v>2621.2800000000002</v>
      </c>
      <c r="Y83" s="72">
        <f t="shared" si="22"/>
        <v>2775.3</v>
      </c>
      <c r="Z83" s="73">
        <f t="shared" ref="Z83" si="23">Z68-Z82</f>
        <v>343.8</v>
      </c>
      <c r="AA83" s="72">
        <f t="shared" si="22"/>
        <v>3147.4800000000005</v>
      </c>
      <c r="AB83" s="72">
        <f t="shared" si="22"/>
        <v>2794.28</v>
      </c>
      <c r="AC83" s="72">
        <f t="shared" si="22"/>
        <v>2712.74</v>
      </c>
      <c r="AD83" s="72">
        <f t="shared" si="22"/>
        <v>2591.6800000000003</v>
      </c>
      <c r="AE83" s="72">
        <f t="shared" si="22"/>
        <v>2256.2799999999997</v>
      </c>
      <c r="AF83" s="72">
        <f t="shared" si="22"/>
        <v>2222.08</v>
      </c>
      <c r="AG83" s="78">
        <f t="shared" si="22"/>
        <v>4360.08</v>
      </c>
      <c r="AH83" s="54">
        <f t="shared" si="15"/>
        <v>3147.4800000000005</v>
      </c>
      <c r="AI83" s="55">
        <f t="shared" si="16"/>
        <v>343.8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>
        <v>50.02</v>
      </c>
      <c r="C84" s="95">
        <v>50.06</v>
      </c>
      <c r="D84" s="95">
        <v>49.98</v>
      </c>
      <c r="E84" s="96">
        <v>50.043999999999997</v>
      </c>
      <c r="F84" s="96">
        <v>50.082999999999998</v>
      </c>
      <c r="G84" s="96">
        <v>50.015000000000001</v>
      </c>
      <c r="H84" s="96">
        <v>50.006999999999998</v>
      </c>
      <c r="I84" s="96">
        <v>50.067</v>
      </c>
      <c r="J84" s="96">
        <v>49.938000000000002</v>
      </c>
      <c r="K84" s="96">
        <v>49.963000000000001</v>
      </c>
      <c r="L84" s="96">
        <v>49.978000000000002</v>
      </c>
      <c r="M84" s="96">
        <v>50.034999999999997</v>
      </c>
      <c r="N84" s="96">
        <v>50.011000000000003</v>
      </c>
      <c r="O84" s="96">
        <v>50.052999999999997</v>
      </c>
      <c r="P84" s="96"/>
      <c r="Q84" s="96">
        <v>50.02</v>
      </c>
      <c r="R84" s="96">
        <v>50.006999999999998</v>
      </c>
      <c r="S84" s="96">
        <v>49.84</v>
      </c>
      <c r="T84" s="96">
        <v>49.78</v>
      </c>
      <c r="U84" s="96">
        <v>50</v>
      </c>
      <c r="V84" s="96">
        <v>49.9</v>
      </c>
      <c r="W84" s="96">
        <v>49.9</v>
      </c>
      <c r="X84" s="96">
        <v>49.97</v>
      </c>
      <c r="Y84" s="96">
        <v>49.97</v>
      </c>
      <c r="Z84" s="73">
        <v>49.76</v>
      </c>
      <c r="AA84" s="96">
        <v>50.030999999999999</v>
      </c>
      <c r="AB84" s="96">
        <v>50.030999999999999</v>
      </c>
      <c r="AC84" s="96">
        <v>49.866999999999997</v>
      </c>
      <c r="AD84" s="96">
        <v>49.968000000000004</v>
      </c>
      <c r="AE84" s="96">
        <v>50.037999999999997</v>
      </c>
      <c r="AF84" s="96">
        <v>50.024000000000001</v>
      </c>
      <c r="AG84" s="97"/>
      <c r="AH84" s="54">
        <f t="shared" si="15"/>
        <v>50.082999999999998</v>
      </c>
      <c r="AI84" s="55">
        <f t="shared" si="16"/>
        <v>49.76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>
        <v>125.3</v>
      </c>
      <c r="C85" s="99">
        <v>127.6</v>
      </c>
      <c r="D85" s="99">
        <v>123.3</v>
      </c>
      <c r="E85" s="73">
        <v>123.1</v>
      </c>
      <c r="F85" s="73">
        <v>123.4</v>
      </c>
      <c r="G85" s="73">
        <v>122.2</v>
      </c>
      <c r="H85" s="73">
        <v>127.1</v>
      </c>
      <c r="I85" s="73">
        <v>126.5</v>
      </c>
      <c r="J85" s="73">
        <v>125.5</v>
      </c>
      <c r="K85" s="73">
        <v>123.9</v>
      </c>
      <c r="L85" s="73">
        <v>125.1</v>
      </c>
      <c r="M85" s="73">
        <v>123.7</v>
      </c>
      <c r="N85" s="73">
        <v>124.2</v>
      </c>
      <c r="O85" s="73">
        <v>121</v>
      </c>
      <c r="P85" s="73"/>
      <c r="Q85" s="73">
        <v>124.8</v>
      </c>
      <c r="R85" s="73">
        <v>121.3</v>
      </c>
      <c r="S85" s="73">
        <v>123.1</v>
      </c>
      <c r="T85" s="73">
        <v>124.4</v>
      </c>
      <c r="U85" s="100">
        <v>124</v>
      </c>
      <c r="V85" s="100">
        <v>128.30000000000001</v>
      </c>
      <c r="W85" s="100">
        <v>128.30000000000001</v>
      </c>
      <c r="X85" s="100">
        <v>127.7</v>
      </c>
      <c r="Y85" s="100">
        <v>127.7</v>
      </c>
      <c r="Z85" s="73">
        <v>123.7</v>
      </c>
      <c r="AA85" s="100">
        <v>127.7</v>
      </c>
      <c r="AB85" s="100">
        <v>127.7</v>
      </c>
      <c r="AC85" s="73">
        <v>128.69999999999999</v>
      </c>
      <c r="AD85" s="73">
        <v>128.69999999999999</v>
      </c>
      <c r="AE85" s="73">
        <v>127</v>
      </c>
      <c r="AF85" s="73">
        <v>129.5</v>
      </c>
      <c r="AG85" s="101"/>
      <c r="AH85" s="54">
        <f t="shared" si="15"/>
        <v>129.5</v>
      </c>
      <c r="AI85" s="55">
        <f t="shared" si="16"/>
        <v>121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>
        <v>129.6</v>
      </c>
      <c r="C86" s="99">
        <v>131.4</v>
      </c>
      <c r="D86" s="99">
        <v>128.5</v>
      </c>
      <c r="E86" s="73">
        <v>128.6</v>
      </c>
      <c r="F86" s="73">
        <v>128.80000000000001</v>
      </c>
      <c r="G86" s="73">
        <v>127.6</v>
      </c>
      <c r="H86" s="73">
        <v>130.9</v>
      </c>
      <c r="I86" s="73">
        <v>130.1</v>
      </c>
      <c r="J86" s="73">
        <v>128.6</v>
      </c>
      <c r="K86" s="73">
        <v>127.9</v>
      </c>
      <c r="L86" s="73">
        <v>127.8</v>
      </c>
      <c r="M86" s="73">
        <v>127</v>
      </c>
      <c r="N86" s="73">
        <v>127.3</v>
      </c>
      <c r="O86" s="73">
        <v>125.4</v>
      </c>
      <c r="P86" s="73"/>
      <c r="Q86" s="73">
        <v>128</v>
      </c>
      <c r="R86" s="73">
        <v>125.3</v>
      </c>
      <c r="S86" s="73">
        <v>127.5</v>
      </c>
      <c r="T86" s="73">
        <v>128.5</v>
      </c>
      <c r="U86" s="100">
        <v>128</v>
      </c>
      <c r="V86" s="100">
        <v>131.4</v>
      </c>
      <c r="W86" s="100">
        <v>131.4</v>
      </c>
      <c r="X86" s="100">
        <v>130.80000000000001</v>
      </c>
      <c r="Y86" s="100">
        <v>130.80000000000001</v>
      </c>
      <c r="Z86" s="73">
        <v>126.5</v>
      </c>
      <c r="AA86" s="100">
        <v>1</v>
      </c>
      <c r="AB86" s="73">
        <v>130.4</v>
      </c>
      <c r="AC86" s="73">
        <v>131.30000000000001</v>
      </c>
      <c r="AD86" s="73">
        <v>131.19999999999999</v>
      </c>
      <c r="AE86" s="73">
        <v>131</v>
      </c>
      <c r="AF86" s="73">
        <v>132.69999999999999</v>
      </c>
      <c r="AG86" s="101"/>
      <c r="AH86" s="54">
        <f t="shared" si="15"/>
        <v>132.69999999999999</v>
      </c>
      <c r="AI86" s="55">
        <f t="shared" si="16"/>
        <v>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>
        <v>130.30000000000001</v>
      </c>
      <c r="C87" s="99">
        <v>129.5</v>
      </c>
      <c r="D87" s="99">
        <v>130.19999999999999</v>
      </c>
      <c r="E87" s="73">
        <v>129.30000000000001</v>
      </c>
      <c r="F87" s="73">
        <v>130.1</v>
      </c>
      <c r="G87" s="73">
        <v>128</v>
      </c>
      <c r="H87" s="73">
        <v>132.80000000000001</v>
      </c>
      <c r="I87" s="73">
        <v>130</v>
      </c>
      <c r="J87" s="73">
        <v>128.19999999999999</v>
      </c>
      <c r="K87" s="73">
        <v>127.6</v>
      </c>
      <c r="L87" s="73">
        <v>127.7</v>
      </c>
      <c r="M87" s="73">
        <v>127.4</v>
      </c>
      <c r="N87" s="73">
        <v>128.6</v>
      </c>
      <c r="O87" s="73">
        <v>125.1</v>
      </c>
      <c r="P87" s="73"/>
      <c r="Q87" s="73">
        <v>128.1</v>
      </c>
      <c r="R87" s="73">
        <v>128</v>
      </c>
      <c r="S87" s="73">
        <v>125.6</v>
      </c>
      <c r="T87" s="73">
        <v>130.69999999999999</v>
      </c>
      <c r="U87" s="73">
        <v>129</v>
      </c>
      <c r="V87" s="73">
        <v>129.4</v>
      </c>
      <c r="W87" s="73">
        <v>129.4</v>
      </c>
      <c r="X87" s="73">
        <v>127.4</v>
      </c>
      <c r="Y87" s="73">
        <v>127.4</v>
      </c>
      <c r="Z87" s="73">
        <v>127.3</v>
      </c>
      <c r="AA87" s="73">
        <v>127.3</v>
      </c>
      <c r="AB87" s="73">
        <v>130</v>
      </c>
      <c r="AC87" s="73">
        <v>130.1</v>
      </c>
      <c r="AD87" s="73">
        <v>130.19999999999999</v>
      </c>
      <c r="AE87" s="73">
        <v>126.5</v>
      </c>
      <c r="AF87" s="73">
        <v>129</v>
      </c>
      <c r="AG87" s="101"/>
      <c r="AH87" s="54">
        <f t="shared" si="15"/>
        <v>132.80000000000001</v>
      </c>
      <c r="AI87" s="55">
        <f t="shared" si="16"/>
        <v>125.1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>
        <v>131.4</v>
      </c>
      <c r="C88" s="99">
        <v>131.4</v>
      </c>
      <c r="D88" s="99">
        <v>132.1</v>
      </c>
      <c r="E88" s="73">
        <v>131.5</v>
      </c>
      <c r="F88" s="73">
        <v>132.30000000000001</v>
      </c>
      <c r="G88" s="73">
        <v>130.19999999999999</v>
      </c>
      <c r="H88" s="73">
        <v>133.69999999999999</v>
      </c>
      <c r="I88" s="73">
        <v>130.5</v>
      </c>
      <c r="J88" s="73">
        <v>127.8</v>
      </c>
      <c r="K88" s="73">
        <v>130</v>
      </c>
      <c r="L88" s="73">
        <v>129.19999999999999</v>
      </c>
      <c r="M88" s="73">
        <v>128.19999999999999</v>
      </c>
      <c r="N88" s="73">
        <v>129.80000000000001</v>
      </c>
      <c r="O88" s="73">
        <v>125.9</v>
      </c>
      <c r="P88" s="73"/>
      <c r="Q88" s="73">
        <v>130</v>
      </c>
      <c r="R88" s="73">
        <v>129.4</v>
      </c>
      <c r="S88" s="73">
        <v>127.1</v>
      </c>
      <c r="T88" s="73">
        <v>127.1</v>
      </c>
      <c r="U88" s="73">
        <v>130</v>
      </c>
      <c r="V88" s="73">
        <v>130.30000000000001</v>
      </c>
      <c r="W88" s="73">
        <v>130.30000000000001</v>
      </c>
      <c r="X88" s="73">
        <v>128.5</v>
      </c>
      <c r="Y88" s="73">
        <v>128.5</v>
      </c>
      <c r="Z88" s="73">
        <v>128.80000000000001</v>
      </c>
      <c r="AA88" s="73">
        <v>128.80000000000001</v>
      </c>
      <c r="AB88" s="73">
        <v>133.1</v>
      </c>
      <c r="AC88" s="73">
        <v>133.30000000000001</v>
      </c>
      <c r="AD88" s="73">
        <v>132.6</v>
      </c>
      <c r="AE88" s="73">
        <v>128.5</v>
      </c>
      <c r="AF88" s="73">
        <v>131.1</v>
      </c>
      <c r="AG88" s="101"/>
      <c r="AH88" s="54">
        <f t="shared" si="15"/>
        <v>133.69999999999999</v>
      </c>
      <c r="AI88" s="55">
        <f t="shared" si="16"/>
        <v>125.9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>
        <v>121.6</v>
      </c>
      <c r="C89" s="103">
        <v>129.5</v>
      </c>
      <c r="D89" s="103">
        <v>127.8</v>
      </c>
      <c r="E89" s="104">
        <v>128.4</v>
      </c>
      <c r="F89" s="104">
        <v>130.69999999999999</v>
      </c>
      <c r="G89" s="104">
        <v>131.6</v>
      </c>
      <c r="H89" s="104">
        <v>133.9</v>
      </c>
      <c r="I89" s="104">
        <v>134.6</v>
      </c>
      <c r="J89" s="104">
        <v>134.9</v>
      </c>
      <c r="K89" s="104">
        <v>132.4</v>
      </c>
      <c r="L89" s="104">
        <v>132.19999999999999</v>
      </c>
      <c r="M89" s="104">
        <v>134.30000000000001</v>
      </c>
      <c r="N89" s="104">
        <v>133.4</v>
      </c>
      <c r="O89" s="104">
        <v>131.4</v>
      </c>
      <c r="P89" s="104"/>
      <c r="Q89" s="104">
        <v>132</v>
      </c>
      <c r="R89" s="104">
        <v>129.19999999999999</v>
      </c>
      <c r="S89" s="104">
        <v>130.6</v>
      </c>
      <c r="T89" s="104">
        <v>97.1</v>
      </c>
      <c r="U89" s="104">
        <v>130</v>
      </c>
      <c r="V89" s="104">
        <v>135</v>
      </c>
      <c r="W89" s="104">
        <v>135</v>
      </c>
      <c r="X89" s="104">
        <v>130.19999999999999</v>
      </c>
      <c r="Y89" s="104">
        <v>130.19999999999999</v>
      </c>
      <c r="Z89" s="73">
        <v>132.19999999999999</v>
      </c>
      <c r="AA89" s="73">
        <v>132.19999999999999</v>
      </c>
      <c r="AB89" s="104">
        <v>134.69999999999999</v>
      </c>
      <c r="AC89" s="104">
        <v>136.1</v>
      </c>
      <c r="AD89" s="104">
        <v>134.30000000000001</v>
      </c>
      <c r="AE89" s="104">
        <v>133.30000000000001</v>
      </c>
      <c r="AF89" s="104">
        <v>131.5</v>
      </c>
      <c r="AG89" s="105"/>
      <c r="AH89" s="54">
        <f t="shared" si="15"/>
        <v>136.1</v>
      </c>
      <c r="AI89" s="55">
        <f t="shared" si="16"/>
        <v>97.1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>
        <v>132.80000000000001</v>
      </c>
      <c r="C90" s="99">
        <v>134.1</v>
      </c>
      <c r="D90" s="99">
        <v>132.30000000000001</v>
      </c>
      <c r="E90" s="73">
        <v>132.9</v>
      </c>
      <c r="F90" s="73">
        <v>134.9</v>
      </c>
      <c r="G90" s="73">
        <v>134.69999999999999</v>
      </c>
      <c r="H90" s="73">
        <v>135.19999999999999</v>
      </c>
      <c r="I90" s="73">
        <v>132</v>
      </c>
      <c r="J90" s="73">
        <v>133.69999999999999</v>
      </c>
      <c r="K90" s="73">
        <v>133.69999999999999</v>
      </c>
      <c r="L90" s="73">
        <v>128.30000000000001</v>
      </c>
      <c r="M90" s="73">
        <v>130</v>
      </c>
      <c r="N90" s="73">
        <v>133.6</v>
      </c>
      <c r="O90" s="73">
        <v>131.5</v>
      </c>
      <c r="P90" s="73"/>
      <c r="Q90" s="73">
        <v>132.19999999999999</v>
      </c>
      <c r="R90" s="73">
        <v>133.4</v>
      </c>
      <c r="S90" s="73">
        <v>129</v>
      </c>
      <c r="T90" s="73">
        <v>134.80000000000001</v>
      </c>
      <c r="U90" s="73">
        <v>136</v>
      </c>
      <c r="V90" s="73">
        <v>132.1</v>
      </c>
      <c r="W90" s="73">
        <v>132.1</v>
      </c>
      <c r="X90" s="73">
        <v>133.69999999999999</v>
      </c>
      <c r="Y90" s="73">
        <v>133.69999999999999</v>
      </c>
      <c r="Z90" s="73">
        <v>136.19999999999999</v>
      </c>
      <c r="AA90" s="73">
        <v>136.19999999999999</v>
      </c>
      <c r="AB90" s="73">
        <v>127.4</v>
      </c>
      <c r="AC90" s="73">
        <v>138.30000000000001</v>
      </c>
      <c r="AD90" s="73">
        <v>139.80000000000001</v>
      </c>
      <c r="AE90" s="73">
        <v>133.5</v>
      </c>
      <c r="AF90" s="73">
        <v>132.30000000000001</v>
      </c>
      <c r="AG90" s="101"/>
      <c r="AH90" s="54">
        <f t="shared" si="15"/>
        <v>139.80000000000001</v>
      </c>
      <c r="AI90" s="55">
        <f t="shared" si="16"/>
        <v>127.4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>
        <v>65.099999999999994</v>
      </c>
      <c r="C91" s="106">
        <v>66.400000000000006</v>
      </c>
      <c r="D91" s="106">
        <v>65.099999999999994</v>
      </c>
      <c r="E91" s="107">
        <v>65.099999999999994</v>
      </c>
      <c r="F91" s="107">
        <v>65.099999999999994</v>
      </c>
      <c r="G91" s="107">
        <v>64.8</v>
      </c>
      <c r="H91" s="107">
        <v>66.400000000000006</v>
      </c>
      <c r="I91" s="107">
        <v>65.900000000000006</v>
      </c>
      <c r="J91" s="107">
        <v>64.8</v>
      </c>
      <c r="K91" s="107">
        <v>64.599999999999994</v>
      </c>
      <c r="L91" s="107">
        <v>64.400000000000006</v>
      </c>
      <c r="M91" s="107">
        <v>64.3</v>
      </c>
      <c r="N91" s="107">
        <v>64.599999999999994</v>
      </c>
      <c r="O91" s="107">
        <v>64.2</v>
      </c>
      <c r="P91" s="107"/>
      <c r="Q91" s="107">
        <v>64.900000000000006</v>
      </c>
      <c r="R91" s="107">
        <v>63.8</v>
      </c>
      <c r="S91" s="107">
        <v>64.7</v>
      </c>
      <c r="T91" s="107">
        <v>64.900000000000006</v>
      </c>
      <c r="U91" s="107">
        <v>65.3</v>
      </c>
      <c r="V91" s="107">
        <v>66.599999999999994</v>
      </c>
      <c r="W91" s="107">
        <v>66.599999999999994</v>
      </c>
      <c r="X91" s="107">
        <v>66.2</v>
      </c>
      <c r="Y91" s="107">
        <v>66.2</v>
      </c>
      <c r="Z91" s="73">
        <v>64.099999999999994</v>
      </c>
      <c r="AA91" s="73">
        <v>64.099999999999994</v>
      </c>
      <c r="AB91" s="107">
        <v>66.099999999999994</v>
      </c>
      <c r="AC91" s="107">
        <v>66.8</v>
      </c>
      <c r="AD91" s="107">
        <v>66.3</v>
      </c>
      <c r="AE91" s="107">
        <v>66.599999999999994</v>
      </c>
      <c r="AF91" s="107">
        <v>66.900000000000006</v>
      </c>
      <c r="AG91" s="108"/>
      <c r="AH91" s="54">
        <f t="shared" si="15"/>
        <v>66.900000000000006</v>
      </c>
      <c r="AI91" s="55">
        <f t="shared" si="16"/>
        <v>63.8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6.5" thickBot="1" x14ac:dyDescent="0.3">
      <c r="A93" s="112" t="s">
        <v>97</v>
      </c>
      <c r="B93" s="114">
        <f t="shared" ref="B93:Y93" si="24">SUM(B15,B18,B21:B22,B42,B44:B45,B47,B49,B94:B97,B103,B109,B115,B124,B126,B138,B145,B148:B149,B156,B158,B160,B164:B166,B168:B170,B175,B181:B182,B184:B186,B194,B199)</f>
        <v>173.83999999999997</v>
      </c>
      <c r="C93" s="114">
        <f t="shared" si="24"/>
        <v>155.33999999999997</v>
      </c>
      <c r="D93" s="114">
        <f t="shared" si="24"/>
        <v>151.33999999999997</v>
      </c>
      <c r="E93" s="114">
        <f t="shared" si="24"/>
        <v>150.43999999999997</v>
      </c>
      <c r="F93" s="114">
        <f t="shared" si="24"/>
        <v>157.33999999999997</v>
      </c>
      <c r="G93" s="113">
        <f t="shared" si="24"/>
        <v>179.03999999999996</v>
      </c>
      <c r="H93" s="113">
        <f t="shared" si="24"/>
        <v>208.44</v>
      </c>
      <c r="I93" s="113">
        <f t="shared" si="24"/>
        <v>237.34</v>
      </c>
      <c r="J93" s="113">
        <f t="shared" si="24"/>
        <v>290.04000000000008</v>
      </c>
      <c r="K93" s="113">
        <f t="shared" si="24"/>
        <v>321.24</v>
      </c>
      <c r="L93" s="113">
        <f t="shared" si="24"/>
        <v>339.54</v>
      </c>
      <c r="M93" s="113">
        <f t="shared" si="24"/>
        <v>339.14000000000004</v>
      </c>
      <c r="N93" s="113">
        <f t="shared" si="24"/>
        <v>320.84000000000003</v>
      </c>
      <c r="O93" s="113">
        <f t="shared" si="24"/>
        <v>306.24000000000007</v>
      </c>
      <c r="P93" s="113">
        <f t="shared" si="24"/>
        <v>297.44000000000005</v>
      </c>
      <c r="Q93" s="113">
        <f t="shared" si="24"/>
        <v>297.94000000000005</v>
      </c>
      <c r="R93" s="113">
        <f t="shared" si="24"/>
        <v>285.04000000000002</v>
      </c>
      <c r="S93" s="113">
        <f t="shared" si="24"/>
        <v>284.84000000000003</v>
      </c>
      <c r="T93" s="113">
        <f t="shared" si="24"/>
        <v>287.64000000000004</v>
      </c>
      <c r="U93" s="113">
        <f t="shared" si="24"/>
        <v>304.54000000000002</v>
      </c>
      <c r="V93" s="113">
        <f t="shared" si="24"/>
        <v>319.04000000000002</v>
      </c>
      <c r="W93" s="113">
        <f t="shared" si="24"/>
        <v>299.34000000000003</v>
      </c>
      <c r="X93" s="113">
        <f t="shared" si="24"/>
        <v>308.74</v>
      </c>
      <c r="Y93" s="113">
        <f t="shared" si="24"/>
        <v>309.74</v>
      </c>
      <c r="Z93" s="178">
        <f t="shared" ref="Z93" si="25">SUM(Z137,Z94:Z97,Z12,Z16,Z22,Z28,Z29,Z42,Z44:Z45,Z47,Z49)</f>
        <v>349.84000000000003</v>
      </c>
      <c r="AA93" s="113">
        <f t="shared" ref="AA93:AF93" si="26">SUM(AA15,AA18,AA21:AA22,AA42,AA44:AA45,AA47,AA49,AA94:AA97,AA103,AA109,AA115,AA124,AA126,AA138,AA145,AA148:AA149,AA156,AA158,AA160,AA164:AA166,AA168:AA170,AA175,AA181:AA182,AA184:AA186,AA194,AA199)</f>
        <v>381.54</v>
      </c>
      <c r="AB93" s="113">
        <f t="shared" si="26"/>
        <v>332.34000000000003</v>
      </c>
      <c r="AC93" s="113">
        <f t="shared" si="26"/>
        <v>310.74000000000007</v>
      </c>
      <c r="AD93" s="113">
        <f t="shared" si="26"/>
        <v>282.84000000000003</v>
      </c>
      <c r="AE93" s="113">
        <f t="shared" si="26"/>
        <v>218.63999999999996</v>
      </c>
      <c r="AF93" s="113">
        <f t="shared" si="26"/>
        <v>185.23999999999998</v>
      </c>
      <c r="AG93" s="115"/>
      <c r="AH93" s="54">
        <f>MAX(C93:AF93)</f>
        <v>381.54</v>
      </c>
      <c r="AI93" s="55">
        <f>MIN(C93:AF93)</f>
        <v>150.43999999999997</v>
      </c>
    </row>
    <row r="94" spans="1:88" x14ac:dyDescent="0.25">
      <c r="A94" s="116" t="s">
        <v>98</v>
      </c>
      <c r="B94" s="117">
        <v>-46.4</v>
      </c>
      <c r="C94" s="117">
        <v>-16.399999999999999</v>
      </c>
      <c r="D94" s="58">
        <v>-16.5</v>
      </c>
      <c r="E94" s="58">
        <v>-21.6</v>
      </c>
      <c r="F94" s="58">
        <v>-9.8000000000000007</v>
      </c>
      <c r="G94" s="118">
        <v>-4.5</v>
      </c>
      <c r="H94" s="118">
        <v>15.8</v>
      </c>
      <c r="I94" s="118">
        <v>17.399999999999999</v>
      </c>
      <c r="J94" s="118">
        <v>25</v>
      </c>
      <c r="K94" s="118">
        <v>12.9</v>
      </c>
      <c r="L94" s="118">
        <v>14.7</v>
      </c>
      <c r="M94" s="119">
        <v>17.5</v>
      </c>
      <c r="N94" s="118">
        <v>52.2</v>
      </c>
      <c r="O94" s="118">
        <v>29.4</v>
      </c>
      <c r="P94" s="118">
        <v>32</v>
      </c>
      <c r="Q94" s="118">
        <v>8.1</v>
      </c>
      <c r="R94" s="118">
        <v>1.1000000000000001</v>
      </c>
      <c r="S94" s="118">
        <v>6.2</v>
      </c>
      <c r="T94" s="118">
        <v>4.4000000000000004</v>
      </c>
      <c r="U94" s="119">
        <v>10</v>
      </c>
      <c r="V94" s="119">
        <v>25</v>
      </c>
      <c r="W94" s="119">
        <v>23.1</v>
      </c>
      <c r="X94" s="119">
        <v>15.1</v>
      </c>
      <c r="Y94" s="119">
        <v>16.100000000000001</v>
      </c>
      <c r="Z94" s="119">
        <v>19.3</v>
      </c>
      <c r="AA94" s="119">
        <v>20.3</v>
      </c>
      <c r="AB94" s="119">
        <v>39</v>
      </c>
      <c r="AC94" s="119">
        <v>24.3</v>
      </c>
      <c r="AD94" s="119">
        <v>27</v>
      </c>
      <c r="AE94" s="119">
        <v>5.2</v>
      </c>
      <c r="AF94" s="119">
        <v>-3.9</v>
      </c>
      <c r="AG94" s="120">
        <v>75</v>
      </c>
      <c r="AH94" s="54">
        <f t="shared" ref="AH94:AH100" si="27">IF(ABS(MAX(C94:AF94))&gt;ABS(MIN(C94:AF94)),MAX(C94:AF94),MIN(C94:AF94))</f>
        <v>52.2</v>
      </c>
      <c r="AI94" s="121">
        <f t="shared" ref="AI94:AI100" si="28">INDEX($C$9:$AF$9,1,MATCH(AH94,C94:AF94,0))</f>
        <v>0.375</v>
      </c>
    </row>
    <row r="95" spans="1:88" x14ac:dyDescent="0.25">
      <c r="A95" s="122" t="s">
        <v>99</v>
      </c>
      <c r="B95" s="123">
        <f>-13.6-15.3</f>
        <v>-28.9</v>
      </c>
      <c r="C95" s="123">
        <f>-16.7-20.1</f>
        <v>-36.799999999999997</v>
      </c>
      <c r="D95" s="60">
        <f>-24.8-28.5</f>
        <v>-53.3</v>
      </c>
      <c r="E95" s="60">
        <v>-53</v>
      </c>
      <c r="F95" s="60">
        <v>-53</v>
      </c>
      <c r="G95" s="60">
        <v>-44</v>
      </c>
      <c r="H95" s="60">
        <v>-26</v>
      </c>
      <c r="I95" s="60">
        <v>-18</v>
      </c>
      <c r="J95" s="60">
        <v>3</v>
      </c>
      <c r="K95" s="60">
        <v>25</v>
      </c>
      <c r="L95" s="60">
        <v>23</v>
      </c>
      <c r="M95" s="60">
        <v>23</v>
      </c>
      <c r="N95" s="60">
        <v>10.4</v>
      </c>
      <c r="O95" s="60">
        <v>-4.3</v>
      </c>
      <c r="P95" s="60">
        <v>-5</v>
      </c>
      <c r="Q95" s="60">
        <v>9.8000000000000007</v>
      </c>
      <c r="R95" s="60">
        <v>7.3</v>
      </c>
      <c r="S95" s="60">
        <f>10.7+7</f>
        <v>17.7</v>
      </c>
      <c r="T95" s="60">
        <f>11.2+8</f>
        <v>19.2</v>
      </c>
      <c r="U95" s="60">
        <v>22</v>
      </c>
      <c r="V95" s="60">
        <f>3.3+4.5</f>
        <v>7.8</v>
      </c>
      <c r="W95" s="60">
        <f>5.7-1.1</f>
        <v>4.5999999999999996</v>
      </c>
      <c r="X95" s="60">
        <f>6.7+1.1</f>
        <v>7.8000000000000007</v>
      </c>
      <c r="Y95" s="60">
        <f>6.7+1.1</f>
        <v>7.8000000000000007</v>
      </c>
      <c r="Z95" s="60">
        <f>35+29.5</f>
        <v>64.5</v>
      </c>
      <c r="AA95" s="60">
        <f>35+29.5</f>
        <v>64.5</v>
      </c>
      <c r="AB95" s="73">
        <v>24</v>
      </c>
      <c r="AC95" s="73">
        <v>30.1</v>
      </c>
      <c r="AD95" s="73">
        <v>14.8</v>
      </c>
      <c r="AE95" s="73">
        <v>-34</v>
      </c>
      <c r="AF95" s="73">
        <v>-37.5</v>
      </c>
      <c r="AG95" s="120">
        <v>240</v>
      </c>
      <c r="AH95" s="54">
        <f t="shared" si="27"/>
        <v>64.5</v>
      </c>
      <c r="AI95" s="121">
        <f t="shared" si="28"/>
        <v>0.79166666666666663</v>
      </c>
    </row>
    <row r="96" spans="1:88" x14ac:dyDescent="0.25">
      <c r="A96" s="122" t="s">
        <v>100</v>
      </c>
      <c r="B96" s="123">
        <v>7.5</v>
      </c>
      <c r="C96" s="123">
        <v>-14.4</v>
      </c>
      <c r="D96" s="60">
        <v>-16.100000000000001</v>
      </c>
      <c r="E96" s="60">
        <v>-15</v>
      </c>
      <c r="F96" s="60">
        <v>-15.9</v>
      </c>
      <c r="G96" s="60">
        <v>-10.7</v>
      </c>
      <c r="H96" s="60">
        <v>-10.1</v>
      </c>
      <c r="I96" s="60">
        <v>-1.6</v>
      </c>
      <c r="J96" s="60">
        <v>10.9</v>
      </c>
      <c r="K96" s="60">
        <v>15.7</v>
      </c>
      <c r="L96" s="60">
        <v>24.7</v>
      </c>
      <c r="M96" s="60">
        <v>22.9</v>
      </c>
      <c r="N96" s="60">
        <v>17.399999999999999</v>
      </c>
      <c r="O96" s="60">
        <v>12.4</v>
      </c>
      <c r="P96" s="60">
        <v>12.9</v>
      </c>
      <c r="Q96" s="60">
        <v>5.9</v>
      </c>
      <c r="R96" s="60">
        <v>7.3</v>
      </c>
      <c r="S96" s="60">
        <v>4.5999999999999996</v>
      </c>
      <c r="T96" s="60">
        <v>6.6</v>
      </c>
      <c r="U96" s="60">
        <v>10</v>
      </c>
      <c r="V96" s="60">
        <v>23.7</v>
      </c>
      <c r="W96" s="60">
        <v>22.3</v>
      </c>
      <c r="X96" s="60">
        <v>23.2</v>
      </c>
      <c r="Y96" s="60">
        <v>23.2</v>
      </c>
      <c r="Z96" s="60">
        <v>45.1</v>
      </c>
      <c r="AA96" s="60">
        <v>45.1</v>
      </c>
      <c r="AB96" s="73">
        <v>35.6</v>
      </c>
      <c r="AC96" s="73">
        <v>34.9</v>
      </c>
      <c r="AD96" s="73">
        <v>33.700000000000003</v>
      </c>
      <c r="AE96" s="73">
        <v>21.3</v>
      </c>
      <c r="AF96" s="73">
        <v>19</v>
      </c>
      <c r="AG96" s="120">
        <v>60</v>
      </c>
      <c r="AH96" s="54">
        <f t="shared" si="27"/>
        <v>45.1</v>
      </c>
      <c r="AI96" s="121">
        <f t="shared" si="28"/>
        <v>0.79166666666666663</v>
      </c>
    </row>
    <row r="97" spans="1:37" x14ac:dyDescent="0.25">
      <c r="A97" s="124" t="s">
        <v>101</v>
      </c>
      <c r="B97" s="125">
        <v>83.4</v>
      </c>
      <c r="C97" s="125">
        <v>61.3</v>
      </c>
      <c r="D97" s="63">
        <v>75.599999999999994</v>
      </c>
      <c r="E97" s="63">
        <v>78.400000000000006</v>
      </c>
      <c r="F97" s="63">
        <v>74.400000000000006</v>
      </c>
      <c r="G97" s="63">
        <v>76.599999999999994</v>
      </c>
      <c r="H97" s="63">
        <v>65.099999999999994</v>
      </c>
      <c r="I97" s="63">
        <v>76.099999999999994</v>
      </c>
      <c r="J97" s="63">
        <v>87.7</v>
      </c>
      <c r="K97" s="63">
        <v>104.5</v>
      </c>
      <c r="L97" s="63">
        <v>114</v>
      </c>
      <c r="M97" s="63">
        <v>111.2</v>
      </c>
      <c r="N97" s="63">
        <v>78.5</v>
      </c>
      <c r="O97" s="63">
        <v>104.2</v>
      </c>
      <c r="P97" s="63">
        <v>93</v>
      </c>
      <c r="Q97" s="63">
        <v>105.6</v>
      </c>
      <c r="R97" s="63">
        <v>111.8</v>
      </c>
      <c r="S97" s="63">
        <v>98.8</v>
      </c>
      <c r="T97" s="63">
        <v>99.9</v>
      </c>
      <c r="U97" s="63">
        <v>105</v>
      </c>
      <c r="V97" s="63">
        <v>105</v>
      </c>
      <c r="W97" s="63">
        <v>91.8</v>
      </c>
      <c r="X97" s="63">
        <v>105.1</v>
      </c>
      <c r="Y97" s="63">
        <v>105.1</v>
      </c>
      <c r="Z97" s="63">
        <v>94.1</v>
      </c>
      <c r="AA97" s="63">
        <v>94.1</v>
      </c>
      <c r="AB97" s="126">
        <v>68.3</v>
      </c>
      <c r="AC97" s="126">
        <v>56</v>
      </c>
      <c r="AD97" s="126">
        <v>41.9</v>
      </c>
      <c r="AE97" s="126">
        <v>61.4</v>
      </c>
      <c r="AF97" s="126">
        <v>28.8</v>
      </c>
      <c r="AG97" s="127">
        <v>120</v>
      </c>
      <c r="AH97" s="54">
        <f t="shared" si="27"/>
        <v>114</v>
      </c>
      <c r="AI97" s="121">
        <f t="shared" si="28"/>
        <v>0.3125</v>
      </c>
    </row>
    <row r="98" spans="1:37" x14ac:dyDescent="0.25">
      <c r="A98" s="124" t="s">
        <v>102</v>
      </c>
      <c r="B98" s="125">
        <v>84.9</v>
      </c>
      <c r="C98" s="125">
        <v>63.4</v>
      </c>
      <c r="D98" s="63">
        <v>88.8</v>
      </c>
      <c r="E98" s="63">
        <v>91.9</v>
      </c>
      <c r="F98" s="63">
        <v>89.7</v>
      </c>
      <c r="G98" s="63">
        <v>88.8</v>
      </c>
      <c r="H98" s="63">
        <v>56.9</v>
      </c>
      <c r="I98" s="63">
        <v>58.9</v>
      </c>
      <c r="J98" s="63">
        <v>63.6</v>
      </c>
      <c r="K98" s="63">
        <v>93.2</v>
      </c>
      <c r="L98" s="63">
        <v>85.4</v>
      </c>
      <c r="M98" s="63">
        <v>81.2</v>
      </c>
      <c r="N98" s="63">
        <v>55.9</v>
      </c>
      <c r="O98" s="63">
        <v>95</v>
      </c>
      <c r="P98" s="63">
        <v>90</v>
      </c>
      <c r="Q98" s="63">
        <v>85.3</v>
      </c>
      <c r="R98" s="63">
        <v>88.7</v>
      </c>
      <c r="S98" s="63">
        <v>99</v>
      </c>
      <c r="T98" s="63">
        <v>98.3</v>
      </c>
      <c r="U98" s="63">
        <v>102</v>
      </c>
      <c r="V98" s="63">
        <v>40.9</v>
      </c>
      <c r="W98" s="63">
        <v>54.9</v>
      </c>
      <c r="X98" s="63">
        <v>63.8</v>
      </c>
      <c r="Y98" s="63">
        <v>63.8</v>
      </c>
      <c r="Z98" s="63">
        <v>108.9</v>
      </c>
      <c r="AA98" s="63">
        <v>108.9</v>
      </c>
      <c r="AB98" s="126">
        <v>57.3</v>
      </c>
      <c r="AC98" s="126">
        <v>67.3</v>
      </c>
      <c r="AD98" s="126">
        <v>49.9</v>
      </c>
      <c r="AE98" s="126">
        <v>70.2</v>
      </c>
      <c r="AF98" s="126">
        <v>25.6</v>
      </c>
      <c r="AG98" s="127"/>
      <c r="AH98" s="54">
        <f t="shared" si="27"/>
        <v>108.9</v>
      </c>
      <c r="AI98" s="121">
        <f t="shared" si="28"/>
        <v>0.79166666666666663</v>
      </c>
    </row>
    <row r="99" spans="1:37" x14ac:dyDescent="0.25">
      <c r="A99" s="124" t="s">
        <v>103</v>
      </c>
      <c r="B99" s="125">
        <v>98</v>
      </c>
      <c r="C99" s="125">
        <v>65.5</v>
      </c>
      <c r="D99" s="63">
        <v>54.6</v>
      </c>
      <c r="E99" s="63">
        <v>54</v>
      </c>
      <c r="F99" s="63">
        <v>43.6</v>
      </c>
      <c r="G99" s="63">
        <v>39.1</v>
      </c>
      <c r="H99" s="63">
        <v>20.7</v>
      </c>
      <c r="I99" s="63">
        <v>44.9</v>
      </c>
      <c r="J99" s="63">
        <v>35.6</v>
      </c>
      <c r="K99" s="63">
        <v>49.2</v>
      </c>
      <c r="L99" s="63">
        <v>50.9</v>
      </c>
      <c r="M99" s="63">
        <v>49.1</v>
      </c>
      <c r="N99" s="63">
        <v>24.5</v>
      </c>
      <c r="O99" s="63">
        <v>28.1</v>
      </c>
      <c r="P99" s="63">
        <v>32.1</v>
      </c>
      <c r="Q99" s="63">
        <v>45.2</v>
      </c>
      <c r="R99" s="63">
        <v>48.8</v>
      </c>
      <c r="S99" s="63">
        <v>48.9</v>
      </c>
      <c r="T99" s="63">
        <v>48.3</v>
      </c>
      <c r="U99" s="63">
        <v>63</v>
      </c>
      <c r="V99" s="63">
        <v>39.5</v>
      </c>
      <c r="W99" s="63">
        <v>39.5</v>
      </c>
      <c r="X99" s="63">
        <v>46.7</v>
      </c>
      <c r="Y99" s="63">
        <v>46.7</v>
      </c>
      <c r="Z99" s="63">
        <v>66.8</v>
      </c>
      <c r="AA99" s="63">
        <v>66.8</v>
      </c>
      <c r="AB99" s="126">
        <v>50.9</v>
      </c>
      <c r="AC99" s="126">
        <v>47.6</v>
      </c>
      <c r="AD99" s="126">
        <v>45.1</v>
      </c>
      <c r="AE99" s="126">
        <v>50.4</v>
      </c>
      <c r="AF99" s="126">
        <v>70.2</v>
      </c>
      <c r="AG99" s="128"/>
      <c r="AH99" s="54">
        <f t="shared" si="27"/>
        <v>70.2</v>
      </c>
      <c r="AI99" s="121">
        <f t="shared" si="28"/>
        <v>0.95833333333333304</v>
      </c>
    </row>
    <row r="100" spans="1:37" ht="15.75" thickBot="1" x14ac:dyDescent="0.3">
      <c r="A100" s="181" t="s">
        <v>222</v>
      </c>
      <c r="B100" s="104">
        <v>73.400000000000006</v>
      </c>
      <c r="C100" s="104">
        <v>75.7</v>
      </c>
      <c r="D100" s="60">
        <v>70.8</v>
      </c>
      <c r="E100" s="60">
        <v>75</v>
      </c>
      <c r="F100" s="60">
        <v>72.2</v>
      </c>
      <c r="G100" s="60">
        <v>77.8</v>
      </c>
      <c r="H100" s="60">
        <v>30.7</v>
      </c>
      <c r="I100" s="60">
        <v>32</v>
      </c>
      <c r="J100" s="60">
        <v>32.700000000000003</v>
      </c>
      <c r="K100" s="60">
        <v>32.299999999999997</v>
      </c>
      <c r="L100" s="60">
        <v>37</v>
      </c>
      <c r="M100" s="60">
        <v>41.8</v>
      </c>
      <c r="N100" s="60">
        <v>43.7</v>
      </c>
      <c r="O100" s="60">
        <v>60.5</v>
      </c>
      <c r="P100" s="60">
        <v>70</v>
      </c>
      <c r="Q100" s="60">
        <v>67.2</v>
      </c>
      <c r="R100" s="60">
        <v>69</v>
      </c>
      <c r="S100" s="60">
        <v>73.5</v>
      </c>
      <c r="T100" s="60">
        <v>75</v>
      </c>
      <c r="U100" s="60">
        <v>70</v>
      </c>
      <c r="V100" s="60">
        <v>55.7</v>
      </c>
      <c r="W100" s="60">
        <v>51.1</v>
      </c>
      <c r="X100" s="60">
        <v>53.4</v>
      </c>
      <c r="Y100" s="60">
        <v>53.4</v>
      </c>
      <c r="Z100" s="60">
        <v>64.3</v>
      </c>
      <c r="AA100" s="60">
        <v>64.3</v>
      </c>
      <c r="AB100" s="104">
        <v>61.8</v>
      </c>
      <c r="AC100" s="104">
        <v>61.3</v>
      </c>
      <c r="AD100" s="104">
        <v>60.5</v>
      </c>
      <c r="AE100" s="104">
        <v>91.3</v>
      </c>
      <c r="AF100" s="104">
        <v>52.4</v>
      </c>
      <c r="AG100" s="128"/>
      <c r="AH100" s="54">
        <f t="shared" si="27"/>
        <v>91.3</v>
      </c>
      <c r="AI100" s="121">
        <f t="shared" si="28"/>
        <v>0.91666666666666696</v>
      </c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29">AF102</f>
        <v>9.9</v>
      </c>
      <c r="C102" s="53">
        <v>9.9</v>
      </c>
      <c r="D102" s="134">
        <f t="shared" ref="D102:S107" si="30">C102</f>
        <v>9.9</v>
      </c>
      <c r="E102" s="134">
        <f t="shared" si="30"/>
        <v>9.9</v>
      </c>
      <c r="F102" s="134">
        <f t="shared" si="30"/>
        <v>9.9</v>
      </c>
      <c r="G102" s="134">
        <f t="shared" si="30"/>
        <v>9.9</v>
      </c>
      <c r="H102" s="134">
        <f t="shared" si="30"/>
        <v>9.9</v>
      </c>
      <c r="I102" s="134">
        <f t="shared" si="30"/>
        <v>9.9</v>
      </c>
      <c r="J102" s="134">
        <f t="shared" si="30"/>
        <v>9.9</v>
      </c>
      <c r="K102" s="134">
        <f t="shared" si="30"/>
        <v>9.9</v>
      </c>
      <c r="L102" s="134">
        <f t="shared" si="30"/>
        <v>9.9</v>
      </c>
      <c r="M102" s="134">
        <f t="shared" si="30"/>
        <v>9.9</v>
      </c>
      <c r="N102" s="134">
        <f t="shared" si="30"/>
        <v>9.9</v>
      </c>
      <c r="O102" s="134">
        <f t="shared" si="30"/>
        <v>9.9</v>
      </c>
      <c r="P102" s="134">
        <f t="shared" si="30"/>
        <v>9.9</v>
      </c>
      <c r="Q102" s="134">
        <f t="shared" si="30"/>
        <v>9.9</v>
      </c>
      <c r="R102" s="134">
        <f t="shared" si="30"/>
        <v>9.9</v>
      </c>
      <c r="S102" s="134">
        <f t="shared" si="30"/>
        <v>9.9</v>
      </c>
      <c r="T102" s="134">
        <f t="shared" ref="T102:AF107" si="31">S102</f>
        <v>9.9</v>
      </c>
      <c r="U102" s="134">
        <f t="shared" si="31"/>
        <v>9.9</v>
      </c>
      <c r="V102" s="134">
        <f t="shared" si="31"/>
        <v>9.9</v>
      </c>
      <c r="W102" s="134">
        <f t="shared" si="31"/>
        <v>9.9</v>
      </c>
      <c r="X102" s="134">
        <f t="shared" si="31"/>
        <v>9.9</v>
      </c>
      <c r="Y102" s="134">
        <f t="shared" si="31"/>
        <v>9.9</v>
      </c>
      <c r="Z102" s="134">
        <f t="shared" si="31"/>
        <v>9.9</v>
      </c>
      <c r="AA102" s="134">
        <f t="shared" si="31"/>
        <v>9.9</v>
      </c>
      <c r="AB102" s="134">
        <f t="shared" si="31"/>
        <v>9.9</v>
      </c>
      <c r="AC102" s="134">
        <f t="shared" si="31"/>
        <v>9.9</v>
      </c>
      <c r="AD102" s="134">
        <f t="shared" si="31"/>
        <v>9.9</v>
      </c>
      <c r="AE102" s="134">
        <f t="shared" si="31"/>
        <v>9.9</v>
      </c>
      <c r="AF102" s="134">
        <f t="shared" si="31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29"/>
        <v>9.6</v>
      </c>
      <c r="C103" s="137">
        <v>9.6</v>
      </c>
      <c r="D103" s="136">
        <f t="shared" si="30"/>
        <v>9.6</v>
      </c>
      <c r="E103" s="136">
        <f t="shared" si="30"/>
        <v>9.6</v>
      </c>
      <c r="F103" s="136">
        <f t="shared" si="30"/>
        <v>9.6</v>
      </c>
      <c r="G103" s="136">
        <f t="shared" si="30"/>
        <v>9.6</v>
      </c>
      <c r="H103" s="136">
        <f t="shared" si="30"/>
        <v>9.6</v>
      </c>
      <c r="I103" s="136">
        <f t="shared" si="30"/>
        <v>9.6</v>
      </c>
      <c r="J103" s="136">
        <f t="shared" si="30"/>
        <v>9.6</v>
      </c>
      <c r="K103" s="136">
        <f t="shared" si="30"/>
        <v>9.6</v>
      </c>
      <c r="L103" s="136">
        <f t="shared" si="30"/>
        <v>9.6</v>
      </c>
      <c r="M103" s="136">
        <f t="shared" si="30"/>
        <v>9.6</v>
      </c>
      <c r="N103" s="136">
        <f t="shared" si="30"/>
        <v>9.6</v>
      </c>
      <c r="O103" s="136">
        <f t="shared" si="30"/>
        <v>9.6</v>
      </c>
      <c r="P103" s="136">
        <f t="shared" si="30"/>
        <v>9.6</v>
      </c>
      <c r="Q103" s="136">
        <f t="shared" si="30"/>
        <v>9.6</v>
      </c>
      <c r="R103" s="136">
        <f t="shared" si="30"/>
        <v>9.6</v>
      </c>
      <c r="S103" s="136">
        <f t="shared" si="30"/>
        <v>9.6</v>
      </c>
      <c r="T103" s="136">
        <f t="shared" si="31"/>
        <v>9.6</v>
      </c>
      <c r="U103" s="136">
        <f t="shared" si="31"/>
        <v>9.6</v>
      </c>
      <c r="V103" s="136">
        <f t="shared" si="31"/>
        <v>9.6</v>
      </c>
      <c r="W103" s="136">
        <f t="shared" si="31"/>
        <v>9.6</v>
      </c>
      <c r="X103" s="136">
        <f t="shared" si="31"/>
        <v>9.6</v>
      </c>
      <c r="Y103" s="136">
        <f t="shared" si="31"/>
        <v>9.6</v>
      </c>
      <c r="Z103" s="136">
        <f t="shared" si="31"/>
        <v>9.6</v>
      </c>
      <c r="AA103" s="136">
        <f t="shared" si="31"/>
        <v>9.6</v>
      </c>
      <c r="AB103" s="136">
        <f t="shared" si="31"/>
        <v>9.6</v>
      </c>
      <c r="AC103" s="136">
        <f t="shared" si="31"/>
        <v>9.6</v>
      </c>
      <c r="AD103" s="136">
        <f t="shared" si="31"/>
        <v>9.6</v>
      </c>
      <c r="AE103" s="136">
        <f t="shared" si="31"/>
        <v>9.6</v>
      </c>
      <c r="AF103" s="136">
        <f t="shared" si="31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29"/>
        <v>9.98</v>
      </c>
      <c r="C104" s="137">
        <v>9.98</v>
      </c>
      <c r="D104" s="136">
        <f t="shared" si="30"/>
        <v>9.98</v>
      </c>
      <c r="E104" s="136">
        <f t="shared" si="30"/>
        <v>9.98</v>
      </c>
      <c r="F104" s="136">
        <f t="shared" si="30"/>
        <v>9.98</v>
      </c>
      <c r="G104" s="136">
        <f t="shared" si="30"/>
        <v>9.98</v>
      </c>
      <c r="H104" s="136">
        <f t="shared" si="30"/>
        <v>9.98</v>
      </c>
      <c r="I104" s="136">
        <f t="shared" si="30"/>
        <v>9.98</v>
      </c>
      <c r="J104" s="136">
        <f t="shared" si="30"/>
        <v>9.98</v>
      </c>
      <c r="K104" s="136">
        <f t="shared" si="30"/>
        <v>9.98</v>
      </c>
      <c r="L104" s="136">
        <f t="shared" si="30"/>
        <v>9.98</v>
      </c>
      <c r="M104" s="136">
        <f t="shared" si="30"/>
        <v>9.98</v>
      </c>
      <c r="N104" s="136">
        <f t="shared" si="30"/>
        <v>9.98</v>
      </c>
      <c r="O104" s="136">
        <f t="shared" si="30"/>
        <v>9.98</v>
      </c>
      <c r="P104" s="136">
        <f t="shared" si="30"/>
        <v>9.98</v>
      </c>
      <c r="Q104" s="136">
        <f t="shared" si="30"/>
        <v>9.98</v>
      </c>
      <c r="R104" s="136">
        <f t="shared" si="30"/>
        <v>9.98</v>
      </c>
      <c r="S104" s="136">
        <f t="shared" si="30"/>
        <v>9.98</v>
      </c>
      <c r="T104" s="136">
        <f t="shared" si="31"/>
        <v>9.98</v>
      </c>
      <c r="U104" s="136">
        <f t="shared" si="31"/>
        <v>9.98</v>
      </c>
      <c r="V104" s="136">
        <f t="shared" si="31"/>
        <v>9.98</v>
      </c>
      <c r="W104" s="136">
        <f t="shared" si="31"/>
        <v>9.98</v>
      </c>
      <c r="X104" s="136">
        <f t="shared" si="31"/>
        <v>9.98</v>
      </c>
      <c r="Y104" s="136">
        <f t="shared" si="31"/>
        <v>9.98</v>
      </c>
      <c r="Z104" s="136">
        <f t="shared" si="31"/>
        <v>9.98</v>
      </c>
      <c r="AA104" s="136">
        <f t="shared" si="31"/>
        <v>9.98</v>
      </c>
      <c r="AB104" s="136">
        <f t="shared" si="31"/>
        <v>9.98</v>
      </c>
      <c r="AC104" s="136">
        <f t="shared" si="31"/>
        <v>9.98</v>
      </c>
      <c r="AD104" s="136">
        <f t="shared" si="31"/>
        <v>9.98</v>
      </c>
      <c r="AE104" s="136">
        <f t="shared" si="31"/>
        <v>9.98</v>
      </c>
      <c r="AF104" s="136">
        <f t="shared" si="31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29"/>
        <v>9.1</v>
      </c>
      <c r="C105" s="137">
        <v>9.1</v>
      </c>
      <c r="D105" s="136">
        <f t="shared" si="30"/>
        <v>9.1</v>
      </c>
      <c r="E105" s="136">
        <f t="shared" si="30"/>
        <v>9.1</v>
      </c>
      <c r="F105" s="136">
        <f t="shared" si="30"/>
        <v>9.1</v>
      </c>
      <c r="G105" s="136">
        <f t="shared" si="30"/>
        <v>9.1</v>
      </c>
      <c r="H105" s="136">
        <f t="shared" si="30"/>
        <v>9.1</v>
      </c>
      <c r="I105" s="136">
        <f t="shared" si="30"/>
        <v>9.1</v>
      </c>
      <c r="J105" s="136">
        <f t="shared" si="30"/>
        <v>9.1</v>
      </c>
      <c r="K105" s="136">
        <f t="shared" si="30"/>
        <v>9.1</v>
      </c>
      <c r="L105" s="136">
        <f t="shared" si="30"/>
        <v>9.1</v>
      </c>
      <c r="M105" s="136">
        <f t="shared" si="30"/>
        <v>9.1</v>
      </c>
      <c r="N105" s="136">
        <f t="shared" si="30"/>
        <v>9.1</v>
      </c>
      <c r="O105" s="136">
        <f t="shared" si="30"/>
        <v>9.1</v>
      </c>
      <c r="P105" s="136">
        <f t="shared" si="30"/>
        <v>9.1</v>
      </c>
      <c r="Q105" s="136">
        <f t="shared" si="30"/>
        <v>9.1</v>
      </c>
      <c r="R105" s="136">
        <f t="shared" si="30"/>
        <v>9.1</v>
      </c>
      <c r="S105" s="136">
        <f t="shared" si="30"/>
        <v>9.1</v>
      </c>
      <c r="T105" s="136">
        <f t="shared" si="31"/>
        <v>9.1</v>
      </c>
      <c r="U105" s="136">
        <f t="shared" si="31"/>
        <v>9.1</v>
      </c>
      <c r="V105" s="136">
        <f t="shared" si="31"/>
        <v>9.1</v>
      </c>
      <c r="W105" s="136">
        <f t="shared" si="31"/>
        <v>9.1</v>
      </c>
      <c r="X105" s="136">
        <f t="shared" si="31"/>
        <v>9.1</v>
      </c>
      <c r="Y105" s="136">
        <f t="shared" si="31"/>
        <v>9.1</v>
      </c>
      <c r="Z105" s="136">
        <f t="shared" si="31"/>
        <v>9.1</v>
      </c>
      <c r="AA105" s="136">
        <f t="shared" si="31"/>
        <v>9.1</v>
      </c>
      <c r="AB105" s="136">
        <f t="shared" si="31"/>
        <v>9.1</v>
      </c>
      <c r="AC105" s="136">
        <f t="shared" si="31"/>
        <v>9.1</v>
      </c>
      <c r="AD105" s="136">
        <f t="shared" si="31"/>
        <v>9.1</v>
      </c>
      <c r="AE105" s="136">
        <f t="shared" si="31"/>
        <v>9.1</v>
      </c>
      <c r="AF105" s="136">
        <f t="shared" si="31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29"/>
        <v>9.18</v>
      </c>
      <c r="C106" s="137">
        <v>9.18</v>
      </c>
      <c r="D106" s="136">
        <f t="shared" si="30"/>
        <v>9.18</v>
      </c>
      <c r="E106" s="136">
        <f t="shared" si="30"/>
        <v>9.18</v>
      </c>
      <c r="F106" s="136">
        <f t="shared" si="30"/>
        <v>9.18</v>
      </c>
      <c r="G106" s="136">
        <f t="shared" si="30"/>
        <v>9.18</v>
      </c>
      <c r="H106" s="136">
        <f t="shared" si="30"/>
        <v>9.18</v>
      </c>
      <c r="I106" s="136">
        <f t="shared" si="30"/>
        <v>9.18</v>
      </c>
      <c r="J106" s="136">
        <f t="shared" si="30"/>
        <v>9.18</v>
      </c>
      <c r="K106" s="136">
        <f t="shared" si="30"/>
        <v>9.18</v>
      </c>
      <c r="L106" s="136">
        <f t="shared" si="30"/>
        <v>9.18</v>
      </c>
      <c r="M106" s="136">
        <f t="shared" si="30"/>
        <v>9.18</v>
      </c>
      <c r="N106" s="136">
        <f t="shared" si="30"/>
        <v>9.18</v>
      </c>
      <c r="O106" s="136">
        <f t="shared" si="30"/>
        <v>9.18</v>
      </c>
      <c r="P106" s="136">
        <f t="shared" si="30"/>
        <v>9.18</v>
      </c>
      <c r="Q106" s="136">
        <f t="shared" si="30"/>
        <v>9.18</v>
      </c>
      <c r="R106" s="136">
        <f t="shared" si="30"/>
        <v>9.18</v>
      </c>
      <c r="S106" s="136">
        <f t="shared" si="30"/>
        <v>9.18</v>
      </c>
      <c r="T106" s="136">
        <f t="shared" si="31"/>
        <v>9.18</v>
      </c>
      <c r="U106" s="136">
        <f t="shared" si="31"/>
        <v>9.18</v>
      </c>
      <c r="V106" s="136">
        <f t="shared" si="31"/>
        <v>9.18</v>
      </c>
      <c r="W106" s="136">
        <f t="shared" si="31"/>
        <v>9.18</v>
      </c>
      <c r="X106" s="136">
        <f t="shared" si="31"/>
        <v>9.18</v>
      </c>
      <c r="Y106" s="136">
        <f t="shared" si="31"/>
        <v>9.18</v>
      </c>
      <c r="Z106" s="136">
        <f t="shared" si="31"/>
        <v>9.18</v>
      </c>
      <c r="AA106" s="136">
        <f t="shared" si="31"/>
        <v>9.18</v>
      </c>
      <c r="AB106" s="136">
        <f t="shared" si="31"/>
        <v>9.18</v>
      </c>
      <c r="AC106" s="136">
        <f t="shared" si="31"/>
        <v>9.18</v>
      </c>
      <c r="AD106" s="136">
        <f t="shared" si="31"/>
        <v>9.18</v>
      </c>
      <c r="AE106" s="136">
        <f t="shared" si="31"/>
        <v>9.18</v>
      </c>
      <c r="AF106" s="136">
        <f t="shared" si="31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29"/>
        <v>7</v>
      </c>
      <c r="C107" s="137">
        <v>7</v>
      </c>
      <c r="D107" s="136">
        <f t="shared" si="30"/>
        <v>7</v>
      </c>
      <c r="E107" s="136">
        <f t="shared" si="30"/>
        <v>7</v>
      </c>
      <c r="F107" s="136">
        <f t="shared" si="30"/>
        <v>7</v>
      </c>
      <c r="G107" s="136">
        <f t="shared" si="30"/>
        <v>7</v>
      </c>
      <c r="H107" s="136">
        <f t="shared" si="30"/>
        <v>7</v>
      </c>
      <c r="I107" s="136">
        <f t="shared" si="30"/>
        <v>7</v>
      </c>
      <c r="J107" s="136">
        <f t="shared" si="30"/>
        <v>7</v>
      </c>
      <c r="K107" s="136">
        <f t="shared" si="30"/>
        <v>7</v>
      </c>
      <c r="L107" s="136">
        <f t="shared" si="30"/>
        <v>7</v>
      </c>
      <c r="M107" s="136">
        <f t="shared" si="30"/>
        <v>7</v>
      </c>
      <c r="N107" s="136">
        <f t="shared" si="30"/>
        <v>7</v>
      </c>
      <c r="O107" s="136">
        <f t="shared" si="30"/>
        <v>7</v>
      </c>
      <c r="P107" s="136">
        <f t="shared" si="30"/>
        <v>7</v>
      </c>
      <c r="Q107" s="136">
        <f t="shared" si="30"/>
        <v>7</v>
      </c>
      <c r="R107" s="136">
        <f t="shared" si="30"/>
        <v>7</v>
      </c>
      <c r="S107" s="136">
        <f t="shared" si="30"/>
        <v>7</v>
      </c>
      <c r="T107" s="136">
        <f t="shared" si="31"/>
        <v>7</v>
      </c>
      <c r="U107" s="136">
        <f t="shared" si="31"/>
        <v>7</v>
      </c>
      <c r="V107" s="136">
        <f t="shared" si="31"/>
        <v>7</v>
      </c>
      <c r="W107" s="136">
        <f t="shared" si="31"/>
        <v>7</v>
      </c>
      <c r="X107" s="136">
        <f t="shared" si="31"/>
        <v>7</v>
      </c>
      <c r="Y107" s="136">
        <f t="shared" si="31"/>
        <v>7</v>
      </c>
      <c r="Z107" s="136">
        <f t="shared" si="31"/>
        <v>7</v>
      </c>
      <c r="AA107" s="136">
        <f t="shared" si="31"/>
        <v>7</v>
      </c>
      <c r="AB107" s="136">
        <f t="shared" si="31"/>
        <v>7</v>
      </c>
      <c r="AC107" s="136">
        <f t="shared" si="31"/>
        <v>7</v>
      </c>
      <c r="AD107" s="136">
        <f t="shared" si="31"/>
        <v>7</v>
      </c>
      <c r="AE107" s="136">
        <f t="shared" si="31"/>
        <v>7</v>
      </c>
      <c r="AF107" s="136">
        <f t="shared" si="31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32">C109</f>
        <v>2.25</v>
      </c>
      <c r="E109" s="136">
        <f t="shared" si="32"/>
        <v>2.25</v>
      </c>
      <c r="F109" s="136">
        <f t="shared" si="32"/>
        <v>2.25</v>
      </c>
      <c r="G109" s="136">
        <f t="shared" si="32"/>
        <v>2.25</v>
      </c>
      <c r="H109" s="136">
        <f t="shared" si="32"/>
        <v>2.25</v>
      </c>
      <c r="I109" s="136">
        <f t="shared" si="32"/>
        <v>2.25</v>
      </c>
      <c r="J109" s="136">
        <f t="shared" si="32"/>
        <v>2.25</v>
      </c>
      <c r="K109" s="136">
        <f t="shared" si="32"/>
        <v>2.25</v>
      </c>
      <c r="L109" s="136">
        <f t="shared" si="32"/>
        <v>2.25</v>
      </c>
      <c r="M109" s="136">
        <f t="shared" si="32"/>
        <v>2.25</v>
      </c>
      <c r="N109" s="136">
        <f t="shared" si="32"/>
        <v>2.25</v>
      </c>
      <c r="O109" s="136">
        <f t="shared" si="32"/>
        <v>2.25</v>
      </c>
      <c r="P109" s="136">
        <f t="shared" si="32"/>
        <v>2.25</v>
      </c>
      <c r="Q109" s="136">
        <f t="shared" si="32"/>
        <v>2.25</v>
      </c>
      <c r="R109" s="136">
        <f t="shared" si="32"/>
        <v>2.25</v>
      </c>
      <c r="S109" s="136">
        <f t="shared" si="32"/>
        <v>2.25</v>
      </c>
      <c r="T109" s="136">
        <f t="shared" ref="T109:AF110" si="33">S109</f>
        <v>2.25</v>
      </c>
      <c r="U109" s="136">
        <f t="shared" si="33"/>
        <v>2.25</v>
      </c>
      <c r="V109" s="136">
        <f t="shared" si="33"/>
        <v>2.25</v>
      </c>
      <c r="W109" s="136">
        <f t="shared" si="33"/>
        <v>2.25</v>
      </c>
      <c r="X109" s="136">
        <f t="shared" si="33"/>
        <v>2.25</v>
      </c>
      <c r="Y109" s="136">
        <f t="shared" si="33"/>
        <v>2.25</v>
      </c>
      <c r="Z109" s="136">
        <f t="shared" si="33"/>
        <v>2.25</v>
      </c>
      <c r="AA109" s="136">
        <f t="shared" si="33"/>
        <v>2.25</v>
      </c>
      <c r="AB109" s="136">
        <f t="shared" si="33"/>
        <v>2.25</v>
      </c>
      <c r="AC109" s="136">
        <f t="shared" si="33"/>
        <v>2.25</v>
      </c>
      <c r="AD109" s="136">
        <f t="shared" si="33"/>
        <v>2.25</v>
      </c>
      <c r="AE109" s="136">
        <f t="shared" si="33"/>
        <v>2.25</v>
      </c>
      <c r="AF109" s="136">
        <f t="shared" si="33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32"/>
        <v>1.64</v>
      </c>
      <c r="E110" s="136">
        <f t="shared" si="32"/>
        <v>1.64</v>
      </c>
      <c r="F110" s="136">
        <f t="shared" si="32"/>
        <v>1.64</v>
      </c>
      <c r="G110" s="136">
        <f t="shared" si="32"/>
        <v>1.64</v>
      </c>
      <c r="H110" s="136">
        <f t="shared" si="32"/>
        <v>1.64</v>
      </c>
      <c r="I110" s="136">
        <f t="shared" si="32"/>
        <v>1.64</v>
      </c>
      <c r="J110" s="136">
        <f t="shared" si="32"/>
        <v>1.64</v>
      </c>
      <c r="K110" s="136">
        <f t="shared" si="32"/>
        <v>1.64</v>
      </c>
      <c r="L110" s="136">
        <f t="shared" si="32"/>
        <v>1.64</v>
      </c>
      <c r="M110" s="136">
        <f t="shared" si="32"/>
        <v>1.64</v>
      </c>
      <c r="N110" s="136">
        <f t="shared" si="32"/>
        <v>1.64</v>
      </c>
      <c r="O110" s="136">
        <f t="shared" si="32"/>
        <v>1.64</v>
      </c>
      <c r="P110" s="136">
        <f t="shared" si="32"/>
        <v>1.64</v>
      </c>
      <c r="Q110" s="136">
        <f t="shared" si="32"/>
        <v>1.64</v>
      </c>
      <c r="R110" s="136">
        <f t="shared" si="32"/>
        <v>1.64</v>
      </c>
      <c r="S110" s="136">
        <f t="shared" si="32"/>
        <v>1.64</v>
      </c>
      <c r="T110" s="136">
        <f t="shared" si="33"/>
        <v>1.64</v>
      </c>
      <c r="U110" s="136">
        <f t="shared" si="33"/>
        <v>1.64</v>
      </c>
      <c r="V110" s="136">
        <f t="shared" si="33"/>
        <v>1.64</v>
      </c>
      <c r="W110" s="136">
        <f t="shared" si="33"/>
        <v>1.64</v>
      </c>
      <c r="X110" s="136">
        <f t="shared" si="33"/>
        <v>1.64</v>
      </c>
      <c r="Y110" s="136">
        <f t="shared" si="33"/>
        <v>1.64</v>
      </c>
      <c r="Z110" s="136">
        <f t="shared" si="33"/>
        <v>1.64</v>
      </c>
      <c r="AA110" s="136">
        <f t="shared" si="33"/>
        <v>1.64</v>
      </c>
      <c r="AB110" s="136">
        <f t="shared" si="33"/>
        <v>1.64</v>
      </c>
      <c r="AC110" s="136">
        <f t="shared" si="33"/>
        <v>1.64</v>
      </c>
      <c r="AD110" s="136">
        <f t="shared" si="33"/>
        <v>1.64</v>
      </c>
      <c r="AE110" s="136">
        <f t="shared" si="33"/>
        <v>1.64</v>
      </c>
      <c r="AF110" s="136">
        <f t="shared" si="33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34">AF112</f>
        <v>1.62</v>
      </c>
      <c r="C112" s="137">
        <v>1.62</v>
      </c>
      <c r="D112" s="136">
        <f t="shared" ref="D112:S119" si="35">C112</f>
        <v>1.62</v>
      </c>
      <c r="E112" s="136">
        <f t="shared" si="35"/>
        <v>1.62</v>
      </c>
      <c r="F112" s="136">
        <f t="shared" si="35"/>
        <v>1.62</v>
      </c>
      <c r="G112" s="136">
        <f t="shared" si="35"/>
        <v>1.62</v>
      </c>
      <c r="H112" s="136">
        <f t="shared" si="35"/>
        <v>1.62</v>
      </c>
      <c r="I112" s="136">
        <f t="shared" si="35"/>
        <v>1.62</v>
      </c>
      <c r="J112" s="136">
        <f t="shared" si="35"/>
        <v>1.62</v>
      </c>
      <c r="K112" s="136">
        <f t="shared" si="35"/>
        <v>1.62</v>
      </c>
      <c r="L112" s="136">
        <f t="shared" si="35"/>
        <v>1.62</v>
      </c>
      <c r="M112" s="136">
        <f t="shared" si="35"/>
        <v>1.62</v>
      </c>
      <c r="N112" s="136">
        <f t="shared" si="35"/>
        <v>1.62</v>
      </c>
      <c r="O112" s="136">
        <f t="shared" si="35"/>
        <v>1.62</v>
      </c>
      <c r="P112" s="136">
        <f t="shared" si="35"/>
        <v>1.62</v>
      </c>
      <c r="Q112" s="136">
        <f t="shared" si="35"/>
        <v>1.62</v>
      </c>
      <c r="R112" s="136">
        <f t="shared" si="35"/>
        <v>1.62</v>
      </c>
      <c r="S112" s="136">
        <f t="shared" si="35"/>
        <v>1.62</v>
      </c>
      <c r="T112" s="136">
        <f t="shared" ref="T112:AF127" si="36">S112</f>
        <v>1.62</v>
      </c>
      <c r="U112" s="136">
        <f t="shared" si="36"/>
        <v>1.62</v>
      </c>
      <c r="V112" s="136">
        <f t="shared" si="36"/>
        <v>1.62</v>
      </c>
      <c r="W112" s="136">
        <f t="shared" si="36"/>
        <v>1.62</v>
      </c>
      <c r="X112" s="136">
        <f t="shared" si="36"/>
        <v>1.62</v>
      </c>
      <c r="Y112" s="136">
        <f t="shared" si="36"/>
        <v>1.62</v>
      </c>
      <c r="Z112" s="136">
        <f t="shared" si="36"/>
        <v>1.62</v>
      </c>
      <c r="AA112" s="136">
        <f t="shared" si="36"/>
        <v>1.62</v>
      </c>
      <c r="AB112" s="136">
        <f t="shared" si="36"/>
        <v>1.62</v>
      </c>
      <c r="AC112" s="136">
        <f t="shared" si="36"/>
        <v>1.62</v>
      </c>
      <c r="AD112" s="136">
        <f t="shared" si="36"/>
        <v>1.62</v>
      </c>
      <c r="AE112" s="136">
        <f t="shared" si="36"/>
        <v>1.62</v>
      </c>
      <c r="AF112" s="136">
        <f t="shared" si="36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34"/>
        <v>8.36</v>
      </c>
      <c r="C113" s="137">
        <v>8.36</v>
      </c>
      <c r="D113" s="136">
        <f t="shared" si="35"/>
        <v>8.36</v>
      </c>
      <c r="E113" s="136">
        <f t="shared" si="35"/>
        <v>8.36</v>
      </c>
      <c r="F113" s="136">
        <f t="shared" si="35"/>
        <v>8.36</v>
      </c>
      <c r="G113" s="136">
        <f t="shared" si="35"/>
        <v>8.36</v>
      </c>
      <c r="H113" s="136">
        <f t="shared" si="35"/>
        <v>8.36</v>
      </c>
      <c r="I113" s="136">
        <f t="shared" si="35"/>
        <v>8.36</v>
      </c>
      <c r="J113" s="136">
        <f t="shared" si="35"/>
        <v>8.36</v>
      </c>
      <c r="K113" s="136">
        <f t="shared" si="35"/>
        <v>8.36</v>
      </c>
      <c r="L113" s="136">
        <f t="shared" si="35"/>
        <v>8.36</v>
      </c>
      <c r="M113" s="136">
        <f t="shared" si="35"/>
        <v>8.36</v>
      </c>
      <c r="N113" s="136">
        <f t="shared" si="35"/>
        <v>8.36</v>
      </c>
      <c r="O113" s="136">
        <f t="shared" si="35"/>
        <v>8.36</v>
      </c>
      <c r="P113" s="136">
        <f t="shared" si="35"/>
        <v>8.36</v>
      </c>
      <c r="Q113" s="136">
        <f t="shared" si="35"/>
        <v>8.36</v>
      </c>
      <c r="R113" s="136">
        <f t="shared" si="35"/>
        <v>8.36</v>
      </c>
      <c r="S113" s="136">
        <f t="shared" si="35"/>
        <v>8.36</v>
      </c>
      <c r="T113" s="136">
        <f t="shared" si="36"/>
        <v>8.36</v>
      </c>
      <c r="U113" s="136">
        <f t="shared" si="36"/>
        <v>8.36</v>
      </c>
      <c r="V113" s="136">
        <f t="shared" si="36"/>
        <v>8.36</v>
      </c>
      <c r="W113" s="136">
        <f t="shared" si="36"/>
        <v>8.36</v>
      </c>
      <c r="X113" s="136">
        <f t="shared" si="36"/>
        <v>8.36</v>
      </c>
      <c r="Y113" s="136">
        <f t="shared" si="36"/>
        <v>8.36</v>
      </c>
      <c r="Z113" s="136">
        <f t="shared" si="36"/>
        <v>8.36</v>
      </c>
      <c r="AA113" s="136">
        <f t="shared" si="36"/>
        <v>8.36</v>
      </c>
      <c r="AB113" s="136">
        <f t="shared" si="36"/>
        <v>8.36</v>
      </c>
      <c r="AC113" s="136">
        <f t="shared" si="36"/>
        <v>8.36</v>
      </c>
      <c r="AD113" s="136">
        <f t="shared" si="36"/>
        <v>8.36</v>
      </c>
      <c r="AE113" s="136">
        <f t="shared" si="36"/>
        <v>8.36</v>
      </c>
      <c r="AF113" s="136">
        <f t="shared" si="36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34"/>
        <v>5.4</v>
      </c>
      <c r="C114" s="137">
        <v>8</v>
      </c>
      <c r="D114" s="136">
        <f t="shared" si="35"/>
        <v>8</v>
      </c>
      <c r="E114" s="136">
        <f t="shared" si="35"/>
        <v>8</v>
      </c>
      <c r="F114" s="136">
        <f t="shared" si="35"/>
        <v>8</v>
      </c>
      <c r="G114" s="136">
        <f t="shared" si="35"/>
        <v>8</v>
      </c>
      <c r="H114" s="136">
        <f t="shared" si="35"/>
        <v>8</v>
      </c>
      <c r="I114" s="136">
        <f t="shared" si="35"/>
        <v>8</v>
      </c>
      <c r="J114" s="136">
        <v>5.4</v>
      </c>
      <c r="K114" s="136">
        <f t="shared" si="35"/>
        <v>5.4</v>
      </c>
      <c r="L114" s="136">
        <f t="shared" si="35"/>
        <v>5.4</v>
      </c>
      <c r="M114" s="136">
        <f t="shared" si="35"/>
        <v>5.4</v>
      </c>
      <c r="N114" s="136">
        <f t="shared" si="35"/>
        <v>5.4</v>
      </c>
      <c r="O114" s="136">
        <f t="shared" si="35"/>
        <v>5.4</v>
      </c>
      <c r="P114" s="136">
        <f t="shared" si="35"/>
        <v>5.4</v>
      </c>
      <c r="Q114" s="136">
        <f t="shared" si="35"/>
        <v>5.4</v>
      </c>
      <c r="R114" s="136">
        <f t="shared" si="35"/>
        <v>5.4</v>
      </c>
      <c r="S114" s="136">
        <f t="shared" si="35"/>
        <v>5.4</v>
      </c>
      <c r="T114" s="136">
        <f t="shared" si="36"/>
        <v>5.4</v>
      </c>
      <c r="U114" s="136">
        <f t="shared" si="36"/>
        <v>5.4</v>
      </c>
      <c r="V114" s="136">
        <f t="shared" si="36"/>
        <v>5.4</v>
      </c>
      <c r="W114" s="136">
        <f t="shared" si="36"/>
        <v>5.4</v>
      </c>
      <c r="X114" s="136">
        <f t="shared" si="36"/>
        <v>5.4</v>
      </c>
      <c r="Y114" s="136">
        <f t="shared" si="36"/>
        <v>5.4</v>
      </c>
      <c r="Z114" s="136">
        <f t="shared" si="36"/>
        <v>5.4</v>
      </c>
      <c r="AA114" s="136">
        <f t="shared" si="36"/>
        <v>5.4</v>
      </c>
      <c r="AB114" s="136">
        <f t="shared" si="36"/>
        <v>5.4</v>
      </c>
      <c r="AC114" s="136">
        <f t="shared" si="36"/>
        <v>5.4</v>
      </c>
      <c r="AD114" s="136">
        <f t="shared" si="36"/>
        <v>5.4</v>
      </c>
      <c r="AE114" s="136">
        <f t="shared" si="36"/>
        <v>5.4</v>
      </c>
      <c r="AF114" s="136">
        <f t="shared" si="36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34"/>
        <v>6.57</v>
      </c>
      <c r="C115" s="137">
        <v>6.57</v>
      </c>
      <c r="D115" s="136">
        <f t="shared" si="35"/>
        <v>6.57</v>
      </c>
      <c r="E115" s="136">
        <f t="shared" si="35"/>
        <v>6.57</v>
      </c>
      <c r="F115" s="136">
        <f t="shared" si="35"/>
        <v>6.57</v>
      </c>
      <c r="G115" s="136">
        <f t="shared" si="35"/>
        <v>6.57</v>
      </c>
      <c r="H115" s="136">
        <f t="shared" si="35"/>
        <v>6.57</v>
      </c>
      <c r="I115" s="136">
        <f t="shared" si="35"/>
        <v>6.57</v>
      </c>
      <c r="J115" s="136">
        <f t="shared" si="35"/>
        <v>6.57</v>
      </c>
      <c r="K115" s="136">
        <f t="shared" si="35"/>
        <v>6.57</v>
      </c>
      <c r="L115" s="136">
        <f t="shared" si="35"/>
        <v>6.57</v>
      </c>
      <c r="M115" s="136">
        <f t="shared" si="35"/>
        <v>6.57</v>
      </c>
      <c r="N115" s="136">
        <f t="shared" si="35"/>
        <v>6.57</v>
      </c>
      <c r="O115" s="136">
        <f t="shared" si="35"/>
        <v>6.57</v>
      </c>
      <c r="P115" s="136">
        <f t="shared" si="35"/>
        <v>6.57</v>
      </c>
      <c r="Q115" s="136">
        <f t="shared" si="35"/>
        <v>6.57</v>
      </c>
      <c r="R115" s="136">
        <f t="shared" si="35"/>
        <v>6.57</v>
      </c>
      <c r="S115" s="136">
        <f t="shared" si="35"/>
        <v>6.57</v>
      </c>
      <c r="T115" s="136">
        <f t="shared" si="36"/>
        <v>6.57</v>
      </c>
      <c r="U115" s="136">
        <f t="shared" si="36"/>
        <v>6.57</v>
      </c>
      <c r="V115" s="136">
        <f t="shared" si="36"/>
        <v>6.57</v>
      </c>
      <c r="W115" s="136">
        <f t="shared" si="36"/>
        <v>6.57</v>
      </c>
      <c r="X115" s="136">
        <f t="shared" si="36"/>
        <v>6.57</v>
      </c>
      <c r="Y115" s="136">
        <f t="shared" si="36"/>
        <v>6.57</v>
      </c>
      <c r="Z115" s="136">
        <f t="shared" si="36"/>
        <v>6.57</v>
      </c>
      <c r="AA115" s="136">
        <f t="shared" si="36"/>
        <v>6.57</v>
      </c>
      <c r="AB115" s="136">
        <f t="shared" si="36"/>
        <v>6.57</v>
      </c>
      <c r="AC115" s="136">
        <f t="shared" si="36"/>
        <v>6.57</v>
      </c>
      <c r="AD115" s="136">
        <f t="shared" si="36"/>
        <v>6.57</v>
      </c>
      <c r="AE115" s="136">
        <f t="shared" si="36"/>
        <v>6.57</v>
      </c>
      <c r="AF115" s="136">
        <f t="shared" si="36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34"/>
        <v>3.43</v>
      </c>
      <c r="C116" s="137">
        <v>3.43</v>
      </c>
      <c r="D116" s="136">
        <f t="shared" si="35"/>
        <v>3.43</v>
      </c>
      <c r="E116" s="136">
        <f t="shared" si="35"/>
        <v>3.43</v>
      </c>
      <c r="F116" s="136">
        <f t="shared" si="35"/>
        <v>3.43</v>
      </c>
      <c r="G116" s="136">
        <f t="shared" si="35"/>
        <v>3.43</v>
      </c>
      <c r="H116" s="136">
        <f t="shared" si="35"/>
        <v>3.43</v>
      </c>
      <c r="I116" s="136">
        <f t="shared" si="35"/>
        <v>3.43</v>
      </c>
      <c r="J116" s="136">
        <f t="shared" si="35"/>
        <v>3.43</v>
      </c>
      <c r="K116" s="136">
        <f t="shared" si="35"/>
        <v>3.43</v>
      </c>
      <c r="L116" s="136">
        <f t="shared" si="35"/>
        <v>3.43</v>
      </c>
      <c r="M116" s="136">
        <f t="shared" si="35"/>
        <v>3.43</v>
      </c>
      <c r="N116" s="136">
        <f t="shared" si="35"/>
        <v>3.43</v>
      </c>
      <c r="O116" s="136">
        <f t="shared" si="35"/>
        <v>3.43</v>
      </c>
      <c r="P116" s="136">
        <f t="shared" si="35"/>
        <v>3.43</v>
      </c>
      <c r="Q116" s="136">
        <f t="shared" si="35"/>
        <v>3.43</v>
      </c>
      <c r="R116" s="136">
        <f t="shared" si="35"/>
        <v>3.43</v>
      </c>
      <c r="S116" s="136">
        <f t="shared" si="35"/>
        <v>3.43</v>
      </c>
      <c r="T116" s="136">
        <f t="shared" si="36"/>
        <v>3.43</v>
      </c>
      <c r="U116" s="136">
        <f t="shared" si="36"/>
        <v>3.43</v>
      </c>
      <c r="V116" s="136">
        <f t="shared" si="36"/>
        <v>3.43</v>
      </c>
      <c r="W116" s="136">
        <f t="shared" si="36"/>
        <v>3.43</v>
      </c>
      <c r="X116" s="136">
        <f t="shared" si="36"/>
        <v>3.43</v>
      </c>
      <c r="Y116" s="136">
        <f t="shared" si="36"/>
        <v>3.43</v>
      </c>
      <c r="Z116" s="136">
        <f t="shared" si="36"/>
        <v>3.43</v>
      </c>
      <c r="AA116" s="136">
        <f t="shared" si="36"/>
        <v>3.43</v>
      </c>
      <c r="AB116" s="136">
        <f t="shared" si="36"/>
        <v>3.43</v>
      </c>
      <c r="AC116" s="136">
        <f t="shared" si="36"/>
        <v>3.43</v>
      </c>
      <c r="AD116" s="136">
        <f t="shared" si="36"/>
        <v>3.43</v>
      </c>
      <c r="AE116" s="136">
        <f t="shared" si="36"/>
        <v>3.43</v>
      </c>
      <c r="AF116" s="136">
        <f t="shared" si="36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34"/>
        <v>2.96</v>
      </c>
      <c r="C117" s="137">
        <v>2.96</v>
      </c>
      <c r="D117" s="136">
        <f t="shared" si="35"/>
        <v>2.96</v>
      </c>
      <c r="E117" s="136">
        <f t="shared" si="35"/>
        <v>2.96</v>
      </c>
      <c r="F117" s="136">
        <f t="shared" si="35"/>
        <v>2.96</v>
      </c>
      <c r="G117" s="136">
        <f t="shared" si="35"/>
        <v>2.96</v>
      </c>
      <c r="H117" s="136">
        <f t="shared" si="35"/>
        <v>2.96</v>
      </c>
      <c r="I117" s="136">
        <f t="shared" si="35"/>
        <v>2.96</v>
      </c>
      <c r="J117" s="136">
        <f t="shared" si="35"/>
        <v>2.96</v>
      </c>
      <c r="K117" s="136">
        <f t="shared" si="35"/>
        <v>2.96</v>
      </c>
      <c r="L117" s="136">
        <f t="shared" si="35"/>
        <v>2.96</v>
      </c>
      <c r="M117" s="136">
        <f t="shared" si="35"/>
        <v>2.96</v>
      </c>
      <c r="N117" s="136">
        <f t="shared" si="35"/>
        <v>2.96</v>
      </c>
      <c r="O117" s="136">
        <f t="shared" si="35"/>
        <v>2.96</v>
      </c>
      <c r="P117" s="136">
        <f t="shared" si="35"/>
        <v>2.96</v>
      </c>
      <c r="Q117" s="136">
        <f t="shared" si="35"/>
        <v>2.96</v>
      </c>
      <c r="R117" s="136">
        <f t="shared" si="35"/>
        <v>2.96</v>
      </c>
      <c r="S117" s="136">
        <f t="shared" si="35"/>
        <v>2.96</v>
      </c>
      <c r="T117" s="136">
        <f t="shared" si="36"/>
        <v>2.96</v>
      </c>
      <c r="U117" s="136">
        <f t="shared" si="36"/>
        <v>2.96</v>
      </c>
      <c r="V117" s="136">
        <f t="shared" si="36"/>
        <v>2.96</v>
      </c>
      <c r="W117" s="136">
        <f t="shared" si="36"/>
        <v>2.96</v>
      </c>
      <c r="X117" s="136">
        <f t="shared" si="36"/>
        <v>2.96</v>
      </c>
      <c r="Y117" s="136">
        <f t="shared" si="36"/>
        <v>2.96</v>
      </c>
      <c r="Z117" s="136">
        <f t="shared" si="36"/>
        <v>2.96</v>
      </c>
      <c r="AA117" s="136">
        <f t="shared" si="36"/>
        <v>2.96</v>
      </c>
      <c r="AB117" s="136">
        <f t="shared" si="36"/>
        <v>2.96</v>
      </c>
      <c r="AC117" s="136">
        <f t="shared" si="36"/>
        <v>2.96</v>
      </c>
      <c r="AD117" s="136">
        <f t="shared" si="36"/>
        <v>2.96</v>
      </c>
      <c r="AE117" s="136">
        <f t="shared" si="36"/>
        <v>2.96</v>
      </c>
      <c r="AF117" s="136">
        <f t="shared" si="36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34"/>
        <v>8</v>
      </c>
      <c r="C118" s="137">
        <v>8</v>
      </c>
      <c r="D118" s="136">
        <f t="shared" si="35"/>
        <v>8</v>
      </c>
      <c r="E118" s="136">
        <f t="shared" si="35"/>
        <v>8</v>
      </c>
      <c r="F118" s="136">
        <f t="shared" si="35"/>
        <v>8</v>
      </c>
      <c r="G118" s="136">
        <f t="shared" si="35"/>
        <v>8</v>
      </c>
      <c r="H118" s="136">
        <f t="shared" si="35"/>
        <v>8</v>
      </c>
      <c r="I118" s="136">
        <f t="shared" si="35"/>
        <v>8</v>
      </c>
      <c r="J118" s="136">
        <f t="shared" si="35"/>
        <v>8</v>
      </c>
      <c r="K118" s="136">
        <f t="shared" si="35"/>
        <v>8</v>
      </c>
      <c r="L118" s="136">
        <f t="shared" si="35"/>
        <v>8</v>
      </c>
      <c r="M118" s="136">
        <f t="shared" si="35"/>
        <v>8</v>
      </c>
      <c r="N118" s="136">
        <f t="shared" si="35"/>
        <v>8</v>
      </c>
      <c r="O118" s="136">
        <f t="shared" si="35"/>
        <v>8</v>
      </c>
      <c r="P118" s="136">
        <f t="shared" si="35"/>
        <v>8</v>
      </c>
      <c r="Q118" s="136">
        <f t="shared" si="35"/>
        <v>8</v>
      </c>
      <c r="R118" s="136">
        <f t="shared" si="35"/>
        <v>8</v>
      </c>
      <c r="S118" s="136">
        <f t="shared" si="35"/>
        <v>8</v>
      </c>
      <c r="T118" s="136">
        <f t="shared" si="36"/>
        <v>8</v>
      </c>
      <c r="U118" s="136">
        <f t="shared" si="36"/>
        <v>8</v>
      </c>
      <c r="V118" s="136">
        <f t="shared" si="36"/>
        <v>8</v>
      </c>
      <c r="W118" s="136">
        <f t="shared" si="36"/>
        <v>8</v>
      </c>
      <c r="X118" s="136">
        <f t="shared" si="36"/>
        <v>8</v>
      </c>
      <c r="Y118" s="136">
        <f t="shared" si="36"/>
        <v>8</v>
      </c>
      <c r="Z118" s="136">
        <f t="shared" si="36"/>
        <v>8</v>
      </c>
      <c r="AA118" s="136">
        <f t="shared" si="36"/>
        <v>8</v>
      </c>
      <c r="AB118" s="136">
        <f t="shared" si="36"/>
        <v>8</v>
      </c>
      <c r="AC118" s="136">
        <f t="shared" si="36"/>
        <v>8</v>
      </c>
      <c r="AD118" s="136">
        <f t="shared" si="36"/>
        <v>8</v>
      </c>
      <c r="AE118" s="136">
        <f t="shared" si="36"/>
        <v>8</v>
      </c>
      <c r="AF118" s="136">
        <f t="shared" si="36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34"/>
        <v>7</v>
      </c>
      <c r="C119" s="137">
        <v>7</v>
      </c>
      <c r="D119" s="136">
        <f>C119</f>
        <v>7</v>
      </c>
      <c r="E119" s="136">
        <f t="shared" si="35"/>
        <v>7</v>
      </c>
      <c r="F119" s="136">
        <f t="shared" si="35"/>
        <v>7</v>
      </c>
      <c r="G119" s="136">
        <f t="shared" si="35"/>
        <v>7</v>
      </c>
      <c r="H119" s="136">
        <f t="shared" si="35"/>
        <v>7</v>
      </c>
      <c r="I119" s="136">
        <f t="shared" si="35"/>
        <v>7</v>
      </c>
      <c r="J119" s="136">
        <f t="shared" si="35"/>
        <v>7</v>
      </c>
      <c r="K119" s="136">
        <f t="shared" si="35"/>
        <v>7</v>
      </c>
      <c r="L119" s="136">
        <f t="shared" si="35"/>
        <v>7</v>
      </c>
      <c r="M119" s="136">
        <f t="shared" si="35"/>
        <v>7</v>
      </c>
      <c r="N119" s="136">
        <f t="shared" si="35"/>
        <v>7</v>
      </c>
      <c r="O119" s="136">
        <f t="shared" si="35"/>
        <v>7</v>
      </c>
      <c r="P119" s="136">
        <f t="shared" si="35"/>
        <v>7</v>
      </c>
      <c r="Q119" s="136">
        <f t="shared" si="35"/>
        <v>7</v>
      </c>
      <c r="R119" s="136">
        <f t="shared" si="35"/>
        <v>7</v>
      </c>
      <c r="S119" s="136">
        <f t="shared" si="35"/>
        <v>7</v>
      </c>
      <c r="T119" s="136">
        <f t="shared" si="36"/>
        <v>7</v>
      </c>
      <c r="U119" s="136">
        <f t="shared" si="36"/>
        <v>7</v>
      </c>
      <c r="V119" s="136">
        <f t="shared" si="36"/>
        <v>7</v>
      </c>
      <c r="W119" s="136">
        <f t="shared" si="36"/>
        <v>7</v>
      </c>
      <c r="X119" s="136">
        <f t="shared" si="36"/>
        <v>7</v>
      </c>
      <c r="Y119" s="136">
        <f t="shared" si="36"/>
        <v>7</v>
      </c>
      <c r="Z119" s="136">
        <f t="shared" si="36"/>
        <v>7</v>
      </c>
      <c r="AA119" s="136">
        <f t="shared" si="36"/>
        <v>7</v>
      </c>
      <c r="AB119" s="136">
        <f t="shared" si="36"/>
        <v>7</v>
      </c>
      <c r="AC119" s="136">
        <f t="shared" si="36"/>
        <v>7</v>
      </c>
      <c r="AD119" s="136">
        <f t="shared" si="36"/>
        <v>7</v>
      </c>
      <c r="AE119" s="136">
        <f t="shared" si="36"/>
        <v>7</v>
      </c>
      <c r="AF119" s="136">
        <f t="shared" si="36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34"/>
        <v>3.47</v>
      </c>
      <c r="C120" s="137">
        <v>3.47</v>
      </c>
      <c r="D120" s="136">
        <f t="shared" ref="D120:S129" si="37">C120</f>
        <v>3.47</v>
      </c>
      <c r="E120" s="136">
        <f t="shared" si="37"/>
        <v>3.47</v>
      </c>
      <c r="F120" s="136">
        <f t="shared" si="37"/>
        <v>3.47</v>
      </c>
      <c r="G120" s="136">
        <f t="shared" si="37"/>
        <v>3.47</v>
      </c>
      <c r="H120" s="136">
        <f t="shared" si="37"/>
        <v>3.47</v>
      </c>
      <c r="I120" s="136">
        <f t="shared" si="37"/>
        <v>3.47</v>
      </c>
      <c r="J120" s="136">
        <f t="shared" si="37"/>
        <v>3.47</v>
      </c>
      <c r="K120" s="136">
        <f t="shared" si="37"/>
        <v>3.47</v>
      </c>
      <c r="L120" s="136">
        <f t="shared" si="37"/>
        <v>3.47</v>
      </c>
      <c r="M120" s="136">
        <f t="shared" si="37"/>
        <v>3.47</v>
      </c>
      <c r="N120" s="136">
        <f t="shared" si="37"/>
        <v>3.47</v>
      </c>
      <c r="O120" s="136">
        <f t="shared" si="37"/>
        <v>3.47</v>
      </c>
      <c r="P120" s="136">
        <f t="shared" si="37"/>
        <v>3.47</v>
      </c>
      <c r="Q120" s="136">
        <f t="shared" si="37"/>
        <v>3.47</v>
      </c>
      <c r="R120" s="136">
        <f t="shared" si="37"/>
        <v>3.47</v>
      </c>
      <c r="S120" s="136">
        <f t="shared" si="37"/>
        <v>3.47</v>
      </c>
      <c r="T120" s="136">
        <f t="shared" si="36"/>
        <v>3.47</v>
      </c>
      <c r="U120" s="136">
        <f t="shared" si="36"/>
        <v>3.47</v>
      </c>
      <c r="V120" s="136">
        <f t="shared" si="36"/>
        <v>3.47</v>
      </c>
      <c r="W120" s="136">
        <f t="shared" si="36"/>
        <v>3.47</v>
      </c>
      <c r="X120" s="136">
        <f t="shared" si="36"/>
        <v>3.47</v>
      </c>
      <c r="Y120" s="136">
        <f t="shared" si="36"/>
        <v>3.47</v>
      </c>
      <c r="Z120" s="136">
        <f t="shared" si="36"/>
        <v>3.47</v>
      </c>
      <c r="AA120" s="136">
        <f t="shared" si="36"/>
        <v>3.47</v>
      </c>
      <c r="AB120" s="136">
        <f t="shared" si="36"/>
        <v>3.47</v>
      </c>
      <c r="AC120" s="136">
        <f t="shared" si="36"/>
        <v>3.47</v>
      </c>
      <c r="AD120" s="136">
        <f t="shared" si="36"/>
        <v>3.47</v>
      </c>
      <c r="AE120" s="136">
        <f t="shared" si="36"/>
        <v>3.47</v>
      </c>
      <c r="AF120" s="136">
        <f t="shared" si="36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34"/>
        <v>2.1</v>
      </c>
      <c r="C121" s="137">
        <v>2.1</v>
      </c>
      <c r="D121" s="136">
        <f t="shared" si="37"/>
        <v>2.1</v>
      </c>
      <c r="E121" s="136">
        <f t="shared" si="37"/>
        <v>2.1</v>
      </c>
      <c r="F121" s="136">
        <f t="shared" si="37"/>
        <v>2.1</v>
      </c>
      <c r="G121" s="136">
        <f t="shared" si="37"/>
        <v>2.1</v>
      </c>
      <c r="H121" s="136">
        <f t="shared" si="37"/>
        <v>2.1</v>
      </c>
      <c r="I121" s="136">
        <f t="shared" si="37"/>
        <v>2.1</v>
      </c>
      <c r="J121" s="136">
        <f t="shared" si="37"/>
        <v>2.1</v>
      </c>
      <c r="K121" s="136">
        <f t="shared" si="37"/>
        <v>2.1</v>
      </c>
      <c r="L121" s="136">
        <f t="shared" si="37"/>
        <v>2.1</v>
      </c>
      <c r="M121" s="136">
        <f t="shared" si="37"/>
        <v>2.1</v>
      </c>
      <c r="N121" s="136">
        <f t="shared" si="37"/>
        <v>2.1</v>
      </c>
      <c r="O121" s="136">
        <f t="shared" si="37"/>
        <v>2.1</v>
      </c>
      <c r="P121" s="136">
        <f t="shared" si="37"/>
        <v>2.1</v>
      </c>
      <c r="Q121" s="136">
        <f t="shared" si="37"/>
        <v>2.1</v>
      </c>
      <c r="R121" s="136">
        <f t="shared" si="37"/>
        <v>2.1</v>
      </c>
      <c r="S121" s="136">
        <f t="shared" si="37"/>
        <v>2.1</v>
      </c>
      <c r="T121" s="136">
        <f t="shared" si="36"/>
        <v>2.1</v>
      </c>
      <c r="U121" s="136">
        <f t="shared" si="36"/>
        <v>2.1</v>
      </c>
      <c r="V121" s="136">
        <f t="shared" si="36"/>
        <v>2.1</v>
      </c>
      <c r="W121" s="136">
        <f t="shared" si="36"/>
        <v>2.1</v>
      </c>
      <c r="X121" s="136">
        <f t="shared" si="36"/>
        <v>2.1</v>
      </c>
      <c r="Y121" s="136">
        <f t="shared" si="36"/>
        <v>2.1</v>
      </c>
      <c r="Z121" s="136">
        <f t="shared" si="36"/>
        <v>2.1</v>
      </c>
      <c r="AA121" s="136">
        <f t="shared" si="36"/>
        <v>2.1</v>
      </c>
      <c r="AB121" s="136">
        <f t="shared" si="36"/>
        <v>2.1</v>
      </c>
      <c r="AC121" s="136">
        <f t="shared" si="36"/>
        <v>2.1</v>
      </c>
      <c r="AD121" s="136">
        <f t="shared" si="36"/>
        <v>2.1</v>
      </c>
      <c r="AE121" s="136">
        <f t="shared" si="36"/>
        <v>2.1</v>
      </c>
      <c r="AF121" s="136">
        <f t="shared" si="36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34"/>
        <v>9.3000000000000007</v>
      </c>
      <c r="C122" s="137">
        <v>9.3000000000000007</v>
      </c>
      <c r="D122" s="136">
        <f t="shared" si="37"/>
        <v>9.3000000000000007</v>
      </c>
      <c r="E122" s="136">
        <f t="shared" si="37"/>
        <v>9.3000000000000007</v>
      </c>
      <c r="F122" s="136">
        <f t="shared" si="37"/>
        <v>9.3000000000000007</v>
      </c>
      <c r="G122" s="136">
        <f t="shared" si="37"/>
        <v>9.3000000000000007</v>
      </c>
      <c r="H122" s="136">
        <f t="shared" si="37"/>
        <v>9.3000000000000007</v>
      </c>
      <c r="I122" s="136">
        <f t="shared" si="37"/>
        <v>9.3000000000000007</v>
      </c>
      <c r="J122" s="136">
        <f t="shared" si="37"/>
        <v>9.3000000000000007</v>
      </c>
      <c r="K122" s="136">
        <f t="shared" si="37"/>
        <v>9.3000000000000007</v>
      </c>
      <c r="L122" s="136">
        <f t="shared" si="37"/>
        <v>9.3000000000000007</v>
      </c>
      <c r="M122" s="136">
        <f t="shared" si="37"/>
        <v>9.3000000000000007</v>
      </c>
      <c r="N122" s="136">
        <f t="shared" si="37"/>
        <v>9.3000000000000007</v>
      </c>
      <c r="O122" s="136">
        <f t="shared" si="37"/>
        <v>9.3000000000000007</v>
      </c>
      <c r="P122" s="136">
        <f t="shared" si="37"/>
        <v>9.3000000000000007</v>
      </c>
      <c r="Q122" s="136">
        <f t="shared" si="37"/>
        <v>9.3000000000000007</v>
      </c>
      <c r="R122" s="136">
        <f t="shared" si="37"/>
        <v>9.3000000000000007</v>
      </c>
      <c r="S122" s="136">
        <f t="shared" si="37"/>
        <v>9.3000000000000007</v>
      </c>
      <c r="T122" s="136">
        <f t="shared" si="36"/>
        <v>9.3000000000000007</v>
      </c>
      <c r="U122" s="136">
        <f t="shared" si="36"/>
        <v>9.3000000000000007</v>
      </c>
      <c r="V122" s="136">
        <f t="shared" si="36"/>
        <v>9.3000000000000007</v>
      </c>
      <c r="W122" s="136">
        <f t="shared" si="36"/>
        <v>9.3000000000000007</v>
      </c>
      <c r="X122" s="136">
        <f t="shared" si="36"/>
        <v>9.3000000000000007</v>
      </c>
      <c r="Y122" s="136">
        <f t="shared" si="36"/>
        <v>9.3000000000000007</v>
      </c>
      <c r="Z122" s="136">
        <f t="shared" si="36"/>
        <v>9.3000000000000007</v>
      </c>
      <c r="AA122" s="136">
        <f t="shared" si="36"/>
        <v>9.3000000000000007</v>
      </c>
      <c r="AB122" s="136">
        <f t="shared" si="36"/>
        <v>9.3000000000000007</v>
      </c>
      <c r="AC122" s="136">
        <f t="shared" si="36"/>
        <v>9.3000000000000007</v>
      </c>
      <c r="AD122" s="136">
        <f t="shared" si="36"/>
        <v>9.3000000000000007</v>
      </c>
      <c r="AE122" s="136">
        <f t="shared" si="36"/>
        <v>9.3000000000000007</v>
      </c>
      <c r="AF122" s="136">
        <f t="shared" si="36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34"/>
        <v>0</v>
      </c>
      <c r="C123" s="137">
        <v>0</v>
      </c>
      <c r="D123" s="136">
        <f t="shared" si="37"/>
        <v>0</v>
      </c>
      <c r="E123" s="136">
        <f t="shared" si="37"/>
        <v>0</v>
      </c>
      <c r="F123" s="136">
        <f t="shared" si="37"/>
        <v>0</v>
      </c>
      <c r="G123" s="136">
        <f t="shared" si="37"/>
        <v>0</v>
      </c>
      <c r="H123" s="136">
        <f t="shared" si="37"/>
        <v>0</v>
      </c>
      <c r="I123" s="136">
        <f t="shared" si="37"/>
        <v>0</v>
      </c>
      <c r="J123" s="136">
        <f t="shared" si="37"/>
        <v>0</v>
      </c>
      <c r="K123" s="136">
        <f t="shared" si="37"/>
        <v>0</v>
      </c>
      <c r="L123" s="136">
        <f t="shared" si="37"/>
        <v>0</v>
      </c>
      <c r="M123" s="136">
        <f t="shared" si="37"/>
        <v>0</v>
      </c>
      <c r="N123" s="136">
        <f t="shared" si="37"/>
        <v>0</v>
      </c>
      <c r="O123" s="136">
        <f t="shared" si="37"/>
        <v>0</v>
      </c>
      <c r="P123" s="136">
        <f t="shared" si="37"/>
        <v>0</v>
      </c>
      <c r="Q123" s="136">
        <f t="shared" si="37"/>
        <v>0</v>
      </c>
      <c r="R123" s="136">
        <f t="shared" si="37"/>
        <v>0</v>
      </c>
      <c r="S123" s="136">
        <f t="shared" si="37"/>
        <v>0</v>
      </c>
      <c r="T123" s="136">
        <f t="shared" si="36"/>
        <v>0</v>
      </c>
      <c r="U123" s="136">
        <f t="shared" si="36"/>
        <v>0</v>
      </c>
      <c r="V123" s="136">
        <f t="shared" si="36"/>
        <v>0</v>
      </c>
      <c r="W123" s="136">
        <f t="shared" si="36"/>
        <v>0</v>
      </c>
      <c r="X123" s="136">
        <f t="shared" si="36"/>
        <v>0</v>
      </c>
      <c r="Y123" s="136">
        <f t="shared" si="36"/>
        <v>0</v>
      </c>
      <c r="Z123" s="136">
        <f t="shared" si="36"/>
        <v>0</v>
      </c>
      <c r="AA123" s="136">
        <f t="shared" si="36"/>
        <v>0</v>
      </c>
      <c r="AB123" s="136">
        <f t="shared" si="36"/>
        <v>0</v>
      </c>
      <c r="AC123" s="136">
        <f t="shared" si="36"/>
        <v>0</v>
      </c>
      <c r="AD123" s="136">
        <f t="shared" si="36"/>
        <v>0</v>
      </c>
      <c r="AE123" s="136">
        <f t="shared" si="36"/>
        <v>0</v>
      </c>
      <c r="AF123" s="136">
        <f t="shared" si="36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34"/>
        <v>0</v>
      </c>
      <c r="C124" s="137">
        <v>0</v>
      </c>
      <c r="D124" s="136">
        <f t="shared" si="37"/>
        <v>0</v>
      </c>
      <c r="E124" s="136">
        <f t="shared" si="37"/>
        <v>0</v>
      </c>
      <c r="F124" s="136">
        <f t="shared" si="37"/>
        <v>0</v>
      </c>
      <c r="G124" s="136">
        <f t="shared" si="37"/>
        <v>0</v>
      </c>
      <c r="H124" s="136">
        <f t="shared" si="37"/>
        <v>0</v>
      </c>
      <c r="I124" s="136">
        <f t="shared" si="37"/>
        <v>0</v>
      </c>
      <c r="J124" s="136">
        <f t="shared" si="37"/>
        <v>0</v>
      </c>
      <c r="K124" s="136">
        <f t="shared" si="37"/>
        <v>0</v>
      </c>
      <c r="L124" s="136">
        <f t="shared" si="37"/>
        <v>0</v>
      </c>
      <c r="M124" s="136">
        <f t="shared" si="37"/>
        <v>0</v>
      </c>
      <c r="N124" s="136">
        <f t="shared" si="37"/>
        <v>0</v>
      </c>
      <c r="O124" s="136">
        <f t="shared" si="37"/>
        <v>0</v>
      </c>
      <c r="P124" s="136">
        <f t="shared" si="37"/>
        <v>0</v>
      </c>
      <c r="Q124" s="136">
        <f t="shared" si="37"/>
        <v>0</v>
      </c>
      <c r="R124" s="136">
        <f t="shared" si="37"/>
        <v>0</v>
      </c>
      <c r="S124" s="136">
        <f t="shared" si="37"/>
        <v>0</v>
      </c>
      <c r="T124" s="136">
        <f t="shared" si="36"/>
        <v>0</v>
      </c>
      <c r="U124" s="136">
        <f t="shared" si="36"/>
        <v>0</v>
      </c>
      <c r="V124" s="136">
        <f t="shared" si="36"/>
        <v>0</v>
      </c>
      <c r="W124" s="136">
        <f t="shared" si="36"/>
        <v>0</v>
      </c>
      <c r="X124" s="136">
        <f t="shared" si="36"/>
        <v>0</v>
      </c>
      <c r="Y124" s="136">
        <f t="shared" si="36"/>
        <v>0</v>
      </c>
      <c r="Z124" s="136">
        <f t="shared" si="36"/>
        <v>0</v>
      </c>
      <c r="AA124" s="136">
        <f t="shared" si="36"/>
        <v>0</v>
      </c>
      <c r="AB124" s="136">
        <f t="shared" si="36"/>
        <v>0</v>
      </c>
      <c r="AC124" s="136">
        <f t="shared" si="36"/>
        <v>0</v>
      </c>
      <c r="AD124" s="136">
        <f t="shared" si="36"/>
        <v>0</v>
      </c>
      <c r="AE124" s="136">
        <f t="shared" si="36"/>
        <v>0</v>
      </c>
      <c r="AF124" s="136">
        <f t="shared" si="36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34"/>
        <v>5</v>
      </c>
      <c r="C125" s="137">
        <v>5</v>
      </c>
      <c r="D125" s="136">
        <f t="shared" si="37"/>
        <v>5</v>
      </c>
      <c r="E125" s="136">
        <f t="shared" si="37"/>
        <v>5</v>
      </c>
      <c r="F125" s="136">
        <f t="shared" si="37"/>
        <v>5</v>
      </c>
      <c r="G125" s="136">
        <f t="shared" si="37"/>
        <v>5</v>
      </c>
      <c r="H125" s="136">
        <f t="shared" si="37"/>
        <v>5</v>
      </c>
      <c r="I125" s="136">
        <f t="shared" si="37"/>
        <v>5</v>
      </c>
      <c r="J125" s="136">
        <f t="shared" si="37"/>
        <v>5</v>
      </c>
      <c r="K125" s="136">
        <f t="shared" si="37"/>
        <v>5</v>
      </c>
      <c r="L125" s="136">
        <f t="shared" si="37"/>
        <v>5</v>
      </c>
      <c r="M125" s="136">
        <f t="shared" si="37"/>
        <v>5</v>
      </c>
      <c r="N125" s="136">
        <f t="shared" si="37"/>
        <v>5</v>
      </c>
      <c r="O125" s="136">
        <f t="shared" si="37"/>
        <v>5</v>
      </c>
      <c r="P125" s="136">
        <f t="shared" si="37"/>
        <v>5</v>
      </c>
      <c r="Q125" s="136">
        <f t="shared" si="37"/>
        <v>5</v>
      </c>
      <c r="R125" s="136">
        <f t="shared" si="37"/>
        <v>5</v>
      </c>
      <c r="S125" s="136">
        <f t="shared" si="37"/>
        <v>5</v>
      </c>
      <c r="T125" s="136">
        <f t="shared" si="36"/>
        <v>5</v>
      </c>
      <c r="U125" s="136">
        <f t="shared" si="36"/>
        <v>5</v>
      </c>
      <c r="V125" s="136">
        <f t="shared" si="36"/>
        <v>5</v>
      </c>
      <c r="W125" s="136">
        <f t="shared" si="36"/>
        <v>5</v>
      </c>
      <c r="X125" s="136">
        <f t="shared" si="36"/>
        <v>5</v>
      </c>
      <c r="Y125" s="136">
        <f t="shared" si="36"/>
        <v>5</v>
      </c>
      <c r="Z125" s="136">
        <f t="shared" si="36"/>
        <v>5</v>
      </c>
      <c r="AA125" s="136">
        <f t="shared" si="36"/>
        <v>5</v>
      </c>
      <c r="AB125" s="136">
        <f t="shared" si="36"/>
        <v>5</v>
      </c>
      <c r="AC125" s="136">
        <f t="shared" si="36"/>
        <v>5</v>
      </c>
      <c r="AD125" s="136">
        <f t="shared" si="36"/>
        <v>5</v>
      </c>
      <c r="AE125" s="136">
        <f t="shared" si="36"/>
        <v>5</v>
      </c>
      <c r="AF125" s="136">
        <f t="shared" si="36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34"/>
        <v>1</v>
      </c>
      <c r="C126" s="137">
        <v>1</v>
      </c>
      <c r="D126" s="136">
        <f t="shared" si="37"/>
        <v>1</v>
      </c>
      <c r="E126" s="136">
        <f t="shared" si="37"/>
        <v>1</v>
      </c>
      <c r="F126" s="136">
        <f t="shared" si="37"/>
        <v>1</v>
      </c>
      <c r="G126" s="136">
        <f t="shared" si="37"/>
        <v>1</v>
      </c>
      <c r="H126" s="136">
        <f t="shared" si="37"/>
        <v>1</v>
      </c>
      <c r="I126" s="136">
        <f t="shared" si="37"/>
        <v>1</v>
      </c>
      <c r="J126" s="136">
        <f t="shared" si="37"/>
        <v>1</v>
      </c>
      <c r="K126" s="136">
        <f t="shared" si="37"/>
        <v>1</v>
      </c>
      <c r="L126" s="136">
        <f t="shared" si="37"/>
        <v>1</v>
      </c>
      <c r="M126" s="136">
        <f t="shared" si="37"/>
        <v>1</v>
      </c>
      <c r="N126" s="136">
        <f t="shared" si="37"/>
        <v>1</v>
      </c>
      <c r="O126" s="136">
        <f t="shared" si="37"/>
        <v>1</v>
      </c>
      <c r="P126" s="136">
        <f t="shared" si="37"/>
        <v>1</v>
      </c>
      <c r="Q126" s="136">
        <f t="shared" si="37"/>
        <v>1</v>
      </c>
      <c r="R126" s="136">
        <f t="shared" si="37"/>
        <v>1</v>
      </c>
      <c r="S126" s="136">
        <f t="shared" si="37"/>
        <v>1</v>
      </c>
      <c r="T126" s="136">
        <f t="shared" si="36"/>
        <v>1</v>
      </c>
      <c r="U126" s="136">
        <f t="shared" si="36"/>
        <v>1</v>
      </c>
      <c r="V126" s="136">
        <f t="shared" si="36"/>
        <v>1</v>
      </c>
      <c r="W126" s="136">
        <f t="shared" si="36"/>
        <v>1</v>
      </c>
      <c r="X126" s="136">
        <f t="shared" si="36"/>
        <v>1</v>
      </c>
      <c r="Y126" s="136">
        <f t="shared" si="36"/>
        <v>1</v>
      </c>
      <c r="Z126" s="136">
        <f t="shared" si="36"/>
        <v>1</v>
      </c>
      <c r="AA126" s="136">
        <f t="shared" si="36"/>
        <v>1</v>
      </c>
      <c r="AB126" s="136">
        <f t="shared" si="36"/>
        <v>1</v>
      </c>
      <c r="AC126" s="136">
        <f t="shared" si="36"/>
        <v>1</v>
      </c>
      <c r="AD126" s="136">
        <f t="shared" si="36"/>
        <v>1</v>
      </c>
      <c r="AE126" s="136">
        <f t="shared" si="36"/>
        <v>1</v>
      </c>
      <c r="AF126" s="136">
        <f t="shared" si="36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34"/>
        <v>1.58</v>
      </c>
      <c r="C127" s="137">
        <v>1.58</v>
      </c>
      <c r="D127" s="136">
        <f t="shared" si="37"/>
        <v>1.58</v>
      </c>
      <c r="E127" s="136">
        <f t="shared" si="37"/>
        <v>1.58</v>
      </c>
      <c r="F127" s="136">
        <f t="shared" si="37"/>
        <v>1.58</v>
      </c>
      <c r="G127" s="136">
        <f t="shared" si="37"/>
        <v>1.58</v>
      </c>
      <c r="H127" s="136">
        <f t="shared" si="37"/>
        <v>1.58</v>
      </c>
      <c r="I127" s="136">
        <f t="shared" si="37"/>
        <v>1.58</v>
      </c>
      <c r="J127" s="136">
        <f t="shared" si="37"/>
        <v>1.58</v>
      </c>
      <c r="K127" s="136">
        <f t="shared" si="37"/>
        <v>1.58</v>
      </c>
      <c r="L127" s="136">
        <f t="shared" si="37"/>
        <v>1.58</v>
      </c>
      <c r="M127" s="136">
        <f t="shared" si="37"/>
        <v>1.58</v>
      </c>
      <c r="N127" s="136">
        <f t="shared" si="37"/>
        <v>1.58</v>
      </c>
      <c r="O127" s="136">
        <f t="shared" si="37"/>
        <v>1.58</v>
      </c>
      <c r="P127" s="136">
        <f t="shared" si="37"/>
        <v>1.58</v>
      </c>
      <c r="Q127" s="136">
        <f t="shared" si="37"/>
        <v>1.58</v>
      </c>
      <c r="R127" s="136">
        <f t="shared" si="37"/>
        <v>1.58</v>
      </c>
      <c r="S127" s="136">
        <f t="shared" si="37"/>
        <v>1.58</v>
      </c>
      <c r="T127" s="136">
        <f t="shared" si="36"/>
        <v>1.58</v>
      </c>
      <c r="U127" s="136">
        <f t="shared" si="36"/>
        <v>1.58</v>
      </c>
      <c r="V127" s="136">
        <f t="shared" si="36"/>
        <v>1.58</v>
      </c>
      <c r="W127" s="136">
        <f t="shared" si="36"/>
        <v>1.58</v>
      </c>
      <c r="X127" s="136">
        <f t="shared" si="36"/>
        <v>1.58</v>
      </c>
      <c r="Y127" s="136">
        <f t="shared" si="36"/>
        <v>1.58</v>
      </c>
      <c r="Z127" s="136">
        <f t="shared" si="36"/>
        <v>1.58</v>
      </c>
      <c r="AA127" s="136">
        <f t="shared" si="36"/>
        <v>1.58</v>
      </c>
      <c r="AB127" s="136">
        <f t="shared" si="36"/>
        <v>1.58</v>
      </c>
      <c r="AC127" s="136">
        <f t="shared" si="36"/>
        <v>1.58</v>
      </c>
      <c r="AD127" s="136">
        <f t="shared" si="36"/>
        <v>1.58</v>
      </c>
      <c r="AE127" s="136">
        <f t="shared" si="36"/>
        <v>1.58</v>
      </c>
      <c r="AF127" s="136">
        <f t="shared" si="36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34"/>
        <v>1.46</v>
      </c>
      <c r="C128" s="137">
        <v>1.46</v>
      </c>
      <c r="D128" s="136">
        <f t="shared" si="37"/>
        <v>1.46</v>
      </c>
      <c r="E128" s="136">
        <f t="shared" si="37"/>
        <v>1.46</v>
      </c>
      <c r="F128" s="136">
        <f t="shared" si="37"/>
        <v>1.46</v>
      </c>
      <c r="G128" s="136">
        <f t="shared" si="37"/>
        <v>1.46</v>
      </c>
      <c r="H128" s="136">
        <f t="shared" si="37"/>
        <v>1.46</v>
      </c>
      <c r="I128" s="136">
        <f t="shared" si="37"/>
        <v>1.46</v>
      </c>
      <c r="J128" s="136">
        <f t="shared" si="37"/>
        <v>1.46</v>
      </c>
      <c r="K128" s="136">
        <f t="shared" si="37"/>
        <v>1.46</v>
      </c>
      <c r="L128" s="136">
        <f t="shared" si="37"/>
        <v>1.46</v>
      </c>
      <c r="M128" s="136">
        <f t="shared" si="37"/>
        <v>1.46</v>
      </c>
      <c r="N128" s="136">
        <f t="shared" si="37"/>
        <v>1.46</v>
      </c>
      <c r="O128" s="136">
        <f t="shared" si="37"/>
        <v>1.46</v>
      </c>
      <c r="P128" s="136">
        <f t="shared" si="37"/>
        <v>1.46</v>
      </c>
      <c r="Q128" s="136">
        <f t="shared" si="37"/>
        <v>1.46</v>
      </c>
      <c r="R128" s="136">
        <f t="shared" si="37"/>
        <v>1.46</v>
      </c>
      <c r="S128" s="136">
        <f t="shared" si="37"/>
        <v>1.46</v>
      </c>
      <c r="T128" s="136">
        <f t="shared" ref="T128:AF129" si="38">S128</f>
        <v>1.46</v>
      </c>
      <c r="U128" s="136">
        <f t="shared" si="38"/>
        <v>1.46</v>
      </c>
      <c r="V128" s="136">
        <f t="shared" si="38"/>
        <v>1.46</v>
      </c>
      <c r="W128" s="136">
        <f t="shared" si="38"/>
        <v>1.46</v>
      </c>
      <c r="X128" s="136">
        <f t="shared" si="38"/>
        <v>1.46</v>
      </c>
      <c r="Y128" s="136">
        <f t="shared" si="38"/>
        <v>1.46</v>
      </c>
      <c r="Z128" s="136">
        <f t="shared" si="38"/>
        <v>1.46</v>
      </c>
      <c r="AA128" s="136">
        <f t="shared" si="38"/>
        <v>1.46</v>
      </c>
      <c r="AB128" s="136">
        <f t="shared" si="38"/>
        <v>1.46</v>
      </c>
      <c r="AC128" s="136">
        <f t="shared" si="38"/>
        <v>1.46</v>
      </c>
      <c r="AD128" s="136">
        <f t="shared" si="38"/>
        <v>1.46</v>
      </c>
      <c r="AE128" s="136">
        <f t="shared" si="38"/>
        <v>1.46</v>
      </c>
      <c r="AF128" s="136">
        <f t="shared" si="38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34"/>
        <v>1.48</v>
      </c>
      <c r="C129" s="137">
        <v>1.48</v>
      </c>
      <c r="D129" s="136">
        <f t="shared" si="37"/>
        <v>1.48</v>
      </c>
      <c r="E129" s="136">
        <f t="shared" si="37"/>
        <v>1.48</v>
      </c>
      <c r="F129" s="136">
        <f t="shared" si="37"/>
        <v>1.48</v>
      </c>
      <c r="G129" s="136">
        <f t="shared" si="37"/>
        <v>1.48</v>
      </c>
      <c r="H129" s="136">
        <f t="shared" si="37"/>
        <v>1.48</v>
      </c>
      <c r="I129" s="136">
        <f t="shared" si="37"/>
        <v>1.48</v>
      </c>
      <c r="J129" s="136">
        <f t="shared" si="37"/>
        <v>1.48</v>
      </c>
      <c r="K129" s="136">
        <f t="shared" si="37"/>
        <v>1.48</v>
      </c>
      <c r="L129" s="136">
        <f t="shared" si="37"/>
        <v>1.48</v>
      </c>
      <c r="M129" s="136">
        <f t="shared" si="37"/>
        <v>1.48</v>
      </c>
      <c r="N129" s="136">
        <f t="shared" si="37"/>
        <v>1.48</v>
      </c>
      <c r="O129" s="136">
        <f t="shared" si="37"/>
        <v>1.48</v>
      </c>
      <c r="P129" s="136">
        <f t="shared" si="37"/>
        <v>1.48</v>
      </c>
      <c r="Q129" s="136">
        <f t="shared" si="37"/>
        <v>1.48</v>
      </c>
      <c r="R129" s="136">
        <f t="shared" si="37"/>
        <v>1.48</v>
      </c>
      <c r="S129" s="136">
        <f t="shared" si="37"/>
        <v>1.48</v>
      </c>
      <c r="T129" s="136">
        <f t="shared" si="38"/>
        <v>1.48</v>
      </c>
      <c r="U129" s="136">
        <f t="shared" si="38"/>
        <v>1.48</v>
      </c>
      <c r="V129" s="136">
        <f t="shared" si="38"/>
        <v>1.48</v>
      </c>
      <c r="W129" s="136">
        <f t="shared" si="38"/>
        <v>1.48</v>
      </c>
      <c r="X129" s="136">
        <f t="shared" si="38"/>
        <v>1.48</v>
      </c>
      <c r="Y129" s="136">
        <f t="shared" si="38"/>
        <v>1.48</v>
      </c>
      <c r="Z129" s="136">
        <f t="shared" si="38"/>
        <v>1.48</v>
      </c>
      <c r="AA129" s="136">
        <f t="shared" si="38"/>
        <v>1.48</v>
      </c>
      <c r="AB129" s="136">
        <f t="shared" si="38"/>
        <v>1.48</v>
      </c>
      <c r="AC129" s="136">
        <f t="shared" si="38"/>
        <v>1.48</v>
      </c>
      <c r="AD129" s="136">
        <f t="shared" si="38"/>
        <v>1.48</v>
      </c>
      <c r="AE129" s="136">
        <f t="shared" si="38"/>
        <v>1.48</v>
      </c>
      <c r="AF129" s="136">
        <f t="shared" si="38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39">AF131</f>
        <v>2.2000000000000002</v>
      </c>
      <c r="C131" s="137">
        <v>2.2000000000000002</v>
      </c>
      <c r="D131" s="136">
        <f t="shared" ref="D131:S138" si="40">C131</f>
        <v>2.2000000000000002</v>
      </c>
      <c r="E131" s="136">
        <f t="shared" si="40"/>
        <v>2.2000000000000002</v>
      </c>
      <c r="F131" s="136">
        <f t="shared" si="40"/>
        <v>2.2000000000000002</v>
      </c>
      <c r="G131" s="136">
        <f t="shared" si="40"/>
        <v>2.2000000000000002</v>
      </c>
      <c r="H131" s="136">
        <f t="shared" si="40"/>
        <v>2.2000000000000002</v>
      </c>
      <c r="I131" s="136">
        <f t="shared" si="40"/>
        <v>2.2000000000000002</v>
      </c>
      <c r="J131" s="136">
        <f t="shared" si="40"/>
        <v>2.2000000000000002</v>
      </c>
      <c r="K131" s="136">
        <f t="shared" si="40"/>
        <v>2.2000000000000002</v>
      </c>
      <c r="L131" s="136">
        <f t="shared" si="40"/>
        <v>2.2000000000000002</v>
      </c>
      <c r="M131" s="136">
        <f t="shared" si="40"/>
        <v>2.2000000000000002</v>
      </c>
      <c r="N131" s="136">
        <f t="shared" si="40"/>
        <v>2.2000000000000002</v>
      </c>
      <c r="O131" s="136">
        <f t="shared" si="40"/>
        <v>2.2000000000000002</v>
      </c>
      <c r="P131" s="136">
        <f t="shared" si="40"/>
        <v>2.2000000000000002</v>
      </c>
      <c r="Q131" s="136">
        <f t="shared" si="40"/>
        <v>2.2000000000000002</v>
      </c>
      <c r="R131" s="136">
        <f t="shared" si="40"/>
        <v>2.2000000000000002</v>
      </c>
      <c r="S131" s="136">
        <f t="shared" si="40"/>
        <v>2.2000000000000002</v>
      </c>
      <c r="T131" s="136">
        <f t="shared" ref="T131:AF138" si="41">S131</f>
        <v>2.2000000000000002</v>
      </c>
      <c r="U131" s="136">
        <f t="shared" si="41"/>
        <v>2.2000000000000002</v>
      </c>
      <c r="V131" s="136">
        <f t="shared" si="41"/>
        <v>2.2000000000000002</v>
      </c>
      <c r="W131" s="136">
        <f t="shared" si="41"/>
        <v>2.2000000000000002</v>
      </c>
      <c r="X131" s="136">
        <f t="shared" si="41"/>
        <v>2.2000000000000002</v>
      </c>
      <c r="Y131" s="136">
        <f t="shared" si="41"/>
        <v>2.2000000000000002</v>
      </c>
      <c r="Z131" s="136">
        <f t="shared" si="41"/>
        <v>2.2000000000000002</v>
      </c>
      <c r="AA131" s="136">
        <f t="shared" si="41"/>
        <v>2.2000000000000002</v>
      </c>
      <c r="AB131" s="136">
        <f t="shared" si="41"/>
        <v>2.2000000000000002</v>
      </c>
      <c r="AC131" s="136">
        <f t="shared" si="41"/>
        <v>2.2000000000000002</v>
      </c>
      <c r="AD131" s="136">
        <f t="shared" si="41"/>
        <v>2.2000000000000002</v>
      </c>
      <c r="AE131" s="136">
        <f t="shared" si="41"/>
        <v>2.2000000000000002</v>
      </c>
      <c r="AF131" s="136">
        <f t="shared" si="41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39"/>
        <v>2</v>
      </c>
      <c r="C132" s="137">
        <v>2</v>
      </c>
      <c r="D132" s="136">
        <f t="shared" si="40"/>
        <v>2</v>
      </c>
      <c r="E132" s="136">
        <f t="shared" si="40"/>
        <v>2</v>
      </c>
      <c r="F132" s="136">
        <f t="shared" si="40"/>
        <v>2</v>
      </c>
      <c r="G132" s="136">
        <f t="shared" si="40"/>
        <v>2</v>
      </c>
      <c r="H132" s="136">
        <f t="shared" si="40"/>
        <v>2</v>
      </c>
      <c r="I132" s="136">
        <f t="shared" si="40"/>
        <v>2</v>
      </c>
      <c r="J132" s="136">
        <f t="shared" si="40"/>
        <v>2</v>
      </c>
      <c r="K132" s="136">
        <f t="shared" si="40"/>
        <v>2</v>
      </c>
      <c r="L132" s="136">
        <f t="shared" si="40"/>
        <v>2</v>
      </c>
      <c r="M132" s="136">
        <f t="shared" si="40"/>
        <v>2</v>
      </c>
      <c r="N132" s="136">
        <f t="shared" si="40"/>
        <v>2</v>
      </c>
      <c r="O132" s="136">
        <f t="shared" si="40"/>
        <v>2</v>
      </c>
      <c r="P132" s="136">
        <f t="shared" si="40"/>
        <v>2</v>
      </c>
      <c r="Q132" s="136">
        <f t="shared" si="40"/>
        <v>2</v>
      </c>
      <c r="R132" s="136">
        <f t="shared" si="40"/>
        <v>2</v>
      </c>
      <c r="S132" s="136">
        <f t="shared" si="40"/>
        <v>2</v>
      </c>
      <c r="T132" s="136">
        <f t="shared" si="41"/>
        <v>2</v>
      </c>
      <c r="U132" s="136">
        <f t="shared" si="41"/>
        <v>2</v>
      </c>
      <c r="V132" s="136">
        <f t="shared" si="41"/>
        <v>2</v>
      </c>
      <c r="W132" s="136">
        <f t="shared" si="41"/>
        <v>2</v>
      </c>
      <c r="X132" s="136">
        <f t="shared" si="41"/>
        <v>2</v>
      </c>
      <c r="Y132" s="136">
        <f t="shared" si="41"/>
        <v>2</v>
      </c>
      <c r="Z132" s="136">
        <f t="shared" si="41"/>
        <v>2</v>
      </c>
      <c r="AA132" s="136">
        <f t="shared" si="41"/>
        <v>2</v>
      </c>
      <c r="AB132" s="136">
        <f t="shared" si="41"/>
        <v>2</v>
      </c>
      <c r="AC132" s="136">
        <f t="shared" si="41"/>
        <v>2</v>
      </c>
      <c r="AD132" s="136">
        <f t="shared" si="41"/>
        <v>2</v>
      </c>
      <c r="AE132" s="136">
        <f t="shared" si="41"/>
        <v>2</v>
      </c>
      <c r="AF132" s="136">
        <f t="shared" si="41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39"/>
        <v>1.25</v>
      </c>
      <c r="C133" s="137">
        <v>1.25</v>
      </c>
      <c r="D133" s="136">
        <f t="shared" si="40"/>
        <v>1.25</v>
      </c>
      <c r="E133" s="136">
        <f t="shared" si="40"/>
        <v>1.25</v>
      </c>
      <c r="F133" s="136">
        <f t="shared" si="40"/>
        <v>1.25</v>
      </c>
      <c r="G133" s="136">
        <f t="shared" si="40"/>
        <v>1.25</v>
      </c>
      <c r="H133" s="136">
        <f t="shared" si="40"/>
        <v>1.25</v>
      </c>
      <c r="I133" s="136">
        <f t="shared" si="40"/>
        <v>1.25</v>
      </c>
      <c r="J133" s="136">
        <f t="shared" si="40"/>
        <v>1.25</v>
      </c>
      <c r="K133" s="136">
        <f t="shared" si="40"/>
        <v>1.25</v>
      </c>
      <c r="L133" s="136">
        <f t="shared" si="40"/>
        <v>1.25</v>
      </c>
      <c r="M133" s="136">
        <f t="shared" si="40"/>
        <v>1.25</v>
      </c>
      <c r="N133" s="136">
        <f t="shared" si="40"/>
        <v>1.25</v>
      </c>
      <c r="O133" s="136">
        <f t="shared" si="40"/>
        <v>1.25</v>
      </c>
      <c r="P133" s="136">
        <f t="shared" si="40"/>
        <v>1.25</v>
      </c>
      <c r="Q133" s="136">
        <f t="shared" si="40"/>
        <v>1.25</v>
      </c>
      <c r="R133" s="136">
        <f t="shared" si="40"/>
        <v>1.25</v>
      </c>
      <c r="S133" s="136">
        <f t="shared" si="40"/>
        <v>1.25</v>
      </c>
      <c r="T133" s="136">
        <f t="shared" si="41"/>
        <v>1.25</v>
      </c>
      <c r="U133" s="136">
        <f t="shared" si="41"/>
        <v>1.25</v>
      </c>
      <c r="V133" s="136">
        <f t="shared" si="41"/>
        <v>1.25</v>
      </c>
      <c r="W133" s="136">
        <f t="shared" si="41"/>
        <v>1.25</v>
      </c>
      <c r="X133" s="136">
        <f t="shared" si="41"/>
        <v>1.25</v>
      </c>
      <c r="Y133" s="136">
        <f t="shared" si="41"/>
        <v>1.25</v>
      </c>
      <c r="Z133" s="136">
        <f t="shared" si="41"/>
        <v>1.25</v>
      </c>
      <c r="AA133" s="136">
        <f t="shared" si="41"/>
        <v>1.25</v>
      </c>
      <c r="AB133" s="136">
        <f t="shared" si="41"/>
        <v>1.25</v>
      </c>
      <c r="AC133" s="136">
        <f t="shared" si="41"/>
        <v>1.25</v>
      </c>
      <c r="AD133" s="136">
        <f t="shared" si="41"/>
        <v>1.25</v>
      </c>
      <c r="AE133" s="136">
        <f t="shared" si="41"/>
        <v>1.25</v>
      </c>
      <c r="AF133" s="136">
        <f t="shared" si="41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39"/>
        <v>1.1499999999999999</v>
      </c>
      <c r="C134" s="137">
        <v>1.1499999999999999</v>
      </c>
      <c r="D134" s="136">
        <f t="shared" si="40"/>
        <v>1.1499999999999999</v>
      </c>
      <c r="E134" s="136">
        <f t="shared" si="40"/>
        <v>1.1499999999999999</v>
      </c>
      <c r="F134" s="136">
        <f t="shared" si="40"/>
        <v>1.1499999999999999</v>
      </c>
      <c r="G134" s="136">
        <f t="shared" si="40"/>
        <v>1.1499999999999999</v>
      </c>
      <c r="H134" s="136">
        <f t="shared" si="40"/>
        <v>1.1499999999999999</v>
      </c>
      <c r="I134" s="136">
        <f t="shared" si="40"/>
        <v>1.1499999999999999</v>
      </c>
      <c r="J134" s="136">
        <f t="shared" si="40"/>
        <v>1.1499999999999999</v>
      </c>
      <c r="K134" s="136">
        <f t="shared" si="40"/>
        <v>1.1499999999999999</v>
      </c>
      <c r="L134" s="136">
        <f t="shared" si="40"/>
        <v>1.1499999999999999</v>
      </c>
      <c r="M134" s="136">
        <f t="shared" si="40"/>
        <v>1.1499999999999999</v>
      </c>
      <c r="N134" s="136">
        <f t="shared" si="40"/>
        <v>1.1499999999999999</v>
      </c>
      <c r="O134" s="136">
        <f t="shared" si="40"/>
        <v>1.1499999999999999</v>
      </c>
      <c r="P134" s="136">
        <f t="shared" si="40"/>
        <v>1.1499999999999999</v>
      </c>
      <c r="Q134" s="136">
        <f t="shared" si="40"/>
        <v>1.1499999999999999</v>
      </c>
      <c r="R134" s="136">
        <f t="shared" si="40"/>
        <v>1.1499999999999999</v>
      </c>
      <c r="S134" s="136">
        <f t="shared" si="40"/>
        <v>1.1499999999999999</v>
      </c>
      <c r="T134" s="136">
        <f t="shared" si="41"/>
        <v>1.1499999999999999</v>
      </c>
      <c r="U134" s="136">
        <f t="shared" si="41"/>
        <v>1.1499999999999999</v>
      </c>
      <c r="V134" s="136">
        <f t="shared" si="41"/>
        <v>1.1499999999999999</v>
      </c>
      <c r="W134" s="136">
        <f t="shared" si="41"/>
        <v>1.1499999999999999</v>
      </c>
      <c r="X134" s="136">
        <f t="shared" si="41"/>
        <v>1.1499999999999999</v>
      </c>
      <c r="Y134" s="136">
        <f t="shared" si="41"/>
        <v>1.1499999999999999</v>
      </c>
      <c r="Z134" s="136">
        <f t="shared" si="41"/>
        <v>1.1499999999999999</v>
      </c>
      <c r="AA134" s="136">
        <f t="shared" si="41"/>
        <v>1.1499999999999999</v>
      </c>
      <c r="AB134" s="136">
        <f t="shared" si="41"/>
        <v>1.1499999999999999</v>
      </c>
      <c r="AC134" s="136">
        <f t="shared" si="41"/>
        <v>1.1499999999999999</v>
      </c>
      <c r="AD134" s="136">
        <f t="shared" si="41"/>
        <v>1.1499999999999999</v>
      </c>
      <c r="AE134" s="136">
        <f t="shared" si="41"/>
        <v>1.1499999999999999</v>
      </c>
      <c r="AF134" s="136">
        <f t="shared" si="41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39"/>
        <v>2.133</v>
      </c>
      <c r="C135" s="137">
        <v>2.133</v>
      </c>
      <c r="D135" s="136">
        <f t="shared" si="40"/>
        <v>2.133</v>
      </c>
      <c r="E135" s="136">
        <f t="shared" si="40"/>
        <v>2.133</v>
      </c>
      <c r="F135" s="136">
        <f t="shared" si="40"/>
        <v>2.133</v>
      </c>
      <c r="G135" s="136">
        <f t="shared" si="40"/>
        <v>2.133</v>
      </c>
      <c r="H135" s="136">
        <f t="shared" si="40"/>
        <v>2.133</v>
      </c>
      <c r="I135" s="136">
        <f t="shared" si="40"/>
        <v>2.133</v>
      </c>
      <c r="J135" s="136">
        <f t="shared" si="40"/>
        <v>2.133</v>
      </c>
      <c r="K135" s="136">
        <f t="shared" si="40"/>
        <v>2.133</v>
      </c>
      <c r="L135" s="136">
        <f t="shared" si="40"/>
        <v>2.133</v>
      </c>
      <c r="M135" s="136">
        <f t="shared" si="40"/>
        <v>2.133</v>
      </c>
      <c r="N135" s="136">
        <f t="shared" si="40"/>
        <v>2.133</v>
      </c>
      <c r="O135" s="136">
        <f t="shared" si="40"/>
        <v>2.133</v>
      </c>
      <c r="P135" s="136">
        <f t="shared" si="40"/>
        <v>2.133</v>
      </c>
      <c r="Q135" s="136">
        <f t="shared" si="40"/>
        <v>2.133</v>
      </c>
      <c r="R135" s="136">
        <f t="shared" si="40"/>
        <v>2.133</v>
      </c>
      <c r="S135" s="136">
        <f t="shared" si="40"/>
        <v>2.133</v>
      </c>
      <c r="T135" s="136">
        <f t="shared" si="41"/>
        <v>2.133</v>
      </c>
      <c r="U135" s="136">
        <f t="shared" si="41"/>
        <v>2.133</v>
      </c>
      <c r="V135" s="136">
        <f t="shared" si="41"/>
        <v>2.133</v>
      </c>
      <c r="W135" s="136">
        <f t="shared" si="41"/>
        <v>2.133</v>
      </c>
      <c r="X135" s="136">
        <f t="shared" si="41"/>
        <v>2.133</v>
      </c>
      <c r="Y135" s="136">
        <f t="shared" si="41"/>
        <v>2.133</v>
      </c>
      <c r="Z135" s="136">
        <f t="shared" si="41"/>
        <v>2.133</v>
      </c>
      <c r="AA135" s="136">
        <f t="shared" si="41"/>
        <v>2.133</v>
      </c>
      <c r="AB135" s="136">
        <f t="shared" si="41"/>
        <v>2.133</v>
      </c>
      <c r="AC135" s="136">
        <f t="shared" si="41"/>
        <v>2.133</v>
      </c>
      <c r="AD135" s="136">
        <f t="shared" si="41"/>
        <v>2.133</v>
      </c>
      <c r="AE135" s="136">
        <f t="shared" si="41"/>
        <v>2.133</v>
      </c>
      <c r="AF135" s="136">
        <f t="shared" si="41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39"/>
        <v>2.09</v>
      </c>
      <c r="C136" s="137">
        <v>2.09</v>
      </c>
      <c r="D136" s="136">
        <f t="shared" si="40"/>
        <v>2.09</v>
      </c>
      <c r="E136" s="136">
        <f t="shared" si="40"/>
        <v>2.09</v>
      </c>
      <c r="F136" s="136">
        <f t="shared" si="40"/>
        <v>2.09</v>
      </c>
      <c r="G136" s="136">
        <f t="shared" si="40"/>
        <v>2.09</v>
      </c>
      <c r="H136" s="136">
        <f t="shared" si="40"/>
        <v>2.09</v>
      </c>
      <c r="I136" s="136">
        <f t="shared" si="40"/>
        <v>2.09</v>
      </c>
      <c r="J136" s="136">
        <f t="shared" si="40"/>
        <v>2.09</v>
      </c>
      <c r="K136" s="136">
        <f t="shared" si="40"/>
        <v>2.09</v>
      </c>
      <c r="L136" s="136">
        <f t="shared" si="40"/>
        <v>2.09</v>
      </c>
      <c r="M136" s="136">
        <f t="shared" si="40"/>
        <v>2.09</v>
      </c>
      <c r="N136" s="136">
        <f t="shared" si="40"/>
        <v>2.09</v>
      </c>
      <c r="O136" s="136">
        <f t="shared" si="40"/>
        <v>2.09</v>
      </c>
      <c r="P136" s="136">
        <f t="shared" si="40"/>
        <v>2.09</v>
      </c>
      <c r="Q136" s="136">
        <f t="shared" si="40"/>
        <v>2.09</v>
      </c>
      <c r="R136" s="136">
        <f t="shared" si="40"/>
        <v>2.09</v>
      </c>
      <c r="S136" s="136">
        <f t="shared" si="40"/>
        <v>2.09</v>
      </c>
      <c r="T136" s="136">
        <f t="shared" si="41"/>
        <v>2.09</v>
      </c>
      <c r="U136" s="136">
        <f t="shared" si="41"/>
        <v>2.09</v>
      </c>
      <c r="V136" s="136">
        <f t="shared" si="41"/>
        <v>2.09</v>
      </c>
      <c r="W136" s="136">
        <f t="shared" si="41"/>
        <v>2.09</v>
      </c>
      <c r="X136" s="136">
        <f t="shared" si="41"/>
        <v>2.09</v>
      </c>
      <c r="Y136" s="136">
        <f t="shared" si="41"/>
        <v>2.09</v>
      </c>
      <c r="Z136" s="136">
        <f t="shared" si="41"/>
        <v>2.09</v>
      </c>
      <c r="AA136" s="136">
        <f t="shared" si="41"/>
        <v>2.09</v>
      </c>
      <c r="AB136" s="136">
        <f t="shared" si="41"/>
        <v>2.09</v>
      </c>
      <c r="AC136" s="136">
        <f t="shared" si="41"/>
        <v>2.09</v>
      </c>
      <c r="AD136" s="136">
        <f t="shared" si="41"/>
        <v>2.09</v>
      </c>
      <c r="AE136" s="136">
        <f t="shared" si="41"/>
        <v>2.09</v>
      </c>
      <c r="AF136" s="136">
        <f t="shared" si="41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39"/>
        <v>1.1399999999999999</v>
      </c>
      <c r="C137" s="137">
        <v>1.1399999999999999</v>
      </c>
      <c r="D137" s="136">
        <f t="shared" si="40"/>
        <v>1.1399999999999999</v>
      </c>
      <c r="E137" s="136">
        <f t="shared" si="40"/>
        <v>1.1399999999999999</v>
      </c>
      <c r="F137" s="136">
        <f t="shared" si="40"/>
        <v>1.1399999999999999</v>
      </c>
      <c r="G137" s="136">
        <f t="shared" si="40"/>
        <v>1.1399999999999999</v>
      </c>
      <c r="H137" s="136">
        <f t="shared" si="40"/>
        <v>1.1399999999999999</v>
      </c>
      <c r="I137" s="136">
        <f t="shared" si="40"/>
        <v>1.1399999999999999</v>
      </c>
      <c r="J137" s="136">
        <f t="shared" si="40"/>
        <v>1.1399999999999999</v>
      </c>
      <c r="K137" s="136">
        <f t="shared" si="40"/>
        <v>1.1399999999999999</v>
      </c>
      <c r="L137" s="136">
        <f t="shared" si="40"/>
        <v>1.1399999999999999</v>
      </c>
      <c r="M137" s="136">
        <f t="shared" si="40"/>
        <v>1.1399999999999999</v>
      </c>
      <c r="N137" s="136">
        <f t="shared" si="40"/>
        <v>1.1399999999999999</v>
      </c>
      <c r="O137" s="136">
        <f t="shared" si="40"/>
        <v>1.1399999999999999</v>
      </c>
      <c r="P137" s="136">
        <f t="shared" si="40"/>
        <v>1.1399999999999999</v>
      </c>
      <c r="Q137" s="136">
        <f t="shared" si="40"/>
        <v>1.1399999999999999</v>
      </c>
      <c r="R137" s="136">
        <f t="shared" si="40"/>
        <v>1.1399999999999999</v>
      </c>
      <c r="S137" s="136">
        <f t="shared" si="40"/>
        <v>1.1399999999999999</v>
      </c>
      <c r="T137" s="136">
        <f t="shared" si="41"/>
        <v>1.1399999999999999</v>
      </c>
      <c r="U137" s="136">
        <f t="shared" si="41"/>
        <v>1.1399999999999999</v>
      </c>
      <c r="V137" s="136">
        <f t="shared" si="41"/>
        <v>1.1399999999999999</v>
      </c>
      <c r="W137" s="136">
        <f t="shared" si="41"/>
        <v>1.1399999999999999</v>
      </c>
      <c r="X137" s="136">
        <f t="shared" si="41"/>
        <v>1.1399999999999999</v>
      </c>
      <c r="Y137" s="136">
        <f t="shared" si="41"/>
        <v>1.1399999999999999</v>
      </c>
      <c r="Z137" s="136">
        <f t="shared" si="41"/>
        <v>1.1399999999999999</v>
      </c>
      <c r="AA137" s="136">
        <f t="shared" si="41"/>
        <v>1.1399999999999999</v>
      </c>
      <c r="AB137" s="136">
        <f t="shared" si="41"/>
        <v>1.1399999999999999</v>
      </c>
      <c r="AC137" s="136">
        <f t="shared" si="41"/>
        <v>1.1399999999999999</v>
      </c>
      <c r="AD137" s="136">
        <f t="shared" si="41"/>
        <v>1.1399999999999999</v>
      </c>
      <c r="AE137" s="136">
        <f t="shared" si="41"/>
        <v>1.1399999999999999</v>
      </c>
      <c r="AF137" s="136">
        <f t="shared" si="41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39"/>
        <v>0.82</v>
      </c>
      <c r="C138" s="137">
        <v>0.82</v>
      </c>
      <c r="D138" s="136">
        <f t="shared" si="40"/>
        <v>0.82</v>
      </c>
      <c r="E138" s="136">
        <f t="shared" si="40"/>
        <v>0.82</v>
      </c>
      <c r="F138" s="136">
        <f t="shared" si="40"/>
        <v>0.82</v>
      </c>
      <c r="G138" s="136">
        <f t="shared" si="40"/>
        <v>0.82</v>
      </c>
      <c r="H138" s="136">
        <f t="shared" si="40"/>
        <v>0.82</v>
      </c>
      <c r="I138" s="136">
        <f t="shared" si="40"/>
        <v>0.82</v>
      </c>
      <c r="J138" s="136">
        <f t="shared" si="40"/>
        <v>0.82</v>
      </c>
      <c r="K138" s="136">
        <f t="shared" si="40"/>
        <v>0.82</v>
      </c>
      <c r="L138" s="136">
        <f t="shared" si="40"/>
        <v>0.82</v>
      </c>
      <c r="M138" s="136">
        <f t="shared" si="40"/>
        <v>0.82</v>
      </c>
      <c r="N138" s="136">
        <f t="shared" si="40"/>
        <v>0.82</v>
      </c>
      <c r="O138" s="136">
        <f t="shared" si="40"/>
        <v>0.82</v>
      </c>
      <c r="P138" s="136">
        <f t="shared" si="40"/>
        <v>0.82</v>
      </c>
      <c r="Q138" s="136">
        <f t="shared" si="40"/>
        <v>0.82</v>
      </c>
      <c r="R138" s="136">
        <f t="shared" si="40"/>
        <v>0.82</v>
      </c>
      <c r="S138" s="136">
        <f t="shared" si="40"/>
        <v>0.82</v>
      </c>
      <c r="T138" s="136">
        <f t="shared" si="41"/>
        <v>0.82</v>
      </c>
      <c r="U138" s="136">
        <f t="shared" si="41"/>
        <v>0.82</v>
      </c>
      <c r="V138" s="136">
        <f t="shared" si="41"/>
        <v>0.82</v>
      </c>
      <c r="W138" s="136">
        <f t="shared" si="41"/>
        <v>0.82</v>
      </c>
      <c r="X138" s="136">
        <f t="shared" si="41"/>
        <v>0.82</v>
      </c>
      <c r="Y138" s="136">
        <f t="shared" si="41"/>
        <v>0.82</v>
      </c>
      <c r="Z138" s="136">
        <f t="shared" si="41"/>
        <v>0.82</v>
      </c>
      <c r="AA138" s="136">
        <f t="shared" si="41"/>
        <v>0.82</v>
      </c>
      <c r="AB138" s="136">
        <f t="shared" si="41"/>
        <v>0.82</v>
      </c>
      <c r="AC138" s="136">
        <f t="shared" si="41"/>
        <v>0.82</v>
      </c>
      <c r="AD138" s="136">
        <f t="shared" si="41"/>
        <v>0.82</v>
      </c>
      <c r="AE138" s="136">
        <f t="shared" si="41"/>
        <v>0.82</v>
      </c>
      <c r="AF138" s="136">
        <f t="shared" si="41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42">AF140</f>
        <v>2</v>
      </c>
      <c r="C140" s="137">
        <v>2</v>
      </c>
      <c r="D140" s="136">
        <f t="shared" ref="D140:S146" si="43">C140</f>
        <v>2</v>
      </c>
      <c r="E140" s="136">
        <f t="shared" si="43"/>
        <v>2</v>
      </c>
      <c r="F140" s="136">
        <f t="shared" si="43"/>
        <v>2</v>
      </c>
      <c r="G140" s="136">
        <f t="shared" si="43"/>
        <v>2</v>
      </c>
      <c r="H140" s="136">
        <f t="shared" si="43"/>
        <v>2</v>
      </c>
      <c r="I140" s="136">
        <f t="shared" si="43"/>
        <v>2</v>
      </c>
      <c r="J140" s="136">
        <f t="shared" si="43"/>
        <v>2</v>
      </c>
      <c r="K140" s="136">
        <f t="shared" si="43"/>
        <v>2</v>
      </c>
      <c r="L140" s="136">
        <f t="shared" si="43"/>
        <v>2</v>
      </c>
      <c r="M140" s="136">
        <f t="shared" si="43"/>
        <v>2</v>
      </c>
      <c r="N140" s="136">
        <f t="shared" si="43"/>
        <v>2</v>
      </c>
      <c r="O140" s="136">
        <f t="shared" si="43"/>
        <v>2</v>
      </c>
      <c r="P140" s="136">
        <f t="shared" si="43"/>
        <v>2</v>
      </c>
      <c r="Q140" s="136">
        <f t="shared" si="43"/>
        <v>2</v>
      </c>
      <c r="R140" s="136">
        <f t="shared" si="43"/>
        <v>2</v>
      </c>
      <c r="S140" s="136">
        <f t="shared" si="43"/>
        <v>2</v>
      </c>
      <c r="T140" s="136">
        <f t="shared" ref="T140:AF146" si="44">S140</f>
        <v>2</v>
      </c>
      <c r="U140" s="136">
        <f t="shared" si="44"/>
        <v>2</v>
      </c>
      <c r="V140" s="136">
        <f t="shared" si="44"/>
        <v>2</v>
      </c>
      <c r="W140" s="136">
        <f t="shared" si="44"/>
        <v>2</v>
      </c>
      <c r="X140" s="136">
        <f t="shared" si="44"/>
        <v>2</v>
      </c>
      <c r="Y140" s="136">
        <f t="shared" si="44"/>
        <v>2</v>
      </c>
      <c r="Z140" s="136">
        <f t="shared" si="44"/>
        <v>2</v>
      </c>
      <c r="AA140" s="136">
        <f t="shared" si="44"/>
        <v>2</v>
      </c>
      <c r="AB140" s="136">
        <f t="shared" si="44"/>
        <v>2</v>
      </c>
      <c r="AC140" s="136">
        <f t="shared" si="44"/>
        <v>2</v>
      </c>
      <c r="AD140" s="136">
        <f t="shared" si="44"/>
        <v>2</v>
      </c>
      <c r="AE140" s="136">
        <f t="shared" si="44"/>
        <v>2</v>
      </c>
      <c r="AF140" s="136">
        <f t="shared" si="44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42"/>
        <v>5.61</v>
      </c>
      <c r="C141" s="137">
        <v>5.61</v>
      </c>
      <c r="D141" s="136">
        <f t="shared" si="43"/>
        <v>5.61</v>
      </c>
      <c r="E141" s="136">
        <f t="shared" si="43"/>
        <v>5.61</v>
      </c>
      <c r="F141" s="136">
        <f t="shared" si="43"/>
        <v>5.61</v>
      </c>
      <c r="G141" s="136">
        <f t="shared" si="43"/>
        <v>5.61</v>
      </c>
      <c r="H141" s="136">
        <f t="shared" si="43"/>
        <v>5.61</v>
      </c>
      <c r="I141" s="136">
        <f t="shared" si="43"/>
        <v>5.61</v>
      </c>
      <c r="J141" s="136">
        <f t="shared" si="43"/>
        <v>5.61</v>
      </c>
      <c r="K141" s="136">
        <f t="shared" si="43"/>
        <v>5.61</v>
      </c>
      <c r="L141" s="136">
        <f t="shared" si="43"/>
        <v>5.61</v>
      </c>
      <c r="M141" s="136">
        <f t="shared" si="43"/>
        <v>5.61</v>
      </c>
      <c r="N141" s="136">
        <f t="shared" si="43"/>
        <v>5.61</v>
      </c>
      <c r="O141" s="136">
        <f t="shared" si="43"/>
        <v>5.61</v>
      </c>
      <c r="P141" s="136">
        <f t="shared" si="43"/>
        <v>5.61</v>
      </c>
      <c r="Q141" s="136">
        <f t="shared" si="43"/>
        <v>5.61</v>
      </c>
      <c r="R141" s="136">
        <f t="shared" si="43"/>
        <v>5.61</v>
      </c>
      <c r="S141" s="136">
        <f t="shared" si="43"/>
        <v>5.61</v>
      </c>
      <c r="T141" s="136">
        <f t="shared" si="44"/>
        <v>5.61</v>
      </c>
      <c r="U141" s="136">
        <f t="shared" si="44"/>
        <v>5.61</v>
      </c>
      <c r="V141" s="136">
        <f t="shared" si="44"/>
        <v>5.61</v>
      </c>
      <c r="W141" s="136">
        <f t="shared" si="44"/>
        <v>5.61</v>
      </c>
      <c r="X141" s="136">
        <f t="shared" si="44"/>
        <v>5.61</v>
      </c>
      <c r="Y141" s="136">
        <f t="shared" si="44"/>
        <v>5.61</v>
      </c>
      <c r="Z141" s="136">
        <f t="shared" si="44"/>
        <v>5.61</v>
      </c>
      <c r="AA141" s="136">
        <f t="shared" si="44"/>
        <v>5.61</v>
      </c>
      <c r="AB141" s="136">
        <f t="shared" si="44"/>
        <v>5.61</v>
      </c>
      <c r="AC141" s="136">
        <f t="shared" si="44"/>
        <v>5.61</v>
      </c>
      <c r="AD141" s="136">
        <f t="shared" si="44"/>
        <v>5.61</v>
      </c>
      <c r="AE141" s="136">
        <f t="shared" si="44"/>
        <v>5.61</v>
      </c>
      <c r="AF141" s="136">
        <f t="shared" si="44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42"/>
        <v>1.25</v>
      </c>
      <c r="C142" s="137">
        <v>1.25</v>
      </c>
      <c r="D142" s="136">
        <f t="shared" si="43"/>
        <v>1.25</v>
      </c>
      <c r="E142" s="136">
        <f t="shared" si="43"/>
        <v>1.25</v>
      </c>
      <c r="F142" s="136">
        <f t="shared" si="43"/>
        <v>1.25</v>
      </c>
      <c r="G142" s="136">
        <f t="shared" si="43"/>
        <v>1.25</v>
      </c>
      <c r="H142" s="136">
        <f t="shared" si="43"/>
        <v>1.25</v>
      </c>
      <c r="I142" s="136">
        <f t="shared" si="43"/>
        <v>1.25</v>
      </c>
      <c r="J142" s="136">
        <f t="shared" si="43"/>
        <v>1.25</v>
      </c>
      <c r="K142" s="136">
        <f t="shared" si="43"/>
        <v>1.25</v>
      </c>
      <c r="L142" s="136">
        <f t="shared" si="43"/>
        <v>1.25</v>
      </c>
      <c r="M142" s="136">
        <f t="shared" si="43"/>
        <v>1.25</v>
      </c>
      <c r="N142" s="136">
        <f t="shared" si="43"/>
        <v>1.25</v>
      </c>
      <c r="O142" s="136">
        <f t="shared" si="43"/>
        <v>1.25</v>
      </c>
      <c r="P142" s="136">
        <f t="shared" si="43"/>
        <v>1.25</v>
      </c>
      <c r="Q142" s="136">
        <f t="shared" si="43"/>
        <v>1.25</v>
      </c>
      <c r="R142" s="136">
        <f t="shared" si="43"/>
        <v>1.25</v>
      </c>
      <c r="S142" s="136">
        <f t="shared" si="43"/>
        <v>1.25</v>
      </c>
      <c r="T142" s="136">
        <f t="shared" si="44"/>
        <v>1.25</v>
      </c>
      <c r="U142" s="136">
        <f t="shared" si="44"/>
        <v>1.25</v>
      </c>
      <c r="V142" s="136">
        <f t="shared" si="44"/>
        <v>1.25</v>
      </c>
      <c r="W142" s="136">
        <f t="shared" si="44"/>
        <v>1.25</v>
      </c>
      <c r="X142" s="136">
        <f t="shared" si="44"/>
        <v>1.25</v>
      </c>
      <c r="Y142" s="136">
        <f t="shared" si="44"/>
        <v>1.25</v>
      </c>
      <c r="Z142" s="136">
        <f t="shared" si="44"/>
        <v>1.25</v>
      </c>
      <c r="AA142" s="136">
        <f t="shared" si="44"/>
        <v>1.25</v>
      </c>
      <c r="AB142" s="136">
        <f t="shared" si="44"/>
        <v>1.25</v>
      </c>
      <c r="AC142" s="136">
        <f t="shared" si="44"/>
        <v>1.25</v>
      </c>
      <c r="AD142" s="136">
        <f t="shared" si="44"/>
        <v>1.25</v>
      </c>
      <c r="AE142" s="136">
        <f t="shared" si="44"/>
        <v>1.25</v>
      </c>
      <c r="AF142" s="136">
        <f t="shared" si="44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42"/>
        <v>1.25</v>
      </c>
      <c r="C143" s="137">
        <v>1.25</v>
      </c>
      <c r="D143" s="136">
        <f t="shared" si="43"/>
        <v>1.25</v>
      </c>
      <c r="E143" s="136">
        <f t="shared" si="43"/>
        <v>1.25</v>
      </c>
      <c r="F143" s="136">
        <f t="shared" si="43"/>
        <v>1.25</v>
      </c>
      <c r="G143" s="136">
        <f t="shared" si="43"/>
        <v>1.25</v>
      </c>
      <c r="H143" s="136">
        <f t="shared" si="43"/>
        <v>1.25</v>
      </c>
      <c r="I143" s="136">
        <f t="shared" si="43"/>
        <v>1.25</v>
      </c>
      <c r="J143" s="136">
        <f t="shared" si="43"/>
        <v>1.25</v>
      </c>
      <c r="K143" s="136">
        <f t="shared" si="43"/>
        <v>1.25</v>
      </c>
      <c r="L143" s="136">
        <f t="shared" si="43"/>
        <v>1.25</v>
      </c>
      <c r="M143" s="136">
        <f t="shared" si="43"/>
        <v>1.25</v>
      </c>
      <c r="N143" s="136">
        <f t="shared" si="43"/>
        <v>1.25</v>
      </c>
      <c r="O143" s="136">
        <f t="shared" si="43"/>
        <v>1.25</v>
      </c>
      <c r="P143" s="136">
        <f t="shared" si="43"/>
        <v>1.25</v>
      </c>
      <c r="Q143" s="136">
        <f t="shared" si="43"/>
        <v>1.25</v>
      </c>
      <c r="R143" s="136">
        <f t="shared" si="43"/>
        <v>1.25</v>
      </c>
      <c r="S143" s="136">
        <f t="shared" si="43"/>
        <v>1.25</v>
      </c>
      <c r="T143" s="136">
        <f t="shared" si="44"/>
        <v>1.25</v>
      </c>
      <c r="U143" s="136">
        <f t="shared" si="44"/>
        <v>1.25</v>
      </c>
      <c r="V143" s="136">
        <f t="shared" si="44"/>
        <v>1.25</v>
      </c>
      <c r="W143" s="136">
        <f t="shared" si="44"/>
        <v>1.25</v>
      </c>
      <c r="X143" s="136">
        <f t="shared" si="44"/>
        <v>1.25</v>
      </c>
      <c r="Y143" s="136">
        <f t="shared" si="44"/>
        <v>1.25</v>
      </c>
      <c r="Z143" s="136">
        <f t="shared" si="44"/>
        <v>1.25</v>
      </c>
      <c r="AA143" s="136">
        <f t="shared" si="44"/>
        <v>1.25</v>
      </c>
      <c r="AB143" s="136">
        <f t="shared" si="44"/>
        <v>1.25</v>
      </c>
      <c r="AC143" s="136">
        <f t="shared" si="44"/>
        <v>1.25</v>
      </c>
      <c r="AD143" s="136">
        <f t="shared" si="44"/>
        <v>1.25</v>
      </c>
      <c r="AE143" s="136">
        <f t="shared" si="44"/>
        <v>1.25</v>
      </c>
      <c r="AF143" s="136">
        <f t="shared" si="44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42"/>
        <v>1.46</v>
      </c>
      <c r="C144" s="137">
        <v>1.46</v>
      </c>
      <c r="D144" s="136">
        <f t="shared" si="43"/>
        <v>1.46</v>
      </c>
      <c r="E144" s="136">
        <f t="shared" si="43"/>
        <v>1.46</v>
      </c>
      <c r="F144" s="136">
        <f t="shared" si="43"/>
        <v>1.46</v>
      </c>
      <c r="G144" s="136">
        <f t="shared" si="43"/>
        <v>1.46</v>
      </c>
      <c r="H144" s="136">
        <f t="shared" si="43"/>
        <v>1.46</v>
      </c>
      <c r="I144" s="136">
        <f t="shared" si="43"/>
        <v>1.46</v>
      </c>
      <c r="J144" s="136">
        <f t="shared" si="43"/>
        <v>1.46</v>
      </c>
      <c r="K144" s="136">
        <f t="shared" si="43"/>
        <v>1.46</v>
      </c>
      <c r="L144" s="136">
        <f t="shared" si="43"/>
        <v>1.46</v>
      </c>
      <c r="M144" s="136">
        <f t="shared" si="43"/>
        <v>1.46</v>
      </c>
      <c r="N144" s="136">
        <f t="shared" si="43"/>
        <v>1.46</v>
      </c>
      <c r="O144" s="136">
        <f t="shared" si="43"/>
        <v>1.46</v>
      </c>
      <c r="P144" s="136">
        <f t="shared" si="43"/>
        <v>1.46</v>
      </c>
      <c r="Q144" s="136">
        <f t="shared" si="43"/>
        <v>1.46</v>
      </c>
      <c r="R144" s="136">
        <f t="shared" si="43"/>
        <v>1.46</v>
      </c>
      <c r="S144" s="136">
        <f t="shared" si="43"/>
        <v>1.46</v>
      </c>
      <c r="T144" s="136">
        <f t="shared" si="44"/>
        <v>1.46</v>
      </c>
      <c r="U144" s="136">
        <f t="shared" si="44"/>
        <v>1.46</v>
      </c>
      <c r="V144" s="136">
        <f t="shared" si="44"/>
        <v>1.46</v>
      </c>
      <c r="W144" s="136">
        <f t="shared" si="44"/>
        <v>1.46</v>
      </c>
      <c r="X144" s="136">
        <f t="shared" si="44"/>
        <v>1.46</v>
      </c>
      <c r="Y144" s="136">
        <f t="shared" si="44"/>
        <v>1.46</v>
      </c>
      <c r="Z144" s="136">
        <f t="shared" si="44"/>
        <v>1.46</v>
      </c>
      <c r="AA144" s="136">
        <f t="shared" si="44"/>
        <v>1.46</v>
      </c>
      <c r="AB144" s="136">
        <f t="shared" si="44"/>
        <v>1.46</v>
      </c>
      <c r="AC144" s="136">
        <f t="shared" si="44"/>
        <v>1.46</v>
      </c>
      <c r="AD144" s="136">
        <f t="shared" si="44"/>
        <v>1.46</v>
      </c>
      <c r="AE144" s="136">
        <f t="shared" si="44"/>
        <v>1.46</v>
      </c>
      <c r="AF144" s="136">
        <f t="shared" si="44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42"/>
        <v>3</v>
      </c>
      <c r="C145" s="137">
        <v>3</v>
      </c>
      <c r="D145" s="136">
        <f t="shared" si="43"/>
        <v>3</v>
      </c>
      <c r="E145" s="136">
        <f t="shared" si="43"/>
        <v>3</v>
      </c>
      <c r="F145" s="136">
        <f t="shared" si="43"/>
        <v>3</v>
      </c>
      <c r="G145" s="136">
        <f t="shared" si="43"/>
        <v>3</v>
      </c>
      <c r="H145" s="136">
        <f t="shared" si="43"/>
        <v>3</v>
      </c>
      <c r="I145" s="136">
        <f t="shared" si="43"/>
        <v>3</v>
      </c>
      <c r="J145" s="136">
        <f t="shared" si="43"/>
        <v>3</v>
      </c>
      <c r="K145" s="136">
        <f t="shared" si="43"/>
        <v>3</v>
      </c>
      <c r="L145" s="136">
        <f t="shared" si="43"/>
        <v>3</v>
      </c>
      <c r="M145" s="136">
        <f t="shared" si="43"/>
        <v>3</v>
      </c>
      <c r="N145" s="136">
        <f t="shared" si="43"/>
        <v>3</v>
      </c>
      <c r="O145" s="136">
        <f t="shared" si="43"/>
        <v>3</v>
      </c>
      <c r="P145" s="136">
        <f t="shared" si="43"/>
        <v>3</v>
      </c>
      <c r="Q145" s="136">
        <f t="shared" si="43"/>
        <v>3</v>
      </c>
      <c r="R145" s="136">
        <f t="shared" si="43"/>
        <v>3</v>
      </c>
      <c r="S145" s="136">
        <f t="shared" si="43"/>
        <v>3</v>
      </c>
      <c r="T145" s="136">
        <f t="shared" si="44"/>
        <v>3</v>
      </c>
      <c r="U145" s="136">
        <f t="shared" si="44"/>
        <v>3</v>
      </c>
      <c r="V145" s="136">
        <f t="shared" si="44"/>
        <v>3</v>
      </c>
      <c r="W145" s="136">
        <f t="shared" si="44"/>
        <v>3</v>
      </c>
      <c r="X145" s="136">
        <f t="shared" si="44"/>
        <v>3</v>
      </c>
      <c r="Y145" s="136">
        <f t="shared" si="44"/>
        <v>3</v>
      </c>
      <c r="Z145" s="136">
        <f t="shared" si="44"/>
        <v>3</v>
      </c>
      <c r="AA145" s="136">
        <f t="shared" si="44"/>
        <v>3</v>
      </c>
      <c r="AB145" s="136">
        <f t="shared" si="44"/>
        <v>3</v>
      </c>
      <c r="AC145" s="136">
        <f t="shared" si="44"/>
        <v>3</v>
      </c>
      <c r="AD145" s="136">
        <f t="shared" si="44"/>
        <v>3</v>
      </c>
      <c r="AE145" s="136">
        <f t="shared" si="44"/>
        <v>3</v>
      </c>
      <c r="AF145" s="136">
        <f t="shared" si="44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42"/>
        <v>3.3</v>
      </c>
      <c r="C146" s="137">
        <v>3.3</v>
      </c>
      <c r="D146" s="136">
        <f t="shared" si="43"/>
        <v>3.3</v>
      </c>
      <c r="E146" s="136">
        <f t="shared" si="43"/>
        <v>3.3</v>
      </c>
      <c r="F146" s="136">
        <f t="shared" si="43"/>
        <v>3.3</v>
      </c>
      <c r="G146" s="136">
        <f t="shared" si="43"/>
        <v>3.3</v>
      </c>
      <c r="H146" s="136">
        <f t="shared" si="43"/>
        <v>3.3</v>
      </c>
      <c r="I146" s="136">
        <f t="shared" si="43"/>
        <v>3.3</v>
      </c>
      <c r="J146" s="136">
        <f t="shared" si="43"/>
        <v>3.3</v>
      </c>
      <c r="K146" s="136">
        <f t="shared" si="43"/>
        <v>3.3</v>
      </c>
      <c r="L146" s="136">
        <f t="shared" si="43"/>
        <v>3.3</v>
      </c>
      <c r="M146" s="136">
        <f t="shared" si="43"/>
        <v>3.3</v>
      </c>
      <c r="N146" s="136">
        <f t="shared" si="43"/>
        <v>3.3</v>
      </c>
      <c r="O146" s="136">
        <f t="shared" si="43"/>
        <v>3.3</v>
      </c>
      <c r="P146" s="136">
        <f t="shared" si="43"/>
        <v>3.3</v>
      </c>
      <c r="Q146" s="136">
        <f t="shared" si="43"/>
        <v>3.3</v>
      </c>
      <c r="R146" s="136">
        <f t="shared" si="43"/>
        <v>3.3</v>
      </c>
      <c r="S146" s="136">
        <f t="shared" si="43"/>
        <v>3.3</v>
      </c>
      <c r="T146" s="136">
        <f t="shared" si="44"/>
        <v>3.3</v>
      </c>
      <c r="U146" s="136">
        <f t="shared" si="44"/>
        <v>3.3</v>
      </c>
      <c r="V146" s="136">
        <f t="shared" si="44"/>
        <v>3.3</v>
      </c>
      <c r="W146" s="136">
        <f t="shared" si="44"/>
        <v>3.3</v>
      </c>
      <c r="X146" s="136">
        <f t="shared" si="44"/>
        <v>3.3</v>
      </c>
      <c r="Y146" s="136">
        <f t="shared" si="44"/>
        <v>3.3</v>
      </c>
      <c r="Z146" s="136">
        <f t="shared" si="44"/>
        <v>3.3</v>
      </c>
      <c r="AA146" s="136">
        <f t="shared" si="44"/>
        <v>3.3</v>
      </c>
      <c r="AB146" s="136">
        <f t="shared" si="44"/>
        <v>3.3</v>
      </c>
      <c r="AC146" s="136">
        <f t="shared" si="44"/>
        <v>3.3</v>
      </c>
      <c r="AD146" s="136">
        <f t="shared" si="44"/>
        <v>3.3</v>
      </c>
      <c r="AE146" s="136">
        <f t="shared" si="44"/>
        <v>3.3</v>
      </c>
      <c r="AF146" s="136">
        <f t="shared" si="44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45">C148</f>
        <v>1.76</v>
      </c>
      <c r="E148" s="136">
        <f t="shared" si="45"/>
        <v>1.76</v>
      </c>
      <c r="F148" s="136">
        <f t="shared" si="45"/>
        <v>1.76</v>
      </c>
      <c r="G148" s="136">
        <f t="shared" si="45"/>
        <v>1.76</v>
      </c>
      <c r="H148" s="136">
        <f t="shared" si="45"/>
        <v>1.76</v>
      </c>
      <c r="I148" s="136">
        <f t="shared" si="45"/>
        <v>1.76</v>
      </c>
      <c r="J148" s="136">
        <f t="shared" si="45"/>
        <v>1.76</v>
      </c>
      <c r="K148" s="136">
        <f t="shared" si="45"/>
        <v>1.76</v>
      </c>
      <c r="L148" s="136">
        <f t="shared" si="45"/>
        <v>1.76</v>
      </c>
      <c r="M148" s="136">
        <f t="shared" si="45"/>
        <v>1.76</v>
      </c>
      <c r="N148" s="136">
        <f t="shared" si="45"/>
        <v>1.76</v>
      </c>
      <c r="O148" s="136">
        <f t="shared" si="45"/>
        <v>1.76</v>
      </c>
      <c r="P148" s="136">
        <f t="shared" si="45"/>
        <v>1.76</v>
      </c>
      <c r="Q148" s="136">
        <f t="shared" si="45"/>
        <v>1.76</v>
      </c>
      <c r="R148" s="136">
        <f t="shared" si="45"/>
        <v>1.76</v>
      </c>
      <c r="S148" s="136">
        <f t="shared" si="45"/>
        <v>1.76</v>
      </c>
      <c r="T148" s="136">
        <f t="shared" ref="T148:AF149" si="46">S148</f>
        <v>1.76</v>
      </c>
      <c r="U148" s="136">
        <f t="shared" si="46"/>
        <v>1.76</v>
      </c>
      <c r="V148" s="136">
        <f t="shared" si="46"/>
        <v>1.76</v>
      </c>
      <c r="W148" s="136">
        <f t="shared" si="46"/>
        <v>1.76</v>
      </c>
      <c r="X148" s="136">
        <f t="shared" si="46"/>
        <v>1.76</v>
      </c>
      <c r="Y148" s="136">
        <f t="shared" si="46"/>
        <v>1.76</v>
      </c>
      <c r="Z148" s="136">
        <f t="shared" si="46"/>
        <v>1.76</v>
      </c>
      <c r="AA148" s="136">
        <f t="shared" si="46"/>
        <v>1.76</v>
      </c>
      <c r="AB148" s="136">
        <f t="shared" si="46"/>
        <v>1.76</v>
      </c>
      <c r="AC148" s="136">
        <f t="shared" si="46"/>
        <v>1.76</v>
      </c>
      <c r="AD148" s="136">
        <f t="shared" si="46"/>
        <v>1.76</v>
      </c>
      <c r="AE148" s="136">
        <f t="shared" si="46"/>
        <v>1.76</v>
      </c>
      <c r="AF148" s="136">
        <f t="shared" si="46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45"/>
        <v>0</v>
      </c>
      <c r="E149" s="136">
        <f t="shared" si="45"/>
        <v>0</v>
      </c>
      <c r="F149" s="136">
        <f t="shared" si="45"/>
        <v>0</v>
      </c>
      <c r="G149" s="136">
        <f t="shared" si="45"/>
        <v>0</v>
      </c>
      <c r="H149" s="136">
        <f t="shared" si="45"/>
        <v>0</v>
      </c>
      <c r="I149" s="136">
        <f t="shared" si="45"/>
        <v>0</v>
      </c>
      <c r="J149" s="136">
        <f t="shared" si="45"/>
        <v>0</v>
      </c>
      <c r="K149" s="136">
        <f t="shared" si="45"/>
        <v>0</v>
      </c>
      <c r="L149" s="136">
        <f t="shared" si="45"/>
        <v>0</v>
      </c>
      <c r="M149" s="136">
        <f t="shared" si="45"/>
        <v>0</v>
      </c>
      <c r="N149" s="136">
        <f t="shared" si="45"/>
        <v>0</v>
      </c>
      <c r="O149" s="136">
        <f t="shared" si="45"/>
        <v>0</v>
      </c>
      <c r="P149" s="136">
        <f t="shared" si="45"/>
        <v>0</v>
      </c>
      <c r="Q149" s="136">
        <f t="shared" si="45"/>
        <v>0</v>
      </c>
      <c r="R149" s="136">
        <f t="shared" si="45"/>
        <v>0</v>
      </c>
      <c r="S149" s="136">
        <f t="shared" si="45"/>
        <v>0</v>
      </c>
      <c r="T149" s="136">
        <f t="shared" si="46"/>
        <v>0</v>
      </c>
      <c r="U149" s="136">
        <f t="shared" si="46"/>
        <v>0</v>
      </c>
      <c r="V149" s="136">
        <f t="shared" si="46"/>
        <v>0</v>
      </c>
      <c r="W149" s="136">
        <f t="shared" si="46"/>
        <v>0</v>
      </c>
      <c r="X149" s="136">
        <f t="shared" si="46"/>
        <v>0</v>
      </c>
      <c r="Y149" s="136">
        <f t="shared" si="46"/>
        <v>0</v>
      </c>
      <c r="Z149" s="136">
        <f t="shared" si="46"/>
        <v>0</v>
      </c>
      <c r="AA149" s="136">
        <f t="shared" si="46"/>
        <v>0</v>
      </c>
      <c r="AB149" s="136">
        <f t="shared" si="46"/>
        <v>0</v>
      </c>
      <c r="AC149" s="136">
        <f t="shared" si="46"/>
        <v>0</v>
      </c>
      <c r="AD149" s="136">
        <f t="shared" si="46"/>
        <v>0</v>
      </c>
      <c r="AE149" s="136">
        <f t="shared" si="46"/>
        <v>0</v>
      </c>
      <c r="AF149" s="136">
        <f t="shared" si="46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47">C151</f>
        <v>0.1</v>
      </c>
      <c r="E151" s="136">
        <f t="shared" si="47"/>
        <v>0.1</v>
      </c>
      <c r="F151" s="136">
        <f t="shared" si="47"/>
        <v>0.1</v>
      </c>
      <c r="G151" s="136">
        <f t="shared" si="47"/>
        <v>0.1</v>
      </c>
      <c r="H151" s="136">
        <f t="shared" si="47"/>
        <v>0.1</v>
      </c>
      <c r="I151" s="136">
        <f t="shared" si="47"/>
        <v>0.1</v>
      </c>
      <c r="J151" s="136">
        <f t="shared" si="47"/>
        <v>0.1</v>
      </c>
      <c r="K151" s="136">
        <f t="shared" si="47"/>
        <v>0.1</v>
      </c>
      <c r="L151" s="136">
        <f t="shared" si="47"/>
        <v>0.1</v>
      </c>
      <c r="M151" s="136">
        <f t="shared" si="47"/>
        <v>0.1</v>
      </c>
      <c r="N151" s="136">
        <f t="shared" si="47"/>
        <v>0.1</v>
      </c>
      <c r="O151" s="136">
        <f t="shared" si="47"/>
        <v>0.1</v>
      </c>
      <c r="P151" s="136">
        <f t="shared" si="47"/>
        <v>0.1</v>
      </c>
      <c r="Q151" s="136">
        <f t="shared" si="47"/>
        <v>0.1</v>
      </c>
      <c r="R151" s="136">
        <f t="shared" si="47"/>
        <v>0.1</v>
      </c>
      <c r="S151" s="136">
        <f t="shared" si="47"/>
        <v>0.1</v>
      </c>
      <c r="T151" s="136">
        <f t="shared" ref="T151:AF154" si="48">S151</f>
        <v>0.1</v>
      </c>
      <c r="U151" s="136">
        <f t="shared" si="48"/>
        <v>0.1</v>
      </c>
      <c r="V151" s="136">
        <f t="shared" si="48"/>
        <v>0.1</v>
      </c>
      <c r="W151" s="136">
        <f t="shared" si="48"/>
        <v>0.1</v>
      </c>
      <c r="X151" s="136">
        <f t="shared" si="48"/>
        <v>0.1</v>
      </c>
      <c r="Y151" s="136">
        <f t="shared" si="48"/>
        <v>0.1</v>
      </c>
      <c r="Z151" s="136">
        <f t="shared" si="48"/>
        <v>0.1</v>
      </c>
      <c r="AA151" s="136">
        <f t="shared" si="48"/>
        <v>0.1</v>
      </c>
      <c r="AB151" s="136">
        <f t="shared" si="48"/>
        <v>0.1</v>
      </c>
      <c r="AC151" s="136">
        <f t="shared" si="48"/>
        <v>0.1</v>
      </c>
      <c r="AD151" s="136">
        <f t="shared" si="48"/>
        <v>0.1</v>
      </c>
      <c r="AE151" s="136">
        <f t="shared" si="48"/>
        <v>0.1</v>
      </c>
      <c r="AF151" s="136">
        <f t="shared" si="48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47"/>
        <v>2.0499999999999998</v>
      </c>
      <c r="E152" s="136">
        <f t="shared" si="47"/>
        <v>2.0499999999999998</v>
      </c>
      <c r="F152" s="136">
        <f t="shared" si="47"/>
        <v>2.0499999999999998</v>
      </c>
      <c r="G152" s="136">
        <f t="shared" si="47"/>
        <v>2.0499999999999998</v>
      </c>
      <c r="H152" s="136">
        <f t="shared" si="47"/>
        <v>2.0499999999999998</v>
      </c>
      <c r="I152" s="136">
        <f t="shared" si="47"/>
        <v>2.0499999999999998</v>
      </c>
      <c r="J152" s="136">
        <f t="shared" si="47"/>
        <v>2.0499999999999998</v>
      </c>
      <c r="K152" s="136">
        <f t="shared" si="47"/>
        <v>2.0499999999999998</v>
      </c>
      <c r="L152" s="136">
        <f t="shared" si="47"/>
        <v>2.0499999999999998</v>
      </c>
      <c r="M152" s="136">
        <f t="shared" si="47"/>
        <v>2.0499999999999998</v>
      </c>
      <c r="N152" s="136">
        <f t="shared" si="47"/>
        <v>2.0499999999999998</v>
      </c>
      <c r="O152" s="136">
        <f t="shared" si="47"/>
        <v>2.0499999999999998</v>
      </c>
      <c r="P152" s="136">
        <f t="shared" si="47"/>
        <v>2.0499999999999998</v>
      </c>
      <c r="Q152" s="136">
        <f t="shared" si="47"/>
        <v>2.0499999999999998</v>
      </c>
      <c r="R152" s="136">
        <f t="shared" si="47"/>
        <v>2.0499999999999998</v>
      </c>
      <c r="S152" s="136">
        <f t="shared" si="47"/>
        <v>2.0499999999999998</v>
      </c>
      <c r="T152" s="136">
        <f t="shared" si="48"/>
        <v>2.0499999999999998</v>
      </c>
      <c r="U152" s="136">
        <f t="shared" si="48"/>
        <v>2.0499999999999998</v>
      </c>
      <c r="V152" s="136">
        <f t="shared" si="48"/>
        <v>2.0499999999999998</v>
      </c>
      <c r="W152" s="136">
        <f t="shared" si="48"/>
        <v>2.0499999999999998</v>
      </c>
      <c r="X152" s="136">
        <f t="shared" si="48"/>
        <v>2.0499999999999998</v>
      </c>
      <c r="Y152" s="136">
        <f t="shared" si="48"/>
        <v>2.0499999999999998</v>
      </c>
      <c r="Z152" s="136">
        <f t="shared" si="48"/>
        <v>2.0499999999999998</v>
      </c>
      <c r="AA152" s="136">
        <f t="shared" si="48"/>
        <v>2.0499999999999998</v>
      </c>
      <c r="AB152" s="136">
        <f t="shared" si="48"/>
        <v>2.0499999999999998</v>
      </c>
      <c r="AC152" s="136">
        <f t="shared" si="48"/>
        <v>2.0499999999999998</v>
      </c>
      <c r="AD152" s="136">
        <f t="shared" si="48"/>
        <v>2.0499999999999998</v>
      </c>
      <c r="AE152" s="136">
        <f t="shared" si="48"/>
        <v>2.0499999999999998</v>
      </c>
      <c r="AF152" s="136">
        <f t="shared" si="48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47"/>
        <v>2.7</v>
      </c>
      <c r="E153" s="136">
        <f t="shared" si="47"/>
        <v>2.7</v>
      </c>
      <c r="F153" s="136">
        <f t="shared" si="47"/>
        <v>2.7</v>
      </c>
      <c r="G153" s="136">
        <f t="shared" si="47"/>
        <v>2.7</v>
      </c>
      <c r="H153" s="136">
        <f t="shared" si="47"/>
        <v>2.7</v>
      </c>
      <c r="I153" s="136">
        <f t="shared" si="47"/>
        <v>2.7</v>
      </c>
      <c r="J153" s="136">
        <f t="shared" si="47"/>
        <v>2.7</v>
      </c>
      <c r="K153" s="136">
        <f t="shared" si="47"/>
        <v>2.7</v>
      </c>
      <c r="L153" s="136">
        <f t="shared" si="47"/>
        <v>2.7</v>
      </c>
      <c r="M153" s="136">
        <f t="shared" si="47"/>
        <v>2.7</v>
      </c>
      <c r="N153" s="136">
        <f t="shared" si="47"/>
        <v>2.7</v>
      </c>
      <c r="O153" s="136">
        <f t="shared" si="47"/>
        <v>2.7</v>
      </c>
      <c r="P153" s="136">
        <f t="shared" si="47"/>
        <v>2.7</v>
      </c>
      <c r="Q153" s="136">
        <f t="shared" si="47"/>
        <v>2.7</v>
      </c>
      <c r="R153" s="136">
        <f t="shared" si="47"/>
        <v>2.7</v>
      </c>
      <c r="S153" s="136">
        <f t="shared" si="47"/>
        <v>2.7</v>
      </c>
      <c r="T153" s="136">
        <f t="shared" si="48"/>
        <v>2.7</v>
      </c>
      <c r="U153" s="136">
        <f t="shared" si="48"/>
        <v>2.7</v>
      </c>
      <c r="V153" s="136">
        <f t="shared" si="48"/>
        <v>2.7</v>
      </c>
      <c r="W153" s="136">
        <f t="shared" si="48"/>
        <v>2.7</v>
      </c>
      <c r="X153" s="136">
        <f t="shared" si="48"/>
        <v>2.7</v>
      </c>
      <c r="Y153" s="136">
        <f t="shared" si="48"/>
        <v>2.7</v>
      </c>
      <c r="Z153" s="136">
        <f t="shared" si="48"/>
        <v>2.7</v>
      </c>
      <c r="AA153" s="136">
        <f t="shared" si="48"/>
        <v>2.7</v>
      </c>
      <c r="AB153" s="136">
        <f t="shared" si="48"/>
        <v>2.7</v>
      </c>
      <c r="AC153" s="136">
        <f t="shared" si="48"/>
        <v>2.7</v>
      </c>
      <c r="AD153" s="136">
        <f t="shared" si="48"/>
        <v>2.7</v>
      </c>
      <c r="AE153" s="136">
        <f t="shared" si="48"/>
        <v>2.7</v>
      </c>
      <c r="AF153" s="136">
        <f t="shared" si="48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47"/>
        <v>2.15</v>
      </c>
      <c r="E154" s="136">
        <f t="shared" si="47"/>
        <v>2.15</v>
      </c>
      <c r="F154" s="136">
        <f t="shared" si="47"/>
        <v>2.15</v>
      </c>
      <c r="G154" s="136">
        <f t="shared" si="47"/>
        <v>2.15</v>
      </c>
      <c r="H154" s="136">
        <f t="shared" si="47"/>
        <v>2.15</v>
      </c>
      <c r="I154" s="136">
        <f t="shared" si="47"/>
        <v>2.15</v>
      </c>
      <c r="J154" s="136">
        <f t="shared" si="47"/>
        <v>2.15</v>
      </c>
      <c r="K154" s="136">
        <f t="shared" si="47"/>
        <v>2.15</v>
      </c>
      <c r="L154" s="136">
        <f t="shared" si="47"/>
        <v>2.15</v>
      </c>
      <c r="M154" s="136">
        <f t="shared" si="47"/>
        <v>2.15</v>
      </c>
      <c r="N154" s="136">
        <f t="shared" si="47"/>
        <v>2.15</v>
      </c>
      <c r="O154" s="136">
        <f t="shared" si="47"/>
        <v>2.15</v>
      </c>
      <c r="P154" s="136">
        <f t="shared" si="47"/>
        <v>2.15</v>
      </c>
      <c r="Q154" s="136">
        <f t="shared" si="47"/>
        <v>2.15</v>
      </c>
      <c r="R154" s="136">
        <f t="shared" si="47"/>
        <v>2.15</v>
      </c>
      <c r="S154" s="136">
        <f t="shared" si="47"/>
        <v>2.15</v>
      </c>
      <c r="T154" s="136">
        <f t="shared" si="48"/>
        <v>2.15</v>
      </c>
      <c r="U154" s="136">
        <f t="shared" si="48"/>
        <v>2.15</v>
      </c>
      <c r="V154" s="136">
        <f t="shared" si="48"/>
        <v>2.15</v>
      </c>
      <c r="W154" s="136">
        <f t="shared" si="48"/>
        <v>2.15</v>
      </c>
      <c r="X154" s="136">
        <f t="shared" si="48"/>
        <v>2.15</v>
      </c>
      <c r="Y154" s="136">
        <f t="shared" si="48"/>
        <v>2.15</v>
      </c>
      <c r="Z154" s="136">
        <f t="shared" si="48"/>
        <v>2.15</v>
      </c>
      <c r="AA154" s="136">
        <f t="shared" si="48"/>
        <v>2.15</v>
      </c>
      <c r="AB154" s="136">
        <f t="shared" si="48"/>
        <v>2.15</v>
      </c>
      <c r="AC154" s="136">
        <f t="shared" si="48"/>
        <v>2.15</v>
      </c>
      <c r="AD154" s="136">
        <f t="shared" si="48"/>
        <v>2.15</v>
      </c>
      <c r="AE154" s="136">
        <f t="shared" si="48"/>
        <v>2.15</v>
      </c>
      <c r="AF154" s="136">
        <f t="shared" si="48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49">AF156</f>
        <v>0.9</v>
      </c>
      <c r="C156" s="137">
        <v>0.9</v>
      </c>
      <c r="D156" s="136">
        <f t="shared" ref="D156:S168" si="50">C156</f>
        <v>0.9</v>
      </c>
      <c r="E156" s="136">
        <f t="shared" si="50"/>
        <v>0.9</v>
      </c>
      <c r="F156" s="136">
        <f t="shared" si="50"/>
        <v>0.9</v>
      </c>
      <c r="G156" s="136">
        <f t="shared" si="50"/>
        <v>0.9</v>
      </c>
      <c r="H156" s="136">
        <f t="shared" si="50"/>
        <v>0.9</v>
      </c>
      <c r="I156" s="136">
        <f t="shared" si="50"/>
        <v>0.9</v>
      </c>
      <c r="J156" s="136">
        <f t="shared" si="50"/>
        <v>0.9</v>
      </c>
      <c r="K156" s="136">
        <f t="shared" si="50"/>
        <v>0.9</v>
      </c>
      <c r="L156" s="136">
        <f t="shared" si="50"/>
        <v>0.9</v>
      </c>
      <c r="M156" s="136">
        <f t="shared" si="50"/>
        <v>0.9</v>
      </c>
      <c r="N156" s="136">
        <f t="shared" si="50"/>
        <v>0.9</v>
      </c>
      <c r="O156" s="136">
        <f t="shared" si="50"/>
        <v>0.9</v>
      </c>
      <c r="P156" s="136">
        <f t="shared" si="50"/>
        <v>0.9</v>
      </c>
      <c r="Q156" s="136">
        <f t="shared" si="50"/>
        <v>0.9</v>
      </c>
      <c r="R156" s="136">
        <f t="shared" si="50"/>
        <v>0.9</v>
      </c>
      <c r="S156" s="136">
        <f t="shared" si="50"/>
        <v>0.9</v>
      </c>
      <c r="T156" s="136">
        <f t="shared" ref="S156:AF168" si="51">S156</f>
        <v>0.9</v>
      </c>
      <c r="U156" s="136">
        <f t="shared" si="51"/>
        <v>0.9</v>
      </c>
      <c r="V156" s="136">
        <f t="shared" si="51"/>
        <v>0.9</v>
      </c>
      <c r="W156" s="136">
        <f t="shared" si="51"/>
        <v>0.9</v>
      </c>
      <c r="X156" s="136">
        <f t="shared" si="51"/>
        <v>0.9</v>
      </c>
      <c r="Y156" s="136">
        <f t="shared" si="51"/>
        <v>0.9</v>
      </c>
      <c r="Z156" s="136">
        <f t="shared" si="51"/>
        <v>0.9</v>
      </c>
      <c r="AA156" s="136">
        <f t="shared" si="51"/>
        <v>0.9</v>
      </c>
      <c r="AB156" s="136">
        <f t="shared" si="51"/>
        <v>0.9</v>
      </c>
      <c r="AC156" s="136">
        <f t="shared" si="51"/>
        <v>0.9</v>
      </c>
      <c r="AD156" s="136">
        <f t="shared" si="51"/>
        <v>0.9</v>
      </c>
      <c r="AE156" s="136">
        <f t="shared" si="51"/>
        <v>0.9</v>
      </c>
      <c r="AF156" s="136">
        <f t="shared" si="51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49"/>
        <v>1.08</v>
      </c>
      <c r="C157" s="137">
        <v>1.08</v>
      </c>
      <c r="D157" s="136">
        <f t="shared" si="50"/>
        <v>1.08</v>
      </c>
      <c r="E157" s="136">
        <f t="shared" si="50"/>
        <v>1.08</v>
      </c>
      <c r="F157" s="136">
        <f t="shared" si="50"/>
        <v>1.08</v>
      </c>
      <c r="G157" s="136">
        <f t="shared" si="50"/>
        <v>1.08</v>
      </c>
      <c r="H157" s="136">
        <f t="shared" si="50"/>
        <v>1.08</v>
      </c>
      <c r="I157" s="136">
        <f t="shared" si="50"/>
        <v>1.08</v>
      </c>
      <c r="J157" s="136">
        <f t="shared" si="50"/>
        <v>1.08</v>
      </c>
      <c r="K157" s="136">
        <f t="shared" si="50"/>
        <v>1.08</v>
      </c>
      <c r="L157" s="136">
        <f t="shared" si="50"/>
        <v>1.08</v>
      </c>
      <c r="M157" s="136">
        <f t="shared" si="50"/>
        <v>1.08</v>
      </c>
      <c r="N157" s="136">
        <f t="shared" si="50"/>
        <v>1.08</v>
      </c>
      <c r="O157" s="136">
        <f t="shared" si="50"/>
        <v>1.08</v>
      </c>
      <c r="P157" s="136">
        <f t="shared" si="50"/>
        <v>1.08</v>
      </c>
      <c r="Q157" s="136">
        <f t="shared" si="50"/>
        <v>1.08</v>
      </c>
      <c r="R157" s="136">
        <f t="shared" si="50"/>
        <v>1.08</v>
      </c>
      <c r="S157" s="136">
        <f t="shared" si="50"/>
        <v>1.08</v>
      </c>
      <c r="T157" s="136">
        <f t="shared" si="51"/>
        <v>1.08</v>
      </c>
      <c r="U157" s="136">
        <f t="shared" si="51"/>
        <v>1.08</v>
      </c>
      <c r="V157" s="136">
        <f t="shared" si="51"/>
        <v>1.08</v>
      </c>
      <c r="W157" s="136">
        <f t="shared" si="51"/>
        <v>1.08</v>
      </c>
      <c r="X157" s="136">
        <f t="shared" si="51"/>
        <v>1.08</v>
      </c>
      <c r="Y157" s="136">
        <f t="shared" si="51"/>
        <v>1.08</v>
      </c>
      <c r="Z157" s="136">
        <f t="shared" si="51"/>
        <v>1.08</v>
      </c>
      <c r="AA157" s="136">
        <f t="shared" si="51"/>
        <v>1.08</v>
      </c>
      <c r="AB157" s="136">
        <f t="shared" si="51"/>
        <v>1.08</v>
      </c>
      <c r="AC157" s="136">
        <f t="shared" si="51"/>
        <v>1.08</v>
      </c>
      <c r="AD157" s="136">
        <f t="shared" si="51"/>
        <v>1.08</v>
      </c>
      <c r="AE157" s="136">
        <f t="shared" si="51"/>
        <v>1.08</v>
      </c>
      <c r="AF157" s="136">
        <f t="shared" si="51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49"/>
        <v>2.37</v>
      </c>
      <c r="C158" s="137">
        <v>2.37</v>
      </c>
      <c r="D158" s="136">
        <f t="shared" si="50"/>
        <v>2.37</v>
      </c>
      <c r="E158" s="136">
        <f t="shared" si="50"/>
        <v>2.37</v>
      </c>
      <c r="F158" s="136">
        <f t="shared" si="50"/>
        <v>2.37</v>
      </c>
      <c r="G158" s="136">
        <f t="shared" si="50"/>
        <v>2.37</v>
      </c>
      <c r="H158" s="136">
        <f t="shared" si="50"/>
        <v>2.37</v>
      </c>
      <c r="I158" s="136">
        <f t="shared" si="50"/>
        <v>2.37</v>
      </c>
      <c r="J158" s="136">
        <f t="shared" si="50"/>
        <v>2.37</v>
      </c>
      <c r="K158" s="136">
        <f t="shared" si="50"/>
        <v>2.37</v>
      </c>
      <c r="L158" s="136">
        <f t="shared" si="50"/>
        <v>2.37</v>
      </c>
      <c r="M158" s="136">
        <f t="shared" si="50"/>
        <v>2.37</v>
      </c>
      <c r="N158" s="136">
        <f t="shared" si="50"/>
        <v>2.37</v>
      </c>
      <c r="O158" s="136">
        <f t="shared" si="50"/>
        <v>2.37</v>
      </c>
      <c r="P158" s="136">
        <f t="shared" si="50"/>
        <v>2.37</v>
      </c>
      <c r="Q158" s="136">
        <f t="shared" si="50"/>
        <v>2.37</v>
      </c>
      <c r="R158" s="136">
        <f t="shared" si="50"/>
        <v>2.37</v>
      </c>
      <c r="S158" s="136">
        <f t="shared" si="50"/>
        <v>2.37</v>
      </c>
      <c r="T158" s="136">
        <f t="shared" si="51"/>
        <v>2.37</v>
      </c>
      <c r="U158" s="136">
        <f t="shared" si="51"/>
        <v>2.37</v>
      </c>
      <c r="V158" s="136">
        <f t="shared" si="51"/>
        <v>2.37</v>
      </c>
      <c r="W158" s="136">
        <f t="shared" si="51"/>
        <v>2.37</v>
      </c>
      <c r="X158" s="136">
        <f t="shared" si="51"/>
        <v>2.37</v>
      </c>
      <c r="Y158" s="136">
        <f t="shared" si="51"/>
        <v>2.37</v>
      </c>
      <c r="Z158" s="136">
        <f t="shared" si="51"/>
        <v>2.37</v>
      </c>
      <c r="AA158" s="136">
        <f t="shared" si="51"/>
        <v>2.37</v>
      </c>
      <c r="AB158" s="136">
        <f t="shared" si="51"/>
        <v>2.37</v>
      </c>
      <c r="AC158" s="136">
        <f t="shared" si="51"/>
        <v>2.37</v>
      </c>
      <c r="AD158" s="136">
        <f t="shared" si="51"/>
        <v>2.37</v>
      </c>
      <c r="AE158" s="136">
        <f t="shared" si="51"/>
        <v>2.37</v>
      </c>
      <c r="AF158" s="136">
        <f t="shared" si="51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49"/>
        <v>1.81</v>
      </c>
      <c r="C159" s="137">
        <v>1.81</v>
      </c>
      <c r="D159" s="136">
        <f t="shared" si="50"/>
        <v>1.81</v>
      </c>
      <c r="E159" s="136">
        <f t="shared" si="50"/>
        <v>1.81</v>
      </c>
      <c r="F159" s="136">
        <f t="shared" si="50"/>
        <v>1.81</v>
      </c>
      <c r="G159" s="136">
        <f t="shared" si="50"/>
        <v>1.81</v>
      </c>
      <c r="H159" s="136">
        <f t="shared" si="50"/>
        <v>1.81</v>
      </c>
      <c r="I159" s="136">
        <f t="shared" si="50"/>
        <v>1.81</v>
      </c>
      <c r="J159" s="136">
        <f t="shared" si="50"/>
        <v>1.81</v>
      </c>
      <c r="K159" s="136">
        <f t="shared" si="50"/>
        <v>1.81</v>
      </c>
      <c r="L159" s="136">
        <f t="shared" si="50"/>
        <v>1.81</v>
      </c>
      <c r="M159" s="136">
        <f t="shared" si="50"/>
        <v>1.81</v>
      </c>
      <c r="N159" s="136">
        <f t="shared" si="50"/>
        <v>1.81</v>
      </c>
      <c r="O159" s="136">
        <f t="shared" si="50"/>
        <v>1.81</v>
      </c>
      <c r="P159" s="136">
        <f t="shared" si="50"/>
        <v>1.81</v>
      </c>
      <c r="Q159" s="136">
        <f t="shared" si="50"/>
        <v>1.81</v>
      </c>
      <c r="R159" s="136">
        <f t="shared" si="50"/>
        <v>1.81</v>
      </c>
      <c r="S159" s="136">
        <f t="shared" si="50"/>
        <v>1.81</v>
      </c>
      <c r="T159" s="136">
        <f t="shared" si="51"/>
        <v>1.81</v>
      </c>
      <c r="U159" s="136">
        <f t="shared" si="51"/>
        <v>1.81</v>
      </c>
      <c r="V159" s="136">
        <f t="shared" si="51"/>
        <v>1.81</v>
      </c>
      <c r="W159" s="136">
        <f t="shared" si="51"/>
        <v>1.81</v>
      </c>
      <c r="X159" s="136">
        <f t="shared" si="51"/>
        <v>1.81</v>
      </c>
      <c r="Y159" s="136">
        <f t="shared" si="51"/>
        <v>1.81</v>
      </c>
      <c r="Z159" s="136">
        <f t="shared" si="51"/>
        <v>1.81</v>
      </c>
      <c r="AA159" s="136">
        <f t="shared" si="51"/>
        <v>1.81</v>
      </c>
      <c r="AB159" s="136">
        <f t="shared" si="51"/>
        <v>1.81</v>
      </c>
      <c r="AC159" s="136">
        <f t="shared" si="51"/>
        <v>1.81</v>
      </c>
      <c r="AD159" s="136">
        <f t="shared" si="51"/>
        <v>1.81</v>
      </c>
      <c r="AE159" s="136">
        <f t="shared" si="51"/>
        <v>1.81</v>
      </c>
      <c r="AF159" s="136">
        <f t="shared" si="51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49"/>
        <v>1.0900000000000001</v>
      </c>
      <c r="C160" s="137">
        <v>1.0900000000000001</v>
      </c>
      <c r="D160" s="136">
        <f t="shared" si="50"/>
        <v>1.0900000000000001</v>
      </c>
      <c r="E160" s="136">
        <f t="shared" si="50"/>
        <v>1.0900000000000001</v>
      </c>
      <c r="F160" s="136">
        <f t="shared" si="50"/>
        <v>1.0900000000000001</v>
      </c>
      <c r="G160" s="136">
        <f t="shared" si="50"/>
        <v>1.0900000000000001</v>
      </c>
      <c r="H160" s="136">
        <f t="shared" si="50"/>
        <v>1.0900000000000001</v>
      </c>
      <c r="I160" s="136">
        <f t="shared" si="50"/>
        <v>1.0900000000000001</v>
      </c>
      <c r="J160" s="136">
        <f t="shared" si="50"/>
        <v>1.0900000000000001</v>
      </c>
      <c r="K160" s="136">
        <f t="shared" si="50"/>
        <v>1.0900000000000001</v>
      </c>
      <c r="L160" s="136">
        <f t="shared" si="50"/>
        <v>1.0900000000000001</v>
      </c>
      <c r="M160" s="136">
        <f t="shared" si="50"/>
        <v>1.0900000000000001</v>
      </c>
      <c r="N160" s="136">
        <f t="shared" si="50"/>
        <v>1.0900000000000001</v>
      </c>
      <c r="O160" s="136">
        <f t="shared" si="50"/>
        <v>1.0900000000000001</v>
      </c>
      <c r="P160" s="136">
        <f t="shared" si="50"/>
        <v>1.0900000000000001</v>
      </c>
      <c r="Q160" s="136">
        <f t="shared" si="50"/>
        <v>1.0900000000000001</v>
      </c>
      <c r="R160" s="136">
        <f t="shared" si="50"/>
        <v>1.0900000000000001</v>
      </c>
      <c r="S160" s="136">
        <f t="shared" si="50"/>
        <v>1.0900000000000001</v>
      </c>
      <c r="T160" s="136">
        <f t="shared" si="51"/>
        <v>1.0900000000000001</v>
      </c>
      <c r="U160" s="136">
        <f t="shared" si="51"/>
        <v>1.0900000000000001</v>
      </c>
      <c r="V160" s="136">
        <f t="shared" si="51"/>
        <v>1.0900000000000001</v>
      </c>
      <c r="W160" s="136">
        <f t="shared" si="51"/>
        <v>1.0900000000000001</v>
      </c>
      <c r="X160" s="136">
        <f t="shared" si="51"/>
        <v>1.0900000000000001</v>
      </c>
      <c r="Y160" s="136">
        <f t="shared" si="51"/>
        <v>1.0900000000000001</v>
      </c>
      <c r="Z160" s="136">
        <f t="shared" si="51"/>
        <v>1.0900000000000001</v>
      </c>
      <c r="AA160" s="136">
        <f t="shared" si="51"/>
        <v>1.0900000000000001</v>
      </c>
      <c r="AB160" s="136">
        <f t="shared" si="51"/>
        <v>1.0900000000000001</v>
      </c>
      <c r="AC160" s="136">
        <f t="shared" si="51"/>
        <v>1.0900000000000001</v>
      </c>
      <c r="AD160" s="136">
        <f t="shared" si="51"/>
        <v>1.0900000000000001</v>
      </c>
      <c r="AE160" s="136">
        <f t="shared" si="51"/>
        <v>1.0900000000000001</v>
      </c>
      <c r="AF160" s="136">
        <f t="shared" si="51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49"/>
        <v>1.58</v>
      </c>
      <c r="C161" s="137">
        <v>1.58</v>
      </c>
      <c r="D161" s="136">
        <f t="shared" si="50"/>
        <v>1.58</v>
      </c>
      <c r="E161" s="136">
        <f t="shared" si="50"/>
        <v>1.58</v>
      </c>
      <c r="F161" s="136">
        <f t="shared" si="50"/>
        <v>1.58</v>
      </c>
      <c r="G161" s="136">
        <f t="shared" si="50"/>
        <v>1.58</v>
      </c>
      <c r="H161" s="136">
        <f t="shared" si="50"/>
        <v>1.58</v>
      </c>
      <c r="I161" s="136">
        <f t="shared" si="50"/>
        <v>1.58</v>
      </c>
      <c r="J161" s="136">
        <f t="shared" si="50"/>
        <v>1.58</v>
      </c>
      <c r="K161" s="136">
        <f t="shared" si="50"/>
        <v>1.58</v>
      </c>
      <c r="L161" s="136">
        <f t="shared" si="50"/>
        <v>1.58</v>
      </c>
      <c r="M161" s="136">
        <f t="shared" si="50"/>
        <v>1.58</v>
      </c>
      <c r="N161" s="136">
        <f t="shared" si="50"/>
        <v>1.58</v>
      </c>
      <c r="O161" s="136">
        <f t="shared" si="50"/>
        <v>1.58</v>
      </c>
      <c r="P161" s="136">
        <f t="shared" si="50"/>
        <v>1.58</v>
      </c>
      <c r="Q161" s="136">
        <f t="shared" si="50"/>
        <v>1.58</v>
      </c>
      <c r="R161" s="136">
        <f t="shared" si="50"/>
        <v>1.58</v>
      </c>
      <c r="S161" s="136">
        <f t="shared" si="50"/>
        <v>1.58</v>
      </c>
      <c r="T161" s="136">
        <f t="shared" si="51"/>
        <v>1.58</v>
      </c>
      <c r="U161" s="136">
        <f t="shared" si="51"/>
        <v>1.58</v>
      </c>
      <c r="V161" s="136">
        <f t="shared" si="51"/>
        <v>1.58</v>
      </c>
      <c r="W161" s="136">
        <f t="shared" si="51"/>
        <v>1.58</v>
      </c>
      <c r="X161" s="136">
        <f t="shared" si="51"/>
        <v>1.58</v>
      </c>
      <c r="Y161" s="136">
        <f t="shared" si="51"/>
        <v>1.58</v>
      </c>
      <c r="Z161" s="136">
        <f t="shared" si="51"/>
        <v>1.58</v>
      </c>
      <c r="AA161" s="136">
        <f t="shared" si="51"/>
        <v>1.58</v>
      </c>
      <c r="AB161" s="136">
        <f t="shared" si="51"/>
        <v>1.58</v>
      </c>
      <c r="AC161" s="136">
        <f t="shared" si="51"/>
        <v>1.58</v>
      </c>
      <c r="AD161" s="136">
        <f t="shared" si="51"/>
        <v>1.58</v>
      </c>
      <c r="AE161" s="136">
        <f t="shared" si="51"/>
        <v>1.58</v>
      </c>
      <c r="AF161" s="136">
        <f t="shared" si="51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49"/>
        <v>2</v>
      </c>
      <c r="C162" s="137">
        <v>2</v>
      </c>
      <c r="D162" s="136">
        <f t="shared" si="50"/>
        <v>2</v>
      </c>
      <c r="E162" s="136">
        <f t="shared" si="50"/>
        <v>2</v>
      </c>
      <c r="F162" s="136">
        <f t="shared" si="50"/>
        <v>2</v>
      </c>
      <c r="G162" s="136">
        <f t="shared" si="50"/>
        <v>2</v>
      </c>
      <c r="H162" s="136">
        <f t="shared" si="50"/>
        <v>2</v>
      </c>
      <c r="I162" s="136">
        <f t="shared" si="50"/>
        <v>2</v>
      </c>
      <c r="J162" s="136">
        <f t="shared" si="50"/>
        <v>2</v>
      </c>
      <c r="K162" s="136">
        <f t="shared" si="50"/>
        <v>2</v>
      </c>
      <c r="L162" s="136">
        <f t="shared" si="50"/>
        <v>2</v>
      </c>
      <c r="M162" s="136">
        <f t="shared" si="50"/>
        <v>2</v>
      </c>
      <c r="N162" s="136">
        <f t="shared" si="50"/>
        <v>2</v>
      </c>
      <c r="O162" s="136">
        <f t="shared" si="50"/>
        <v>2</v>
      </c>
      <c r="P162" s="136">
        <f t="shared" si="50"/>
        <v>2</v>
      </c>
      <c r="Q162" s="136">
        <f t="shared" si="50"/>
        <v>2</v>
      </c>
      <c r="R162" s="136">
        <f t="shared" si="50"/>
        <v>2</v>
      </c>
      <c r="S162" s="136">
        <f t="shared" si="50"/>
        <v>2</v>
      </c>
      <c r="T162" s="136">
        <f t="shared" si="51"/>
        <v>2</v>
      </c>
      <c r="U162" s="136">
        <f t="shared" si="51"/>
        <v>2</v>
      </c>
      <c r="V162" s="136">
        <f t="shared" si="51"/>
        <v>2</v>
      </c>
      <c r="W162" s="136">
        <f t="shared" si="51"/>
        <v>2</v>
      </c>
      <c r="X162" s="136">
        <f t="shared" si="51"/>
        <v>2</v>
      </c>
      <c r="Y162" s="136">
        <f t="shared" si="51"/>
        <v>2</v>
      </c>
      <c r="Z162" s="136">
        <f t="shared" si="51"/>
        <v>2</v>
      </c>
      <c r="AA162" s="136">
        <f t="shared" si="51"/>
        <v>2</v>
      </c>
      <c r="AB162" s="136">
        <f t="shared" si="51"/>
        <v>2</v>
      </c>
      <c r="AC162" s="136">
        <f t="shared" si="51"/>
        <v>2</v>
      </c>
      <c r="AD162" s="136">
        <f t="shared" si="51"/>
        <v>2</v>
      </c>
      <c r="AE162" s="136">
        <f t="shared" si="51"/>
        <v>2</v>
      </c>
      <c r="AF162" s="136">
        <f t="shared" si="51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49"/>
        <v>0.47</v>
      </c>
      <c r="C163" s="137">
        <v>0.47</v>
      </c>
      <c r="D163" s="136">
        <f t="shared" si="50"/>
        <v>0.47</v>
      </c>
      <c r="E163" s="136">
        <f t="shared" si="50"/>
        <v>0.47</v>
      </c>
      <c r="F163" s="136">
        <f t="shared" si="50"/>
        <v>0.47</v>
      </c>
      <c r="G163" s="136">
        <f t="shared" si="50"/>
        <v>0.47</v>
      </c>
      <c r="H163" s="136">
        <f t="shared" si="50"/>
        <v>0.47</v>
      </c>
      <c r="I163" s="136">
        <f t="shared" si="50"/>
        <v>0.47</v>
      </c>
      <c r="J163" s="136">
        <f t="shared" si="50"/>
        <v>0.47</v>
      </c>
      <c r="K163" s="136">
        <f t="shared" si="50"/>
        <v>0.47</v>
      </c>
      <c r="L163" s="136">
        <f t="shared" si="50"/>
        <v>0.47</v>
      </c>
      <c r="M163" s="136">
        <f t="shared" si="50"/>
        <v>0.47</v>
      </c>
      <c r="N163" s="136">
        <f t="shared" si="50"/>
        <v>0.47</v>
      </c>
      <c r="O163" s="136">
        <f t="shared" si="50"/>
        <v>0.47</v>
      </c>
      <c r="P163" s="136">
        <f t="shared" si="50"/>
        <v>0.47</v>
      </c>
      <c r="Q163" s="136">
        <f t="shared" si="50"/>
        <v>0.47</v>
      </c>
      <c r="R163" s="136">
        <f t="shared" si="50"/>
        <v>0.47</v>
      </c>
      <c r="S163" s="136">
        <f t="shared" si="50"/>
        <v>0.47</v>
      </c>
      <c r="T163" s="136">
        <f t="shared" si="51"/>
        <v>0.47</v>
      </c>
      <c r="U163" s="136">
        <f t="shared" si="51"/>
        <v>0.47</v>
      </c>
      <c r="V163" s="136">
        <f t="shared" si="51"/>
        <v>0.47</v>
      </c>
      <c r="W163" s="136">
        <f t="shared" si="51"/>
        <v>0.47</v>
      </c>
      <c r="X163" s="136">
        <f t="shared" si="51"/>
        <v>0.47</v>
      </c>
      <c r="Y163" s="136">
        <f t="shared" si="51"/>
        <v>0.47</v>
      </c>
      <c r="Z163" s="136">
        <f t="shared" si="51"/>
        <v>0.47</v>
      </c>
      <c r="AA163" s="136">
        <f t="shared" si="51"/>
        <v>0.47</v>
      </c>
      <c r="AB163" s="136">
        <f t="shared" si="51"/>
        <v>0.47</v>
      </c>
      <c r="AC163" s="136">
        <f t="shared" si="51"/>
        <v>0.47</v>
      </c>
      <c r="AD163" s="136">
        <f t="shared" si="51"/>
        <v>0.47</v>
      </c>
      <c r="AE163" s="136">
        <f t="shared" si="51"/>
        <v>0.47</v>
      </c>
      <c r="AF163" s="136">
        <f t="shared" si="51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49"/>
        <v>0</v>
      </c>
      <c r="C164" s="137">
        <v>0</v>
      </c>
      <c r="D164" s="136">
        <f t="shared" si="50"/>
        <v>0</v>
      </c>
      <c r="E164" s="136">
        <f t="shared" si="50"/>
        <v>0</v>
      </c>
      <c r="F164" s="136">
        <f t="shared" si="50"/>
        <v>0</v>
      </c>
      <c r="G164" s="136">
        <f t="shared" si="50"/>
        <v>0</v>
      </c>
      <c r="H164" s="136">
        <f t="shared" si="50"/>
        <v>0</v>
      </c>
      <c r="I164" s="136">
        <f t="shared" si="50"/>
        <v>0</v>
      </c>
      <c r="J164" s="136">
        <f t="shared" si="50"/>
        <v>0</v>
      </c>
      <c r="K164" s="136">
        <f t="shared" si="50"/>
        <v>0</v>
      </c>
      <c r="L164" s="136">
        <f t="shared" si="50"/>
        <v>0</v>
      </c>
      <c r="M164" s="136">
        <f t="shared" si="50"/>
        <v>0</v>
      </c>
      <c r="N164" s="136">
        <f t="shared" si="50"/>
        <v>0</v>
      </c>
      <c r="O164" s="136">
        <f t="shared" si="50"/>
        <v>0</v>
      </c>
      <c r="P164" s="136">
        <f t="shared" si="50"/>
        <v>0</v>
      </c>
      <c r="Q164" s="136">
        <f t="shared" si="50"/>
        <v>0</v>
      </c>
      <c r="R164" s="136">
        <f t="shared" si="50"/>
        <v>0</v>
      </c>
      <c r="S164" s="136">
        <f t="shared" si="50"/>
        <v>0</v>
      </c>
      <c r="T164" s="136">
        <f t="shared" si="51"/>
        <v>0</v>
      </c>
      <c r="U164" s="136">
        <f t="shared" si="51"/>
        <v>0</v>
      </c>
      <c r="V164" s="136">
        <f t="shared" si="51"/>
        <v>0</v>
      </c>
      <c r="W164" s="136">
        <f t="shared" si="51"/>
        <v>0</v>
      </c>
      <c r="X164" s="136">
        <f t="shared" si="51"/>
        <v>0</v>
      </c>
      <c r="Y164" s="136">
        <f t="shared" si="51"/>
        <v>0</v>
      </c>
      <c r="Z164" s="136">
        <f t="shared" si="51"/>
        <v>0</v>
      </c>
      <c r="AA164" s="136">
        <f t="shared" si="51"/>
        <v>0</v>
      </c>
      <c r="AB164" s="136">
        <f t="shared" si="51"/>
        <v>0</v>
      </c>
      <c r="AC164" s="136">
        <f t="shared" si="51"/>
        <v>0</v>
      </c>
      <c r="AD164" s="136">
        <f t="shared" si="51"/>
        <v>0</v>
      </c>
      <c r="AE164" s="136">
        <f t="shared" si="51"/>
        <v>0</v>
      </c>
      <c r="AF164" s="136">
        <f t="shared" si="51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49"/>
        <v>0</v>
      </c>
      <c r="C165" s="137">
        <v>0</v>
      </c>
      <c r="D165" s="136">
        <f t="shared" si="50"/>
        <v>0</v>
      </c>
      <c r="E165" s="136">
        <f t="shared" si="50"/>
        <v>0</v>
      </c>
      <c r="F165" s="136">
        <f t="shared" si="50"/>
        <v>0</v>
      </c>
      <c r="G165" s="136">
        <f t="shared" si="50"/>
        <v>0</v>
      </c>
      <c r="H165" s="136">
        <f t="shared" si="50"/>
        <v>0</v>
      </c>
      <c r="I165" s="136">
        <f t="shared" si="50"/>
        <v>0</v>
      </c>
      <c r="J165" s="136">
        <f t="shared" si="50"/>
        <v>0</v>
      </c>
      <c r="K165" s="136">
        <f t="shared" si="50"/>
        <v>0</v>
      </c>
      <c r="L165" s="136">
        <f t="shared" si="50"/>
        <v>0</v>
      </c>
      <c r="M165" s="136">
        <f t="shared" si="50"/>
        <v>0</v>
      </c>
      <c r="N165" s="136">
        <f t="shared" si="50"/>
        <v>0</v>
      </c>
      <c r="O165" s="136">
        <f t="shared" si="50"/>
        <v>0</v>
      </c>
      <c r="P165" s="136">
        <f t="shared" si="50"/>
        <v>0</v>
      </c>
      <c r="Q165" s="136">
        <f t="shared" si="50"/>
        <v>0</v>
      </c>
      <c r="R165" s="136">
        <f t="shared" si="50"/>
        <v>0</v>
      </c>
      <c r="S165" s="136">
        <f t="shared" si="51"/>
        <v>0</v>
      </c>
      <c r="T165" s="136">
        <f t="shared" si="51"/>
        <v>0</v>
      </c>
      <c r="U165" s="136">
        <f t="shared" si="51"/>
        <v>0</v>
      </c>
      <c r="V165" s="136">
        <f t="shared" si="51"/>
        <v>0</v>
      </c>
      <c r="W165" s="136">
        <f t="shared" si="51"/>
        <v>0</v>
      </c>
      <c r="X165" s="136">
        <f t="shared" si="51"/>
        <v>0</v>
      </c>
      <c r="Y165" s="136">
        <f t="shared" si="51"/>
        <v>0</v>
      </c>
      <c r="Z165" s="136">
        <f t="shared" si="51"/>
        <v>0</v>
      </c>
      <c r="AA165" s="136">
        <f t="shared" si="51"/>
        <v>0</v>
      </c>
      <c r="AB165" s="136">
        <f t="shared" si="51"/>
        <v>0</v>
      </c>
      <c r="AC165" s="136">
        <f t="shared" si="51"/>
        <v>0</v>
      </c>
      <c r="AD165" s="136">
        <f t="shared" si="51"/>
        <v>0</v>
      </c>
      <c r="AE165" s="136">
        <f t="shared" si="51"/>
        <v>0</v>
      </c>
      <c r="AF165" s="136">
        <f t="shared" si="51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49"/>
        <v>0.8</v>
      </c>
      <c r="C166" s="137">
        <v>0.8</v>
      </c>
      <c r="D166" s="136">
        <f t="shared" si="50"/>
        <v>0.8</v>
      </c>
      <c r="E166" s="136">
        <f t="shared" si="50"/>
        <v>0.8</v>
      </c>
      <c r="F166" s="136">
        <f t="shared" si="50"/>
        <v>0.8</v>
      </c>
      <c r="G166" s="136">
        <f t="shared" si="50"/>
        <v>0.8</v>
      </c>
      <c r="H166" s="136">
        <f t="shared" si="50"/>
        <v>0.8</v>
      </c>
      <c r="I166" s="136">
        <f t="shared" si="50"/>
        <v>0.8</v>
      </c>
      <c r="J166" s="136">
        <f t="shared" si="50"/>
        <v>0.8</v>
      </c>
      <c r="K166" s="136">
        <f t="shared" si="50"/>
        <v>0.8</v>
      </c>
      <c r="L166" s="136">
        <f t="shared" si="50"/>
        <v>0.8</v>
      </c>
      <c r="M166" s="136">
        <f t="shared" si="50"/>
        <v>0.8</v>
      </c>
      <c r="N166" s="136">
        <f t="shared" si="50"/>
        <v>0.8</v>
      </c>
      <c r="O166" s="136">
        <f t="shared" si="50"/>
        <v>0.8</v>
      </c>
      <c r="P166" s="136">
        <f t="shared" si="50"/>
        <v>0.8</v>
      </c>
      <c r="Q166" s="136">
        <f t="shared" si="50"/>
        <v>0.8</v>
      </c>
      <c r="R166" s="136">
        <f t="shared" si="50"/>
        <v>0.8</v>
      </c>
      <c r="S166" s="136">
        <f t="shared" si="51"/>
        <v>0.8</v>
      </c>
      <c r="T166" s="136">
        <f t="shared" si="51"/>
        <v>0.8</v>
      </c>
      <c r="U166" s="136">
        <f t="shared" si="51"/>
        <v>0.8</v>
      </c>
      <c r="V166" s="136">
        <f t="shared" si="51"/>
        <v>0.8</v>
      </c>
      <c r="W166" s="136">
        <f t="shared" si="51"/>
        <v>0.8</v>
      </c>
      <c r="X166" s="136">
        <f t="shared" si="51"/>
        <v>0.8</v>
      </c>
      <c r="Y166" s="136">
        <f t="shared" si="51"/>
        <v>0.8</v>
      </c>
      <c r="Z166" s="136">
        <f t="shared" si="51"/>
        <v>0.8</v>
      </c>
      <c r="AA166" s="136">
        <f t="shared" si="51"/>
        <v>0.8</v>
      </c>
      <c r="AB166" s="136">
        <f t="shared" si="51"/>
        <v>0.8</v>
      </c>
      <c r="AC166" s="136">
        <f t="shared" si="51"/>
        <v>0.8</v>
      </c>
      <c r="AD166" s="136">
        <f t="shared" si="51"/>
        <v>0.8</v>
      </c>
      <c r="AE166" s="136">
        <f t="shared" si="51"/>
        <v>0.8</v>
      </c>
      <c r="AF166" s="136">
        <f t="shared" si="51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49"/>
        <v>1.5</v>
      </c>
      <c r="C167" s="137">
        <v>1.5</v>
      </c>
      <c r="D167" s="136">
        <f t="shared" si="50"/>
        <v>1.5</v>
      </c>
      <c r="E167" s="136">
        <f t="shared" si="50"/>
        <v>1.5</v>
      </c>
      <c r="F167" s="136">
        <f t="shared" si="50"/>
        <v>1.5</v>
      </c>
      <c r="G167" s="136">
        <f t="shared" si="50"/>
        <v>1.5</v>
      </c>
      <c r="H167" s="136">
        <f t="shared" si="50"/>
        <v>1.5</v>
      </c>
      <c r="I167" s="136">
        <f t="shared" si="50"/>
        <v>1.5</v>
      </c>
      <c r="J167" s="136">
        <f t="shared" si="50"/>
        <v>1.5</v>
      </c>
      <c r="K167" s="136">
        <f t="shared" si="50"/>
        <v>1.5</v>
      </c>
      <c r="L167" s="136">
        <f t="shared" si="50"/>
        <v>1.5</v>
      </c>
      <c r="M167" s="136">
        <f t="shared" si="50"/>
        <v>1.5</v>
      </c>
      <c r="N167" s="136">
        <f t="shared" si="50"/>
        <v>1.5</v>
      </c>
      <c r="O167" s="136">
        <f t="shared" si="50"/>
        <v>1.5</v>
      </c>
      <c r="P167" s="136">
        <f t="shared" si="50"/>
        <v>1.5</v>
      </c>
      <c r="Q167" s="136">
        <f t="shared" si="50"/>
        <v>1.5</v>
      </c>
      <c r="R167" s="136">
        <f t="shared" si="50"/>
        <v>1.5</v>
      </c>
      <c r="S167" s="136">
        <f t="shared" si="51"/>
        <v>1.5</v>
      </c>
      <c r="T167" s="136">
        <f t="shared" si="51"/>
        <v>1.5</v>
      </c>
      <c r="U167" s="136">
        <f t="shared" si="51"/>
        <v>1.5</v>
      </c>
      <c r="V167" s="136">
        <f t="shared" si="51"/>
        <v>1.5</v>
      </c>
      <c r="W167" s="136">
        <f t="shared" si="51"/>
        <v>1.5</v>
      </c>
      <c r="X167" s="136">
        <f t="shared" si="51"/>
        <v>1.5</v>
      </c>
      <c r="Y167" s="136">
        <f t="shared" si="51"/>
        <v>1.5</v>
      </c>
      <c r="Z167" s="136">
        <f t="shared" si="51"/>
        <v>1.5</v>
      </c>
      <c r="AA167" s="136">
        <f t="shared" si="51"/>
        <v>1.5</v>
      </c>
      <c r="AB167" s="136">
        <f t="shared" si="51"/>
        <v>1.5</v>
      </c>
      <c r="AC167" s="136">
        <f t="shared" si="51"/>
        <v>1.5</v>
      </c>
      <c r="AD167" s="136">
        <f t="shared" si="51"/>
        <v>1.5</v>
      </c>
      <c r="AE167" s="136">
        <f t="shared" si="51"/>
        <v>1.5</v>
      </c>
      <c r="AF167" s="136">
        <f t="shared" si="51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49"/>
        <v>1</v>
      </c>
      <c r="C168" s="137">
        <v>1</v>
      </c>
      <c r="D168" s="136">
        <f t="shared" si="50"/>
        <v>1</v>
      </c>
      <c r="E168" s="136">
        <f t="shared" si="50"/>
        <v>1</v>
      </c>
      <c r="F168" s="136">
        <f t="shared" si="50"/>
        <v>1</v>
      </c>
      <c r="G168" s="136">
        <f t="shared" si="50"/>
        <v>1</v>
      </c>
      <c r="H168" s="136">
        <f t="shared" si="50"/>
        <v>1</v>
      </c>
      <c r="I168" s="136">
        <f t="shared" si="50"/>
        <v>1</v>
      </c>
      <c r="J168" s="136">
        <f t="shared" si="50"/>
        <v>1</v>
      </c>
      <c r="K168" s="136">
        <f t="shared" si="50"/>
        <v>1</v>
      </c>
      <c r="L168" s="136">
        <f t="shared" si="50"/>
        <v>1</v>
      </c>
      <c r="M168" s="136">
        <f t="shared" si="50"/>
        <v>1</v>
      </c>
      <c r="N168" s="136">
        <f t="shared" si="50"/>
        <v>1</v>
      </c>
      <c r="O168" s="136">
        <f t="shared" si="50"/>
        <v>1</v>
      </c>
      <c r="P168" s="136">
        <f t="shared" si="50"/>
        <v>1</v>
      </c>
      <c r="Q168" s="136">
        <f t="shared" si="50"/>
        <v>1</v>
      </c>
      <c r="R168" s="136">
        <f t="shared" si="50"/>
        <v>1</v>
      </c>
      <c r="S168" s="136">
        <f t="shared" si="51"/>
        <v>1</v>
      </c>
      <c r="T168" s="136">
        <f t="shared" si="51"/>
        <v>1</v>
      </c>
      <c r="U168" s="136">
        <f t="shared" si="51"/>
        <v>1</v>
      </c>
      <c r="V168" s="136">
        <f t="shared" si="51"/>
        <v>1</v>
      </c>
      <c r="W168" s="136">
        <f t="shared" si="51"/>
        <v>1</v>
      </c>
      <c r="X168" s="136">
        <f t="shared" si="51"/>
        <v>1</v>
      </c>
      <c r="Y168" s="136">
        <f t="shared" si="51"/>
        <v>1</v>
      </c>
      <c r="Z168" s="136">
        <f t="shared" si="51"/>
        <v>1</v>
      </c>
      <c r="AA168" s="136">
        <f t="shared" si="51"/>
        <v>1</v>
      </c>
      <c r="AB168" s="136">
        <f t="shared" si="51"/>
        <v>1</v>
      </c>
      <c r="AC168" s="136">
        <f t="shared" si="51"/>
        <v>1</v>
      </c>
      <c r="AD168" s="136">
        <f t="shared" si="51"/>
        <v>1</v>
      </c>
      <c r="AE168" s="136">
        <f t="shared" si="51"/>
        <v>1</v>
      </c>
      <c r="AF168" s="136">
        <f t="shared" si="51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52">AF170</f>
        <v>1</v>
      </c>
      <c r="C170" s="137">
        <v>1</v>
      </c>
      <c r="D170" s="136">
        <f t="shared" ref="D170:S177" si="53">C170</f>
        <v>1</v>
      </c>
      <c r="E170" s="136">
        <f t="shared" si="53"/>
        <v>1</v>
      </c>
      <c r="F170" s="136">
        <f t="shared" si="53"/>
        <v>1</v>
      </c>
      <c r="G170" s="136">
        <f t="shared" si="53"/>
        <v>1</v>
      </c>
      <c r="H170" s="136">
        <f t="shared" si="53"/>
        <v>1</v>
      </c>
      <c r="I170" s="136">
        <f t="shared" si="53"/>
        <v>1</v>
      </c>
      <c r="J170" s="136">
        <f t="shared" si="53"/>
        <v>1</v>
      </c>
      <c r="K170" s="136">
        <f t="shared" si="53"/>
        <v>1</v>
      </c>
      <c r="L170" s="136">
        <f t="shared" si="53"/>
        <v>1</v>
      </c>
      <c r="M170" s="136">
        <f t="shared" si="53"/>
        <v>1</v>
      </c>
      <c r="N170" s="136">
        <f t="shared" si="53"/>
        <v>1</v>
      </c>
      <c r="O170" s="136">
        <f t="shared" si="53"/>
        <v>1</v>
      </c>
      <c r="P170" s="136">
        <f t="shared" si="53"/>
        <v>1</v>
      </c>
      <c r="Q170" s="136">
        <f t="shared" si="53"/>
        <v>1</v>
      </c>
      <c r="R170" s="136">
        <f t="shared" si="53"/>
        <v>1</v>
      </c>
      <c r="S170" s="136">
        <f t="shared" si="53"/>
        <v>1</v>
      </c>
      <c r="T170" s="136">
        <f t="shared" ref="S170:AF177" si="54">S170</f>
        <v>1</v>
      </c>
      <c r="U170" s="136">
        <f t="shared" si="54"/>
        <v>1</v>
      </c>
      <c r="V170" s="136">
        <f t="shared" si="54"/>
        <v>1</v>
      </c>
      <c r="W170" s="136">
        <f t="shared" si="54"/>
        <v>1</v>
      </c>
      <c r="X170" s="136">
        <f t="shared" si="54"/>
        <v>1</v>
      </c>
      <c r="Y170" s="136">
        <f t="shared" si="54"/>
        <v>1</v>
      </c>
      <c r="Z170" s="136">
        <f t="shared" si="54"/>
        <v>1</v>
      </c>
      <c r="AA170" s="136">
        <f t="shared" si="54"/>
        <v>1</v>
      </c>
      <c r="AB170" s="136">
        <f t="shared" si="54"/>
        <v>1</v>
      </c>
      <c r="AC170" s="136">
        <f t="shared" si="54"/>
        <v>1</v>
      </c>
      <c r="AD170" s="136">
        <f t="shared" si="54"/>
        <v>1</v>
      </c>
      <c r="AE170" s="136">
        <f t="shared" si="54"/>
        <v>1</v>
      </c>
      <c r="AF170" s="136">
        <f t="shared" si="54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52"/>
        <v>0.42</v>
      </c>
      <c r="C171" s="137">
        <v>0.42</v>
      </c>
      <c r="D171" s="136">
        <f t="shared" si="53"/>
        <v>0.42</v>
      </c>
      <c r="E171" s="136">
        <f t="shared" si="53"/>
        <v>0.42</v>
      </c>
      <c r="F171" s="136">
        <f t="shared" si="53"/>
        <v>0.42</v>
      </c>
      <c r="G171" s="136">
        <f t="shared" si="53"/>
        <v>0.42</v>
      </c>
      <c r="H171" s="136">
        <f t="shared" si="53"/>
        <v>0.42</v>
      </c>
      <c r="I171" s="136">
        <f t="shared" si="53"/>
        <v>0.42</v>
      </c>
      <c r="J171" s="136">
        <f t="shared" si="53"/>
        <v>0.42</v>
      </c>
      <c r="K171" s="136">
        <f t="shared" si="53"/>
        <v>0.42</v>
      </c>
      <c r="L171" s="136">
        <f t="shared" si="53"/>
        <v>0.42</v>
      </c>
      <c r="M171" s="136">
        <f t="shared" si="53"/>
        <v>0.42</v>
      </c>
      <c r="N171" s="136">
        <f t="shared" si="53"/>
        <v>0.42</v>
      </c>
      <c r="O171" s="136">
        <f t="shared" si="53"/>
        <v>0.42</v>
      </c>
      <c r="P171" s="136">
        <f t="shared" si="53"/>
        <v>0.42</v>
      </c>
      <c r="Q171" s="136">
        <f t="shared" si="53"/>
        <v>0.42</v>
      </c>
      <c r="R171" s="136">
        <f t="shared" si="53"/>
        <v>0.42</v>
      </c>
      <c r="S171" s="136">
        <f t="shared" si="54"/>
        <v>0.42</v>
      </c>
      <c r="T171" s="136">
        <f t="shared" si="54"/>
        <v>0.42</v>
      </c>
      <c r="U171" s="136">
        <f t="shared" si="54"/>
        <v>0.42</v>
      </c>
      <c r="V171" s="136">
        <f t="shared" si="54"/>
        <v>0.42</v>
      </c>
      <c r="W171" s="136">
        <f t="shared" si="54"/>
        <v>0.42</v>
      </c>
      <c r="X171" s="136">
        <f t="shared" si="54"/>
        <v>0.42</v>
      </c>
      <c r="Y171" s="136">
        <f t="shared" si="54"/>
        <v>0.42</v>
      </c>
      <c r="Z171" s="136">
        <f t="shared" si="54"/>
        <v>0.42</v>
      </c>
      <c r="AA171" s="136">
        <f t="shared" si="54"/>
        <v>0.42</v>
      </c>
      <c r="AB171" s="136">
        <f t="shared" si="54"/>
        <v>0.42</v>
      </c>
      <c r="AC171" s="136">
        <f t="shared" si="54"/>
        <v>0.42</v>
      </c>
      <c r="AD171" s="136">
        <f t="shared" si="54"/>
        <v>0.42</v>
      </c>
      <c r="AE171" s="136">
        <f t="shared" si="54"/>
        <v>0.42</v>
      </c>
      <c r="AF171" s="136">
        <f t="shared" si="54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52"/>
        <v>0.46</v>
      </c>
      <c r="C172" s="137">
        <v>0.46</v>
      </c>
      <c r="D172" s="136">
        <f t="shared" si="53"/>
        <v>0.46</v>
      </c>
      <c r="E172" s="136">
        <f t="shared" si="53"/>
        <v>0.46</v>
      </c>
      <c r="F172" s="136">
        <f t="shared" si="53"/>
        <v>0.46</v>
      </c>
      <c r="G172" s="136">
        <f t="shared" si="53"/>
        <v>0.46</v>
      </c>
      <c r="H172" s="136">
        <f t="shared" si="53"/>
        <v>0.46</v>
      </c>
      <c r="I172" s="136">
        <f t="shared" si="53"/>
        <v>0.46</v>
      </c>
      <c r="J172" s="136">
        <f t="shared" si="53"/>
        <v>0.46</v>
      </c>
      <c r="K172" s="136">
        <f t="shared" si="53"/>
        <v>0.46</v>
      </c>
      <c r="L172" s="136">
        <f t="shared" si="53"/>
        <v>0.46</v>
      </c>
      <c r="M172" s="136">
        <f t="shared" si="53"/>
        <v>0.46</v>
      </c>
      <c r="N172" s="136">
        <f t="shared" si="53"/>
        <v>0.46</v>
      </c>
      <c r="O172" s="136">
        <f t="shared" si="53"/>
        <v>0.46</v>
      </c>
      <c r="P172" s="136">
        <f t="shared" si="53"/>
        <v>0.46</v>
      </c>
      <c r="Q172" s="136">
        <f t="shared" si="53"/>
        <v>0.46</v>
      </c>
      <c r="R172" s="136">
        <f t="shared" si="53"/>
        <v>0.46</v>
      </c>
      <c r="S172" s="136">
        <f t="shared" si="54"/>
        <v>0.46</v>
      </c>
      <c r="T172" s="136">
        <f t="shared" si="54"/>
        <v>0.46</v>
      </c>
      <c r="U172" s="136">
        <f t="shared" si="54"/>
        <v>0.46</v>
      </c>
      <c r="V172" s="136">
        <f t="shared" si="54"/>
        <v>0.46</v>
      </c>
      <c r="W172" s="136">
        <f t="shared" si="54"/>
        <v>0.46</v>
      </c>
      <c r="X172" s="136">
        <f t="shared" si="54"/>
        <v>0.46</v>
      </c>
      <c r="Y172" s="136">
        <f t="shared" si="54"/>
        <v>0.46</v>
      </c>
      <c r="Z172" s="136">
        <f t="shared" si="54"/>
        <v>0.46</v>
      </c>
      <c r="AA172" s="136">
        <f t="shared" si="54"/>
        <v>0.46</v>
      </c>
      <c r="AB172" s="136">
        <f t="shared" si="54"/>
        <v>0.46</v>
      </c>
      <c r="AC172" s="136">
        <f t="shared" si="54"/>
        <v>0.46</v>
      </c>
      <c r="AD172" s="136">
        <f t="shared" si="54"/>
        <v>0.46</v>
      </c>
      <c r="AE172" s="136">
        <f t="shared" si="54"/>
        <v>0.46</v>
      </c>
      <c r="AF172" s="136">
        <f t="shared" si="54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52"/>
        <v>0.85</v>
      </c>
      <c r="C173" s="137">
        <v>0.85</v>
      </c>
      <c r="D173" s="136">
        <f t="shared" si="53"/>
        <v>0.85</v>
      </c>
      <c r="E173" s="136">
        <f t="shared" si="53"/>
        <v>0.85</v>
      </c>
      <c r="F173" s="136">
        <f t="shared" si="53"/>
        <v>0.85</v>
      </c>
      <c r="G173" s="136">
        <f t="shared" si="53"/>
        <v>0.85</v>
      </c>
      <c r="H173" s="136">
        <f t="shared" si="53"/>
        <v>0.85</v>
      </c>
      <c r="I173" s="136">
        <f t="shared" si="53"/>
        <v>0.85</v>
      </c>
      <c r="J173" s="136">
        <f t="shared" si="53"/>
        <v>0.85</v>
      </c>
      <c r="K173" s="136">
        <f t="shared" si="53"/>
        <v>0.85</v>
      </c>
      <c r="L173" s="136">
        <f t="shared" si="53"/>
        <v>0.85</v>
      </c>
      <c r="M173" s="136">
        <f t="shared" si="53"/>
        <v>0.85</v>
      </c>
      <c r="N173" s="136">
        <f t="shared" si="53"/>
        <v>0.85</v>
      </c>
      <c r="O173" s="136">
        <f t="shared" si="53"/>
        <v>0.85</v>
      </c>
      <c r="P173" s="136">
        <f t="shared" si="53"/>
        <v>0.85</v>
      </c>
      <c r="Q173" s="136">
        <f t="shared" si="53"/>
        <v>0.85</v>
      </c>
      <c r="R173" s="136">
        <f t="shared" si="53"/>
        <v>0.85</v>
      </c>
      <c r="S173" s="136">
        <f t="shared" si="54"/>
        <v>0.85</v>
      </c>
      <c r="T173" s="136">
        <f t="shared" si="54"/>
        <v>0.85</v>
      </c>
      <c r="U173" s="136">
        <f t="shared" si="54"/>
        <v>0.85</v>
      </c>
      <c r="V173" s="136">
        <f t="shared" si="54"/>
        <v>0.85</v>
      </c>
      <c r="W173" s="136">
        <f t="shared" si="54"/>
        <v>0.85</v>
      </c>
      <c r="X173" s="136">
        <f t="shared" si="54"/>
        <v>0.85</v>
      </c>
      <c r="Y173" s="136">
        <f t="shared" si="54"/>
        <v>0.85</v>
      </c>
      <c r="Z173" s="136">
        <f t="shared" si="54"/>
        <v>0.85</v>
      </c>
      <c r="AA173" s="136">
        <f t="shared" si="54"/>
        <v>0.85</v>
      </c>
      <c r="AB173" s="136">
        <f t="shared" si="54"/>
        <v>0.85</v>
      </c>
      <c r="AC173" s="136">
        <f t="shared" si="54"/>
        <v>0.85</v>
      </c>
      <c r="AD173" s="136">
        <f t="shared" si="54"/>
        <v>0.85</v>
      </c>
      <c r="AE173" s="136">
        <f t="shared" si="54"/>
        <v>0.85</v>
      </c>
      <c r="AF173" s="136">
        <f t="shared" si="54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52"/>
        <v>0.9</v>
      </c>
      <c r="C174" s="137">
        <v>0.9</v>
      </c>
      <c r="D174" s="136">
        <f t="shared" si="53"/>
        <v>0.9</v>
      </c>
      <c r="E174" s="136">
        <f t="shared" si="53"/>
        <v>0.9</v>
      </c>
      <c r="F174" s="136">
        <f t="shared" si="53"/>
        <v>0.9</v>
      </c>
      <c r="G174" s="136">
        <f t="shared" si="53"/>
        <v>0.9</v>
      </c>
      <c r="H174" s="136">
        <f t="shared" si="53"/>
        <v>0.9</v>
      </c>
      <c r="I174" s="136">
        <f t="shared" si="53"/>
        <v>0.9</v>
      </c>
      <c r="J174" s="136">
        <f t="shared" si="53"/>
        <v>0.9</v>
      </c>
      <c r="K174" s="136">
        <f t="shared" si="53"/>
        <v>0.9</v>
      </c>
      <c r="L174" s="136">
        <f t="shared" si="53"/>
        <v>0.9</v>
      </c>
      <c r="M174" s="136">
        <f t="shared" si="53"/>
        <v>0.9</v>
      </c>
      <c r="N174" s="136">
        <f t="shared" si="53"/>
        <v>0.9</v>
      </c>
      <c r="O174" s="136">
        <f t="shared" si="53"/>
        <v>0.9</v>
      </c>
      <c r="P174" s="136">
        <f t="shared" si="53"/>
        <v>0.9</v>
      </c>
      <c r="Q174" s="136">
        <f t="shared" si="53"/>
        <v>0.9</v>
      </c>
      <c r="R174" s="136">
        <f t="shared" si="53"/>
        <v>0.9</v>
      </c>
      <c r="S174" s="136">
        <f t="shared" si="54"/>
        <v>0.9</v>
      </c>
      <c r="T174" s="136">
        <f t="shared" si="54"/>
        <v>0.9</v>
      </c>
      <c r="U174" s="136">
        <f t="shared" si="54"/>
        <v>0.9</v>
      </c>
      <c r="V174" s="136">
        <f t="shared" si="54"/>
        <v>0.9</v>
      </c>
      <c r="W174" s="136">
        <f t="shared" si="54"/>
        <v>0.9</v>
      </c>
      <c r="X174" s="136">
        <f t="shared" si="54"/>
        <v>0.9</v>
      </c>
      <c r="Y174" s="136">
        <f t="shared" si="54"/>
        <v>0.9</v>
      </c>
      <c r="Z174" s="136">
        <f t="shared" si="54"/>
        <v>0.9</v>
      </c>
      <c r="AA174" s="136">
        <f t="shared" si="54"/>
        <v>0.9</v>
      </c>
      <c r="AB174" s="136">
        <f t="shared" si="54"/>
        <v>0.9</v>
      </c>
      <c r="AC174" s="136">
        <f t="shared" si="54"/>
        <v>0.9</v>
      </c>
      <c r="AD174" s="136">
        <f t="shared" si="54"/>
        <v>0.9</v>
      </c>
      <c r="AE174" s="136">
        <f t="shared" si="54"/>
        <v>0.9</v>
      </c>
      <c r="AF174" s="136">
        <f t="shared" si="54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52"/>
        <v>0.44</v>
      </c>
      <c r="C175" s="137">
        <v>0.44</v>
      </c>
      <c r="D175" s="136">
        <f t="shared" si="53"/>
        <v>0.44</v>
      </c>
      <c r="E175" s="136">
        <f t="shared" si="53"/>
        <v>0.44</v>
      </c>
      <c r="F175" s="136">
        <f t="shared" si="53"/>
        <v>0.44</v>
      </c>
      <c r="G175" s="136">
        <f t="shared" si="53"/>
        <v>0.44</v>
      </c>
      <c r="H175" s="136">
        <f t="shared" si="53"/>
        <v>0.44</v>
      </c>
      <c r="I175" s="136">
        <f t="shared" si="53"/>
        <v>0.44</v>
      </c>
      <c r="J175" s="136">
        <f t="shared" si="53"/>
        <v>0.44</v>
      </c>
      <c r="K175" s="136">
        <f t="shared" si="53"/>
        <v>0.44</v>
      </c>
      <c r="L175" s="136">
        <f t="shared" si="53"/>
        <v>0.44</v>
      </c>
      <c r="M175" s="136">
        <f t="shared" si="53"/>
        <v>0.44</v>
      </c>
      <c r="N175" s="136">
        <f t="shared" si="53"/>
        <v>0.44</v>
      </c>
      <c r="O175" s="136">
        <f t="shared" si="53"/>
        <v>0.44</v>
      </c>
      <c r="P175" s="136">
        <f t="shared" si="53"/>
        <v>0.44</v>
      </c>
      <c r="Q175" s="136">
        <f t="shared" si="53"/>
        <v>0.44</v>
      </c>
      <c r="R175" s="136">
        <f t="shared" si="53"/>
        <v>0.44</v>
      </c>
      <c r="S175" s="136">
        <f t="shared" si="54"/>
        <v>0.44</v>
      </c>
      <c r="T175" s="136">
        <f t="shared" si="54"/>
        <v>0.44</v>
      </c>
      <c r="U175" s="136">
        <f t="shared" si="54"/>
        <v>0.44</v>
      </c>
      <c r="V175" s="136">
        <f t="shared" si="54"/>
        <v>0.44</v>
      </c>
      <c r="W175" s="136">
        <f t="shared" si="54"/>
        <v>0.44</v>
      </c>
      <c r="X175" s="136">
        <f t="shared" si="54"/>
        <v>0.44</v>
      </c>
      <c r="Y175" s="136">
        <f t="shared" si="54"/>
        <v>0.44</v>
      </c>
      <c r="Z175" s="136">
        <f t="shared" si="54"/>
        <v>0.44</v>
      </c>
      <c r="AA175" s="136">
        <f t="shared" si="54"/>
        <v>0.44</v>
      </c>
      <c r="AB175" s="136">
        <f t="shared" si="54"/>
        <v>0.44</v>
      </c>
      <c r="AC175" s="136">
        <f t="shared" si="54"/>
        <v>0.44</v>
      </c>
      <c r="AD175" s="136">
        <f t="shared" si="54"/>
        <v>0.44</v>
      </c>
      <c r="AE175" s="136">
        <f t="shared" si="54"/>
        <v>0.44</v>
      </c>
      <c r="AF175" s="136">
        <f t="shared" si="54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52"/>
        <v>2.1</v>
      </c>
      <c r="C176" s="137">
        <v>2.1</v>
      </c>
      <c r="D176" s="136">
        <f t="shared" si="53"/>
        <v>2.1</v>
      </c>
      <c r="E176" s="136">
        <f t="shared" si="53"/>
        <v>2.1</v>
      </c>
      <c r="F176" s="136">
        <f t="shared" si="53"/>
        <v>2.1</v>
      </c>
      <c r="G176" s="136">
        <f t="shared" si="53"/>
        <v>2.1</v>
      </c>
      <c r="H176" s="136">
        <f t="shared" si="53"/>
        <v>2.1</v>
      </c>
      <c r="I176" s="136">
        <f t="shared" si="53"/>
        <v>2.1</v>
      </c>
      <c r="J176" s="136">
        <f t="shared" si="53"/>
        <v>2.1</v>
      </c>
      <c r="K176" s="136">
        <f t="shared" si="53"/>
        <v>2.1</v>
      </c>
      <c r="L176" s="136">
        <f t="shared" si="53"/>
        <v>2.1</v>
      </c>
      <c r="M176" s="136">
        <f t="shared" si="53"/>
        <v>2.1</v>
      </c>
      <c r="N176" s="136">
        <f t="shared" si="53"/>
        <v>2.1</v>
      </c>
      <c r="O176" s="136">
        <f t="shared" si="53"/>
        <v>2.1</v>
      </c>
      <c r="P176" s="136">
        <f t="shared" si="53"/>
        <v>2.1</v>
      </c>
      <c r="Q176" s="136">
        <f t="shared" si="53"/>
        <v>2.1</v>
      </c>
      <c r="R176" s="136">
        <f t="shared" si="53"/>
        <v>2.1</v>
      </c>
      <c r="S176" s="136">
        <f t="shared" si="54"/>
        <v>2.1</v>
      </c>
      <c r="T176" s="136">
        <f t="shared" si="54"/>
        <v>2.1</v>
      </c>
      <c r="U176" s="136">
        <f t="shared" si="54"/>
        <v>2.1</v>
      </c>
      <c r="V176" s="136">
        <f t="shared" si="54"/>
        <v>2.1</v>
      </c>
      <c r="W176" s="136">
        <f t="shared" si="54"/>
        <v>2.1</v>
      </c>
      <c r="X176" s="136">
        <f t="shared" si="54"/>
        <v>2.1</v>
      </c>
      <c r="Y176" s="136">
        <f t="shared" si="54"/>
        <v>2.1</v>
      </c>
      <c r="Z176" s="136">
        <f t="shared" si="54"/>
        <v>2.1</v>
      </c>
      <c r="AA176" s="136">
        <f t="shared" si="54"/>
        <v>2.1</v>
      </c>
      <c r="AB176" s="136">
        <f t="shared" si="54"/>
        <v>2.1</v>
      </c>
      <c r="AC176" s="136">
        <f t="shared" si="54"/>
        <v>2.1</v>
      </c>
      <c r="AD176" s="136">
        <f t="shared" si="54"/>
        <v>2.1</v>
      </c>
      <c r="AE176" s="136">
        <f t="shared" si="54"/>
        <v>2.1</v>
      </c>
      <c r="AF176" s="136">
        <f t="shared" si="54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52"/>
        <v>0.9</v>
      </c>
      <c r="C177" s="137">
        <v>0.9</v>
      </c>
      <c r="D177" s="136">
        <f t="shared" si="53"/>
        <v>0.9</v>
      </c>
      <c r="E177" s="136">
        <f t="shared" si="53"/>
        <v>0.9</v>
      </c>
      <c r="F177" s="136">
        <f t="shared" si="53"/>
        <v>0.9</v>
      </c>
      <c r="G177" s="136">
        <f t="shared" si="53"/>
        <v>0.9</v>
      </c>
      <c r="H177" s="136">
        <f t="shared" si="53"/>
        <v>0.9</v>
      </c>
      <c r="I177" s="136">
        <f t="shared" si="53"/>
        <v>0.9</v>
      </c>
      <c r="J177" s="136">
        <f t="shared" si="53"/>
        <v>0.9</v>
      </c>
      <c r="K177" s="136">
        <f t="shared" si="53"/>
        <v>0.9</v>
      </c>
      <c r="L177" s="136">
        <f t="shared" si="53"/>
        <v>0.9</v>
      </c>
      <c r="M177" s="136">
        <f t="shared" si="53"/>
        <v>0.9</v>
      </c>
      <c r="N177" s="136">
        <f t="shared" si="53"/>
        <v>0.9</v>
      </c>
      <c r="O177" s="136">
        <f t="shared" si="53"/>
        <v>0.9</v>
      </c>
      <c r="P177" s="136">
        <f t="shared" si="53"/>
        <v>0.9</v>
      </c>
      <c r="Q177" s="136">
        <f t="shared" si="53"/>
        <v>0.9</v>
      </c>
      <c r="R177" s="136">
        <f t="shared" si="53"/>
        <v>0.9</v>
      </c>
      <c r="S177" s="136">
        <f t="shared" si="54"/>
        <v>0.9</v>
      </c>
      <c r="T177" s="136">
        <f t="shared" si="54"/>
        <v>0.9</v>
      </c>
      <c r="U177" s="136">
        <f t="shared" si="54"/>
        <v>0.9</v>
      </c>
      <c r="V177" s="136">
        <f t="shared" si="54"/>
        <v>0.9</v>
      </c>
      <c r="W177" s="136">
        <f t="shared" si="54"/>
        <v>0.9</v>
      </c>
      <c r="X177" s="136">
        <f t="shared" si="54"/>
        <v>0.9</v>
      </c>
      <c r="Y177" s="136">
        <f t="shared" si="54"/>
        <v>0.9</v>
      </c>
      <c r="Z177" s="136">
        <f t="shared" si="54"/>
        <v>0.9</v>
      </c>
      <c r="AA177" s="136">
        <f t="shared" si="54"/>
        <v>0.9</v>
      </c>
      <c r="AB177" s="136">
        <f t="shared" si="54"/>
        <v>0.9</v>
      </c>
      <c r="AC177" s="136">
        <f t="shared" si="54"/>
        <v>0.9</v>
      </c>
      <c r="AD177" s="136">
        <f t="shared" si="54"/>
        <v>0.9</v>
      </c>
      <c r="AE177" s="136">
        <f t="shared" si="54"/>
        <v>0.9</v>
      </c>
      <c r="AF177" s="136">
        <f t="shared" si="54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55">AF179</f>
        <v>0.57999999999999996</v>
      </c>
      <c r="C179" s="137">
        <v>0.57999999999999996</v>
      </c>
      <c r="D179" s="136">
        <f t="shared" ref="D179:S191" si="56">C179</f>
        <v>0.57999999999999996</v>
      </c>
      <c r="E179" s="136">
        <f t="shared" si="56"/>
        <v>0.57999999999999996</v>
      </c>
      <c r="F179" s="136">
        <f t="shared" si="56"/>
        <v>0.57999999999999996</v>
      </c>
      <c r="G179" s="136">
        <f t="shared" si="56"/>
        <v>0.57999999999999996</v>
      </c>
      <c r="H179" s="136">
        <f t="shared" si="56"/>
        <v>0.57999999999999996</v>
      </c>
      <c r="I179" s="136">
        <f t="shared" si="56"/>
        <v>0.57999999999999996</v>
      </c>
      <c r="J179" s="136">
        <f t="shared" si="56"/>
        <v>0.57999999999999996</v>
      </c>
      <c r="K179" s="136">
        <f t="shared" si="56"/>
        <v>0.57999999999999996</v>
      </c>
      <c r="L179" s="136">
        <f t="shared" si="56"/>
        <v>0.57999999999999996</v>
      </c>
      <c r="M179" s="136">
        <f t="shared" si="56"/>
        <v>0.57999999999999996</v>
      </c>
      <c r="N179" s="136">
        <f t="shared" si="56"/>
        <v>0.57999999999999996</v>
      </c>
      <c r="O179" s="136">
        <f t="shared" si="56"/>
        <v>0.57999999999999996</v>
      </c>
      <c r="P179" s="136">
        <f t="shared" si="56"/>
        <v>0.57999999999999996</v>
      </c>
      <c r="Q179" s="136">
        <f t="shared" si="56"/>
        <v>0.57999999999999996</v>
      </c>
      <c r="R179" s="136">
        <f t="shared" si="56"/>
        <v>0.57999999999999996</v>
      </c>
      <c r="S179" s="136">
        <f t="shared" si="56"/>
        <v>0.57999999999999996</v>
      </c>
      <c r="T179" s="136">
        <f t="shared" ref="S179:AF191" si="57">S179</f>
        <v>0.57999999999999996</v>
      </c>
      <c r="U179" s="136">
        <f t="shared" si="57"/>
        <v>0.57999999999999996</v>
      </c>
      <c r="V179" s="136">
        <f t="shared" si="57"/>
        <v>0.57999999999999996</v>
      </c>
      <c r="W179" s="136">
        <f t="shared" si="57"/>
        <v>0.57999999999999996</v>
      </c>
      <c r="X179" s="136">
        <f t="shared" si="57"/>
        <v>0.57999999999999996</v>
      </c>
      <c r="Y179" s="136">
        <f t="shared" si="57"/>
        <v>0.57999999999999996</v>
      </c>
      <c r="Z179" s="136">
        <f t="shared" si="57"/>
        <v>0.57999999999999996</v>
      </c>
      <c r="AA179" s="136">
        <f t="shared" si="57"/>
        <v>0.57999999999999996</v>
      </c>
      <c r="AB179" s="136">
        <f t="shared" si="57"/>
        <v>0.57999999999999996</v>
      </c>
      <c r="AC179" s="136">
        <f t="shared" si="57"/>
        <v>0.57999999999999996</v>
      </c>
      <c r="AD179" s="136">
        <f t="shared" si="57"/>
        <v>0.57999999999999996</v>
      </c>
      <c r="AE179" s="136">
        <f t="shared" si="57"/>
        <v>0.57999999999999996</v>
      </c>
      <c r="AF179" s="136">
        <f t="shared" si="57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55"/>
        <v>0.8</v>
      </c>
      <c r="C180" s="137">
        <v>0.8</v>
      </c>
      <c r="D180" s="136">
        <f t="shared" si="56"/>
        <v>0.8</v>
      </c>
      <c r="E180" s="136">
        <f t="shared" si="56"/>
        <v>0.8</v>
      </c>
      <c r="F180" s="136">
        <f t="shared" si="56"/>
        <v>0.8</v>
      </c>
      <c r="G180" s="136">
        <f t="shared" si="56"/>
        <v>0.8</v>
      </c>
      <c r="H180" s="136">
        <f t="shared" si="56"/>
        <v>0.8</v>
      </c>
      <c r="I180" s="136">
        <f t="shared" si="56"/>
        <v>0.8</v>
      </c>
      <c r="J180" s="136">
        <f t="shared" si="56"/>
        <v>0.8</v>
      </c>
      <c r="K180" s="136">
        <f t="shared" si="56"/>
        <v>0.8</v>
      </c>
      <c r="L180" s="136">
        <f t="shared" si="56"/>
        <v>0.8</v>
      </c>
      <c r="M180" s="136">
        <f t="shared" si="56"/>
        <v>0.8</v>
      </c>
      <c r="N180" s="136">
        <f t="shared" si="56"/>
        <v>0.8</v>
      </c>
      <c r="O180" s="136">
        <f t="shared" si="56"/>
        <v>0.8</v>
      </c>
      <c r="P180" s="136">
        <f t="shared" si="56"/>
        <v>0.8</v>
      </c>
      <c r="Q180" s="136">
        <f t="shared" si="56"/>
        <v>0.8</v>
      </c>
      <c r="R180" s="136">
        <f t="shared" si="56"/>
        <v>0.8</v>
      </c>
      <c r="S180" s="136">
        <f t="shared" si="56"/>
        <v>0.8</v>
      </c>
      <c r="T180" s="136">
        <f t="shared" si="57"/>
        <v>0.8</v>
      </c>
      <c r="U180" s="136">
        <f t="shared" si="57"/>
        <v>0.8</v>
      </c>
      <c r="V180" s="136">
        <f t="shared" si="57"/>
        <v>0.8</v>
      </c>
      <c r="W180" s="136">
        <f t="shared" si="57"/>
        <v>0.8</v>
      </c>
      <c r="X180" s="136">
        <f t="shared" si="57"/>
        <v>0.8</v>
      </c>
      <c r="Y180" s="136">
        <f t="shared" si="57"/>
        <v>0.8</v>
      </c>
      <c r="Z180" s="136">
        <f t="shared" si="57"/>
        <v>0.8</v>
      </c>
      <c r="AA180" s="136">
        <f t="shared" si="57"/>
        <v>0.8</v>
      </c>
      <c r="AB180" s="136">
        <f t="shared" si="57"/>
        <v>0.8</v>
      </c>
      <c r="AC180" s="136">
        <f t="shared" si="57"/>
        <v>0.8</v>
      </c>
      <c r="AD180" s="136">
        <f t="shared" si="57"/>
        <v>0.8</v>
      </c>
      <c r="AE180" s="136">
        <f t="shared" si="57"/>
        <v>0.8</v>
      </c>
      <c r="AF180" s="136">
        <f t="shared" si="57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55"/>
        <v>0</v>
      </c>
      <c r="C181" s="137">
        <v>0</v>
      </c>
      <c r="D181" s="136">
        <f t="shared" si="56"/>
        <v>0</v>
      </c>
      <c r="E181" s="136">
        <f t="shared" si="56"/>
        <v>0</v>
      </c>
      <c r="F181" s="136">
        <f t="shared" si="56"/>
        <v>0</v>
      </c>
      <c r="G181" s="136">
        <f t="shared" si="56"/>
        <v>0</v>
      </c>
      <c r="H181" s="136">
        <f t="shared" si="56"/>
        <v>0</v>
      </c>
      <c r="I181" s="136">
        <f t="shared" si="56"/>
        <v>0</v>
      </c>
      <c r="J181" s="136">
        <f t="shared" si="56"/>
        <v>0</v>
      </c>
      <c r="K181" s="136">
        <f t="shared" si="56"/>
        <v>0</v>
      </c>
      <c r="L181" s="136">
        <f t="shared" si="56"/>
        <v>0</v>
      </c>
      <c r="M181" s="136">
        <f t="shared" si="56"/>
        <v>0</v>
      </c>
      <c r="N181" s="136">
        <f t="shared" si="56"/>
        <v>0</v>
      </c>
      <c r="O181" s="136">
        <f t="shared" si="56"/>
        <v>0</v>
      </c>
      <c r="P181" s="136">
        <f t="shared" si="56"/>
        <v>0</v>
      </c>
      <c r="Q181" s="136">
        <f t="shared" si="56"/>
        <v>0</v>
      </c>
      <c r="R181" s="136">
        <f t="shared" si="56"/>
        <v>0</v>
      </c>
      <c r="S181" s="136">
        <f t="shared" si="56"/>
        <v>0</v>
      </c>
      <c r="T181" s="136">
        <f t="shared" si="57"/>
        <v>0</v>
      </c>
      <c r="U181" s="136">
        <f t="shared" si="57"/>
        <v>0</v>
      </c>
      <c r="V181" s="136">
        <f t="shared" si="57"/>
        <v>0</v>
      </c>
      <c r="W181" s="136">
        <f t="shared" si="57"/>
        <v>0</v>
      </c>
      <c r="X181" s="136">
        <f t="shared" si="57"/>
        <v>0</v>
      </c>
      <c r="Y181" s="136">
        <f t="shared" si="57"/>
        <v>0</v>
      </c>
      <c r="Z181" s="136">
        <f t="shared" si="57"/>
        <v>0</v>
      </c>
      <c r="AA181" s="136">
        <f t="shared" si="57"/>
        <v>0</v>
      </c>
      <c r="AB181" s="136">
        <f t="shared" si="57"/>
        <v>0</v>
      </c>
      <c r="AC181" s="136">
        <f t="shared" si="57"/>
        <v>0</v>
      </c>
      <c r="AD181" s="136">
        <f t="shared" si="57"/>
        <v>0</v>
      </c>
      <c r="AE181" s="136">
        <f t="shared" si="57"/>
        <v>0</v>
      </c>
      <c r="AF181" s="136">
        <f t="shared" si="57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55"/>
        <v>0.6</v>
      </c>
      <c r="C182" s="137">
        <v>0.6</v>
      </c>
      <c r="D182" s="136">
        <f t="shared" si="56"/>
        <v>0.6</v>
      </c>
      <c r="E182" s="136">
        <f t="shared" si="56"/>
        <v>0.6</v>
      </c>
      <c r="F182" s="136">
        <f t="shared" si="56"/>
        <v>0.6</v>
      </c>
      <c r="G182" s="136">
        <f t="shared" si="56"/>
        <v>0.6</v>
      </c>
      <c r="H182" s="136">
        <f t="shared" si="56"/>
        <v>0.6</v>
      </c>
      <c r="I182" s="136">
        <f t="shared" si="56"/>
        <v>0.6</v>
      </c>
      <c r="J182" s="136">
        <f t="shared" si="56"/>
        <v>0.6</v>
      </c>
      <c r="K182" s="136">
        <f t="shared" si="56"/>
        <v>0.6</v>
      </c>
      <c r="L182" s="136">
        <f t="shared" si="56"/>
        <v>0.6</v>
      </c>
      <c r="M182" s="136">
        <f t="shared" si="56"/>
        <v>0.6</v>
      </c>
      <c r="N182" s="136">
        <f t="shared" si="56"/>
        <v>0.6</v>
      </c>
      <c r="O182" s="136">
        <f t="shared" si="56"/>
        <v>0.6</v>
      </c>
      <c r="P182" s="136">
        <f t="shared" si="56"/>
        <v>0.6</v>
      </c>
      <c r="Q182" s="136">
        <f t="shared" si="56"/>
        <v>0.6</v>
      </c>
      <c r="R182" s="136">
        <f t="shared" si="56"/>
        <v>0.6</v>
      </c>
      <c r="S182" s="136">
        <f t="shared" si="56"/>
        <v>0.6</v>
      </c>
      <c r="T182" s="136">
        <f t="shared" si="57"/>
        <v>0.6</v>
      </c>
      <c r="U182" s="136">
        <f t="shared" si="57"/>
        <v>0.6</v>
      </c>
      <c r="V182" s="136">
        <f t="shared" si="57"/>
        <v>0.6</v>
      </c>
      <c r="W182" s="136">
        <f t="shared" si="57"/>
        <v>0.6</v>
      </c>
      <c r="X182" s="136">
        <f t="shared" si="57"/>
        <v>0.6</v>
      </c>
      <c r="Y182" s="136">
        <f t="shared" si="57"/>
        <v>0.6</v>
      </c>
      <c r="Z182" s="136">
        <f t="shared" si="57"/>
        <v>0.6</v>
      </c>
      <c r="AA182" s="136">
        <f t="shared" si="57"/>
        <v>0.6</v>
      </c>
      <c r="AB182" s="136">
        <f t="shared" si="57"/>
        <v>0.6</v>
      </c>
      <c r="AC182" s="136">
        <f t="shared" si="57"/>
        <v>0.6</v>
      </c>
      <c r="AD182" s="136">
        <f t="shared" si="57"/>
        <v>0.6</v>
      </c>
      <c r="AE182" s="136">
        <f t="shared" si="57"/>
        <v>0.6</v>
      </c>
      <c r="AF182" s="136">
        <f t="shared" si="57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55"/>
        <v>0.6</v>
      </c>
      <c r="C183" s="137">
        <v>0.6</v>
      </c>
      <c r="D183" s="136">
        <f t="shared" si="56"/>
        <v>0.6</v>
      </c>
      <c r="E183" s="136">
        <f t="shared" si="56"/>
        <v>0.6</v>
      </c>
      <c r="F183" s="136">
        <f t="shared" si="56"/>
        <v>0.6</v>
      </c>
      <c r="G183" s="136">
        <f t="shared" si="56"/>
        <v>0.6</v>
      </c>
      <c r="H183" s="136">
        <f t="shared" si="56"/>
        <v>0.6</v>
      </c>
      <c r="I183" s="136">
        <f t="shared" si="56"/>
        <v>0.6</v>
      </c>
      <c r="J183" s="136">
        <f t="shared" si="56"/>
        <v>0.6</v>
      </c>
      <c r="K183" s="136">
        <f t="shared" si="56"/>
        <v>0.6</v>
      </c>
      <c r="L183" s="136">
        <f t="shared" si="56"/>
        <v>0.6</v>
      </c>
      <c r="M183" s="136">
        <f t="shared" si="56"/>
        <v>0.6</v>
      </c>
      <c r="N183" s="136">
        <f t="shared" si="56"/>
        <v>0.6</v>
      </c>
      <c r="O183" s="136">
        <f t="shared" si="56"/>
        <v>0.6</v>
      </c>
      <c r="P183" s="136">
        <f t="shared" si="56"/>
        <v>0.6</v>
      </c>
      <c r="Q183" s="136">
        <f t="shared" si="56"/>
        <v>0.6</v>
      </c>
      <c r="R183" s="136">
        <f t="shared" si="56"/>
        <v>0.6</v>
      </c>
      <c r="S183" s="136">
        <f t="shared" si="56"/>
        <v>0.6</v>
      </c>
      <c r="T183" s="136">
        <f t="shared" si="57"/>
        <v>0.6</v>
      </c>
      <c r="U183" s="136">
        <f t="shared" si="57"/>
        <v>0.6</v>
      </c>
      <c r="V183" s="136">
        <f t="shared" si="57"/>
        <v>0.6</v>
      </c>
      <c r="W183" s="136">
        <f t="shared" si="57"/>
        <v>0.6</v>
      </c>
      <c r="X183" s="136">
        <f t="shared" si="57"/>
        <v>0.6</v>
      </c>
      <c r="Y183" s="136">
        <f t="shared" si="57"/>
        <v>0.6</v>
      </c>
      <c r="Z183" s="136">
        <f t="shared" si="57"/>
        <v>0.6</v>
      </c>
      <c r="AA183" s="136">
        <f t="shared" si="57"/>
        <v>0.6</v>
      </c>
      <c r="AB183" s="136">
        <f t="shared" si="57"/>
        <v>0.6</v>
      </c>
      <c r="AC183" s="136">
        <f t="shared" si="57"/>
        <v>0.6</v>
      </c>
      <c r="AD183" s="136">
        <f t="shared" si="57"/>
        <v>0.6</v>
      </c>
      <c r="AE183" s="136">
        <f t="shared" si="57"/>
        <v>0.6</v>
      </c>
      <c r="AF183" s="136">
        <f t="shared" si="57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55"/>
        <v>0.35</v>
      </c>
      <c r="C184" s="137">
        <v>0.35</v>
      </c>
      <c r="D184" s="136">
        <f t="shared" si="56"/>
        <v>0.35</v>
      </c>
      <c r="E184" s="136">
        <f t="shared" si="56"/>
        <v>0.35</v>
      </c>
      <c r="F184" s="136">
        <f t="shared" si="56"/>
        <v>0.35</v>
      </c>
      <c r="G184" s="136">
        <f t="shared" si="56"/>
        <v>0.35</v>
      </c>
      <c r="H184" s="136">
        <f t="shared" si="56"/>
        <v>0.35</v>
      </c>
      <c r="I184" s="136">
        <f t="shared" si="56"/>
        <v>0.35</v>
      </c>
      <c r="J184" s="136">
        <f t="shared" si="56"/>
        <v>0.35</v>
      </c>
      <c r="K184" s="136">
        <f t="shared" si="56"/>
        <v>0.35</v>
      </c>
      <c r="L184" s="136">
        <f t="shared" si="56"/>
        <v>0.35</v>
      </c>
      <c r="M184" s="136">
        <f t="shared" si="56"/>
        <v>0.35</v>
      </c>
      <c r="N184" s="136">
        <f t="shared" si="56"/>
        <v>0.35</v>
      </c>
      <c r="O184" s="136">
        <f t="shared" si="56"/>
        <v>0.35</v>
      </c>
      <c r="P184" s="136">
        <f t="shared" si="56"/>
        <v>0.35</v>
      </c>
      <c r="Q184" s="136">
        <f t="shared" si="56"/>
        <v>0.35</v>
      </c>
      <c r="R184" s="136">
        <f t="shared" si="56"/>
        <v>0.35</v>
      </c>
      <c r="S184" s="136">
        <f t="shared" si="56"/>
        <v>0.35</v>
      </c>
      <c r="T184" s="136">
        <f t="shared" si="57"/>
        <v>0.35</v>
      </c>
      <c r="U184" s="136">
        <f t="shared" si="57"/>
        <v>0.35</v>
      </c>
      <c r="V184" s="136">
        <f t="shared" si="57"/>
        <v>0.35</v>
      </c>
      <c r="W184" s="136">
        <f t="shared" si="57"/>
        <v>0.35</v>
      </c>
      <c r="X184" s="136">
        <f t="shared" si="57"/>
        <v>0.35</v>
      </c>
      <c r="Y184" s="136">
        <f t="shared" si="57"/>
        <v>0.35</v>
      </c>
      <c r="Z184" s="136">
        <f t="shared" si="57"/>
        <v>0.35</v>
      </c>
      <c r="AA184" s="136">
        <f t="shared" si="57"/>
        <v>0.35</v>
      </c>
      <c r="AB184" s="136">
        <f t="shared" si="57"/>
        <v>0.35</v>
      </c>
      <c r="AC184" s="136">
        <f t="shared" si="57"/>
        <v>0.35</v>
      </c>
      <c r="AD184" s="136">
        <f t="shared" si="57"/>
        <v>0.35</v>
      </c>
      <c r="AE184" s="136">
        <f t="shared" si="57"/>
        <v>0.35</v>
      </c>
      <c r="AF184" s="136">
        <f t="shared" si="57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55"/>
        <v>0.28999999999999998</v>
      </c>
      <c r="C185" s="137">
        <v>0.28999999999999998</v>
      </c>
      <c r="D185" s="136">
        <f t="shared" si="56"/>
        <v>0.28999999999999998</v>
      </c>
      <c r="E185" s="136">
        <f t="shared" si="56"/>
        <v>0.28999999999999998</v>
      </c>
      <c r="F185" s="136">
        <f t="shared" si="56"/>
        <v>0.28999999999999998</v>
      </c>
      <c r="G185" s="136">
        <f t="shared" si="56"/>
        <v>0.28999999999999998</v>
      </c>
      <c r="H185" s="136">
        <f t="shared" si="56"/>
        <v>0.28999999999999998</v>
      </c>
      <c r="I185" s="136">
        <f t="shared" si="56"/>
        <v>0.28999999999999998</v>
      </c>
      <c r="J185" s="136">
        <f t="shared" si="56"/>
        <v>0.28999999999999998</v>
      </c>
      <c r="K185" s="136">
        <f t="shared" si="56"/>
        <v>0.28999999999999998</v>
      </c>
      <c r="L185" s="136">
        <f t="shared" si="56"/>
        <v>0.28999999999999998</v>
      </c>
      <c r="M185" s="136">
        <f t="shared" si="56"/>
        <v>0.28999999999999998</v>
      </c>
      <c r="N185" s="136">
        <f t="shared" si="56"/>
        <v>0.28999999999999998</v>
      </c>
      <c r="O185" s="136">
        <f t="shared" si="56"/>
        <v>0.28999999999999998</v>
      </c>
      <c r="P185" s="136">
        <f t="shared" si="56"/>
        <v>0.28999999999999998</v>
      </c>
      <c r="Q185" s="136">
        <f t="shared" si="56"/>
        <v>0.28999999999999998</v>
      </c>
      <c r="R185" s="136">
        <f t="shared" si="56"/>
        <v>0.28999999999999998</v>
      </c>
      <c r="S185" s="136">
        <f t="shared" si="56"/>
        <v>0.28999999999999998</v>
      </c>
      <c r="T185" s="136">
        <f t="shared" si="57"/>
        <v>0.28999999999999998</v>
      </c>
      <c r="U185" s="136">
        <f t="shared" si="57"/>
        <v>0.28999999999999998</v>
      </c>
      <c r="V185" s="136">
        <f t="shared" si="57"/>
        <v>0.28999999999999998</v>
      </c>
      <c r="W185" s="136">
        <f t="shared" si="57"/>
        <v>0.28999999999999998</v>
      </c>
      <c r="X185" s="136">
        <f t="shared" si="57"/>
        <v>0.28999999999999998</v>
      </c>
      <c r="Y185" s="136">
        <f t="shared" si="57"/>
        <v>0.28999999999999998</v>
      </c>
      <c r="Z185" s="136">
        <f t="shared" si="57"/>
        <v>0.28999999999999998</v>
      </c>
      <c r="AA185" s="136">
        <f t="shared" si="57"/>
        <v>0.28999999999999998</v>
      </c>
      <c r="AB185" s="136">
        <f t="shared" si="57"/>
        <v>0.28999999999999998</v>
      </c>
      <c r="AC185" s="136">
        <f t="shared" si="57"/>
        <v>0.28999999999999998</v>
      </c>
      <c r="AD185" s="136">
        <f t="shared" si="57"/>
        <v>0.28999999999999998</v>
      </c>
      <c r="AE185" s="136">
        <f t="shared" si="57"/>
        <v>0.28999999999999998</v>
      </c>
      <c r="AF185" s="136">
        <f t="shared" si="57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55"/>
        <v>0.06</v>
      </c>
      <c r="C186" s="137">
        <v>0.06</v>
      </c>
      <c r="D186" s="136">
        <f t="shared" si="56"/>
        <v>0.06</v>
      </c>
      <c r="E186" s="136">
        <f t="shared" si="56"/>
        <v>0.06</v>
      </c>
      <c r="F186" s="136">
        <f t="shared" si="56"/>
        <v>0.06</v>
      </c>
      <c r="G186" s="136">
        <f t="shared" si="56"/>
        <v>0.06</v>
      </c>
      <c r="H186" s="136">
        <f t="shared" si="56"/>
        <v>0.06</v>
      </c>
      <c r="I186" s="136">
        <f t="shared" si="56"/>
        <v>0.06</v>
      </c>
      <c r="J186" s="136">
        <f t="shared" si="56"/>
        <v>0.06</v>
      </c>
      <c r="K186" s="136">
        <f t="shared" si="56"/>
        <v>0.06</v>
      </c>
      <c r="L186" s="136">
        <f t="shared" si="56"/>
        <v>0.06</v>
      </c>
      <c r="M186" s="136">
        <f t="shared" si="56"/>
        <v>0.06</v>
      </c>
      <c r="N186" s="136">
        <f t="shared" si="56"/>
        <v>0.06</v>
      </c>
      <c r="O186" s="136">
        <f t="shared" si="56"/>
        <v>0.06</v>
      </c>
      <c r="P186" s="136">
        <f t="shared" si="56"/>
        <v>0.06</v>
      </c>
      <c r="Q186" s="136">
        <f t="shared" si="56"/>
        <v>0.06</v>
      </c>
      <c r="R186" s="136">
        <f t="shared" si="56"/>
        <v>0.06</v>
      </c>
      <c r="S186" s="136">
        <f t="shared" si="56"/>
        <v>0.06</v>
      </c>
      <c r="T186" s="136">
        <f t="shared" si="57"/>
        <v>0.06</v>
      </c>
      <c r="U186" s="136">
        <f t="shared" si="57"/>
        <v>0.06</v>
      </c>
      <c r="V186" s="136">
        <f t="shared" si="57"/>
        <v>0.06</v>
      </c>
      <c r="W186" s="136">
        <f t="shared" si="57"/>
        <v>0.06</v>
      </c>
      <c r="X186" s="136">
        <f t="shared" si="57"/>
        <v>0.06</v>
      </c>
      <c r="Y186" s="136">
        <f t="shared" si="57"/>
        <v>0.06</v>
      </c>
      <c r="Z186" s="136">
        <f t="shared" si="57"/>
        <v>0.06</v>
      </c>
      <c r="AA186" s="136">
        <f t="shared" si="57"/>
        <v>0.06</v>
      </c>
      <c r="AB186" s="136">
        <f t="shared" si="57"/>
        <v>0.06</v>
      </c>
      <c r="AC186" s="136">
        <f t="shared" si="57"/>
        <v>0.06</v>
      </c>
      <c r="AD186" s="136">
        <f t="shared" si="57"/>
        <v>0.06</v>
      </c>
      <c r="AE186" s="136">
        <f t="shared" si="57"/>
        <v>0.06</v>
      </c>
      <c r="AF186" s="136">
        <f t="shared" si="57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55"/>
        <v>0.11</v>
      </c>
      <c r="C187" s="137">
        <v>0.11</v>
      </c>
      <c r="D187" s="136">
        <f t="shared" si="56"/>
        <v>0.11</v>
      </c>
      <c r="E187" s="136">
        <f t="shared" si="56"/>
        <v>0.11</v>
      </c>
      <c r="F187" s="136">
        <f t="shared" si="56"/>
        <v>0.11</v>
      </c>
      <c r="G187" s="136">
        <f t="shared" si="56"/>
        <v>0.11</v>
      </c>
      <c r="H187" s="136">
        <f t="shared" si="56"/>
        <v>0.11</v>
      </c>
      <c r="I187" s="136">
        <f t="shared" si="56"/>
        <v>0.11</v>
      </c>
      <c r="J187" s="136">
        <f t="shared" si="56"/>
        <v>0.11</v>
      </c>
      <c r="K187" s="136">
        <f t="shared" si="56"/>
        <v>0.11</v>
      </c>
      <c r="L187" s="136">
        <f t="shared" si="56"/>
        <v>0.11</v>
      </c>
      <c r="M187" s="136">
        <f t="shared" si="56"/>
        <v>0.11</v>
      </c>
      <c r="N187" s="136">
        <f t="shared" si="56"/>
        <v>0.11</v>
      </c>
      <c r="O187" s="136">
        <f t="shared" si="56"/>
        <v>0.11</v>
      </c>
      <c r="P187" s="136">
        <f t="shared" si="56"/>
        <v>0.11</v>
      </c>
      <c r="Q187" s="136">
        <f t="shared" si="56"/>
        <v>0.11</v>
      </c>
      <c r="R187" s="136">
        <f t="shared" si="56"/>
        <v>0.11</v>
      </c>
      <c r="S187" s="136">
        <f t="shared" si="56"/>
        <v>0.11</v>
      </c>
      <c r="T187" s="136">
        <f t="shared" si="57"/>
        <v>0.11</v>
      </c>
      <c r="U187" s="136">
        <f t="shared" si="57"/>
        <v>0.11</v>
      </c>
      <c r="V187" s="136">
        <f t="shared" si="57"/>
        <v>0.11</v>
      </c>
      <c r="W187" s="136">
        <f t="shared" si="57"/>
        <v>0.11</v>
      </c>
      <c r="X187" s="136">
        <f t="shared" si="57"/>
        <v>0.11</v>
      </c>
      <c r="Y187" s="136">
        <f t="shared" si="57"/>
        <v>0.11</v>
      </c>
      <c r="Z187" s="136">
        <f t="shared" si="57"/>
        <v>0.11</v>
      </c>
      <c r="AA187" s="136">
        <f t="shared" si="57"/>
        <v>0.11</v>
      </c>
      <c r="AB187" s="136">
        <f t="shared" si="57"/>
        <v>0.11</v>
      </c>
      <c r="AC187" s="136">
        <f t="shared" si="57"/>
        <v>0.11</v>
      </c>
      <c r="AD187" s="136">
        <f t="shared" si="57"/>
        <v>0.11</v>
      </c>
      <c r="AE187" s="136">
        <f t="shared" si="57"/>
        <v>0.11</v>
      </c>
      <c r="AF187" s="136">
        <f t="shared" si="57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55"/>
        <v>0.1</v>
      </c>
      <c r="C188" s="137">
        <v>0.1</v>
      </c>
      <c r="D188" s="136">
        <f t="shared" si="56"/>
        <v>0.1</v>
      </c>
      <c r="E188" s="136">
        <f t="shared" si="56"/>
        <v>0.1</v>
      </c>
      <c r="F188" s="136">
        <f t="shared" si="56"/>
        <v>0.1</v>
      </c>
      <c r="G188" s="136">
        <f t="shared" si="56"/>
        <v>0.1</v>
      </c>
      <c r="H188" s="136">
        <f t="shared" si="56"/>
        <v>0.1</v>
      </c>
      <c r="I188" s="136">
        <f t="shared" si="56"/>
        <v>0.1</v>
      </c>
      <c r="J188" s="136">
        <f t="shared" si="56"/>
        <v>0.1</v>
      </c>
      <c r="K188" s="136">
        <f t="shared" si="56"/>
        <v>0.1</v>
      </c>
      <c r="L188" s="136">
        <f t="shared" si="56"/>
        <v>0.1</v>
      </c>
      <c r="M188" s="136">
        <f t="shared" si="56"/>
        <v>0.1</v>
      </c>
      <c r="N188" s="136">
        <f t="shared" si="56"/>
        <v>0.1</v>
      </c>
      <c r="O188" s="136">
        <f t="shared" si="56"/>
        <v>0.1</v>
      </c>
      <c r="P188" s="136">
        <f t="shared" si="56"/>
        <v>0.1</v>
      </c>
      <c r="Q188" s="136">
        <f t="shared" si="56"/>
        <v>0.1</v>
      </c>
      <c r="R188" s="136">
        <f t="shared" si="56"/>
        <v>0.1</v>
      </c>
      <c r="S188" s="136">
        <f t="shared" si="57"/>
        <v>0.1</v>
      </c>
      <c r="T188" s="136">
        <f t="shared" si="57"/>
        <v>0.1</v>
      </c>
      <c r="U188" s="136">
        <f t="shared" si="57"/>
        <v>0.1</v>
      </c>
      <c r="V188" s="136">
        <f t="shared" si="57"/>
        <v>0.1</v>
      </c>
      <c r="W188" s="136">
        <f t="shared" si="57"/>
        <v>0.1</v>
      </c>
      <c r="X188" s="136">
        <f t="shared" si="57"/>
        <v>0.1</v>
      </c>
      <c r="Y188" s="136">
        <f t="shared" si="57"/>
        <v>0.1</v>
      </c>
      <c r="Z188" s="136">
        <f t="shared" si="57"/>
        <v>0.1</v>
      </c>
      <c r="AA188" s="136">
        <f t="shared" si="57"/>
        <v>0.1</v>
      </c>
      <c r="AB188" s="136">
        <f t="shared" si="57"/>
        <v>0.1</v>
      </c>
      <c r="AC188" s="136">
        <f t="shared" si="57"/>
        <v>0.1</v>
      </c>
      <c r="AD188" s="136">
        <f t="shared" si="57"/>
        <v>0.1</v>
      </c>
      <c r="AE188" s="136">
        <f t="shared" si="57"/>
        <v>0.1</v>
      </c>
      <c r="AF188" s="136">
        <f t="shared" si="57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55"/>
        <v>0.09</v>
      </c>
      <c r="C189" s="137">
        <v>0.09</v>
      </c>
      <c r="D189" s="136">
        <f t="shared" si="56"/>
        <v>0.09</v>
      </c>
      <c r="E189" s="136">
        <f t="shared" si="56"/>
        <v>0.09</v>
      </c>
      <c r="F189" s="136">
        <f t="shared" si="56"/>
        <v>0.09</v>
      </c>
      <c r="G189" s="136">
        <f t="shared" si="56"/>
        <v>0.09</v>
      </c>
      <c r="H189" s="136">
        <f t="shared" si="56"/>
        <v>0.09</v>
      </c>
      <c r="I189" s="136">
        <f t="shared" si="56"/>
        <v>0.09</v>
      </c>
      <c r="J189" s="136">
        <f t="shared" si="56"/>
        <v>0.09</v>
      </c>
      <c r="K189" s="136">
        <f t="shared" si="56"/>
        <v>0.09</v>
      </c>
      <c r="L189" s="136">
        <f t="shared" si="56"/>
        <v>0.09</v>
      </c>
      <c r="M189" s="136">
        <f t="shared" si="56"/>
        <v>0.09</v>
      </c>
      <c r="N189" s="136">
        <f t="shared" si="56"/>
        <v>0.09</v>
      </c>
      <c r="O189" s="136">
        <f t="shared" si="56"/>
        <v>0.09</v>
      </c>
      <c r="P189" s="136">
        <f t="shared" si="56"/>
        <v>0.09</v>
      </c>
      <c r="Q189" s="136">
        <f t="shared" si="56"/>
        <v>0.09</v>
      </c>
      <c r="R189" s="136">
        <f t="shared" si="56"/>
        <v>0.09</v>
      </c>
      <c r="S189" s="136">
        <f t="shared" si="57"/>
        <v>0.09</v>
      </c>
      <c r="T189" s="136">
        <f t="shared" si="57"/>
        <v>0.09</v>
      </c>
      <c r="U189" s="136">
        <f t="shared" si="57"/>
        <v>0.09</v>
      </c>
      <c r="V189" s="136">
        <f t="shared" si="57"/>
        <v>0.09</v>
      </c>
      <c r="W189" s="136">
        <f t="shared" si="57"/>
        <v>0.09</v>
      </c>
      <c r="X189" s="136">
        <f t="shared" si="57"/>
        <v>0.09</v>
      </c>
      <c r="Y189" s="136">
        <f t="shared" si="57"/>
        <v>0.09</v>
      </c>
      <c r="Z189" s="136">
        <f t="shared" si="57"/>
        <v>0.09</v>
      </c>
      <c r="AA189" s="136">
        <f t="shared" si="57"/>
        <v>0.09</v>
      </c>
      <c r="AB189" s="136">
        <f t="shared" si="57"/>
        <v>0.09</v>
      </c>
      <c r="AC189" s="136">
        <f t="shared" si="57"/>
        <v>0.09</v>
      </c>
      <c r="AD189" s="136">
        <f t="shared" si="57"/>
        <v>0.09</v>
      </c>
      <c r="AE189" s="136">
        <f t="shared" si="57"/>
        <v>0.09</v>
      </c>
      <c r="AF189" s="136">
        <f t="shared" si="57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55"/>
        <v>0.04</v>
      </c>
      <c r="C190" s="53">
        <v>0.04</v>
      </c>
      <c r="D190" s="136">
        <f t="shared" si="56"/>
        <v>0.04</v>
      </c>
      <c r="E190" s="136">
        <f t="shared" si="56"/>
        <v>0.04</v>
      </c>
      <c r="F190" s="136">
        <f t="shared" si="56"/>
        <v>0.04</v>
      </c>
      <c r="G190" s="136">
        <f t="shared" si="56"/>
        <v>0.04</v>
      </c>
      <c r="H190" s="136">
        <f t="shared" si="56"/>
        <v>0.04</v>
      </c>
      <c r="I190" s="136">
        <f t="shared" si="56"/>
        <v>0.04</v>
      </c>
      <c r="J190" s="136">
        <f t="shared" si="56"/>
        <v>0.04</v>
      </c>
      <c r="K190" s="136">
        <f t="shared" si="56"/>
        <v>0.04</v>
      </c>
      <c r="L190" s="136">
        <f t="shared" si="56"/>
        <v>0.04</v>
      </c>
      <c r="M190" s="136">
        <f t="shared" si="56"/>
        <v>0.04</v>
      </c>
      <c r="N190" s="136">
        <f t="shared" si="56"/>
        <v>0.04</v>
      </c>
      <c r="O190" s="136">
        <f t="shared" si="56"/>
        <v>0.04</v>
      </c>
      <c r="P190" s="136">
        <f t="shared" si="56"/>
        <v>0.04</v>
      </c>
      <c r="Q190" s="136">
        <f t="shared" si="56"/>
        <v>0.04</v>
      </c>
      <c r="R190" s="136">
        <f t="shared" si="56"/>
        <v>0.04</v>
      </c>
      <c r="S190" s="136">
        <f t="shared" si="57"/>
        <v>0.04</v>
      </c>
      <c r="T190" s="136">
        <f t="shared" si="57"/>
        <v>0.04</v>
      </c>
      <c r="U190" s="136">
        <f t="shared" si="57"/>
        <v>0.04</v>
      </c>
      <c r="V190" s="136">
        <f t="shared" si="57"/>
        <v>0.04</v>
      </c>
      <c r="W190" s="136">
        <f t="shared" si="57"/>
        <v>0.04</v>
      </c>
      <c r="X190" s="136">
        <f t="shared" si="57"/>
        <v>0.04</v>
      </c>
      <c r="Y190" s="136">
        <f t="shared" si="57"/>
        <v>0.04</v>
      </c>
      <c r="Z190" s="136">
        <f t="shared" si="57"/>
        <v>0.04</v>
      </c>
      <c r="AA190" s="136">
        <f t="shared" si="57"/>
        <v>0.04</v>
      </c>
      <c r="AB190" s="136">
        <f t="shared" si="57"/>
        <v>0.04</v>
      </c>
      <c r="AC190" s="136">
        <f t="shared" si="57"/>
        <v>0.04</v>
      </c>
      <c r="AD190" s="136">
        <f t="shared" si="57"/>
        <v>0.04</v>
      </c>
      <c r="AE190" s="136">
        <f t="shared" si="57"/>
        <v>0.04</v>
      </c>
      <c r="AF190" s="136">
        <f t="shared" si="57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55"/>
        <v>2.3E-2</v>
      </c>
      <c r="C191" s="53">
        <v>2.3E-2</v>
      </c>
      <c r="D191" s="136">
        <f>C191</f>
        <v>2.3E-2</v>
      </c>
      <c r="E191" s="136">
        <f t="shared" si="56"/>
        <v>2.3E-2</v>
      </c>
      <c r="F191" s="136">
        <f t="shared" si="56"/>
        <v>2.3E-2</v>
      </c>
      <c r="G191" s="136">
        <f t="shared" si="56"/>
        <v>2.3E-2</v>
      </c>
      <c r="H191" s="136">
        <f t="shared" si="56"/>
        <v>2.3E-2</v>
      </c>
      <c r="I191" s="136">
        <f t="shared" si="56"/>
        <v>2.3E-2</v>
      </c>
      <c r="J191" s="136">
        <f t="shared" si="56"/>
        <v>2.3E-2</v>
      </c>
      <c r="K191" s="136">
        <f t="shared" si="56"/>
        <v>2.3E-2</v>
      </c>
      <c r="L191" s="136">
        <f t="shared" si="56"/>
        <v>2.3E-2</v>
      </c>
      <c r="M191" s="136">
        <f t="shared" si="56"/>
        <v>2.3E-2</v>
      </c>
      <c r="N191" s="136">
        <f t="shared" si="56"/>
        <v>2.3E-2</v>
      </c>
      <c r="O191" s="136">
        <f t="shared" si="56"/>
        <v>2.3E-2</v>
      </c>
      <c r="P191" s="136">
        <f t="shared" si="56"/>
        <v>2.3E-2</v>
      </c>
      <c r="Q191" s="136">
        <f t="shared" si="56"/>
        <v>2.3E-2</v>
      </c>
      <c r="R191" s="136">
        <f t="shared" si="56"/>
        <v>2.3E-2</v>
      </c>
      <c r="S191" s="136">
        <f t="shared" si="57"/>
        <v>2.3E-2</v>
      </c>
      <c r="T191" s="136">
        <f t="shared" si="57"/>
        <v>2.3E-2</v>
      </c>
      <c r="U191" s="136">
        <f t="shared" si="57"/>
        <v>2.3E-2</v>
      </c>
      <c r="V191" s="136">
        <f t="shared" si="57"/>
        <v>2.3E-2</v>
      </c>
      <c r="W191" s="136">
        <f t="shared" si="57"/>
        <v>2.3E-2</v>
      </c>
      <c r="X191" s="136">
        <f t="shared" si="57"/>
        <v>2.3E-2</v>
      </c>
      <c r="Y191" s="136">
        <f t="shared" si="57"/>
        <v>2.3E-2</v>
      </c>
      <c r="Z191" s="136">
        <f t="shared" si="57"/>
        <v>2.3E-2</v>
      </c>
      <c r="AA191" s="136">
        <f t="shared" si="57"/>
        <v>2.3E-2</v>
      </c>
      <c r="AB191" s="136">
        <f t="shared" si="57"/>
        <v>2.3E-2</v>
      </c>
      <c r="AC191" s="136">
        <f t="shared" si="57"/>
        <v>2.3E-2</v>
      </c>
      <c r="AD191" s="136">
        <f t="shared" si="57"/>
        <v>2.3E-2</v>
      </c>
      <c r="AE191" s="136">
        <f t="shared" si="57"/>
        <v>2.3E-2</v>
      </c>
      <c r="AF191" s="136">
        <f t="shared" si="57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58">SUM(C102:C191)</f>
        <v>194.70600000000002</v>
      </c>
      <c r="D192" s="141">
        <f t="shared" si="58"/>
        <v>194.70600000000002</v>
      </c>
      <c r="E192" s="141">
        <f t="shared" si="58"/>
        <v>194.70600000000002</v>
      </c>
      <c r="F192" s="141">
        <f t="shared" si="58"/>
        <v>194.70600000000002</v>
      </c>
      <c r="G192" s="141">
        <f t="shared" si="58"/>
        <v>194.70600000000002</v>
      </c>
      <c r="H192" s="141">
        <f t="shared" si="58"/>
        <v>194.70600000000002</v>
      </c>
      <c r="I192" s="141">
        <f t="shared" si="58"/>
        <v>194.70600000000002</v>
      </c>
      <c r="J192" s="141">
        <f t="shared" si="58"/>
        <v>192.10600000000005</v>
      </c>
      <c r="K192" s="141">
        <f t="shared" si="58"/>
        <v>192.10600000000005</v>
      </c>
      <c r="L192" s="141">
        <f t="shared" si="58"/>
        <v>192.10600000000005</v>
      </c>
      <c r="M192" s="141">
        <f t="shared" si="58"/>
        <v>192.10600000000005</v>
      </c>
      <c r="N192" s="141">
        <f t="shared" si="58"/>
        <v>192.10600000000005</v>
      </c>
      <c r="O192" s="141">
        <f t="shared" si="58"/>
        <v>192.10600000000005</v>
      </c>
      <c r="P192" s="141">
        <f t="shared" si="58"/>
        <v>192.10600000000005</v>
      </c>
      <c r="Q192" s="141">
        <f t="shared" si="58"/>
        <v>192.10600000000005</v>
      </c>
      <c r="R192" s="141">
        <f t="shared" si="58"/>
        <v>192.10600000000005</v>
      </c>
      <c r="S192" s="141">
        <f t="shared" si="58"/>
        <v>192.10600000000005</v>
      </c>
      <c r="T192" s="141">
        <f t="shared" si="58"/>
        <v>192.10600000000005</v>
      </c>
      <c r="U192" s="141">
        <f t="shared" si="58"/>
        <v>192.10600000000005</v>
      </c>
      <c r="V192" s="141">
        <f t="shared" si="58"/>
        <v>192.10600000000005</v>
      </c>
      <c r="W192" s="141">
        <f t="shared" si="58"/>
        <v>192.10600000000005</v>
      </c>
      <c r="X192" s="141">
        <f t="shared" si="58"/>
        <v>192.10600000000005</v>
      </c>
      <c r="Y192" s="141">
        <f t="shared" si="58"/>
        <v>192.10600000000005</v>
      </c>
      <c r="Z192" s="141">
        <f t="shared" si="58"/>
        <v>192.10600000000005</v>
      </c>
      <c r="AA192" s="141">
        <f t="shared" si="58"/>
        <v>192.10600000000005</v>
      </c>
      <c r="AB192" s="141">
        <f t="shared" si="58"/>
        <v>192.10600000000005</v>
      </c>
      <c r="AC192" s="141">
        <f t="shared" si="58"/>
        <v>192.10600000000005</v>
      </c>
      <c r="AD192" s="141">
        <f t="shared" si="58"/>
        <v>192.10600000000005</v>
      </c>
      <c r="AE192" s="141">
        <f t="shared" si="58"/>
        <v>192.10600000000005</v>
      </c>
      <c r="AF192" s="141">
        <f t="shared" si="58"/>
        <v>192.10600000000005</v>
      </c>
      <c r="AG192" s="142">
        <f t="shared" si="5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59">AF194</f>
        <v>0.3</v>
      </c>
      <c r="C194" s="143">
        <v>0.3</v>
      </c>
      <c r="D194" s="143">
        <f t="shared" ref="D194:S199" si="60">C194</f>
        <v>0.3</v>
      </c>
      <c r="E194" s="143">
        <f t="shared" si="60"/>
        <v>0.3</v>
      </c>
      <c r="F194" s="143">
        <f t="shared" si="60"/>
        <v>0.3</v>
      </c>
      <c r="G194" s="143">
        <f t="shared" si="60"/>
        <v>0.3</v>
      </c>
      <c r="H194" s="143">
        <f t="shared" si="60"/>
        <v>0.3</v>
      </c>
      <c r="I194" s="143">
        <f t="shared" si="60"/>
        <v>0.3</v>
      </c>
      <c r="J194" s="143">
        <f t="shared" si="60"/>
        <v>0.3</v>
      </c>
      <c r="K194" s="143">
        <f t="shared" si="60"/>
        <v>0.3</v>
      </c>
      <c r="L194" s="143">
        <f t="shared" si="60"/>
        <v>0.3</v>
      </c>
      <c r="M194" s="143">
        <f t="shared" si="60"/>
        <v>0.3</v>
      </c>
      <c r="N194" s="143">
        <f t="shared" si="60"/>
        <v>0.3</v>
      </c>
      <c r="O194" s="143">
        <f t="shared" si="60"/>
        <v>0.3</v>
      </c>
      <c r="P194" s="143">
        <f t="shared" si="60"/>
        <v>0.3</v>
      </c>
      <c r="Q194" s="143">
        <f t="shared" si="60"/>
        <v>0.3</v>
      </c>
      <c r="R194" s="143">
        <f t="shared" si="60"/>
        <v>0.3</v>
      </c>
      <c r="S194" s="143">
        <f t="shared" si="60"/>
        <v>0.3</v>
      </c>
      <c r="T194" s="143">
        <f t="shared" ref="T194:AF199" si="61">S194</f>
        <v>0.3</v>
      </c>
      <c r="U194" s="143">
        <f t="shared" si="61"/>
        <v>0.3</v>
      </c>
      <c r="V194" s="143">
        <f t="shared" si="61"/>
        <v>0.3</v>
      </c>
      <c r="W194" s="143">
        <f t="shared" si="61"/>
        <v>0.3</v>
      </c>
      <c r="X194" s="143">
        <f t="shared" si="61"/>
        <v>0.3</v>
      </c>
      <c r="Y194" s="143">
        <f t="shared" si="61"/>
        <v>0.3</v>
      </c>
      <c r="Z194" s="143">
        <f t="shared" si="61"/>
        <v>0.3</v>
      </c>
      <c r="AA194" s="143">
        <f t="shared" si="61"/>
        <v>0.3</v>
      </c>
      <c r="AB194" s="143">
        <f t="shared" si="61"/>
        <v>0.3</v>
      </c>
      <c r="AC194" s="143">
        <f t="shared" si="61"/>
        <v>0.3</v>
      </c>
      <c r="AD194" s="143">
        <f t="shared" si="61"/>
        <v>0.3</v>
      </c>
      <c r="AE194" s="143">
        <f t="shared" si="61"/>
        <v>0.3</v>
      </c>
      <c r="AF194" s="143">
        <f t="shared" si="61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59"/>
        <v>0.4</v>
      </c>
      <c r="C195" s="136">
        <v>0.4</v>
      </c>
      <c r="D195" s="136">
        <f t="shared" si="60"/>
        <v>0.4</v>
      </c>
      <c r="E195" s="136">
        <f t="shared" si="60"/>
        <v>0.4</v>
      </c>
      <c r="F195" s="136">
        <f t="shared" si="60"/>
        <v>0.4</v>
      </c>
      <c r="G195" s="136">
        <f t="shared" si="60"/>
        <v>0.4</v>
      </c>
      <c r="H195" s="136">
        <f t="shared" si="60"/>
        <v>0.4</v>
      </c>
      <c r="I195" s="136">
        <f t="shared" si="60"/>
        <v>0.4</v>
      </c>
      <c r="J195" s="136">
        <f t="shared" si="60"/>
        <v>0.4</v>
      </c>
      <c r="K195" s="136">
        <f t="shared" si="60"/>
        <v>0.4</v>
      </c>
      <c r="L195" s="136">
        <f t="shared" si="60"/>
        <v>0.4</v>
      </c>
      <c r="M195" s="136">
        <f t="shared" si="60"/>
        <v>0.4</v>
      </c>
      <c r="N195" s="136">
        <f t="shared" si="60"/>
        <v>0.4</v>
      </c>
      <c r="O195" s="136">
        <f t="shared" si="60"/>
        <v>0.4</v>
      </c>
      <c r="P195" s="136">
        <f t="shared" si="60"/>
        <v>0.4</v>
      </c>
      <c r="Q195" s="136">
        <f t="shared" si="60"/>
        <v>0.4</v>
      </c>
      <c r="R195" s="136">
        <f t="shared" si="60"/>
        <v>0.4</v>
      </c>
      <c r="S195" s="136">
        <f t="shared" si="60"/>
        <v>0.4</v>
      </c>
      <c r="T195" s="136">
        <f t="shared" si="61"/>
        <v>0.4</v>
      </c>
      <c r="U195" s="136">
        <f t="shared" si="61"/>
        <v>0.4</v>
      </c>
      <c r="V195" s="136">
        <f t="shared" si="61"/>
        <v>0.4</v>
      </c>
      <c r="W195" s="136">
        <f>V195</f>
        <v>0.4</v>
      </c>
      <c r="X195" s="136">
        <f>W195</f>
        <v>0.4</v>
      </c>
      <c r="Y195" s="136">
        <f t="shared" si="61"/>
        <v>0.4</v>
      </c>
      <c r="Z195" s="136">
        <f t="shared" si="61"/>
        <v>0.4</v>
      </c>
      <c r="AA195" s="136">
        <f t="shared" si="61"/>
        <v>0.4</v>
      </c>
      <c r="AB195" s="136">
        <f t="shared" si="61"/>
        <v>0.4</v>
      </c>
      <c r="AC195" s="136">
        <f t="shared" si="61"/>
        <v>0.4</v>
      </c>
      <c r="AD195" s="136">
        <f t="shared" si="61"/>
        <v>0.4</v>
      </c>
      <c r="AE195" s="136">
        <f t="shared" si="61"/>
        <v>0.4</v>
      </c>
      <c r="AF195" s="136">
        <f t="shared" si="61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59"/>
        <v>1.5</v>
      </c>
      <c r="C196" s="136">
        <v>1.5</v>
      </c>
      <c r="D196" s="136">
        <f t="shared" si="60"/>
        <v>1.5</v>
      </c>
      <c r="E196" s="136">
        <f t="shared" si="60"/>
        <v>1.5</v>
      </c>
      <c r="F196" s="136">
        <f t="shared" si="60"/>
        <v>1.5</v>
      </c>
      <c r="G196" s="136">
        <f t="shared" si="60"/>
        <v>1.5</v>
      </c>
      <c r="H196" s="136">
        <f t="shared" si="60"/>
        <v>1.5</v>
      </c>
      <c r="I196" s="136">
        <f t="shared" si="60"/>
        <v>1.5</v>
      </c>
      <c r="J196" s="136">
        <f t="shared" si="60"/>
        <v>1.5</v>
      </c>
      <c r="K196" s="136">
        <f t="shared" si="60"/>
        <v>1.5</v>
      </c>
      <c r="L196" s="136">
        <f t="shared" si="60"/>
        <v>1.5</v>
      </c>
      <c r="M196" s="136">
        <f t="shared" si="60"/>
        <v>1.5</v>
      </c>
      <c r="N196" s="136">
        <f t="shared" si="60"/>
        <v>1.5</v>
      </c>
      <c r="O196" s="136">
        <f t="shared" si="60"/>
        <v>1.5</v>
      </c>
      <c r="P196" s="136">
        <f t="shared" si="60"/>
        <v>1.5</v>
      </c>
      <c r="Q196" s="136">
        <f t="shared" si="60"/>
        <v>1.5</v>
      </c>
      <c r="R196" s="136">
        <f t="shared" si="60"/>
        <v>1.5</v>
      </c>
      <c r="S196" s="136">
        <f t="shared" si="60"/>
        <v>1.5</v>
      </c>
      <c r="T196" s="136">
        <f t="shared" si="61"/>
        <v>1.5</v>
      </c>
      <c r="U196" s="136">
        <f t="shared" si="61"/>
        <v>1.5</v>
      </c>
      <c r="V196" s="136">
        <f t="shared" si="61"/>
        <v>1.5</v>
      </c>
      <c r="W196" s="136">
        <f t="shared" si="61"/>
        <v>1.5</v>
      </c>
      <c r="X196" s="136">
        <f t="shared" si="61"/>
        <v>1.5</v>
      </c>
      <c r="Y196" s="136">
        <f t="shared" si="61"/>
        <v>1.5</v>
      </c>
      <c r="Z196" s="136">
        <f t="shared" si="61"/>
        <v>1.5</v>
      </c>
      <c r="AA196" s="136">
        <f t="shared" si="61"/>
        <v>1.5</v>
      </c>
      <c r="AB196" s="136">
        <f t="shared" si="61"/>
        <v>1.5</v>
      </c>
      <c r="AC196" s="136">
        <f t="shared" si="61"/>
        <v>1.5</v>
      </c>
      <c r="AD196" s="136">
        <f t="shared" si="61"/>
        <v>1.5</v>
      </c>
      <c r="AE196" s="136">
        <f t="shared" si="61"/>
        <v>1.5</v>
      </c>
      <c r="AF196" s="136">
        <f t="shared" si="61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59"/>
        <v>0.3</v>
      </c>
      <c r="C197" s="136">
        <v>0.3</v>
      </c>
      <c r="D197" s="136">
        <f t="shared" si="60"/>
        <v>0.3</v>
      </c>
      <c r="E197" s="136">
        <f t="shared" si="60"/>
        <v>0.3</v>
      </c>
      <c r="F197" s="136">
        <f t="shared" si="60"/>
        <v>0.3</v>
      </c>
      <c r="G197" s="136">
        <f t="shared" si="60"/>
        <v>0.3</v>
      </c>
      <c r="H197" s="136">
        <f t="shared" si="60"/>
        <v>0.3</v>
      </c>
      <c r="I197" s="136">
        <f t="shared" si="60"/>
        <v>0.3</v>
      </c>
      <c r="J197" s="136">
        <f t="shared" si="60"/>
        <v>0.3</v>
      </c>
      <c r="K197" s="136">
        <f t="shared" si="60"/>
        <v>0.3</v>
      </c>
      <c r="L197" s="136">
        <f t="shared" si="60"/>
        <v>0.3</v>
      </c>
      <c r="M197" s="136">
        <f t="shared" si="60"/>
        <v>0.3</v>
      </c>
      <c r="N197" s="136">
        <f t="shared" si="60"/>
        <v>0.3</v>
      </c>
      <c r="O197" s="136">
        <f t="shared" si="60"/>
        <v>0.3</v>
      </c>
      <c r="P197" s="136">
        <f t="shared" si="60"/>
        <v>0.3</v>
      </c>
      <c r="Q197" s="136">
        <f t="shared" si="60"/>
        <v>0.3</v>
      </c>
      <c r="R197" s="136">
        <f t="shared" si="60"/>
        <v>0.3</v>
      </c>
      <c r="S197" s="136">
        <f t="shared" si="60"/>
        <v>0.3</v>
      </c>
      <c r="T197" s="136">
        <f t="shared" si="61"/>
        <v>0.3</v>
      </c>
      <c r="U197" s="136">
        <f t="shared" si="61"/>
        <v>0.3</v>
      </c>
      <c r="V197" s="136">
        <f t="shared" si="61"/>
        <v>0.3</v>
      </c>
      <c r="W197" s="136">
        <f t="shared" si="61"/>
        <v>0.3</v>
      </c>
      <c r="X197" s="136">
        <f t="shared" si="61"/>
        <v>0.3</v>
      </c>
      <c r="Y197" s="136">
        <f t="shared" si="61"/>
        <v>0.3</v>
      </c>
      <c r="Z197" s="136">
        <f t="shared" si="61"/>
        <v>0.3</v>
      </c>
      <c r="AA197" s="136">
        <f t="shared" si="61"/>
        <v>0.3</v>
      </c>
      <c r="AB197" s="136">
        <f t="shared" si="61"/>
        <v>0.3</v>
      </c>
      <c r="AC197" s="136">
        <f t="shared" si="61"/>
        <v>0.3</v>
      </c>
      <c r="AD197" s="136">
        <f t="shared" si="61"/>
        <v>0.3</v>
      </c>
      <c r="AE197" s="136">
        <f t="shared" si="61"/>
        <v>0.3</v>
      </c>
      <c r="AF197" s="136">
        <f t="shared" si="61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59"/>
        <v>0.4</v>
      </c>
      <c r="C198" s="136">
        <v>0.4</v>
      </c>
      <c r="D198" s="136">
        <f t="shared" si="60"/>
        <v>0.4</v>
      </c>
      <c r="E198" s="136">
        <f t="shared" si="60"/>
        <v>0.4</v>
      </c>
      <c r="F198" s="136">
        <f t="shared" si="60"/>
        <v>0.4</v>
      </c>
      <c r="G198" s="136">
        <f t="shared" si="60"/>
        <v>0.4</v>
      </c>
      <c r="H198" s="136">
        <f t="shared" si="60"/>
        <v>0.4</v>
      </c>
      <c r="I198" s="136">
        <f t="shared" si="60"/>
        <v>0.4</v>
      </c>
      <c r="J198" s="136">
        <f t="shared" si="60"/>
        <v>0.4</v>
      </c>
      <c r="K198" s="136">
        <f t="shared" si="60"/>
        <v>0.4</v>
      </c>
      <c r="L198" s="136">
        <f t="shared" si="60"/>
        <v>0.4</v>
      </c>
      <c r="M198" s="136">
        <f t="shared" si="60"/>
        <v>0.4</v>
      </c>
      <c r="N198" s="136">
        <f t="shared" si="60"/>
        <v>0.4</v>
      </c>
      <c r="O198" s="136">
        <f t="shared" si="60"/>
        <v>0.4</v>
      </c>
      <c r="P198" s="136">
        <f t="shared" si="60"/>
        <v>0.4</v>
      </c>
      <c r="Q198" s="136">
        <f t="shared" si="60"/>
        <v>0.4</v>
      </c>
      <c r="R198" s="136">
        <f t="shared" si="60"/>
        <v>0.4</v>
      </c>
      <c r="S198" s="136">
        <f t="shared" si="60"/>
        <v>0.4</v>
      </c>
      <c r="T198" s="136">
        <f t="shared" si="61"/>
        <v>0.4</v>
      </c>
      <c r="U198" s="136">
        <f t="shared" si="61"/>
        <v>0.4</v>
      </c>
      <c r="V198" s="136">
        <f t="shared" si="61"/>
        <v>0.4</v>
      </c>
      <c r="W198" s="136">
        <f t="shared" si="61"/>
        <v>0.4</v>
      </c>
      <c r="X198" s="136">
        <f t="shared" si="61"/>
        <v>0.4</v>
      </c>
      <c r="Y198" s="136">
        <f t="shared" si="61"/>
        <v>0.4</v>
      </c>
      <c r="Z198" s="136">
        <f t="shared" si="61"/>
        <v>0.4</v>
      </c>
      <c r="AA198" s="136">
        <f t="shared" si="61"/>
        <v>0.4</v>
      </c>
      <c r="AB198" s="136">
        <f t="shared" si="61"/>
        <v>0.4</v>
      </c>
      <c r="AC198" s="136">
        <f t="shared" si="61"/>
        <v>0.4</v>
      </c>
      <c r="AD198" s="136">
        <f t="shared" si="61"/>
        <v>0.4</v>
      </c>
      <c r="AE198" s="136">
        <f t="shared" si="61"/>
        <v>0.4</v>
      </c>
      <c r="AF198" s="136">
        <f t="shared" si="61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59"/>
        <v>0.64</v>
      </c>
      <c r="C199" s="146">
        <v>0.64</v>
      </c>
      <c r="D199" s="146">
        <f t="shared" si="60"/>
        <v>0.64</v>
      </c>
      <c r="E199" s="146">
        <f t="shared" si="60"/>
        <v>0.64</v>
      </c>
      <c r="F199" s="146">
        <f t="shared" si="60"/>
        <v>0.64</v>
      </c>
      <c r="G199" s="146">
        <f t="shared" si="60"/>
        <v>0.64</v>
      </c>
      <c r="H199" s="146">
        <f t="shared" si="60"/>
        <v>0.64</v>
      </c>
      <c r="I199" s="146">
        <f t="shared" si="60"/>
        <v>0.64</v>
      </c>
      <c r="J199" s="146">
        <f t="shared" si="60"/>
        <v>0.64</v>
      </c>
      <c r="K199" s="146">
        <f t="shared" si="60"/>
        <v>0.64</v>
      </c>
      <c r="L199" s="146">
        <f t="shared" si="60"/>
        <v>0.64</v>
      </c>
      <c r="M199" s="146">
        <f t="shared" si="60"/>
        <v>0.64</v>
      </c>
      <c r="N199" s="146">
        <f t="shared" si="60"/>
        <v>0.64</v>
      </c>
      <c r="O199" s="146">
        <f t="shared" si="60"/>
        <v>0.64</v>
      </c>
      <c r="P199" s="146">
        <f t="shared" si="60"/>
        <v>0.64</v>
      </c>
      <c r="Q199" s="146">
        <f t="shared" si="60"/>
        <v>0.64</v>
      </c>
      <c r="R199" s="146">
        <f t="shared" si="60"/>
        <v>0.64</v>
      </c>
      <c r="S199" s="146">
        <f t="shared" si="60"/>
        <v>0.64</v>
      </c>
      <c r="T199" s="146">
        <f t="shared" si="61"/>
        <v>0.64</v>
      </c>
      <c r="U199" s="146">
        <f t="shared" si="61"/>
        <v>0.64</v>
      </c>
      <c r="V199" s="146">
        <f t="shared" si="61"/>
        <v>0.64</v>
      </c>
      <c r="W199" s="146">
        <f t="shared" si="61"/>
        <v>0.64</v>
      </c>
      <c r="X199" s="146">
        <f t="shared" si="61"/>
        <v>0.64</v>
      </c>
      <c r="Y199" s="146">
        <f t="shared" si="61"/>
        <v>0.64</v>
      </c>
      <c r="Z199" s="146">
        <f t="shared" si="61"/>
        <v>0.64</v>
      </c>
      <c r="AA199" s="146">
        <f t="shared" si="61"/>
        <v>0.64</v>
      </c>
      <c r="AB199" s="146">
        <f t="shared" si="61"/>
        <v>0.64</v>
      </c>
      <c r="AC199" s="146">
        <f t="shared" si="61"/>
        <v>0.64</v>
      </c>
      <c r="AD199" s="146">
        <f t="shared" si="61"/>
        <v>0.64</v>
      </c>
      <c r="AE199" s="146">
        <f t="shared" si="61"/>
        <v>0.64</v>
      </c>
      <c r="AF199" s="146">
        <f t="shared" si="61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62">SUM(D194:D199)</f>
        <v>3.54</v>
      </c>
      <c r="E200" s="149">
        <f t="shared" si="62"/>
        <v>3.54</v>
      </c>
      <c r="F200" s="149">
        <f t="shared" si="62"/>
        <v>3.54</v>
      </c>
      <c r="G200" s="149">
        <f t="shared" si="62"/>
        <v>3.54</v>
      </c>
      <c r="H200" s="149">
        <f t="shared" si="62"/>
        <v>3.54</v>
      </c>
      <c r="I200" s="149">
        <f t="shared" si="62"/>
        <v>3.54</v>
      </c>
      <c r="J200" s="149">
        <f t="shared" si="62"/>
        <v>3.54</v>
      </c>
      <c r="K200" s="149">
        <f t="shared" si="62"/>
        <v>3.54</v>
      </c>
      <c r="L200" s="149">
        <f t="shared" si="62"/>
        <v>3.54</v>
      </c>
      <c r="M200" s="149">
        <f>SUM(M194:M199)</f>
        <v>3.54</v>
      </c>
      <c r="N200" s="149">
        <f t="shared" ref="N200:S200" si="63">SUM(N194:N199)</f>
        <v>3.54</v>
      </c>
      <c r="O200" s="149">
        <f t="shared" si="63"/>
        <v>3.54</v>
      </c>
      <c r="P200" s="149">
        <f t="shared" si="63"/>
        <v>3.54</v>
      </c>
      <c r="Q200" s="149">
        <f t="shared" si="63"/>
        <v>3.54</v>
      </c>
      <c r="R200" s="149">
        <f t="shared" si="63"/>
        <v>3.54</v>
      </c>
      <c r="S200" s="149">
        <f t="shared" si="63"/>
        <v>3.54</v>
      </c>
      <c r="T200" s="149">
        <f>SUM(T194:T199)</f>
        <v>3.54</v>
      </c>
      <c r="U200" s="149">
        <f t="shared" ref="U200:AG200" si="64">SUM(U194:U199)</f>
        <v>3.54</v>
      </c>
      <c r="V200" s="149">
        <f t="shared" si="64"/>
        <v>3.54</v>
      </c>
      <c r="W200" s="149">
        <f t="shared" si="64"/>
        <v>3.54</v>
      </c>
      <c r="X200" s="149">
        <f t="shared" si="64"/>
        <v>3.54</v>
      </c>
      <c r="Y200" s="149">
        <f t="shared" si="64"/>
        <v>3.54</v>
      </c>
      <c r="Z200" s="149">
        <f t="shared" si="64"/>
        <v>3.54</v>
      </c>
      <c r="AA200" s="149">
        <f t="shared" si="64"/>
        <v>3.54</v>
      </c>
      <c r="AB200" s="149">
        <f t="shared" si="64"/>
        <v>3.54</v>
      </c>
      <c r="AC200" s="149">
        <f t="shared" si="64"/>
        <v>3.54</v>
      </c>
      <c r="AD200" s="149">
        <f t="shared" si="64"/>
        <v>3.54</v>
      </c>
      <c r="AE200" s="149">
        <f t="shared" si="64"/>
        <v>3.54</v>
      </c>
      <c r="AF200" s="149">
        <f t="shared" si="64"/>
        <v>3.54</v>
      </c>
      <c r="AG200" s="150">
        <f t="shared" si="6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1420.0500000000002</v>
      </c>
      <c r="C209" s="164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30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str">
        <f ca="1">"Pie Chart of Daily Peak Demand(Inclusive of Export) of Nepal ("&amp;A4&amp;" "&amp;B4&amp;")"</f>
        <v>Pie Chart of Daily Peak Demand(Inclusive of Export) of Nepal (Nepali Date: 2078/11/30)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str">
        <f ca="1">"Daily Load Curve(Excluding of Export) of Nepal ("&amp;A4&amp;" "&amp;B4&amp;")"</f>
        <v>Daily Load Curve(Excluding of Export) of Nepal (Nepali Date: 2078/11/30)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65">B75</f>
        <v>1122.8399999999999</v>
      </c>
      <c r="U214" s="174">
        <f t="shared" si="65"/>
        <v>963.93999999999994</v>
      </c>
      <c r="V214" s="174">
        <f t="shared" si="65"/>
        <v>995.74</v>
      </c>
      <c r="W214" s="174">
        <f t="shared" si="65"/>
        <v>994.34</v>
      </c>
      <c r="X214" s="174">
        <f t="shared" si="65"/>
        <v>1005.3399999999999</v>
      </c>
      <c r="Y214" s="174">
        <f t="shared" si="65"/>
        <v>1025.04</v>
      </c>
      <c r="Z214" s="174">
        <f t="shared" si="65"/>
        <v>1109.1399999999999</v>
      </c>
      <c r="AA214" s="174">
        <f t="shared" si="65"/>
        <v>1178.6399999999999</v>
      </c>
      <c r="AB214" s="174">
        <f t="shared" si="65"/>
        <v>1257.44</v>
      </c>
      <c r="AC214" s="174">
        <f t="shared" si="65"/>
        <v>1348.64</v>
      </c>
      <c r="AD214" s="174">
        <f t="shared" si="65"/>
        <v>1366.74</v>
      </c>
      <c r="AE214" s="174">
        <f t="shared" si="65"/>
        <v>1420.0500000000002</v>
      </c>
      <c r="AF214" s="174">
        <f t="shared" si="65"/>
        <v>1358.84</v>
      </c>
      <c r="AG214" s="174">
        <f t="shared" si="65"/>
        <v>1339.74</v>
      </c>
      <c r="AH214" s="174">
        <f t="shared" si="65"/>
        <v>1299.74</v>
      </c>
      <c r="AI214" s="174">
        <f t="shared" si="65"/>
        <v>1297.1399999999999</v>
      </c>
      <c r="AJ214" s="174">
        <f t="shared" si="65"/>
        <v>1294.7400000000002</v>
      </c>
      <c r="AK214" s="174">
        <f t="shared" si="65"/>
        <v>1335.34</v>
      </c>
      <c r="AL214" s="174">
        <f t="shared" si="65"/>
        <v>1329.54</v>
      </c>
      <c r="AM214" s="174">
        <f t="shared" si="65"/>
        <v>1358.8400000000001</v>
      </c>
      <c r="AN214" s="174">
        <f t="shared" si="65"/>
        <v>1298.1400000000001</v>
      </c>
      <c r="AO214" s="174">
        <f t="shared" si="65"/>
        <v>1306.1399999999999</v>
      </c>
      <c r="AP214" s="174">
        <f t="shared" si="65"/>
        <v>1310.6400000000001</v>
      </c>
      <c r="AQ214" s="174">
        <f t="shared" si="65"/>
        <v>1387.65</v>
      </c>
      <c r="AR214" s="174">
        <f t="shared" si="65"/>
        <v>1573.7400000000002</v>
      </c>
      <c r="AS214" s="174">
        <f t="shared" si="65"/>
        <v>1573.7400000000002</v>
      </c>
      <c r="AT214" s="174">
        <f t="shared" si="65"/>
        <v>1397.14</v>
      </c>
      <c r="AU214" s="174">
        <f t="shared" si="65"/>
        <v>1356.37</v>
      </c>
      <c r="AV214" s="174">
        <f t="shared" si="65"/>
        <v>1295.8400000000001</v>
      </c>
      <c r="AW214" s="174">
        <f t="shared" si="65"/>
        <v>1128.1399999999999</v>
      </c>
      <c r="AX214" s="174">
        <f t="shared" si="65"/>
        <v>1111.04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66">C199</f>
        <v>0.64</v>
      </c>
      <c r="C235" s="177">
        <f t="shared" si="66"/>
        <v>0.64</v>
      </c>
      <c r="D235" s="177">
        <f t="shared" si="66"/>
        <v>0.64</v>
      </c>
      <c r="E235" s="177">
        <f t="shared" si="66"/>
        <v>0.64</v>
      </c>
      <c r="F235" s="177">
        <f t="shared" si="66"/>
        <v>0.64</v>
      </c>
      <c r="G235" s="177">
        <f t="shared" si="66"/>
        <v>0.64</v>
      </c>
      <c r="H235" s="177">
        <f t="shared" si="66"/>
        <v>0.64</v>
      </c>
      <c r="I235" s="177">
        <f t="shared" si="66"/>
        <v>0.64</v>
      </c>
      <c r="J235" s="177">
        <f t="shared" si="66"/>
        <v>0.64</v>
      </c>
      <c r="K235" s="177">
        <f t="shared" si="66"/>
        <v>0.64</v>
      </c>
      <c r="L235" s="177">
        <f t="shared" si="66"/>
        <v>0.64</v>
      </c>
      <c r="M235" s="177">
        <f t="shared" si="66"/>
        <v>0.64</v>
      </c>
      <c r="N235" s="177">
        <f t="shared" si="66"/>
        <v>0.64</v>
      </c>
      <c r="O235" s="177">
        <f t="shared" si="66"/>
        <v>0.64</v>
      </c>
      <c r="P235" s="177">
        <f t="shared" si="66"/>
        <v>0.64</v>
      </c>
      <c r="Q235" s="177">
        <f t="shared" si="66"/>
        <v>0.64</v>
      </c>
      <c r="R235" s="177">
        <f t="shared" si="66"/>
        <v>0.64</v>
      </c>
      <c r="S235" s="177">
        <f t="shared" si="66"/>
        <v>0.64</v>
      </c>
      <c r="T235" s="177">
        <f t="shared" si="66"/>
        <v>0.64</v>
      </c>
      <c r="U235" s="177">
        <f t="shared" si="66"/>
        <v>0.64</v>
      </c>
      <c r="V235" s="177">
        <f t="shared" si="66"/>
        <v>0.64</v>
      </c>
      <c r="W235" s="177">
        <f t="shared" si="66"/>
        <v>0.64</v>
      </c>
      <c r="X235" s="177">
        <f t="shared" si="66"/>
        <v>0.64</v>
      </c>
      <c r="Y235" s="177">
        <f t="shared" si="66"/>
        <v>0.64</v>
      </c>
      <c r="Z235" s="177">
        <f t="shared" si="66"/>
        <v>0.64</v>
      </c>
      <c r="AA235" s="177">
        <f t="shared" si="66"/>
        <v>0.64</v>
      </c>
      <c r="AB235" s="177">
        <f t="shared" si="66"/>
        <v>0.64</v>
      </c>
      <c r="AC235" s="177">
        <f t="shared" si="66"/>
        <v>0.64</v>
      </c>
      <c r="AD235" s="177">
        <f t="shared" si="66"/>
        <v>0.64</v>
      </c>
      <c r="AE235" s="177">
        <f t="shared" si="66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67">IF(C203&lt;100,"",C203-520)</f>
        <v/>
      </c>
      <c r="D236" s="120" t="str">
        <f t="shared" si="67"/>
        <v/>
      </c>
      <c r="E236" s="120" t="str">
        <f t="shared" si="67"/>
        <v/>
      </c>
      <c r="F236" s="120" t="str">
        <f t="shared" si="67"/>
        <v/>
      </c>
      <c r="G236" s="120" t="str">
        <f t="shared" si="67"/>
        <v/>
      </c>
      <c r="H236" s="120" t="str">
        <f t="shared" si="67"/>
        <v/>
      </c>
      <c r="I236" s="120" t="str">
        <f t="shared" si="67"/>
        <v/>
      </c>
      <c r="J236" s="120" t="str">
        <f t="shared" si="67"/>
        <v/>
      </c>
      <c r="K236" s="120" t="str">
        <f t="shared" si="67"/>
        <v/>
      </c>
      <c r="L236" s="120" t="str">
        <f t="shared" si="67"/>
        <v/>
      </c>
      <c r="M236" s="120" t="str">
        <f t="shared" si="67"/>
        <v/>
      </c>
      <c r="N236" s="120" t="str">
        <f t="shared" si="67"/>
        <v/>
      </c>
      <c r="O236" s="120" t="str">
        <f t="shared" si="67"/>
        <v/>
      </c>
      <c r="P236" s="120" t="str">
        <f t="shared" si="67"/>
        <v/>
      </c>
      <c r="Q236" s="120" t="str">
        <f t="shared" si="67"/>
        <v/>
      </c>
      <c r="R236" s="120" t="str">
        <f t="shared" si="67"/>
        <v/>
      </c>
      <c r="S236" s="120" t="str">
        <f t="shared" si="67"/>
        <v/>
      </c>
      <c r="T236" s="120" t="str">
        <f t="shared" si="67"/>
        <v/>
      </c>
      <c r="U236" s="120" t="str">
        <f t="shared" si="67"/>
        <v/>
      </c>
      <c r="V236" s="120" t="str">
        <f t="shared" si="67"/>
        <v/>
      </c>
      <c r="W236" s="120" t="str">
        <f t="shared" si="67"/>
        <v/>
      </c>
      <c r="X236" s="120" t="str">
        <f t="shared" si="67"/>
        <v/>
      </c>
      <c r="Y236" s="120" t="str">
        <f t="shared" si="67"/>
        <v/>
      </c>
      <c r="Z236" s="120" t="str">
        <f t="shared" si="67"/>
        <v/>
      </c>
      <c r="AA236" s="120" t="str">
        <f t="shared" si="67"/>
        <v/>
      </c>
      <c r="AB236" s="120" t="str">
        <f t="shared" si="67"/>
        <v/>
      </c>
      <c r="AC236" s="120" t="str">
        <f t="shared" si="67"/>
        <v/>
      </c>
      <c r="AD236" s="120" t="str">
        <f t="shared" si="67"/>
        <v/>
      </c>
      <c r="AE236" s="120" t="str">
        <f t="shared" si="67"/>
        <v/>
      </c>
      <c r="AF236" s="120" t="str">
        <f t="shared" si="67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68">IF(B204&lt;100,"",B204-620)</f>
        <v/>
      </c>
      <c r="C237" s="120" t="str">
        <f t="shared" si="68"/>
        <v/>
      </c>
      <c r="D237" s="120" t="str">
        <f t="shared" si="68"/>
        <v/>
      </c>
      <c r="E237" s="120" t="str">
        <f t="shared" si="68"/>
        <v/>
      </c>
      <c r="F237" s="120" t="str">
        <f t="shared" si="68"/>
        <v/>
      </c>
      <c r="G237" s="120" t="str">
        <f t="shared" si="68"/>
        <v/>
      </c>
      <c r="H237" s="120" t="str">
        <f t="shared" si="68"/>
        <v/>
      </c>
      <c r="I237" s="120" t="str">
        <f t="shared" si="68"/>
        <v/>
      </c>
      <c r="J237" s="120" t="str">
        <f t="shared" si="68"/>
        <v/>
      </c>
      <c r="K237" s="120" t="str">
        <f t="shared" si="68"/>
        <v/>
      </c>
      <c r="L237" s="120" t="str">
        <f t="shared" si="68"/>
        <v/>
      </c>
      <c r="M237" s="120" t="str">
        <f t="shared" si="68"/>
        <v/>
      </c>
      <c r="N237" s="120" t="str">
        <f t="shared" si="68"/>
        <v/>
      </c>
      <c r="O237" s="120" t="str">
        <f t="shared" si="68"/>
        <v/>
      </c>
      <c r="P237" s="120" t="str">
        <f t="shared" si="68"/>
        <v/>
      </c>
      <c r="Q237" s="120" t="str">
        <f t="shared" si="68"/>
        <v/>
      </c>
      <c r="R237" s="120" t="str">
        <f t="shared" si="68"/>
        <v/>
      </c>
      <c r="S237" s="120" t="str">
        <f t="shared" si="68"/>
        <v/>
      </c>
      <c r="T237" s="120" t="str">
        <f t="shared" si="68"/>
        <v/>
      </c>
      <c r="U237" s="120" t="str">
        <f t="shared" si="68"/>
        <v/>
      </c>
      <c r="V237" s="120" t="str">
        <f t="shared" si="68"/>
        <v/>
      </c>
      <c r="W237" s="120" t="str">
        <f t="shared" si="68"/>
        <v/>
      </c>
      <c r="X237" s="120" t="str">
        <f t="shared" si="68"/>
        <v/>
      </c>
      <c r="Y237" s="120" t="str">
        <f t="shared" si="68"/>
        <v/>
      </c>
      <c r="Z237" s="120" t="str">
        <f t="shared" si="68"/>
        <v/>
      </c>
      <c r="AA237" s="120" t="str">
        <f t="shared" si="68"/>
        <v/>
      </c>
      <c r="AB237" s="120" t="str">
        <f t="shared" si="68"/>
        <v/>
      </c>
      <c r="AC237" s="120" t="str">
        <f t="shared" si="68"/>
        <v/>
      </c>
      <c r="AD237" s="120" t="str">
        <f t="shared" si="68"/>
        <v/>
      </c>
      <c r="AE237" s="120" t="str">
        <f t="shared" si="68"/>
        <v/>
      </c>
      <c r="AF237" s="120" t="str">
        <f t="shared" si="68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69">IF(B205&lt;100,"",B205-330)</f>
        <v/>
      </c>
      <c r="C238" s="120" t="str">
        <f t="shared" si="69"/>
        <v/>
      </c>
      <c r="D238" s="120" t="str">
        <f t="shared" si="69"/>
        <v/>
      </c>
      <c r="E238" s="120" t="str">
        <f t="shared" si="69"/>
        <v/>
      </c>
      <c r="F238" s="120" t="str">
        <f t="shared" si="69"/>
        <v/>
      </c>
      <c r="G238" s="120" t="str">
        <f t="shared" si="69"/>
        <v/>
      </c>
      <c r="H238" s="120" t="str">
        <f t="shared" si="69"/>
        <v/>
      </c>
      <c r="I238" s="120" t="str">
        <f t="shared" si="69"/>
        <v/>
      </c>
      <c r="J238" s="120" t="str">
        <f t="shared" si="69"/>
        <v/>
      </c>
      <c r="K238" s="120" t="str">
        <f t="shared" si="69"/>
        <v/>
      </c>
      <c r="L238" s="120" t="str">
        <f t="shared" si="69"/>
        <v/>
      </c>
      <c r="M238" s="120" t="str">
        <f t="shared" si="69"/>
        <v/>
      </c>
      <c r="N238" s="120" t="str">
        <f t="shared" si="69"/>
        <v/>
      </c>
      <c r="O238" s="120" t="str">
        <f t="shared" si="69"/>
        <v/>
      </c>
      <c r="P238" s="120" t="str">
        <f t="shared" si="69"/>
        <v/>
      </c>
      <c r="Q238" s="120" t="str">
        <f t="shared" si="69"/>
        <v/>
      </c>
      <c r="R238" s="120" t="str">
        <f t="shared" si="69"/>
        <v/>
      </c>
      <c r="S238" s="120" t="str">
        <f t="shared" si="69"/>
        <v/>
      </c>
      <c r="T238" s="120" t="str">
        <f t="shared" si="69"/>
        <v/>
      </c>
      <c r="U238" s="120" t="str">
        <f t="shared" si="69"/>
        <v/>
      </c>
      <c r="V238" s="120" t="str">
        <f t="shared" si="69"/>
        <v/>
      </c>
      <c r="W238" s="120" t="str">
        <f t="shared" si="69"/>
        <v/>
      </c>
      <c r="X238" s="120" t="str">
        <f t="shared" si="69"/>
        <v/>
      </c>
      <c r="Y238" s="120" t="str">
        <f t="shared" si="69"/>
        <v/>
      </c>
      <c r="Z238" s="120" t="str">
        <f t="shared" si="69"/>
        <v/>
      </c>
      <c r="AA238" s="120" t="str">
        <f t="shared" si="69"/>
        <v/>
      </c>
      <c r="AB238" s="120" t="str">
        <f t="shared" si="69"/>
        <v/>
      </c>
      <c r="AC238" s="120" t="str">
        <f t="shared" si="69"/>
        <v/>
      </c>
      <c r="AD238" s="120" t="str">
        <f t="shared" si="69"/>
        <v/>
      </c>
      <c r="AE238" s="120" t="str">
        <f t="shared" si="69"/>
        <v/>
      </c>
      <c r="AF238" s="120" t="str">
        <f t="shared" si="69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70">IF(C206&lt;100,"",C206-1500)</f>
        <v/>
      </c>
      <c r="D239" s="120" t="str">
        <f t="shared" si="70"/>
        <v/>
      </c>
      <c r="E239" s="120" t="str">
        <f t="shared" si="70"/>
        <v/>
      </c>
      <c r="F239" s="120" t="str">
        <f t="shared" si="70"/>
        <v/>
      </c>
      <c r="G239" s="120" t="str">
        <f t="shared" si="70"/>
        <v/>
      </c>
      <c r="H239" s="120" t="str">
        <f t="shared" si="70"/>
        <v/>
      </c>
      <c r="I239" s="120" t="str">
        <f t="shared" si="70"/>
        <v/>
      </c>
      <c r="J239" s="120" t="str">
        <f t="shared" si="70"/>
        <v/>
      </c>
      <c r="K239" s="120" t="str">
        <f t="shared" si="70"/>
        <v/>
      </c>
      <c r="L239" s="120" t="str">
        <f t="shared" si="70"/>
        <v/>
      </c>
      <c r="M239" s="120" t="str">
        <f t="shared" si="70"/>
        <v/>
      </c>
      <c r="N239" s="120" t="str">
        <f t="shared" si="70"/>
        <v/>
      </c>
      <c r="O239" s="120" t="str">
        <f t="shared" si="70"/>
        <v/>
      </c>
      <c r="P239" s="120" t="str">
        <f t="shared" si="70"/>
        <v/>
      </c>
      <c r="Q239" s="120" t="str">
        <f t="shared" si="70"/>
        <v/>
      </c>
      <c r="R239" s="120" t="str">
        <f t="shared" si="70"/>
        <v/>
      </c>
      <c r="S239" s="120" t="str">
        <f t="shared" si="70"/>
        <v/>
      </c>
      <c r="T239" s="120" t="str">
        <f t="shared" si="70"/>
        <v/>
      </c>
      <c r="U239" s="120" t="str">
        <f t="shared" si="70"/>
        <v/>
      </c>
      <c r="V239" s="120" t="str">
        <f t="shared" si="70"/>
        <v/>
      </c>
      <c r="W239" s="120" t="str">
        <f t="shared" si="70"/>
        <v/>
      </c>
      <c r="X239" s="120" t="str">
        <f t="shared" si="70"/>
        <v/>
      </c>
      <c r="Y239" s="120" t="str">
        <f t="shared" si="70"/>
        <v/>
      </c>
      <c r="Z239" s="120" t="str">
        <f t="shared" si="70"/>
        <v/>
      </c>
      <c r="AA239" s="120" t="str">
        <f t="shared" si="70"/>
        <v/>
      </c>
      <c r="AB239" s="120" t="str">
        <f t="shared" si="70"/>
        <v/>
      </c>
      <c r="AC239" s="120" t="str">
        <f t="shared" si="70"/>
        <v/>
      </c>
      <c r="AD239" s="120" t="str">
        <f t="shared" si="70"/>
        <v/>
      </c>
      <c r="AE239" s="120" t="str">
        <f t="shared" si="70"/>
        <v/>
      </c>
      <c r="AF239" s="120" t="str">
        <f t="shared" si="7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6">
      <iconSet iconSet="3TrafficLights2" reverse="1">
        <cfvo type="percent" val="0"/>
        <cfvo type="num" val="1"/>
        <cfvo type="num" val="1"/>
      </iconSet>
    </cfRule>
  </conditionalFormatting>
  <conditionalFormatting sqref="E57:L59 N62:N67 E60:O60 P39:R39 E61:N61 O61:O67 P40:Q42 R42 R40:T41 M58:R59 AA85:AA86 AB81:AF81 B81:R81 C56:Y56 B82:Y83 D194:AF200 B194:B200 C68:Y72 AB86:AF91 B73:Y80 B9:AF10 B192:AF192 AF57:AF67 AG73 AB94:AF100 U213:AF213 B53:B72 B83:B91 C53:C55 B94:C100 C57:D67 C84:D91 B36:L36 M39:P42 P60:R67 S39:T42 S58:T67 M53:Y55 M37:Y37 M11:Y14 U40:Y42 N45:Y48 U58:Y59 AA68:AF80 AA82:AF83 AC84:AF85 AA56:AF56 AC40:AE42 AD11:AE11 AD43:AE43 AB53:AF55">
    <cfRule type="expression" dxfId="574" priority="382">
      <formula>B$9&gt;=20/24</formula>
    </cfRule>
    <cfRule type="expression" dxfId="573" priority="383">
      <formula>AND(B$9&gt;=14/24,B$9&lt;20/24)</formula>
    </cfRule>
    <cfRule type="expression" dxfId="572" priority="384">
      <formula>AND(B$9&gt;=8/24,B$9&lt;14/24)</formula>
    </cfRule>
    <cfRule type="expression" dxfId="571" priority="385">
      <formula>B$9&lt;8/24</formula>
    </cfRule>
  </conditionalFormatting>
  <conditionalFormatting sqref="AL4:AL6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M57:T57">
    <cfRule type="expression" dxfId="570" priority="377">
      <formula>M$9&gt;=20/24</formula>
    </cfRule>
    <cfRule type="expression" dxfId="569" priority="378">
      <formula>AND(M$9&gt;=14/24,M$9&lt;20/24)</formula>
    </cfRule>
    <cfRule type="expression" dxfId="568" priority="379">
      <formula>AND(M$9&gt;=8/24,M$9&lt;14/24)</formula>
    </cfRule>
    <cfRule type="expression" dxfId="567" priority="380">
      <formula>M$9&lt;8/24</formula>
    </cfRule>
  </conditionalFormatting>
  <conditionalFormatting sqref="M43:Y43">
    <cfRule type="expression" dxfId="566" priority="373">
      <formula>M$9&gt;=20/24</formula>
    </cfRule>
    <cfRule type="expression" dxfId="565" priority="374">
      <formula>AND(M$9&gt;=14/24,M$9&lt;20/24)</formula>
    </cfRule>
    <cfRule type="expression" dxfId="564" priority="375">
      <formula>AND(M$9&gt;=8/24,M$9&lt;14/24)</formula>
    </cfRule>
    <cfRule type="expression" dxfId="563" priority="376">
      <formula>M$9&lt;8/24</formula>
    </cfRule>
  </conditionalFormatting>
  <conditionalFormatting sqref="S39:Y39 AC39:AE39">
    <cfRule type="expression" dxfId="562" priority="365">
      <formula>S$9&gt;=20/24</formula>
    </cfRule>
    <cfRule type="expression" dxfId="561" priority="366">
      <formula>AND(S$9&gt;=14/24,S$9&lt;20/24)</formula>
    </cfRule>
    <cfRule type="expression" dxfId="560" priority="367">
      <formula>AND(S$9&gt;=8/24,S$9&lt;14/24)</formula>
    </cfRule>
    <cfRule type="expression" dxfId="559" priority="368">
      <formula>S$9&lt;8/24</formula>
    </cfRule>
  </conditionalFormatting>
  <conditionalFormatting sqref="U57:Y57 AC57:AE57">
    <cfRule type="expression" dxfId="558" priority="361">
      <formula>U$9&gt;=20/24</formula>
    </cfRule>
    <cfRule type="expression" dxfId="557" priority="362">
      <formula>AND(U$9&gt;=14/24,U$9&lt;20/24)</formula>
    </cfRule>
    <cfRule type="expression" dxfId="556" priority="363">
      <formula>AND(U$9&gt;=8/24,U$9&lt;14/24)</formula>
    </cfRule>
    <cfRule type="expression" dxfId="555" priority="364">
      <formula>U$9&lt;8/24</formula>
    </cfRule>
  </conditionalFormatting>
  <conditionalFormatting sqref="S81:Y81 AA81">
    <cfRule type="expression" dxfId="554" priority="357">
      <formula>S$9&gt;=20/24</formula>
    </cfRule>
    <cfRule type="expression" dxfId="553" priority="358">
      <formula>AND(S$9&gt;=14/24,S$9&lt;20/24)</formula>
    </cfRule>
    <cfRule type="expression" dxfId="552" priority="359">
      <formula>AND(S$9&gt;=8/24,S$9&lt;14/24)</formula>
    </cfRule>
    <cfRule type="expression" dxfId="551" priority="360">
      <formula>S$9&lt;8/24</formula>
    </cfRule>
  </conditionalFormatting>
  <conditionalFormatting sqref="U84:Y84 AA84">
    <cfRule type="expression" dxfId="550" priority="353">
      <formula>U$9&gt;=20/24</formula>
    </cfRule>
    <cfRule type="expression" dxfId="549" priority="354">
      <formula>AND(U$9&gt;=14/24,U$9&lt;20/24)</formula>
    </cfRule>
    <cfRule type="expression" dxfId="548" priority="355">
      <formula>AND(U$9&gt;=8/24,U$9&lt;14/24)</formula>
    </cfRule>
    <cfRule type="expression" dxfId="547" priority="356">
      <formula>U$9&lt;8/24</formula>
    </cfRule>
  </conditionalFormatting>
  <conditionalFormatting sqref="M49:Y49">
    <cfRule type="expression" dxfId="546" priority="345">
      <formula>M$9&gt;=20/24</formula>
    </cfRule>
    <cfRule type="expression" dxfId="545" priority="346">
      <formula>AND(M$9&gt;=14/24,M$9&lt;20/24)</formula>
    </cfRule>
    <cfRule type="expression" dxfId="544" priority="347">
      <formula>AND(M$9&gt;=8/24,M$9&lt;14/24)</formula>
    </cfRule>
    <cfRule type="expression" dxfId="543" priority="348">
      <formula>M$9&lt;8/24</formula>
    </cfRule>
  </conditionalFormatting>
  <conditionalFormatting sqref="M50:Y50">
    <cfRule type="expression" dxfId="542" priority="341">
      <formula>M$9&gt;=20/24</formula>
    </cfRule>
    <cfRule type="expression" dxfId="541" priority="342">
      <formula>AND(M$9&gt;=14/24,M$9&lt;20/24)</formula>
    </cfRule>
    <cfRule type="expression" dxfId="540" priority="343">
      <formula>AND(M$9&gt;=8/24,M$9&lt;14/24)</formula>
    </cfRule>
    <cfRule type="expression" dxfId="539" priority="344">
      <formula>M$9&lt;8/24</formula>
    </cfRule>
  </conditionalFormatting>
  <conditionalFormatting sqref="M45:Y48">
    <cfRule type="expression" dxfId="538" priority="337">
      <formula>M$9&gt;=20/24</formula>
    </cfRule>
    <cfRule type="expression" dxfId="537" priority="338">
      <formula>AND(M$9&gt;=14/24,M$9&lt;20/24)</formula>
    </cfRule>
    <cfRule type="expression" dxfId="536" priority="339">
      <formula>AND(M$9&gt;=8/24,M$9&lt;14/24)</formula>
    </cfRule>
    <cfRule type="expression" dxfId="535" priority="340">
      <formula>M$9&lt;8/24</formula>
    </cfRule>
  </conditionalFormatting>
  <conditionalFormatting sqref="AC37:AE37">
    <cfRule type="expression" dxfId="534" priority="333">
      <formula>AC$9&gt;=20/24</formula>
    </cfRule>
    <cfRule type="expression" dxfId="533" priority="334">
      <formula>AND(AC$9&gt;=14/24,AC$9&lt;20/24)</formula>
    </cfRule>
    <cfRule type="expression" dxfId="532" priority="335">
      <formula>AND(AC$9&gt;=8/24,AC$9&lt;14/24)</formula>
    </cfRule>
    <cfRule type="expression" dxfId="531" priority="336">
      <formula>AC$9&lt;8/24</formula>
    </cfRule>
  </conditionalFormatting>
  <conditionalFormatting sqref="S42:Y43 S45:Y48">
    <cfRule type="expression" dxfId="530" priority="325">
      <formula>S$9&gt;=20/24</formula>
    </cfRule>
    <cfRule type="expression" dxfId="529" priority="326">
      <formula>AND(S$9&gt;=14/24,S$9&lt;20/24)</formula>
    </cfRule>
    <cfRule type="expression" dxfId="528" priority="327">
      <formula>AND(S$9&gt;=8/24,S$9&lt;14/24)</formula>
    </cfRule>
    <cfRule type="expression" dxfId="527" priority="328">
      <formula>S$9&lt;8/24</formula>
    </cfRule>
  </conditionalFormatting>
  <conditionalFormatting sqref="S49:Y49">
    <cfRule type="expression" dxfId="526" priority="321">
      <formula>S$9&gt;=20/24</formula>
    </cfRule>
    <cfRule type="expression" dxfId="525" priority="322">
      <formula>AND(S$9&gt;=14/24,S$9&lt;20/24)</formula>
    </cfRule>
    <cfRule type="expression" dxfId="524" priority="323">
      <formula>AND(S$9&gt;=8/24,S$9&lt;14/24)</formula>
    </cfRule>
    <cfRule type="expression" dxfId="523" priority="324">
      <formula>S$9&lt;8/24</formula>
    </cfRule>
  </conditionalFormatting>
  <conditionalFormatting sqref="S50:Y50">
    <cfRule type="expression" dxfId="522" priority="317">
      <formula>S$9&gt;=20/24</formula>
    </cfRule>
    <cfRule type="expression" dxfId="521" priority="318">
      <formula>AND(S$9&gt;=14/24,S$9&lt;20/24)</formula>
    </cfRule>
    <cfRule type="expression" dxfId="520" priority="319">
      <formula>AND(S$9&gt;=8/24,S$9&lt;14/24)</formula>
    </cfRule>
    <cfRule type="expression" dxfId="519" priority="320">
      <formula>S$9&lt;8/24</formula>
    </cfRule>
  </conditionalFormatting>
  <conditionalFormatting sqref="AC60:AE61">
    <cfRule type="expression" dxfId="518" priority="313">
      <formula>AC$9&gt;=20/24</formula>
    </cfRule>
    <cfRule type="expression" dxfId="517" priority="314">
      <formula>AND(AC$9&gt;=14/24,AC$9&lt;20/24)</formula>
    </cfRule>
    <cfRule type="expression" dxfId="516" priority="315">
      <formula>AND(AC$9&gt;=8/24,AC$9&lt;14/24)</formula>
    </cfRule>
    <cfRule type="expression" dxfId="515" priority="316">
      <formula>AC$9&lt;8/24</formula>
    </cfRule>
  </conditionalFormatting>
  <conditionalFormatting sqref="E62:L62">
    <cfRule type="expression" dxfId="514" priority="309">
      <formula>E$9&gt;=20/24</formula>
    </cfRule>
    <cfRule type="expression" dxfId="513" priority="310">
      <formula>AND(E$9&gt;=14/24,E$9&lt;20/24)</formula>
    </cfRule>
    <cfRule type="expression" dxfId="512" priority="311">
      <formula>AND(E$9&gt;=8/24,E$9&lt;14/24)</formula>
    </cfRule>
    <cfRule type="expression" dxfId="511" priority="312">
      <formula>E$9&lt;8/24</formula>
    </cfRule>
  </conditionalFormatting>
  <conditionalFormatting sqref="U94:Y97">
    <cfRule type="expression" dxfId="510" priority="305">
      <formula>U$9&gt;=20/24</formula>
    </cfRule>
    <cfRule type="expression" dxfId="509" priority="306">
      <formula>AND(U$9&gt;=14/24,U$9&lt;20/24)</formula>
    </cfRule>
    <cfRule type="expression" dxfId="508" priority="307">
      <formula>AND(U$9&gt;=8/24,U$9&lt;14/24)</formula>
    </cfRule>
    <cfRule type="expression" dxfId="507" priority="308">
      <formula>U$9&lt;8/24</formula>
    </cfRule>
  </conditionalFormatting>
  <conditionalFormatting sqref="AG51 B11:L32 B34:L36 M11:Y14 B37:Y56 AA38:AF38 AA51:AF52 AC39:AF42 AC37:AF37 AD11:AF11 AA56:AF56 AD43:AF43 AB53:AF55 AF12:AF25 AE44:AF44">
    <cfRule type="expression" dxfId="506" priority="304">
      <formula>B11&gt;$AG11</formula>
    </cfRule>
  </conditionalFormatting>
  <conditionalFormatting sqref="A101:A157 A84:A97 A11:A14 A16:A32 A45:A72 A80:A82 A74:A78 A35:A43 A170:A200">
    <cfRule type="expression" dxfId="505" priority="303">
      <formula>$AH11=0</formula>
    </cfRule>
  </conditionalFormatting>
  <conditionalFormatting sqref="U98:Y98">
    <cfRule type="expression" dxfId="504" priority="299">
      <formula>U$9&gt;=20/24</formula>
    </cfRule>
    <cfRule type="expression" dxfId="503" priority="300">
      <formula>AND(U$9&gt;=14/24,U$9&lt;20/24)</formula>
    </cfRule>
    <cfRule type="expression" dxfId="502" priority="301">
      <formula>AND(U$9&gt;=8/24,U$9&lt;14/24)</formula>
    </cfRule>
    <cfRule type="expression" dxfId="501" priority="302">
      <formula>U$9&lt;8/24</formula>
    </cfRule>
  </conditionalFormatting>
  <conditionalFormatting sqref="A98">
    <cfRule type="expression" dxfId="500" priority="298">
      <formula>$AH98=0</formula>
    </cfRule>
  </conditionalFormatting>
  <conditionalFormatting sqref="E63:L67">
    <cfRule type="expression" dxfId="499" priority="290">
      <formula>E$9&gt;=20/24</formula>
    </cfRule>
    <cfRule type="expression" dxfId="498" priority="291">
      <formula>AND(E$9&gt;=14/24,E$9&lt;20/24)</formula>
    </cfRule>
    <cfRule type="expression" dxfId="497" priority="292">
      <formula>AND(E$9&gt;=8/24,E$9&lt;14/24)</formula>
    </cfRule>
    <cfRule type="expression" dxfId="496" priority="293">
      <formula>E$9&lt;8/24</formula>
    </cfRule>
  </conditionalFormatting>
  <conditionalFormatting sqref="M62:M67">
    <cfRule type="expression" dxfId="495" priority="286">
      <formula>M$9&gt;=20/24</formula>
    </cfRule>
    <cfRule type="expression" dxfId="494" priority="287">
      <formula>AND(M$9&gt;=14/24,M$9&lt;20/24)</formula>
    </cfRule>
    <cfRule type="expression" dxfId="493" priority="288">
      <formula>AND(M$9&gt;=8/24,M$9&lt;14/24)</formula>
    </cfRule>
    <cfRule type="expression" dxfId="492" priority="289">
      <formula>M$9&lt;8/24</formula>
    </cfRule>
  </conditionalFormatting>
  <conditionalFormatting sqref="AL32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91" priority="272">
      <formula>$AH34=0</formula>
    </cfRule>
  </conditionalFormatting>
  <conditionalFormatting sqref="A83">
    <cfRule type="expression" dxfId="490" priority="271">
      <formula>$AH83=0</formula>
    </cfRule>
  </conditionalFormatting>
  <conditionalFormatting sqref="A15">
    <cfRule type="expression" dxfId="489" priority="261">
      <formula>$AH15=0</formula>
    </cfRule>
  </conditionalFormatting>
  <conditionalFormatting sqref="A164:A169">
    <cfRule type="expression" dxfId="488" priority="260">
      <formula>$AH164=0</formula>
    </cfRule>
  </conditionalFormatting>
  <conditionalFormatting sqref="A158:A163">
    <cfRule type="expression" dxfId="487" priority="259">
      <formula>$AH158=0</formula>
    </cfRule>
  </conditionalFormatting>
  <conditionalFormatting sqref="AE44:AF44">
    <cfRule type="expression" dxfId="486" priority="255">
      <formula>AE$9&gt;=20/24</formula>
    </cfRule>
    <cfRule type="expression" dxfId="485" priority="256">
      <formula>AND(AE$9&gt;=14/24,AE$9&lt;20/24)</formula>
    </cfRule>
    <cfRule type="expression" dxfId="484" priority="257">
      <formula>AND(AE$9&gt;=8/24,AE$9&lt;14/24)</formula>
    </cfRule>
    <cfRule type="expression" dxfId="483" priority="258">
      <formula>AE$9&lt;8/24</formula>
    </cfRule>
  </conditionalFormatting>
  <conditionalFormatting sqref="M44:Y44">
    <cfRule type="expression" dxfId="482" priority="251">
      <formula>M$9&gt;=20/24</formula>
    </cfRule>
    <cfRule type="expression" dxfId="481" priority="252">
      <formula>AND(M$9&gt;=14/24,M$9&lt;20/24)</formula>
    </cfRule>
    <cfRule type="expression" dxfId="480" priority="253">
      <formula>AND(M$9&gt;=8/24,M$9&lt;14/24)</formula>
    </cfRule>
    <cfRule type="expression" dxfId="479" priority="254">
      <formula>M$9&lt;8/24</formula>
    </cfRule>
  </conditionalFormatting>
  <conditionalFormatting sqref="S44:Y44">
    <cfRule type="expression" dxfId="478" priority="247">
      <formula>S$9&gt;=20/24</formula>
    </cfRule>
    <cfRule type="expression" dxfId="477" priority="248">
      <formula>AND(S$9&gt;=14/24,S$9&lt;20/24)</formula>
    </cfRule>
    <cfRule type="expression" dxfId="476" priority="249">
      <formula>AND(S$9&gt;=8/24,S$9&lt;14/24)</formula>
    </cfRule>
    <cfRule type="expression" dxfId="475" priority="250">
      <formula>S$9&lt;8/24</formula>
    </cfRule>
  </conditionalFormatting>
  <conditionalFormatting sqref="A44">
    <cfRule type="expression" dxfId="474" priority="246">
      <formula>$AH44=0</formula>
    </cfRule>
  </conditionalFormatting>
  <conditionalFormatting sqref="A79">
    <cfRule type="expression" dxfId="473" priority="245">
      <formula>$AH79=0</formula>
    </cfRule>
  </conditionalFormatting>
  <conditionalFormatting sqref="A73">
    <cfRule type="expression" dxfId="472" priority="244">
      <formula>$AH73=0</formula>
    </cfRule>
  </conditionalFormatting>
  <conditionalFormatting sqref="AL34:AL35 AL7:AL31">
    <cfRule type="iconSet" priority="388">
      <iconSet iconSet="3TrafficLights2" reverse="1">
        <cfvo type="percent" val="0"/>
        <cfvo type="num" val="1"/>
        <cfvo type="num" val="1"/>
      </iconSet>
    </cfRule>
  </conditionalFormatting>
  <conditionalFormatting sqref="U60:Y67">
    <cfRule type="expression" dxfId="471" priority="240">
      <formula>U$9&gt;=20/24</formula>
    </cfRule>
    <cfRule type="expression" dxfId="470" priority="241">
      <formula>AND(U$9&gt;=14/24,U$9&lt;20/24)</formula>
    </cfRule>
    <cfRule type="expression" dxfId="469" priority="242">
      <formula>AND(U$9&gt;=8/24,U$9&lt;14/24)</formula>
    </cfRule>
    <cfRule type="expression" dxfId="468" priority="243">
      <formula>U$9&lt;8/24</formula>
    </cfRule>
  </conditionalFormatting>
  <conditionalFormatting sqref="U85:Y91">
    <cfRule type="expression" dxfId="467" priority="236">
      <formula>U$9&gt;=20/24</formula>
    </cfRule>
    <cfRule type="expression" dxfId="466" priority="237">
      <formula>AND(U$9&gt;=14/24,U$9&lt;20/24)</formula>
    </cfRule>
    <cfRule type="expression" dxfId="465" priority="238">
      <formula>AND(U$9&gt;=8/24,U$9&lt;14/24)</formula>
    </cfRule>
    <cfRule type="expression" dxfId="464" priority="239">
      <formula>U$9&lt;8/24</formula>
    </cfRule>
  </conditionalFormatting>
  <conditionalFormatting sqref="E84:T91">
    <cfRule type="expression" dxfId="463" priority="232">
      <formula>E$9&gt;=20/24</formula>
    </cfRule>
    <cfRule type="expression" dxfId="462" priority="233">
      <formula>AND(E$9&gt;=14/24,E$9&lt;20/24)</formula>
    </cfRule>
    <cfRule type="expression" dxfId="461" priority="234">
      <formula>AND(E$9&gt;=8/24,E$9&lt;14/24)</formula>
    </cfRule>
    <cfRule type="expression" dxfId="460" priority="235">
      <formula>E$9&lt;8/24</formula>
    </cfRule>
  </conditionalFormatting>
  <conditionalFormatting sqref="D95:M97 D94:F94">
    <cfRule type="expression" dxfId="459" priority="224">
      <formula>D$9&gt;=20/24</formula>
    </cfRule>
    <cfRule type="expression" dxfId="458" priority="225">
      <formula>AND(D$9&gt;=14/24,D$9&lt;20/24)</formula>
    </cfRule>
    <cfRule type="expression" dxfId="457" priority="226">
      <formula>AND(D$9&gt;=8/24,D$9&lt;14/24)</formula>
    </cfRule>
    <cfRule type="expression" dxfId="456" priority="227">
      <formula>D$9&lt;8/24</formula>
    </cfRule>
  </conditionalFormatting>
  <conditionalFormatting sqref="N95:R97 O94:R94 S94:T97">
    <cfRule type="expression" dxfId="455" priority="220">
      <formula>N$9&gt;=20/24</formula>
    </cfRule>
    <cfRule type="expression" dxfId="454" priority="221">
      <formula>AND(N$9&gt;=14/24,N$9&lt;20/24)</formula>
    </cfRule>
    <cfRule type="expression" dxfId="453" priority="222">
      <formula>AND(N$9&gt;=8/24,N$9&lt;14/24)</formula>
    </cfRule>
    <cfRule type="expression" dxfId="452" priority="223">
      <formula>N$9&lt;8/24</formula>
    </cfRule>
  </conditionalFormatting>
  <conditionalFormatting sqref="D98:M98">
    <cfRule type="expression" dxfId="451" priority="212">
      <formula>D$9&gt;=20/24</formula>
    </cfRule>
    <cfRule type="expression" dxfId="450" priority="213">
      <formula>AND(D$9&gt;=14/24,D$9&lt;20/24)</formula>
    </cfRule>
    <cfRule type="expression" dxfId="449" priority="214">
      <formula>AND(D$9&gt;=8/24,D$9&lt;14/24)</formula>
    </cfRule>
    <cfRule type="expression" dxfId="448" priority="215">
      <formula>D$9&lt;8/24</formula>
    </cfRule>
  </conditionalFormatting>
  <conditionalFormatting sqref="N98:T98">
    <cfRule type="expression" dxfId="447" priority="208">
      <formula>N$9&gt;=20/24</formula>
    </cfRule>
    <cfRule type="expression" dxfId="446" priority="209">
      <formula>AND(N$9&gt;=14/24,N$9&lt;20/24)</formula>
    </cfRule>
    <cfRule type="expression" dxfId="445" priority="210">
      <formula>AND(N$9&gt;=8/24,N$9&lt;14/24)</formula>
    </cfRule>
    <cfRule type="expression" dxfId="444" priority="211">
      <formula>N$9&lt;8/24</formula>
    </cfRule>
  </conditionalFormatting>
  <conditionalFormatting sqref="M94:N94">
    <cfRule type="expression" dxfId="443" priority="200">
      <formula>M$9&gt;=20/24</formula>
    </cfRule>
    <cfRule type="expression" dxfId="442" priority="201">
      <formula>AND(M$9&gt;=14/24,M$9&lt;20/24)</formula>
    </cfRule>
    <cfRule type="expression" dxfId="441" priority="202">
      <formula>AND(M$9&gt;=8/24,M$9&lt;14/24)</formula>
    </cfRule>
    <cfRule type="expression" dxfId="440" priority="203">
      <formula>M$9&lt;8/24</formula>
    </cfRule>
  </conditionalFormatting>
  <conditionalFormatting sqref="G94:L94">
    <cfRule type="expression" dxfId="439" priority="196">
      <formula>G$9&gt;=20/24</formula>
    </cfRule>
    <cfRule type="expression" dxfId="438" priority="197">
      <formula>AND(G$9&gt;=14/24,G$9&lt;20/24)</formula>
    </cfRule>
    <cfRule type="expression" dxfId="437" priority="198">
      <formula>AND(G$9&gt;=8/24,G$9&lt;14/24)</formula>
    </cfRule>
    <cfRule type="expression" dxfId="436" priority="199">
      <formula>G$9&lt;8/24</formula>
    </cfRule>
  </conditionalFormatting>
  <conditionalFormatting sqref="U94:Y94">
    <cfRule type="expression" dxfId="435" priority="192">
      <formula>U$9&gt;=20/24</formula>
    </cfRule>
    <cfRule type="expression" dxfId="434" priority="193">
      <formula>AND(U$9&gt;=14/24,U$9&lt;20/24)</formula>
    </cfRule>
    <cfRule type="expression" dxfId="433" priority="194">
      <formula>AND(U$9&gt;=8/24,U$9&lt;14/24)</formula>
    </cfRule>
    <cfRule type="expression" dxfId="432" priority="195">
      <formula>U$9&lt;8/24</formula>
    </cfRule>
  </conditionalFormatting>
  <conditionalFormatting sqref="N94:T94">
    <cfRule type="expression" dxfId="431" priority="188">
      <formula>N$9&gt;=20/24</formula>
    </cfRule>
    <cfRule type="expression" dxfId="430" priority="189">
      <formula>AND(N$9&gt;=14/24,N$9&lt;20/24)</formula>
    </cfRule>
    <cfRule type="expression" dxfId="429" priority="190">
      <formula>AND(N$9&gt;=8/24,N$9&lt;14/24)</formula>
    </cfRule>
    <cfRule type="expression" dxfId="428" priority="191">
      <formula>N$9&lt;8/24</formula>
    </cfRule>
  </conditionalFormatting>
  <conditionalFormatting sqref="U99:Y100">
    <cfRule type="expression" dxfId="427" priority="184">
      <formula>U$9&gt;=20/24</formula>
    </cfRule>
    <cfRule type="expression" dxfId="426" priority="185">
      <formula>AND(U$9&gt;=14/24,U$9&lt;20/24)</formula>
    </cfRule>
    <cfRule type="expression" dxfId="425" priority="186">
      <formula>AND(U$9&gt;=8/24,U$9&lt;14/24)</formula>
    </cfRule>
    <cfRule type="expression" dxfId="424" priority="187">
      <formula>U$9&lt;8/24</formula>
    </cfRule>
  </conditionalFormatting>
  <conditionalFormatting sqref="D99:M100">
    <cfRule type="expression" dxfId="423" priority="180">
      <formula>D$9&gt;=20/24</formula>
    </cfRule>
    <cfRule type="expression" dxfId="422" priority="181">
      <formula>AND(D$9&gt;=14/24,D$9&lt;20/24)</formula>
    </cfRule>
    <cfRule type="expression" dxfId="421" priority="182">
      <formula>AND(D$9&gt;=8/24,D$9&lt;14/24)</formula>
    </cfRule>
    <cfRule type="expression" dxfId="420" priority="183">
      <formula>D$9&lt;8/24</formula>
    </cfRule>
  </conditionalFormatting>
  <conditionalFormatting sqref="N99:T100">
    <cfRule type="expression" dxfId="419" priority="176">
      <formula>N$9&gt;=20/24</formula>
    </cfRule>
    <cfRule type="expression" dxfId="418" priority="177">
      <formula>AND(N$9&gt;=14/24,N$9&lt;20/24)</formula>
    </cfRule>
    <cfRule type="expression" dxfId="417" priority="178">
      <formula>AND(N$9&gt;=8/24,N$9&lt;14/24)</formula>
    </cfRule>
    <cfRule type="expression" dxfId="416" priority="179">
      <formula>N$9&lt;8/24</formula>
    </cfRule>
  </conditionalFormatting>
  <conditionalFormatting sqref="AC58:AE59">
    <cfRule type="expression" dxfId="415" priority="156">
      <formula>AC$9&gt;=20/24</formula>
    </cfRule>
    <cfRule type="expression" dxfId="414" priority="157">
      <formula>AND(AC$9&gt;=14/24,AC$9&lt;20/24)</formula>
    </cfRule>
    <cfRule type="expression" dxfId="413" priority="158">
      <formula>AND(AC$9&gt;=8/24,AC$9&lt;14/24)</formula>
    </cfRule>
    <cfRule type="expression" dxfId="412" priority="159">
      <formula>AC$9&lt;8/24</formula>
    </cfRule>
  </conditionalFormatting>
  <conditionalFormatting sqref="AL33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1" priority="389">
      <formula>C$9&gt;=20/24</formula>
    </cfRule>
    <cfRule type="expression" dxfId="410" priority="390">
      <formula>AND(C$9&gt;=14/24,C$9&lt;20/24)</formula>
    </cfRule>
    <cfRule type="expression" dxfId="409" priority="391">
      <formula>AND(C$9&gt;=8/24,C$9&lt;14/24)</formula>
    </cfRule>
    <cfRule type="expression" dxfId="408" priority="392">
      <formula>C$9&lt;8/24</formula>
    </cfRule>
  </conditionalFormatting>
  <conditionalFormatting sqref="A201">
    <cfRule type="expression" dxfId="407" priority="393">
      <formula>$AH201=0</formula>
    </cfRule>
  </conditionalFormatting>
  <conditionalFormatting sqref="AG213">
    <cfRule type="expression" dxfId="406" priority="394">
      <formula>B$9&gt;=20/24</formula>
    </cfRule>
    <cfRule type="expression" dxfId="405" priority="395">
      <formula>AND(B$9&gt;=14/24,B$9&lt;20/24)</formula>
    </cfRule>
    <cfRule type="expression" dxfId="404" priority="396">
      <formula>AND(B$9&gt;=8/24,B$9&lt;14/24)</formula>
    </cfRule>
    <cfRule type="expression" dxfId="403" priority="397">
      <formula>B$9&lt;8/24</formula>
    </cfRule>
  </conditionalFormatting>
  <conditionalFormatting sqref="S8">
    <cfRule type="expression" dxfId="402" priority="150">
      <formula>U$9&gt;=20/24</formula>
    </cfRule>
    <cfRule type="expression" dxfId="401" priority="151">
      <formula>AND(U$9&gt;=14/24,U$9&lt;20/24)</formula>
    </cfRule>
    <cfRule type="expression" dxfId="400" priority="152">
      <formula>AND(U$9&gt;=8/24,U$9&lt;14/24)</formula>
    </cfRule>
    <cfRule type="expression" dxfId="399" priority="153">
      <formula>U$9&lt;8/24</formula>
    </cfRule>
  </conditionalFormatting>
  <conditionalFormatting sqref="AB8">
    <cfRule type="expression" dxfId="398" priority="146">
      <formula>AD$9&gt;=20/24</formula>
    </cfRule>
    <cfRule type="expression" dxfId="397" priority="147">
      <formula>AND(AD$9&gt;=14/24,AD$9&lt;20/24)</formula>
    </cfRule>
    <cfRule type="expression" dxfId="396" priority="148">
      <formula>AND(AD$9&gt;=8/24,AD$9&lt;14/24)</formula>
    </cfRule>
    <cfRule type="expression" dxfId="395" priority="149">
      <formula>AD$9&lt;8/24</formula>
    </cfRule>
  </conditionalFormatting>
  <conditionalFormatting sqref="AH213:AX213">
    <cfRule type="expression" dxfId="394" priority="398">
      <formula>AG$9&gt;=20/24</formula>
    </cfRule>
    <cfRule type="expression" dxfId="393" priority="399">
      <formula>AND(AG$9&gt;=14/24,AG$9&lt;20/24)</formula>
    </cfRule>
    <cfRule type="expression" dxfId="392" priority="400">
      <formula>AND(AG$9&gt;=8/24,AG$9&lt;14/24)</formula>
    </cfRule>
    <cfRule type="expression" dxfId="391" priority="401">
      <formula>AG$9&lt;8/24</formula>
    </cfRule>
  </conditionalFormatting>
  <conditionalFormatting sqref="T213">
    <cfRule type="expression" dxfId="390" priority="402">
      <formula>AX$9&gt;=20/24</formula>
    </cfRule>
    <cfRule type="expression" dxfId="389" priority="403">
      <formula>AND(AX$9&gt;=14/24,AX$9&lt;20/24)</formula>
    </cfRule>
    <cfRule type="expression" dxfId="388" priority="404">
      <formula>AND(AX$9&gt;=8/24,AX$9&lt;14/24)</formula>
    </cfRule>
    <cfRule type="expression" dxfId="387" priority="405">
      <formula>AX$9&lt;8/24</formula>
    </cfRule>
  </conditionalFormatting>
  <conditionalFormatting sqref="A99:A100">
    <cfRule type="expression" dxfId="386" priority="145">
      <formula>$AH99=0</formula>
    </cfRule>
  </conditionalFormatting>
  <conditionalFormatting sqref="AB50:AF50">
    <cfRule type="expression" dxfId="385" priority="33">
      <formula>AB$9&gt;=20/24</formula>
    </cfRule>
    <cfRule type="expression" dxfId="384" priority="34">
      <formula>AND(AB$9&gt;=14/24,AB$9&lt;20/24)</formula>
    </cfRule>
    <cfRule type="expression" dxfId="383" priority="35">
      <formula>AND(AB$9&gt;=8/24,AB$9&lt;14/24)</formula>
    </cfRule>
    <cfRule type="expression" dxfId="382" priority="36">
      <formula>AB$9&lt;8/24</formula>
    </cfRule>
  </conditionalFormatting>
  <conditionalFormatting sqref="B33:L33">
    <cfRule type="expression" dxfId="381" priority="132">
      <formula>B33&gt;$AG33</formula>
    </cfRule>
  </conditionalFormatting>
  <conditionalFormatting sqref="M16:Y32 AC36:AF36 M36:AA36">
    <cfRule type="expression" dxfId="380" priority="128">
      <formula>M$9&gt;=20/24</formula>
    </cfRule>
    <cfRule type="expression" dxfId="379" priority="129">
      <formula>AND(M$9&gt;=14/24,M$9&lt;20/24)</formula>
    </cfRule>
    <cfRule type="expression" dxfId="378" priority="130">
      <formula>AND(M$9&gt;=8/24,M$9&lt;14/24)</formula>
    </cfRule>
    <cfRule type="expression" dxfId="377" priority="131">
      <formula>M$9&lt;8/24</formula>
    </cfRule>
  </conditionalFormatting>
  <conditionalFormatting sqref="M35:Y35">
    <cfRule type="expression" dxfId="376" priority="124">
      <formula>M$9&gt;=20/24</formula>
    </cfRule>
    <cfRule type="expression" dxfId="375" priority="125">
      <formula>AND(M$9&gt;=14/24,M$9&lt;20/24)</formula>
    </cfRule>
    <cfRule type="expression" dxfId="374" priority="126">
      <formula>AND(M$9&gt;=8/24,M$9&lt;14/24)</formula>
    </cfRule>
    <cfRule type="expression" dxfId="373" priority="127">
      <formula>M$9&lt;8/24</formula>
    </cfRule>
  </conditionalFormatting>
  <conditionalFormatting sqref="M16:Y32 M34:Y36 AC36:AF36 Z36:AA36">
    <cfRule type="expression" dxfId="372" priority="123">
      <formula>M16&gt;$AG16</formula>
    </cfRule>
  </conditionalFormatting>
  <conditionalFormatting sqref="M34:Y34">
    <cfRule type="expression" dxfId="371" priority="119">
      <formula>M$9&gt;=20/24</formula>
    </cfRule>
    <cfRule type="expression" dxfId="370" priority="120">
      <formula>AND(M$9&gt;=14/24,M$9&lt;20/24)</formula>
    </cfRule>
    <cfRule type="expression" dxfId="369" priority="121">
      <formula>AND(M$9&gt;=8/24,M$9&lt;14/24)</formula>
    </cfRule>
    <cfRule type="expression" dxfId="368" priority="122">
      <formula>M$9&lt;8/24</formula>
    </cfRule>
  </conditionalFormatting>
  <conditionalFormatting sqref="M15:Y15">
    <cfRule type="expression" dxfId="367" priority="115">
      <formula>M$9&gt;=20/24</formula>
    </cfRule>
    <cfRule type="expression" dxfId="366" priority="116">
      <formula>AND(M$9&gt;=14/24,M$9&lt;20/24)</formula>
    </cfRule>
    <cfRule type="expression" dxfId="365" priority="117">
      <formula>AND(M$9&gt;=8/24,M$9&lt;14/24)</formula>
    </cfRule>
    <cfRule type="expression" dxfId="364" priority="118">
      <formula>M$9&lt;8/24</formula>
    </cfRule>
  </conditionalFormatting>
  <conditionalFormatting sqref="M15:Y15">
    <cfRule type="expression" dxfId="363" priority="114">
      <formula>M15&gt;$AG15</formula>
    </cfRule>
  </conditionalFormatting>
  <conditionalFormatting sqref="M33:Y33">
    <cfRule type="expression" dxfId="362" priority="110">
      <formula>M$9&gt;=20/24</formula>
    </cfRule>
    <cfRule type="expression" dxfId="361" priority="111">
      <formula>AND(M$9&gt;=14/24,M$9&lt;20/24)</formula>
    </cfRule>
    <cfRule type="expression" dxfId="360" priority="112">
      <formula>AND(M$9&gt;=8/24,M$9&lt;14/24)</formula>
    </cfRule>
    <cfRule type="expression" dxfId="359" priority="113">
      <formula>M$9&lt;8/24</formula>
    </cfRule>
  </conditionalFormatting>
  <conditionalFormatting sqref="M33:Y33">
    <cfRule type="expression" dxfId="358" priority="109">
      <formula>M33&gt;$AG33</formula>
    </cfRule>
  </conditionalFormatting>
  <conditionalFormatting sqref="Z94:AA97">
    <cfRule type="expression" dxfId="357" priority="101">
      <formula>Z$9&gt;=20/24</formula>
    </cfRule>
    <cfRule type="expression" dxfId="356" priority="102">
      <formula>AND(Z$9&gt;=14/24,Z$9&lt;20/24)</formula>
    </cfRule>
    <cfRule type="expression" dxfId="355" priority="103">
      <formula>AND(Z$9&gt;=8/24,Z$9&lt;14/24)</formula>
    </cfRule>
    <cfRule type="expression" dxfId="354" priority="104">
      <formula>Z$9&lt;8/24</formula>
    </cfRule>
  </conditionalFormatting>
  <conditionalFormatting sqref="Z98:AA98">
    <cfRule type="expression" dxfId="353" priority="97">
      <formula>Z$9&gt;=20/24</formula>
    </cfRule>
    <cfRule type="expression" dxfId="352" priority="98">
      <formula>AND(Z$9&gt;=14/24,Z$9&lt;20/24)</formula>
    </cfRule>
    <cfRule type="expression" dxfId="351" priority="99">
      <formula>AND(Z$9&gt;=8/24,Z$9&lt;14/24)</formula>
    </cfRule>
    <cfRule type="expression" dxfId="350" priority="100">
      <formula>Z$9&lt;8/24</formula>
    </cfRule>
  </conditionalFormatting>
  <conditionalFormatting sqref="Z94:AA94">
    <cfRule type="expression" dxfId="349" priority="93">
      <formula>Z$9&gt;=20/24</formula>
    </cfRule>
    <cfRule type="expression" dxfId="348" priority="94">
      <formula>AND(Z$9&gt;=14/24,Z$9&lt;20/24)</formula>
    </cfRule>
    <cfRule type="expression" dxfId="347" priority="95">
      <formula>AND(Z$9&gt;=8/24,Z$9&lt;14/24)</formula>
    </cfRule>
    <cfRule type="expression" dxfId="346" priority="96">
      <formula>Z$9&lt;8/24</formula>
    </cfRule>
  </conditionalFormatting>
  <conditionalFormatting sqref="Z99:AA100">
    <cfRule type="expression" dxfId="345" priority="89">
      <formula>Z$9&gt;=20/24</formula>
    </cfRule>
    <cfRule type="expression" dxfId="344" priority="90">
      <formula>AND(Z$9&gt;=14/24,Z$9&lt;20/24)</formula>
    </cfRule>
    <cfRule type="expression" dxfId="343" priority="91">
      <formula>AND(Z$9&gt;=8/24,Z$9&lt;14/24)</formula>
    </cfRule>
    <cfRule type="expression" dxfId="342" priority="92">
      <formula>Z$9&lt;8/24</formula>
    </cfRule>
  </conditionalFormatting>
  <conditionalFormatting sqref="AB36">
    <cfRule type="expression" dxfId="341" priority="5">
      <formula>AB36&gt;$AG36</formula>
    </cfRule>
  </conditionalFormatting>
  <conditionalFormatting sqref="AB26:AB35">
    <cfRule type="expression" dxfId="340" priority="1">
      <formula>AB$9&gt;=20/24</formula>
    </cfRule>
    <cfRule type="expression" dxfId="339" priority="2">
      <formula>AND(AB$9&gt;=14/24,AB$9&lt;20/24)</formula>
    </cfRule>
    <cfRule type="expression" dxfId="338" priority="3">
      <formula>AND(AB$9&gt;=8/24,AB$9&lt;14/24)</formula>
    </cfRule>
    <cfRule type="expression" dxfId="337" priority="4">
      <formula>AB$9&lt;8/24</formula>
    </cfRule>
  </conditionalFormatting>
  <conditionalFormatting sqref="Z37:Z38 Z40:Z91 AC26:AF35 Z11:AA35 AA37 AA40:AA50 AA53:AA55 AA57:AA67 AA87:AA91">
    <cfRule type="expression" dxfId="336" priority="79">
      <formula>Z$9&gt;=20/24</formula>
    </cfRule>
    <cfRule type="expression" dxfId="335" priority="80">
      <formula>AND(Z$9&gt;=14/24,Z$9&lt;20/24)</formula>
    </cfRule>
    <cfRule type="expression" dxfId="334" priority="81">
      <formula>AND(Z$9&gt;=8/24,Z$9&lt;14/24)</formula>
    </cfRule>
    <cfRule type="expression" dxfId="333" priority="82">
      <formula>Z$9&lt;8/24</formula>
    </cfRule>
  </conditionalFormatting>
  <conditionalFormatting sqref="Z39:AA39">
    <cfRule type="expression" dxfId="332" priority="70">
      <formula>Z$9&gt;=20/24</formula>
    </cfRule>
    <cfRule type="expression" dxfId="331" priority="71">
      <formula>AND(Z$9&gt;=14/24,Z$9&lt;20/24)</formula>
    </cfRule>
    <cfRule type="expression" dxfId="330" priority="72">
      <formula>AND(Z$9&gt;=8/24,Z$9&lt;14/24)</formula>
    </cfRule>
    <cfRule type="expression" dxfId="329" priority="73">
      <formula>Z$9&lt;8/24</formula>
    </cfRule>
  </conditionalFormatting>
  <conditionalFormatting sqref="Z39:AA39">
    <cfRule type="expression" dxfId="328" priority="69">
      <formula>Z39&gt;$AG39</formula>
    </cfRule>
  </conditionalFormatting>
  <conditionalFormatting sqref="AB85">
    <cfRule type="expression" dxfId="327" priority="65">
      <formula>AB$9&gt;=20/24</formula>
    </cfRule>
    <cfRule type="expression" dxfId="326" priority="66">
      <formula>AND(AB$9&gt;=14/24,AB$9&lt;20/24)</formula>
    </cfRule>
    <cfRule type="expression" dxfId="325" priority="67">
      <formula>AND(AB$9&gt;=8/24,AB$9&lt;14/24)</formula>
    </cfRule>
    <cfRule type="expression" dxfId="324" priority="68">
      <formula>AB$9&lt;8/24</formula>
    </cfRule>
  </conditionalFormatting>
  <conditionalFormatting sqref="AB84">
    <cfRule type="expression" dxfId="323" priority="61">
      <formula>AB$9&gt;=20/24</formula>
    </cfRule>
    <cfRule type="expression" dxfId="322" priority="62">
      <formula>AND(AB$9&gt;=14/24,AB$9&lt;20/24)</formula>
    </cfRule>
    <cfRule type="expression" dxfId="321" priority="63">
      <formula>AND(AB$9&gt;=8/24,AB$9&lt;14/24)</formula>
    </cfRule>
    <cfRule type="expression" dxfId="320" priority="64">
      <formula>AB$9&lt;8/24</formula>
    </cfRule>
  </conditionalFormatting>
  <conditionalFormatting sqref="AB57">
    <cfRule type="expression" dxfId="319" priority="57">
      <formula>AB$9&gt;=20/24</formula>
    </cfRule>
    <cfRule type="expression" dxfId="318" priority="58">
      <formula>AND(AB$9&gt;=14/24,AB$9&lt;20/24)</formula>
    </cfRule>
    <cfRule type="expression" dxfId="317" priority="59">
      <formula>AND(AB$9&gt;=8/24,AB$9&lt;14/24)</formula>
    </cfRule>
    <cfRule type="expression" dxfId="316" priority="60">
      <formula>AB$9&lt;8/24</formula>
    </cfRule>
  </conditionalFormatting>
  <conditionalFormatting sqref="AB60:AB61">
    <cfRule type="expression" dxfId="315" priority="53">
      <formula>AB$9&gt;=20/24</formula>
    </cfRule>
    <cfRule type="expression" dxfId="314" priority="54">
      <formula>AND(AB$9&gt;=14/24,AB$9&lt;20/24)</formula>
    </cfRule>
    <cfRule type="expression" dxfId="313" priority="55">
      <formula>AND(AB$9&gt;=8/24,AB$9&lt;14/24)</formula>
    </cfRule>
    <cfRule type="expression" dxfId="312" priority="56">
      <formula>AB$9&lt;8/24</formula>
    </cfRule>
  </conditionalFormatting>
  <conditionalFormatting sqref="AB62:AE67">
    <cfRule type="expression" dxfId="311" priority="49">
      <formula>AB$9&gt;=20/24</formula>
    </cfRule>
    <cfRule type="expression" dxfId="310" priority="50">
      <formula>AND(AB$9&gt;=14/24,AB$9&lt;20/24)</formula>
    </cfRule>
    <cfRule type="expression" dxfId="309" priority="51">
      <formula>AND(AB$9&gt;=8/24,AB$9&lt;14/24)</formula>
    </cfRule>
    <cfRule type="expression" dxfId="308" priority="52">
      <formula>AB$9&lt;8/24</formula>
    </cfRule>
  </conditionalFormatting>
  <conditionalFormatting sqref="AB40:AB43 AC43">
    <cfRule type="expression" dxfId="307" priority="45">
      <formula>AB$9&gt;=20/24</formula>
    </cfRule>
    <cfRule type="expression" dxfId="306" priority="46">
      <formula>AND(AB$9&gt;=14/24,AB$9&lt;20/24)</formula>
    </cfRule>
    <cfRule type="expression" dxfId="305" priority="47">
      <formula>AND(AB$9&gt;=8/24,AB$9&lt;14/24)</formula>
    </cfRule>
    <cfRule type="expression" dxfId="304" priority="48">
      <formula>AB$9&lt;8/24</formula>
    </cfRule>
  </conditionalFormatting>
  <conditionalFormatting sqref="AB45:AF48">
    <cfRule type="expression" dxfId="303" priority="41">
      <formula>AB$9&gt;=20/24</formula>
    </cfRule>
    <cfRule type="expression" dxfId="302" priority="42">
      <formula>AND(AB$9&gt;=14/24,AB$9&lt;20/24)</formula>
    </cfRule>
    <cfRule type="expression" dxfId="301" priority="43">
      <formula>AND(AB$9&gt;=8/24,AB$9&lt;14/24)</formula>
    </cfRule>
    <cfRule type="expression" dxfId="300" priority="44">
      <formula>AB$9&lt;8/24</formula>
    </cfRule>
  </conditionalFormatting>
  <conditionalFormatting sqref="AB49:AF49">
    <cfRule type="expression" dxfId="299" priority="37">
      <formula>AB$9&gt;=20/24</formula>
    </cfRule>
    <cfRule type="expression" dxfId="298" priority="38">
      <formula>AND(AB$9&gt;=14/24,AB$9&lt;20/24)</formula>
    </cfRule>
    <cfRule type="expression" dxfId="297" priority="39">
      <formula>AND(AB$9&gt;=8/24,AB$9&lt;14/24)</formula>
    </cfRule>
    <cfRule type="expression" dxfId="296" priority="40">
      <formula>AB$9&lt;8/24</formula>
    </cfRule>
  </conditionalFormatting>
  <conditionalFormatting sqref="AB40:AB50 AC43:AC50 AD44:AD50 AE45:AF50">
    <cfRule type="expression" dxfId="295" priority="32">
      <formula>AB40&gt;$AG40</formula>
    </cfRule>
  </conditionalFormatting>
  <conditionalFormatting sqref="AB44:AD44">
    <cfRule type="expression" dxfId="294" priority="28">
      <formula>AB$9&gt;=20/24</formula>
    </cfRule>
    <cfRule type="expression" dxfId="293" priority="29">
      <formula>AND(AB$9&gt;=14/24,AB$9&lt;20/24)</formula>
    </cfRule>
    <cfRule type="expression" dxfId="292" priority="30">
      <formula>AND(AB$9&gt;=8/24,AB$9&lt;14/24)</formula>
    </cfRule>
    <cfRule type="expression" dxfId="291" priority="31">
      <formula>AB$9&lt;8/24</formula>
    </cfRule>
  </conditionalFormatting>
  <conditionalFormatting sqref="AB39">
    <cfRule type="expression" dxfId="290" priority="24">
      <formula>AB$9&gt;=20/24</formula>
    </cfRule>
    <cfRule type="expression" dxfId="289" priority="25">
      <formula>AND(AB$9&gt;=14/24,AB$9&lt;20/24)</formula>
    </cfRule>
    <cfRule type="expression" dxfId="288" priority="26">
      <formula>AND(AB$9&gt;=8/24,AB$9&lt;14/24)</formula>
    </cfRule>
    <cfRule type="expression" dxfId="287" priority="27">
      <formula>AB$9&lt;8/24</formula>
    </cfRule>
  </conditionalFormatting>
  <conditionalFormatting sqref="AB39">
    <cfRule type="expression" dxfId="286" priority="23">
      <formula>AB39&gt;$AG39</formula>
    </cfRule>
  </conditionalFormatting>
  <conditionalFormatting sqref="AB11:AC14 AB16:AE25 AD12:AE14">
    <cfRule type="expression" dxfId="285" priority="19">
      <formula>AB$9&gt;=20/24</formula>
    </cfRule>
    <cfRule type="expression" dxfId="284" priority="20">
      <formula>AND(AB$9&gt;=14/24,AB$9&lt;20/24)</formula>
    </cfRule>
    <cfRule type="expression" dxfId="283" priority="21">
      <formula>AND(AB$9&gt;=8/24,AB$9&lt;14/24)</formula>
    </cfRule>
    <cfRule type="expression" dxfId="282" priority="22">
      <formula>AB$9&lt;8/24</formula>
    </cfRule>
  </conditionalFormatting>
  <conditionalFormatting sqref="AB37">
    <cfRule type="expression" dxfId="281" priority="15">
      <formula>AB$9&gt;=20/24</formula>
    </cfRule>
    <cfRule type="expression" dxfId="280" priority="16">
      <formula>AND(AB$9&gt;=14/24,AB$9&lt;20/24)</formula>
    </cfRule>
    <cfRule type="expression" dxfId="279" priority="17">
      <formula>AND(AB$9&gt;=8/24,AB$9&lt;14/24)</formula>
    </cfRule>
    <cfRule type="expression" dxfId="278" priority="18">
      <formula>AB$9&lt;8/24</formula>
    </cfRule>
  </conditionalFormatting>
  <conditionalFormatting sqref="AB37 AB11:AC25 AD12:AE25">
    <cfRule type="expression" dxfId="277" priority="14">
      <formula>AB11&gt;$AG11</formula>
    </cfRule>
  </conditionalFormatting>
  <conditionalFormatting sqref="AB15:AE15">
    <cfRule type="expression" dxfId="276" priority="10">
      <formula>AB$9&gt;=20/24</formula>
    </cfRule>
    <cfRule type="expression" dxfId="275" priority="11">
      <formula>AND(AB$9&gt;=14/24,AB$9&lt;20/24)</formula>
    </cfRule>
    <cfRule type="expression" dxfId="274" priority="12">
      <formula>AND(AB$9&gt;=8/24,AB$9&lt;14/24)</formula>
    </cfRule>
    <cfRule type="expression" dxfId="273" priority="13">
      <formula>AB$9&lt;8/24</formula>
    </cfRule>
  </conditionalFormatting>
  <conditionalFormatting sqref="AB36">
    <cfRule type="expression" dxfId="272" priority="6">
      <formula>AB$9&gt;=20/24</formula>
    </cfRule>
    <cfRule type="expression" dxfId="271" priority="7">
      <formula>AND(AB$9&gt;=14/24,AB$9&lt;20/24)</formula>
    </cfRule>
    <cfRule type="expression" dxfId="270" priority="8">
      <formula>AND(AB$9&gt;=8/24,AB$9&lt;14/24)</formula>
    </cfRule>
    <cfRule type="expression" dxfId="269" priority="9">
      <formula>AB$9&lt;8/24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5" id="{52FDB1FD-73AE-45CC-89AD-04867F046B2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36" sqref="B3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5" t="s">
        <v>1</v>
      </c>
      <c r="AH1" s="205"/>
      <c r="AI1" s="205"/>
      <c r="AL1" s="2"/>
      <c r="AM1" s="3"/>
    </row>
    <row r="2" spans="1:88" ht="20.25" x14ac:dyDescent="0.25">
      <c r="A2" s="4"/>
      <c r="B2" s="206" t="s">
        <v>2</v>
      </c>
      <c r="C2" s="5"/>
      <c r="D2" s="208" t="s">
        <v>3</v>
      </c>
      <c r="E2" s="5"/>
      <c r="F2" s="208" t="s">
        <v>4</v>
      </c>
      <c r="G2" s="5"/>
      <c r="H2" s="208" t="s">
        <v>5</v>
      </c>
      <c r="I2" s="6"/>
      <c r="J2" s="210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207"/>
      <c r="C3" s="18"/>
      <c r="D3" s="209"/>
      <c r="E3" s="18"/>
      <c r="F3" s="209"/>
      <c r="G3" s="18"/>
      <c r="H3" s="209"/>
      <c r="I3" s="19"/>
      <c r="J3" s="210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98" t="e">
        <f ca="1">"2078/"&amp;"11/"&amp;INT(MID(CELL("filename",D6),FIND("]",CELL("filename",D6))+1,200))</f>
        <v>#VALUE!</v>
      </c>
      <c r="C4" s="198"/>
      <c r="D4" s="198"/>
      <c r="E4" s="199" t="str">
        <f ca="1">IFERROR([1]!DateBStoAD(B4),"")</f>
        <v/>
      </c>
      <c r="F4" s="200"/>
      <c r="G4" s="200"/>
      <c r="H4" s="200" t="str">
        <f ca="1">TEXT(E4,"dddd")</f>
        <v/>
      </c>
      <c r="I4" s="20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201" t="s">
        <v>14</v>
      </c>
      <c r="C8" s="202"/>
      <c r="D8" s="202"/>
      <c r="E8" s="202"/>
      <c r="F8" s="202"/>
      <c r="G8" s="202"/>
      <c r="H8" s="202"/>
      <c r="I8" s="202"/>
      <c r="J8" s="202"/>
      <c r="K8" s="202"/>
      <c r="L8" s="203"/>
      <c r="M8" s="191" t="s">
        <v>15</v>
      </c>
      <c r="N8" s="192"/>
      <c r="O8" s="192"/>
      <c r="P8" s="192"/>
      <c r="Q8" s="192"/>
      <c r="R8" s="193"/>
      <c r="S8" s="191" t="s">
        <v>16</v>
      </c>
      <c r="T8" s="192"/>
      <c r="U8" s="192"/>
      <c r="V8" s="192"/>
      <c r="W8" s="192"/>
      <c r="X8" s="192"/>
      <c r="Y8" s="192"/>
      <c r="Z8" s="192"/>
      <c r="AA8" s="193"/>
      <c r="AB8" s="191" t="s">
        <v>17</v>
      </c>
      <c r="AC8" s="192"/>
      <c r="AD8" s="192"/>
      <c r="AE8" s="192"/>
      <c r="AF8" s="193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94" t="s">
        <v>18</v>
      </c>
      <c r="B9" s="196">
        <v>0</v>
      </c>
      <c r="C9" s="187">
        <v>4.1666666666666664E-2</v>
      </c>
      <c r="D9" s="187">
        <v>8.3333333333333301E-2</v>
      </c>
      <c r="E9" s="187">
        <v>0.125</v>
      </c>
      <c r="F9" s="187">
        <v>0.16666666666666699</v>
      </c>
      <c r="G9" s="187">
        <v>0.20833333333333301</v>
      </c>
      <c r="H9" s="187">
        <v>0.22916666666666666</v>
      </c>
      <c r="I9" s="187">
        <v>0.25</v>
      </c>
      <c r="J9" s="187">
        <v>0.27083333333333331</v>
      </c>
      <c r="K9" s="187">
        <v>0.29166666666666669</v>
      </c>
      <c r="L9" s="187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87">
        <v>0.58333333333333304</v>
      </c>
      <c r="T9" s="187">
        <v>0.625</v>
      </c>
      <c r="U9" s="187">
        <v>0.66666666666666696</v>
      </c>
      <c r="V9" s="187">
        <v>0.70833333333333304</v>
      </c>
      <c r="W9" s="187">
        <v>0.72916666666666663</v>
      </c>
      <c r="X9" s="187">
        <v>0.75</v>
      </c>
      <c r="Y9" s="187">
        <v>0.77083333333333337</v>
      </c>
      <c r="Z9" s="187">
        <v>0.79166666666666663</v>
      </c>
      <c r="AA9" s="187">
        <v>0.8125</v>
      </c>
      <c r="AB9" s="187">
        <v>0.83333333333333337</v>
      </c>
      <c r="AC9" s="187">
        <v>0.85416666666666663</v>
      </c>
      <c r="AD9" s="187">
        <v>0.875</v>
      </c>
      <c r="AE9" s="187">
        <v>0.91666666666666696</v>
      </c>
      <c r="AF9" s="187">
        <v>0.95833333333333304</v>
      </c>
      <c r="AG9" s="189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5"/>
      <c r="B10" s="197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90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0"/>
      <c r="O11" s="50"/>
      <c r="P11" s="50"/>
      <c r="Q11" s="50"/>
      <c r="R11" s="51"/>
      <c r="S11" s="50"/>
      <c r="T11" s="50"/>
      <c r="U11" s="50"/>
      <c r="V11" s="50"/>
      <c r="W11" s="50"/>
      <c r="X11" s="50"/>
      <c r="Y11" s="50"/>
      <c r="Z11" s="52"/>
      <c r="AA11" s="50"/>
      <c r="AB11" s="50"/>
      <c r="AC11" s="50"/>
      <c r="AD11" s="50"/>
      <c r="AE11" s="50"/>
      <c r="AF11" s="49"/>
      <c r="AG11" s="53">
        <v>456</v>
      </c>
      <c r="AH11" s="54">
        <f>MAX(B11:AF11)</f>
        <v>0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58"/>
      <c r="T12" s="58"/>
      <c r="U12" s="58"/>
      <c r="V12" s="58"/>
      <c r="W12" s="58"/>
      <c r="X12" s="58"/>
      <c r="Y12" s="58"/>
      <c r="Z12" s="50"/>
      <c r="AA12" s="50"/>
      <c r="AB12" s="50"/>
      <c r="AC12" s="50"/>
      <c r="AD12" s="50"/>
      <c r="AE12" s="50"/>
      <c r="AF12" s="49"/>
      <c r="AG12" s="59">
        <v>60</v>
      </c>
      <c r="AH12" s="54">
        <f t="shared" ref="AH12:AH75" si="2">MAX(B12:AF12)</f>
        <v>0</v>
      </c>
      <c r="AI12" s="55">
        <f t="shared" ref="AI12:AI75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58"/>
      <c r="T13" s="58"/>
      <c r="U13" s="58"/>
      <c r="V13" s="58"/>
      <c r="W13" s="58"/>
      <c r="X13" s="58"/>
      <c r="Y13" s="58"/>
      <c r="Z13" s="50"/>
      <c r="AA13" s="50"/>
      <c r="AB13" s="50"/>
      <c r="AC13" s="50"/>
      <c r="AD13" s="50"/>
      <c r="AE13" s="50"/>
      <c r="AF13" s="49"/>
      <c r="AG13" s="59">
        <v>52.4</v>
      </c>
      <c r="AH13" s="54">
        <f t="shared" si="2"/>
        <v>0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0"/>
      <c r="O14" s="50"/>
      <c r="P14" s="50"/>
      <c r="Q14" s="50"/>
      <c r="R14" s="50"/>
      <c r="S14" s="60"/>
      <c r="T14" s="60"/>
      <c r="U14" s="60"/>
      <c r="V14" s="60"/>
      <c r="W14" s="60"/>
      <c r="X14" s="60"/>
      <c r="Y14" s="60"/>
      <c r="Z14" s="50"/>
      <c r="AA14" s="50"/>
      <c r="AB14" s="50"/>
      <c r="AC14" s="50"/>
      <c r="AD14" s="50"/>
      <c r="AE14" s="50"/>
      <c r="AF14" s="49"/>
      <c r="AG14" s="59">
        <v>50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50"/>
      <c r="N15" s="50"/>
      <c r="O15" s="50"/>
      <c r="P15" s="50"/>
      <c r="Q15" s="50"/>
      <c r="R15" s="50"/>
      <c r="S15" s="60"/>
      <c r="T15" s="60"/>
      <c r="U15" s="60"/>
      <c r="V15" s="60"/>
      <c r="W15" s="60"/>
      <c r="X15" s="60"/>
      <c r="Y15" s="60"/>
      <c r="Z15" s="50"/>
      <c r="AA15" s="50"/>
      <c r="AB15" s="50"/>
      <c r="AC15" s="50"/>
      <c r="AD15" s="50"/>
      <c r="AE15" s="50"/>
      <c r="AF15" s="61"/>
      <c r="AG15" s="62">
        <v>45</v>
      </c>
      <c r="AH15" s="54">
        <f t="shared" si="2"/>
        <v>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0"/>
      <c r="O16" s="50"/>
      <c r="P16" s="50"/>
      <c r="Q16" s="50"/>
      <c r="R16" s="50"/>
      <c r="S16" s="63"/>
      <c r="T16" s="63"/>
      <c r="U16" s="63"/>
      <c r="V16" s="63"/>
      <c r="W16" s="63"/>
      <c r="X16" s="63"/>
      <c r="Y16" s="63"/>
      <c r="Z16" s="50"/>
      <c r="AA16" s="50"/>
      <c r="AB16" s="50"/>
      <c r="AC16" s="50"/>
      <c r="AD16" s="50"/>
      <c r="AE16" s="50"/>
      <c r="AF16" s="49"/>
      <c r="AG16" s="59">
        <v>45</v>
      </c>
      <c r="AH16" s="54">
        <f t="shared" si="2"/>
        <v>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60"/>
      <c r="T17" s="60"/>
      <c r="U17" s="60"/>
      <c r="V17" s="60"/>
      <c r="W17" s="60"/>
      <c r="X17" s="60"/>
      <c r="Y17" s="60"/>
      <c r="Z17" s="50"/>
      <c r="AA17" s="50"/>
      <c r="AB17" s="50"/>
      <c r="AC17" s="50"/>
      <c r="AD17" s="50"/>
      <c r="AE17" s="50"/>
      <c r="AF17" s="49"/>
      <c r="AG17" s="59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49"/>
      <c r="AG18" s="59">
        <v>36</v>
      </c>
      <c r="AH18" s="54">
        <f t="shared" si="2"/>
        <v>0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49"/>
      <c r="AG19" s="59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9"/>
      <c r="AG20" s="59">
        <v>27</v>
      </c>
      <c r="AH20" s="54">
        <f t="shared" si="2"/>
        <v>0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49"/>
      <c r="AG21" s="59">
        <v>25</v>
      </c>
      <c r="AH21" s="54">
        <f t="shared" si="2"/>
        <v>0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49"/>
      <c r="AG22" s="59">
        <v>25</v>
      </c>
      <c r="AH22" s="54">
        <f t="shared" si="2"/>
        <v>0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49"/>
      <c r="AG23" s="59">
        <v>25</v>
      </c>
      <c r="AH23" s="54">
        <f t="shared" si="2"/>
        <v>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49"/>
      <c r="AG24" s="59">
        <v>25</v>
      </c>
      <c r="AH24" s="54">
        <f t="shared" si="2"/>
        <v>0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49"/>
      <c r="AG25" s="59">
        <v>24.2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49"/>
      <c r="AG26" s="59">
        <v>20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49"/>
      <c r="AC27" s="49"/>
      <c r="AD27" s="49"/>
      <c r="AE27" s="49"/>
      <c r="AF27" s="49"/>
      <c r="AG27" s="59">
        <v>23.5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/>
      <c r="AG28" s="59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49"/>
      <c r="AG29" s="59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49"/>
      <c r="AG30" s="59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61"/>
      <c r="AG31" s="62">
        <v>22</v>
      </c>
      <c r="AH31" s="54">
        <f t="shared" si="2"/>
        <v>0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4"/>
      <c r="AR31" s="65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6" t="s">
        <v>40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61"/>
      <c r="AG32" s="67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4"/>
      <c r="AR32" s="65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6" t="s">
        <v>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61"/>
      <c r="AG33" s="67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4"/>
      <c r="AR33" s="65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6" t="s">
        <v>42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61"/>
      <c r="AG34" s="67">
        <v>20</v>
      </c>
      <c r="AH34" s="54">
        <f t="shared" si="2"/>
        <v>0</v>
      </c>
      <c r="AI34" s="55">
        <f t="shared" si="3"/>
        <v>0</v>
      </c>
      <c r="AK34" s="56"/>
      <c r="AL34" s="30"/>
      <c r="AO34" s="26"/>
      <c r="AP34" s="26"/>
      <c r="AQ34" s="64"/>
      <c r="AR34" s="65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6" t="s">
        <v>43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61"/>
      <c r="AG35" s="67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4"/>
      <c r="AR35" s="65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8" t="s">
        <v>44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7">
        <v>85</v>
      </c>
      <c r="AH36" s="54">
        <f t="shared" si="2"/>
        <v>0</v>
      </c>
      <c r="AI36" s="55">
        <f t="shared" si="3"/>
        <v>0</v>
      </c>
      <c r="AK36" s="56"/>
    </row>
    <row r="37" spans="1:88" ht="15.75" thickBot="1" x14ac:dyDescent="0.3">
      <c r="A37" s="69" t="s">
        <v>45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61"/>
      <c r="AG37" s="67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71" t="s">
        <v>46</v>
      </c>
      <c r="B38" s="72">
        <f>SUM(B11:B36)</f>
        <v>0</v>
      </c>
      <c r="C38" s="72">
        <f t="shared" ref="C38:AF38" si="4">SUM(C11:C36)</f>
        <v>0</v>
      </c>
      <c r="D38" s="72">
        <f t="shared" si="4"/>
        <v>0</v>
      </c>
      <c r="E38" s="72">
        <f t="shared" si="4"/>
        <v>0</v>
      </c>
      <c r="F38" s="72">
        <f t="shared" si="4"/>
        <v>0</v>
      </c>
      <c r="G38" s="72">
        <f t="shared" si="4"/>
        <v>0</v>
      </c>
      <c r="H38" s="72">
        <f t="shared" si="4"/>
        <v>0</v>
      </c>
      <c r="I38" s="72">
        <f t="shared" si="4"/>
        <v>0</v>
      </c>
      <c r="J38" s="72">
        <f t="shared" si="4"/>
        <v>0</v>
      </c>
      <c r="K38" s="72">
        <f t="shared" si="4"/>
        <v>0</v>
      </c>
      <c r="L38" s="72">
        <f t="shared" si="4"/>
        <v>0</v>
      </c>
      <c r="M38" s="72">
        <f t="shared" si="4"/>
        <v>0</v>
      </c>
      <c r="N38" s="72">
        <f t="shared" si="4"/>
        <v>0</v>
      </c>
      <c r="O38" s="72">
        <f t="shared" si="4"/>
        <v>0</v>
      </c>
      <c r="P38" s="72">
        <f t="shared" si="4"/>
        <v>0</v>
      </c>
      <c r="Q38" s="72">
        <f t="shared" si="4"/>
        <v>0</v>
      </c>
      <c r="R38" s="72">
        <f t="shared" si="4"/>
        <v>0</v>
      </c>
      <c r="S38" s="72">
        <f t="shared" si="4"/>
        <v>0</v>
      </c>
      <c r="T38" s="72">
        <f t="shared" si="4"/>
        <v>0</v>
      </c>
      <c r="U38" s="72">
        <f t="shared" si="4"/>
        <v>0</v>
      </c>
      <c r="V38" s="72">
        <f t="shared" si="4"/>
        <v>0</v>
      </c>
      <c r="W38" s="72">
        <f t="shared" si="4"/>
        <v>0</v>
      </c>
      <c r="X38" s="72">
        <f t="shared" si="4"/>
        <v>0</v>
      </c>
      <c r="Y38" s="72">
        <f t="shared" si="4"/>
        <v>0</v>
      </c>
      <c r="Z38" s="72">
        <f t="shared" si="4"/>
        <v>0</v>
      </c>
      <c r="AA38" s="72">
        <f t="shared" si="4"/>
        <v>0</v>
      </c>
      <c r="AB38" s="72">
        <f t="shared" si="4"/>
        <v>0</v>
      </c>
      <c r="AC38" s="72">
        <f t="shared" si="4"/>
        <v>0</v>
      </c>
      <c r="AD38" s="72">
        <f t="shared" si="4"/>
        <v>0</v>
      </c>
      <c r="AE38" s="72">
        <f t="shared" si="4"/>
        <v>0</v>
      </c>
      <c r="AF38" s="72">
        <f t="shared" si="4"/>
        <v>0</v>
      </c>
      <c r="AG38" s="67">
        <f>SUM(AG11:AG37)</f>
        <v>1492.8299999999997</v>
      </c>
      <c r="AH38" s="54">
        <f t="shared" si="2"/>
        <v>0</v>
      </c>
      <c r="AI38" s="55">
        <f t="shared" si="3"/>
        <v>0</v>
      </c>
      <c r="AK38" s="56"/>
    </row>
    <row r="39" spans="1:88" x14ac:dyDescent="0.25">
      <c r="A39" s="57" t="s">
        <v>47</v>
      </c>
      <c r="B39" s="49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49"/>
      <c r="AG39" s="62">
        <v>144</v>
      </c>
      <c r="AH39" s="54">
        <f t="shared" si="2"/>
        <v>0</v>
      </c>
      <c r="AI39" s="55">
        <f t="shared" si="3"/>
        <v>0</v>
      </c>
      <c r="AK39" s="56"/>
    </row>
    <row r="40" spans="1:88" x14ac:dyDescent="0.25">
      <c r="A40" s="66" t="s">
        <v>48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61"/>
      <c r="AG40" s="67">
        <v>70</v>
      </c>
      <c r="AH40" s="54">
        <f t="shared" si="2"/>
        <v>0</v>
      </c>
      <c r="AI40" s="55">
        <f t="shared" si="3"/>
        <v>0</v>
      </c>
      <c r="AK40" s="56"/>
    </row>
    <row r="41" spans="1:88" x14ac:dyDescent="0.25">
      <c r="A41" s="66" t="s">
        <v>49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61"/>
      <c r="AG41" s="67">
        <v>69</v>
      </c>
      <c r="AH41" s="54">
        <f t="shared" si="2"/>
        <v>0</v>
      </c>
      <c r="AI41" s="55">
        <f t="shared" si="3"/>
        <v>0</v>
      </c>
      <c r="AK41" s="56"/>
    </row>
    <row r="42" spans="1:88" x14ac:dyDescent="0.25">
      <c r="A42" s="66" t="s">
        <v>50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61"/>
      <c r="AG42" s="67">
        <v>60</v>
      </c>
      <c r="AH42" s="54">
        <f t="shared" si="2"/>
        <v>0</v>
      </c>
      <c r="AI42" s="55">
        <f t="shared" si="3"/>
        <v>0</v>
      </c>
      <c r="AK42" s="56"/>
    </row>
    <row r="43" spans="1:88" x14ac:dyDescent="0.25">
      <c r="A43" s="66" t="s">
        <v>51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73"/>
      <c r="AA43" s="73"/>
      <c r="AB43" s="73"/>
      <c r="AC43" s="73"/>
      <c r="AD43" s="73"/>
      <c r="AE43" s="73"/>
      <c r="AF43" s="61"/>
      <c r="AG43" s="67">
        <v>30</v>
      </c>
      <c r="AH43" s="54">
        <f t="shared" si="2"/>
        <v>0</v>
      </c>
      <c r="AI43" s="55">
        <f t="shared" si="3"/>
        <v>0</v>
      </c>
      <c r="AK43" s="56"/>
    </row>
    <row r="44" spans="1:88" x14ac:dyDescent="0.25">
      <c r="A44" s="66" t="s">
        <v>52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61"/>
      <c r="AG44" s="67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6" t="s">
        <v>53</v>
      </c>
      <c r="B45" s="61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61"/>
      <c r="AG45" s="67">
        <v>24</v>
      </c>
      <c r="AH45" s="54">
        <f t="shared" si="2"/>
        <v>0</v>
      </c>
      <c r="AI45" s="55">
        <f t="shared" si="3"/>
        <v>0</v>
      </c>
      <c r="AK45" s="56"/>
    </row>
    <row r="46" spans="1:88" x14ac:dyDescent="0.25">
      <c r="A46" s="66" t="s">
        <v>54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61"/>
      <c r="AG46" s="67">
        <v>15</v>
      </c>
      <c r="AH46" s="54">
        <f t="shared" si="2"/>
        <v>0</v>
      </c>
      <c r="AI46" s="55">
        <f t="shared" si="3"/>
        <v>0</v>
      </c>
      <c r="AK46" s="56"/>
      <c r="AL46" s="75"/>
      <c r="AO46" s="75"/>
    </row>
    <row r="47" spans="1:88" s="75" customFormat="1" x14ac:dyDescent="0.25">
      <c r="A47" s="66" t="s">
        <v>55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61"/>
      <c r="AG47" s="67">
        <v>14.1</v>
      </c>
      <c r="AH47" s="54">
        <f t="shared" si="2"/>
        <v>0</v>
      </c>
      <c r="AI47" s="55">
        <f t="shared" si="3"/>
        <v>0</v>
      </c>
      <c r="AJ47" s="1"/>
      <c r="AK47" s="56"/>
      <c r="AL47"/>
      <c r="AM47"/>
      <c r="AN47"/>
      <c r="AO47"/>
    </row>
    <row r="48" spans="1:88" x14ac:dyDescent="0.25">
      <c r="A48" s="76" t="s">
        <v>56</v>
      </c>
      <c r="B48" s="61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61"/>
      <c r="AG48" s="67">
        <v>14</v>
      </c>
      <c r="AH48" s="54">
        <f t="shared" si="2"/>
        <v>0</v>
      </c>
      <c r="AI48" s="55">
        <f t="shared" si="3"/>
        <v>0</v>
      </c>
      <c r="AK48" s="56"/>
    </row>
    <row r="49" spans="1:37" x14ac:dyDescent="0.25">
      <c r="A49" s="66" t="s">
        <v>57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61"/>
      <c r="AG49" s="67">
        <v>10.050000000000001</v>
      </c>
      <c r="AH49" s="54">
        <f t="shared" si="2"/>
        <v>0</v>
      </c>
      <c r="AI49" s="55">
        <f t="shared" si="3"/>
        <v>0</v>
      </c>
      <c r="AK49" s="56"/>
    </row>
    <row r="50" spans="1:37" x14ac:dyDescent="0.25">
      <c r="A50" s="66" t="s">
        <v>58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61"/>
      <c r="AG50" s="67">
        <v>6.2</v>
      </c>
      <c r="AH50" s="54">
        <f t="shared" si="2"/>
        <v>0</v>
      </c>
      <c r="AI50" s="55">
        <f t="shared" si="3"/>
        <v>0</v>
      </c>
      <c r="AK50" s="56"/>
    </row>
    <row r="51" spans="1:37" ht="15.75" thickBot="1" x14ac:dyDescent="0.3">
      <c r="A51" s="68" t="s">
        <v>59</v>
      </c>
      <c r="B51" s="77">
        <f>B200</f>
        <v>3.54</v>
      </c>
      <c r="C51" s="77">
        <v>3.54</v>
      </c>
      <c r="D51" s="77">
        <v>3.54</v>
      </c>
      <c r="E51" s="77">
        <v>3.54</v>
      </c>
      <c r="F51" s="77">
        <v>3.54</v>
      </c>
      <c r="G51" s="77">
        <v>3.54</v>
      </c>
      <c r="H51" s="77">
        <v>3.54</v>
      </c>
      <c r="I51" s="77">
        <v>3.54</v>
      </c>
      <c r="J51" s="77">
        <v>3.54</v>
      </c>
      <c r="K51" s="77">
        <v>3.54</v>
      </c>
      <c r="L51" s="77">
        <v>3.54</v>
      </c>
      <c r="M51" s="77">
        <v>3.54</v>
      </c>
      <c r="N51" s="77">
        <v>3.54</v>
      </c>
      <c r="O51" s="77">
        <v>3.54</v>
      </c>
      <c r="P51" s="77">
        <v>3.54</v>
      </c>
      <c r="Q51" s="77">
        <v>3.54</v>
      </c>
      <c r="R51" s="77">
        <v>3.54</v>
      </c>
      <c r="S51" s="77">
        <v>3.54</v>
      </c>
      <c r="T51" s="77">
        <v>3.54</v>
      </c>
      <c r="U51" s="77">
        <f t="shared" ref="U51:AG51" si="5">U200</f>
        <v>3.54</v>
      </c>
      <c r="V51" s="77">
        <f t="shared" si="5"/>
        <v>3.54</v>
      </c>
      <c r="W51" s="77">
        <f t="shared" si="5"/>
        <v>3.54</v>
      </c>
      <c r="X51" s="77">
        <f t="shared" si="5"/>
        <v>3.54</v>
      </c>
      <c r="Y51" s="77">
        <f t="shared" si="5"/>
        <v>3.54</v>
      </c>
      <c r="Z51" s="77">
        <v>3.54</v>
      </c>
      <c r="AA51" s="77">
        <f t="shared" si="5"/>
        <v>3.54</v>
      </c>
      <c r="AB51" s="77">
        <f t="shared" si="5"/>
        <v>3.54</v>
      </c>
      <c r="AC51" s="77">
        <f t="shared" si="5"/>
        <v>3.54</v>
      </c>
      <c r="AD51" s="77">
        <f t="shared" si="5"/>
        <v>3.54</v>
      </c>
      <c r="AE51" s="77">
        <f t="shared" si="5"/>
        <v>3.54</v>
      </c>
      <c r="AF51" s="77">
        <f t="shared" si="5"/>
        <v>3.54</v>
      </c>
      <c r="AG51" s="77">
        <f t="shared" si="5"/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71" t="s">
        <v>60</v>
      </c>
      <c r="B52" s="72">
        <f>SUM(B39:B51)</f>
        <v>3.54</v>
      </c>
      <c r="C52" s="72">
        <f t="shared" ref="C52:AF52" si="6">SUM(C39:C51)</f>
        <v>3.54</v>
      </c>
      <c r="D52" s="72">
        <f t="shared" si="6"/>
        <v>3.54</v>
      </c>
      <c r="E52" s="72">
        <f t="shared" si="6"/>
        <v>3.54</v>
      </c>
      <c r="F52" s="72">
        <f t="shared" si="6"/>
        <v>3.54</v>
      </c>
      <c r="G52" s="72">
        <f t="shared" si="6"/>
        <v>3.54</v>
      </c>
      <c r="H52" s="72">
        <f t="shared" si="6"/>
        <v>3.54</v>
      </c>
      <c r="I52" s="72">
        <f t="shared" si="6"/>
        <v>3.54</v>
      </c>
      <c r="J52" s="72">
        <f t="shared" si="6"/>
        <v>3.54</v>
      </c>
      <c r="K52" s="72">
        <f t="shared" si="6"/>
        <v>3.54</v>
      </c>
      <c r="L52" s="72">
        <f t="shared" si="6"/>
        <v>3.54</v>
      </c>
      <c r="M52" s="72">
        <f t="shared" si="6"/>
        <v>3.54</v>
      </c>
      <c r="N52" s="72">
        <f t="shared" si="6"/>
        <v>3.54</v>
      </c>
      <c r="O52" s="72">
        <f t="shared" si="6"/>
        <v>3.54</v>
      </c>
      <c r="P52" s="72">
        <f t="shared" si="6"/>
        <v>3.54</v>
      </c>
      <c r="Q52" s="72">
        <f t="shared" si="6"/>
        <v>3.54</v>
      </c>
      <c r="R52" s="72">
        <f t="shared" si="6"/>
        <v>3.54</v>
      </c>
      <c r="S52" s="72">
        <f t="shared" si="6"/>
        <v>3.54</v>
      </c>
      <c r="T52" s="72">
        <f t="shared" si="6"/>
        <v>3.54</v>
      </c>
      <c r="U52" s="72">
        <f t="shared" si="6"/>
        <v>3.54</v>
      </c>
      <c r="V52" s="72">
        <f t="shared" si="6"/>
        <v>3.54</v>
      </c>
      <c r="W52" s="72">
        <f t="shared" si="6"/>
        <v>3.54</v>
      </c>
      <c r="X52" s="72">
        <f t="shared" si="6"/>
        <v>3.54</v>
      </c>
      <c r="Y52" s="72">
        <f t="shared" si="6"/>
        <v>3.54</v>
      </c>
      <c r="Z52" s="72">
        <f t="shared" si="6"/>
        <v>3.54</v>
      </c>
      <c r="AA52" s="72">
        <f t="shared" si="6"/>
        <v>3.54</v>
      </c>
      <c r="AB52" s="72">
        <f t="shared" si="6"/>
        <v>3.54</v>
      </c>
      <c r="AC52" s="72">
        <f t="shared" si="6"/>
        <v>3.54</v>
      </c>
      <c r="AD52" s="72">
        <f t="shared" si="6"/>
        <v>3.54</v>
      </c>
      <c r="AE52" s="72">
        <f t="shared" si="6"/>
        <v>3.54</v>
      </c>
      <c r="AF52" s="72">
        <f t="shared" si="6"/>
        <v>3.54</v>
      </c>
      <c r="AG52" s="78">
        <f>SUM(AG39:AG51)</f>
        <v>489.91</v>
      </c>
      <c r="AH52" s="54">
        <f t="shared" si="2"/>
        <v>3.54</v>
      </c>
      <c r="AI52" s="55">
        <f t="shared" si="3"/>
        <v>3.54</v>
      </c>
      <c r="AK52" s="56"/>
    </row>
    <row r="53" spans="1:37" x14ac:dyDescent="0.25">
      <c r="A53" s="57" t="s">
        <v>61</v>
      </c>
      <c r="B53" s="5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79"/>
      <c r="N53" s="79"/>
      <c r="O53" s="79"/>
      <c r="P53" s="79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62">
        <v>60</v>
      </c>
      <c r="AH53" s="54">
        <f t="shared" si="2"/>
        <v>0</v>
      </c>
      <c r="AI53" s="55">
        <f t="shared" si="3"/>
        <v>0</v>
      </c>
      <c r="AK53" s="56"/>
    </row>
    <row r="54" spans="1:37" x14ac:dyDescent="0.25">
      <c r="A54" s="66" t="s">
        <v>62</v>
      </c>
      <c r="B54" s="73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79"/>
      <c r="N54" s="79"/>
      <c r="O54" s="79"/>
      <c r="P54" s="79"/>
      <c r="Q54" s="73"/>
      <c r="R54" s="73"/>
      <c r="S54" s="50"/>
      <c r="T54" s="50"/>
      <c r="U54" s="50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67">
        <v>32</v>
      </c>
      <c r="AH54" s="54">
        <f t="shared" si="2"/>
        <v>0</v>
      </c>
      <c r="AI54" s="55">
        <f t="shared" si="3"/>
        <v>0</v>
      </c>
      <c r="AK54" s="56"/>
    </row>
    <row r="55" spans="1:37" ht="15.75" thickBot="1" x14ac:dyDescent="0.3">
      <c r="A55" s="76" t="s">
        <v>63</v>
      </c>
      <c r="B55" s="80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81"/>
      <c r="N55" s="81"/>
      <c r="O55" s="81"/>
      <c r="P55" s="81"/>
      <c r="Q55" s="80"/>
      <c r="R55" s="80"/>
      <c r="S55" s="50"/>
      <c r="T55" s="50"/>
      <c r="U55" s="5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2">
        <v>14</v>
      </c>
      <c r="AH55" s="54">
        <f t="shared" si="2"/>
        <v>0</v>
      </c>
      <c r="AI55" s="55">
        <f t="shared" si="3"/>
        <v>0</v>
      </c>
      <c r="AK55" s="56"/>
    </row>
    <row r="56" spans="1:37" ht="15.75" thickBot="1" x14ac:dyDescent="0.3">
      <c r="A56" s="71" t="s">
        <v>64</v>
      </c>
      <c r="B56" s="72">
        <f>SUM(B53:B55)</f>
        <v>0</v>
      </c>
      <c r="C56" s="72">
        <f>SUM(C53:C55)</f>
        <v>0</v>
      </c>
      <c r="D56" s="72">
        <f t="shared" ref="D56:AF56" si="7">SUM(D53:D55)</f>
        <v>0</v>
      </c>
      <c r="E56" s="72">
        <f t="shared" si="7"/>
        <v>0</v>
      </c>
      <c r="F56" s="72">
        <f t="shared" si="7"/>
        <v>0</v>
      </c>
      <c r="G56" s="72">
        <f t="shared" si="7"/>
        <v>0</v>
      </c>
      <c r="H56" s="72">
        <f t="shared" si="7"/>
        <v>0</v>
      </c>
      <c r="I56" s="72">
        <f t="shared" si="7"/>
        <v>0</v>
      </c>
      <c r="J56" s="72">
        <f t="shared" si="7"/>
        <v>0</v>
      </c>
      <c r="K56" s="72">
        <f t="shared" si="7"/>
        <v>0</v>
      </c>
      <c r="L56" s="72">
        <f t="shared" si="7"/>
        <v>0</v>
      </c>
      <c r="M56" s="72">
        <f t="shared" si="7"/>
        <v>0</v>
      </c>
      <c r="N56" s="72">
        <f t="shared" si="7"/>
        <v>0</v>
      </c>
      <c r="O56" s="72">
        <f t="shared" si="7"/>
        <v>0</v>
      </c>
      <c r="P56" s="72">
        <f t="shared" si="7"/>
        <v>0</v>
      </c>
      <c r="Q56" s="72">
        <f t="shared" si="7"/>
        <v>0</v>
      </c>
      <c r="R56" s="72">
        <f t="shared" si="7"/>
        <v>0</v>
      </c>
      <c r="S56" s="72">
        <f t="shared" si="7"/>
        <v>0</v>
      </c>
      <c r="T56" s="72">
        <f t="shared" si="7"/>
        <v>0</v>
      </c>
      <c r="U56" s="72">
        <f t="shared" si="7"/>
        <v>0</v>
      </c>
      <c r="V56" s="72">
        <f t="shared" si="7"/>
        <v>0</v>
      </c>
      <c r="W56" s="72">
        <f t="shared" si="7"/>
        <v>0</v>
      </c>
      <c r="X56" s="72">
        <f t="shared" si="7"/>
        <v>0</v>
      </c>
      <c r="Y56" s="72">
        <f t="shared" si="7"/>
        <v>0</v>
      </c>
      <c r="Z56" s="72">
        <f t="shared" si="7"/>
        <v>0</v>
      </c>
      <c r="AA56" s="72">
        <f t="shared" si="7"/>
        <v>0</v>
      </c>
      <c r="AB56" s="72">
        <f t="shared" si="7"/>
        <v>0</v>
      </c>
      <c r="AC56" s="72">
        <f t="shared" si="7"/>
        <v>0</v>
      </c>
      <c r="AD56" s="72">
        <f t="shared" si="7"/>
        <v>0</v>
      </c>
      <c r="AE56" s="72">
        <f t="shared" si="7"/>
        <v>0</v>
      </c>
      <c r="AF56" s="72">
        <f t="shared" si="7"/>
        <v>0</v>
      </c>
      <c r="AG56" s="78">
        <f>SUM(AG53:AG55)</f>
        <v>106</v>
      </c>
      <c r="AH56" s="54">
        <f t="shared" si="2"/>
        <v>0</v>
      </c>
      <c r="AI56" s="55">
        <f t="shared" si="3"/>
        <v>0</v>
      </c>
      <c r="AK56" s="56"/>
    </row>
    <row r="57" spans="1:37" x14ac:dyDescent="0.25">
      <c r="A57" s="57" t="s">
        <v>65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62"/>
      <c r="AH57" s="54">
        <f t="shared" si="2"/>
        <v>0</v>
      </c>
      <c r="AI57" s="55">
        <f t="shared" si="3"/>
        <v>0</v>
      </c>
      <c r="AK57" s="56"/>
    </row>
    <row r="58" spans="1:37" x14ac:dyDescent="0.25">
      <c r="A58" s="66" t="s">
        <v>66</v>
      </c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83"/>
      <c r="Y58" s="83"/>
      <c r="Z58" s="83"/>
      <c r="AA58" s="83"/>
      <c r="AB58" s="73"/>
      <c r="AC58" s="73"/>
      <c r="AD58" s="73"/>
      <c r="AE58" s="73"/>
      <c r="AF58" s="73"/>
      <c r="AG58" s="67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6" t="s">
        <v>67</v>
      </c>
      <c r="B59" s="73"/>
      <c r="C59" s="73"/>
      <c r="D59" s="73"/>
      <c r="E59" s="73"/>
      <c r="F59" s="73"/>
      <c r="G59" s="73"/>
      <c r="H59" s="50"/>
      <c r="I59" s="50"/>
      <c r="J59" s="50"/>
      <c r="K59" s="50"/>
      <c r="L59" s="50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84"/>
      <c r="Y59" s="84"/>
      <c r="Z59" s="84"/>
      <c r="AA59" s="84"/>
      <c r="AB59" s="73"/>
      <c r="AC59" s="73"/>
      <c r="AD59" s="73"/>
      <c r="AE59" s="73"/>
      <c r="AF59" s="73"/>
      <c r="AG59" s="85"/>
      <c r="AH59" s="54">
        <f t="shared" si="2"/>
        <v>0</v>
      </c>
      <c r="AI59" s="55">
        <f t="shared" si="3"/>
        <v>0</v>
      </c>
      <c r="AK59" s="56"/>
    </row>
    <row r="60" spans="1:37" x14ac:dyDescent="0.25">
      <c r="A60" s="66" t="s">
        <v>68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58"/>
      <c r="AG60" s="85"/>
      <c r="AH60" s="54">
        <f t="shared" si="2"/>
        <v>0</v>
      </c>
      <c r="AI60" s="55">
        <f t="shared" si="3"/>
        <v>0</v>
      </c>
      <c r="AK60" s="56"/>
    </row>
    <row r="61" spans="1:37" x14ac:dyDescent="0.25">
      <c r="A61" s="66" t="s">
        <v>69</v>
      </c>
      <c r="B61" s="50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85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6" t="s">
        <v>70</v>
      </c>
      <c r="B62" s="60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85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6" t="s">
        <v>71</v>
      </c>
      <c r="B63" s="60"/>
      <c r="C63" s="58"/>
      <c r="D63" s="58"/>
      <c r="E63" s="58"/>
      <c r="F63" s="58"/>
      <c r="G63" s="58"/>
      <c r="H63" s="58"/>
      <c r="I63" s="50"/>
      <c r="J63" s="50"/>
      <c r="K63" s="50"/>
      <c r="L63" s="50"/>
      <c r="M63" s="5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85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6" t="s">
        <v>72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85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6" t="s">
        <v>73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85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6" t="s">
        <v>74</v>
      </c>
      <c r="B66" s="63"/>
      <c r="C66" s="58"/>
      <c r="D66" s="58"/>
      <c r="E66" s="58"/>
      <c r="F66" s="58"/>
      <c r="G66" s="58"/>
      <c r="H66" s="58"/>
      <c r="I66" s="73"/>
      <c r="J66" s="73"/>
      <c r="K66" s="73"/>
      <c r="L66" s="73"/>
      <c r="M66" s="7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87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6" t="s">
        <v>75</v>
      </c>
      <c r="B67" s="63"/>
      <c r="C67" s="58"/>
      <c r="D67" s="58"/>
      <c r="E67" s="58"/>
      <c r="F67" s="58"/>
      <c r="G67" s="58"/>
      <c r="H67" s="58"/>
      <c r="I67" s="50"/>
      <c r="J67" s="50"/>
      <c r="K67" s="50"/>
      <c r="L67" s="50"/>
      <c r="M67" s="50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87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71" t="s">
        <v>76</v>
      </c>
      <c r="B68" s="72">
        <f>SUM(B57:B67)</f>
        <v>0</v>
      </c>
      <c r="C68" s="72">
        <f>SUM(C57:C67)</f>
        <v>0</v>
      </c>
      <c r="D68" s="72">
        <f t="shared" ref="D68:AF68" si="8">SUM(D57:D67)</f>
        <v>0</v>
      </c>
      <c r="E68" s="72">
        <f t="shared" si="8"/>
        <v>0</v>
      </c>
      <c r="F68" s="72">
        <f t="shared" si="8"/>
        <v>0</v>
      </c>
      <c r="G68" s="72">
        <f t="shared" si="8"/>
        <v>0</v>
      </c>
      <c r="H68" s="72">
        <f t="shared" si="8"/>
        <v>0</v>
      </c>
      <c r="I68" s="72">
        <f t="shared" si="8"/>
        <v>0</v>
      </c>
      <c r="J68" s="72">
        <f t="shared" si="8"/>
        <v>0</v>
      </c>
      <c r="K68" s="72">
        <f t="shared" si="8"/>
        <v>0</v>
      </c>
      <c r="L68" s="72">
        <f t="shared" si="8"/>
        <v>0</v>
      </c>
      <c r="M68" s="72">
        <f t="shared" si="8"/>
        <v>0</v>
      </c>
      <c r="N68" s="72">
        <f t="shared" si="8"/>
        <v>0</v>
      </c>
      <c r="O68" s="72">
        <f t="shared" si="8"/>
        <v>0</v>
      </c>
      <c r="P68" s="72">
        <f t="shared" si="8"/>
        <v>0</v>
      </c>
      <c r="Q68" s="72">
        <f t="shared" si="8"/>
        <v>0</v>
      </c>
      <c r="R68" s="72">
        <f t="shared" si="8"/>
        <v>0</v>
      </c>
      <c r="S68" s="72">
        <f t="shared" si="8"/>
        <v>0</v>
      </c>
      <c r="T68" s="72">
        <f t="shared" si="8"/>
        <v>0</v>
      </c>
      <c r="U68" s="72">
        <f t="shared" si="8"/>
        <v>0</v>
      </c>
      <c r="V68" s="72">
        <f t="shared" si="8"/>
        <v>0</v>
      </c>
      <c r="W68" s="72">
        <f t="shared" si="8"/>
        <v>0</v>
      </c>
      <c r="X68" s="72">
        <f t="shared" si="8"/>
        <v>0</v>
      </c>
      <c r="Y68" s="72">
        <f t="shared" si="8"/>
        <v>0</v>
      </c>
      <c r="Z68" s="72">
        <f t="shared" si="8"/>
        <v>0</v>
      </c>
      <c r="AA68" s="72">
        <f t="shared" si="8"/>
        <v>0</v>
      </c>
      <c r="AB68" s="72">
        <f t="shared" si="8"/>
        <v>0</v>
      </c>
      <c r="AC68" s="72">
        <f t="shared" si="8"/>
        <v>0</v>
      </c>
      <c r="AD68" s="72">
        <f t="shared" si="8"/>
        <v>0</v>
      </c>
      <c r="AE68" s="72">
        <f t="shared" si="8"/>
        <v>0</v>
      </c>
      <c r="AF68" s="72">
        <f t="shared" si="8"/>
        <v>0</v>
      </c>
      <c r="AG68" s="78">
        <f>SUM(AG57:AG67)</f>
        <v>0</v>
      </c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57" t="s">
        <v>77</v>
      </c>
      <c r="B69" s="58">
        <v>0</v>
      </c>
      <c r="C69" s="58">
        <v>0</v>
      </c>
      <c r="D69" s="58">
        <v>0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58">
        <v>0</v>
      </c>
      <c r="AC69" s="58">
        <v>0</v>
      </c>
      <c r="AD69" s="58">
        <v>0</v>
      </c>
      <c r="AE69" s="58">
        <v>0</v>
      </c>
      <c r="AF69" s="58">
        <v>0</v>
      </c>
      <c r="AG69" s="88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6" t="s">
        <v>78</v>
      </c>
      <c r="B70" s="60">
        <v>0</v>
      </c>
      <c r="C70" s="60">
        <v>0</v>
      </c>
      <c r="D70" s="60">
        <v>0</v>
      </c>
      <c r="E70" s="60">
        <v>0</v>
      </c>
      <c r="F70" s="60">
        <v>0</v>
      </c>
      <c r="G70" s="60">
        <v>0</v>
      </c>
      <c r="H70" s="60">
        <v>0</v>
      </c>
      <c r="I70" s="60">
        <v>0</v>
      </c>
      <c r="J70" s="60">
        <v>0</v>
      </c>
      <c r="K70" s="60">
        <v>0</v>
      </c>
      <c r="L70" s="60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85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6" t="s">
        <v>79</v>
      </c>
      <c r="B71" s="63">
        <v>0</v>
      </c>
      <c r="C71" s="58">
        <v>0</v>
      </c>
      <c r="D71" s="58">
        <v>0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87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71" t="s">
        <v>80</v>
      </c>
      <c r="B72" s="72">
        <f>SUM(B69:B71)</f>
        <v>0</v>
      </c>
      <c r="C72" s="72">
        <f>SUM(C69:C71)</f>
        <v>0</v>
      </c>
      <c r="D72" s="72">
        <f t="shared" ref="D72:AF72" si="9">SUM(D69:D71)</f>
        <v>0</v>
      </c>
      <c r="E72" s="72">
        <f t="shared" si="9"/>
        <v>0</v>
      </c>
      <c r="F72" s="72">
        <f t="shared" si="9"/>
        <v>0</v>
      </c>
      <c r="G72" s="72">
        <f t="shared" si="9"/>
        <v>0</v>
      </c>
      <c r="H72" s="72">
        <f t="shared" si="9"/>
        <v>0</v>
      </c>
      <c r="I72" s="72">
        <f t="shared" si="9"/>
        <v>0</v>
      </c>
      <c r="J72" s="72">
        <f t="shared" si="9"/>
        <v>0</v>
      </c>
      <c r="K72" s="72">
        <f t="shared" si="9"/>
        <v>0</v>
      </c>
      <c r="L72" s="72">
        <f t="shared" si="9"/>
        <v>0</v>
      </c>
      <c r="M72" s="72">
        <f t="shared" si="9"/>
        <v>0</v>
      </c>
      <c r="N72" s="72">
        <f t="shared" si="9"/>
        <v>0</v>
      </c>
      <c r="O72" s="72">
        <f t="shared" si="9"/>
        <v>0</v>
      </c>
      <c r="P72" s="72">
        <f t="shared" si="9"/>
        <v>0</v>
      </c>
      <c r="Q72" s="72">
        <f t="shared" si="9"/>
        <v>0</v>
      </c>
      <c r="R72" s="72">
        <f t="shared" si="9"/>
        <v>0</v>
      </c>
      <c r="S72" s="72">
        <f t="shared" si="9"/>
        <v>0</v>
      </c>
      <c r="T72" s="72">
        <f t="shared" si="9"/>
        <v>0</v>
      </c>
      <c r="U72" s="72">
        <f t="shared" si="9"/>
        <v>0</v>
      </c>
      <c r="V72" s="72">
        <f t="shared" si="9"/>
        <v>0</v>
      </c>
      <c r="W72" s="72">
        <f t="shared" si="9"/>
        <v>0</v>
      </c>
      <c r="X72" s="72">
        <f t="shared" si="9"/>
        <v>0</v>
      </c>
      <c r="Y72" s="72">
        <f t="shared" si="9"/>
        <v>0</v>
      </c>
      <c r="Z72" s="72">
        <f t="shared" si="9"/>
        <v>0</v>
      </c>
      <c r="AA72" s="72">
        <f t="shared" si="9"/>
        <v>0</v>
      </c>
      <c r="AB72" s="72">
        <f t="shared" si="9"/>
        <v>0</v>
      </c>
      <c r="AC72" s="72">
        <f t="shared" si="9"/>
        <v>0</v>
      </c>
      <c r="AD72" s="72">
        <f t="shared" si="9"/>
        <v>0</v>
      </c>
      <c r="AE72" s="72">
        <f t="shared" si="9"/>
        <v>0</v>
      </c>
      <c r="AF72" s="72">
        <f t="shared" si="9"/>
        <v>0</v>
      </c>
      <c r="AG72" s="78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71" t="s">
        <v>81</v>
      </c>
      <c r="B73" s="89">
        <f>B68+B56+B52+B38+B72</f>
        <v>3.54</v>
      </c>
      <c r="C73" s="89">
        <f>C68+C56+C52+C38+C72</f>
        <v>3.54</v>
      </c>
      <c r="D73" s="89">
        <f t="shared" ref="D73:AG73" si="10">D68+D56+D52+D38+D72</f>
        <v>3.54</v>
      </c>
      <c r="E73" s="89">
        <f t="shared" si="10"/>
        <v>3.54</v>
      </c>
      <c r="F73" s="89">
        <f t="shared" si="10"/>
        <v>3.54</v>
      </c>
      <c r="G73" s="89">
        <f t="shared" si="10"/>
        <v>3.54</v>
      </c>
      <c r="H73" s="89">
        <f t="shared" si="10"/>
        <v>3.54</v>
      </c>
      <c r="I73" s="89">
        <f t="shared" si="10"/>
        <v>3.54</v>
      </c>
      <c r="J73" s="89">
        <f t="shared" si="10"/>
        <v>3.54</v>
      </c>
      <c r="K73" s="89">
        <f t="shared" si="10"/>
        <v>3.54</v>
      </c>
      <c r="L73" s="89">
        <f t="shared" si="10"/>
        <v>3.54</v>
      </c>
      <c r="M73" s="89">
        <f t="shared" si="10"/>
        <v>3.54</v>
      </c>
      <c r="N73" s="89">
        <f t="shared" si="10"/>
        <v>3.54</v>
      </c>
      <c r="O73" s="89">
        <f t="shared" si="10"/>
        <v>3.54</v>
      </c>
      <c r="P73" s="89">
        <f t="shared" si="10"/>
        <v>3.54</v>
      </c>
      <c r="Q73" s="89">
        <f t="shared" si="10"/>
        <v>3.54</v>
      </c>
      <c r="R73" s="89">
        <f t="shared" si="10"/>
        <v>3.54</v>
      </c>
      <c r="S73" s="89">
        <f t="shared" si="10"/>
        <v>3.54</v>
      </c>
      <c r="T73" s="89">
        <f t="shared" si="10"/>
        <v>3.54</v>
      </c>
      <c r="U73" s="89">
        <f t="shared" si="10"/>
        <v>3.54</v>
      </c>
      <c r="V73" s="89">
        <f t="shared" si="10"/>
        <v>3.54</v>
      </c>
      <c r="W73" s="89">
        <f t="shared" si="10"/>
        <v>3.54</v>
      </c>
      <c r="X73" s="89">
        <f t="shared" si="10"/>
        <v>3.54</v>
      </c>
      <c r="Y73" s="89">
        <f t="shared" si="10"/>
        <v>3.54</v>
      </c>
      <c r="Z73" s="89">
        <f t="shared" si="10"/>
        <v>3.54</v>
      </c>
      <c r="AA73" s="89">
        <f t="shared" si="10"/>
        <v>3.54</v>
      </c>
      <c r="AB73" s="89">
        <f t="shared" si="10"/>
        <v>3.54</v>
      </c>
      <c r="AC73" s="89">
        <f t="shared" si="10"/>
        <v>3.54</v>
      </c>
      <c r="AD73" s="89">
        <f t="shared" si="10"/>
        <v>3.54</v>
      </c>
      <c r="AE73" s="89">
        <f t="shared" si="10"/>
        <v>3.54</v>
      </c>
      <c r="AF73" s="89">
        <f t="shared" si="10"/>
        <v>3.54</v>
      </c>
      <c r="AG73" s="89">
        <f t="shared" si="10"/>
        <v>2144.14</v>
      </c>
      <c r="AH73" s="54">
        <f t="shared" si="2"/>
        <v>3.54</v>
      </c>
      <c r="AI73" s="55">
        <f t="shared" si="3"/>
        <v>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90" t="s">
        <v>82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78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71" t="s">
        <v>83</v>
      </c>
      <c r="B75" s="89">
        <f>B72+B68+B56+B52+B38+B74</f>
        <v>3.54</v>
      </c>
      <c r="C75" s="89">
        <f>C73+C74</f>
        <v>3.54</v>
      </c>
      <c r="D75" s="89">
        <f t="shared" ref="D75:AF75" si="11">D72+D68+D56+D52+D38+D74</f>
        <v>3.54</v>
      </c>
      <c r="E75" s="89">
        <f t="shared" si="11"/>
        <v>3.54</v>
      </c>
      <c r="F75" s="89">
        <f t="shared" si="11"/>
        <v>3.54</v>
      </c>
      <c r="G75" s="89">
        <f t="shared" si="11"/>
        <v>3.54</v>
      </c>
      <c r="H75" s="89">
        <f t="shared" si="11"/>
        <v>3.54</v>
      </c>
      <c r="I75" s="89">
        <f t="shared" si="11"/>
        <v>3.54</v>
      </c>
      <c r="J75" s="89">
        <f t="shared" si="11"/>
        <v>3.54</v>
      </c>
      <c r="K75" s="89">
        <f t="shared" si="11"/>
        <v>3.54</v>
      </c>
      <c r="L75" s="89">
        <f t="shared" si="11"/>
        <v>3.54</v>
      </c>
      <c r="M75" s="89">
        <f t="shared" si="11"/>
        <v>3.54</v>
      </c>
      <c r="N75" s="89">
        <f t="shared" si="11"/>
        <v>3.54</v>
      </c>
      <c r="O75" s="89">
        <f t="shared" si="11"/>
        <v>3.54</v>
      </c>
      <c r="P75" s="89">
        <f t="shared" si="11"/>
        <v>3.54</v>
      </c>
      <c r="Q75" s="89">
        <f t="shared" si="11"/>
        <v>3.54</v>
      </c>
      <c r="R75" s="89">
        <f t="shared" si="11"/>
        <v>3.54</v>
      </c>
      <c r="S75" s="89">
        <f t="shared" si="11"/>
        <v>3.54</v>
      </c>
      <c r="T75" s="89">
        <f t="shared" si="11"/>
        <v>3.54</v>
      </c>
      <c r="U75" s="89">
        <f t="shared" si="11"/>
        <v>3.54</v>
      </c>
      <c r="V75" s="89">
        <f t="shared" si="11"/>
        <v>3.54</v>
      </c>
      <c r="W75" s="89">
        <f t="shared" si="11"/>
        <v>3.54</v>
      </c>
      <c r="X75" s="89">
        <f t="shared" si="11"/>
        <v>3.54</v>
      </c>
      <c r="Y75" s="89">
        <f t="shared" si="11"/>
        <v>3.54</v>
      </c>
      <c r="Z75" s="89">
        <f t="shared" si="11"/>
        <v>3.54</v>
      </c>
      <c r="AA75" s="89">
        <f t="shared" si="11"/>
        <v>3.54</v>
      </c>
      <c r="AB75" s="89">
        <f t="shared" si="11"/>
        <v>3.54</v>
      </c>
      <c r="AC75" s="89">
        <f t="shared" si="11"/>
        <v>3.54</v>
      </c>
      <c r="AD75" s="89">
        <f t="shared" si="11"/>
        <v>3.54</v>
      </c>
      <c r="AE75" s="89">
        <f t="shared" si="11"/>
        <v>3.54</v>
      </c>
      <c r="AF75" s="89">
        <f t="shared" si="11"/>
        <v>3.54</v>
      </c>
      <c r="AG75" s="78">
        <f>AG72+AG68+AG56+AG52+AG38+AG74</f>
        <v>2144.14</v>
      </c>
      <c r="AH75" s="54">
        <f t="shared" si="2"/>
        <v>3.54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58">
        <f>IF(B60&lt;0,B60*-1,0)</f>
        <v>0</v>
      </c>
      <c r="C76" s="58">
        <f>IF(C60&lt;0,C60*-1,0)</f>
        <v>0</v>
      </c>
      <c r="D76" s="58">
        <f t="shared" ref="D76:AF76" si="12">IF(D60&lt;0,D60*-1,0)</f>
        <v>0</v>
      </c>
      <c r="E76" s="58">
        <f t="shared" si="12"/>
        <v>0</v>
      </c>
      <c r="F76" s="58">
        <f t="shared" si="12"/>
        <v>0</v>
      </c>
      <c r="G76" s="58">
        <f t="shared" si="12"/>
        <v>0</v>
      </c>
      <c r="H76" s="58">
        <f t="shared" si="12"/>
        <v>0</v>
      </c>
      <c r="I76" s="58">
        <f t="shared" si="12"/>
        <v>0</v>
      </c>
      <c r="J76" s="58">
        <f t="shared" si="12"/>
        <v>0</v>
      </c>
      <c r="K76" s="58">
        <f t="shared" si="12"/>
        <v>0</v>
      </c>
      <c r="L76" s="58">
        <f t="shared" si="12"/>
        <v>0</v>
      </c>
      <c r="M76" s="58">
        <f t="shared" si="12"/>
        <v>0</v>
      </c>
      <c r="N76" s="58">
        <f t="shared" si="12"/>
        <v>0</v>
      </c>
      <c r="O76" s="58">
        <f t="shared" si="12"/>
        <v>0</v>
      </c>
      <c r="P76" s="58">
        <f t="shared" si="12"/>
        <v>0</v>
      </c>
      <c r="Q76" s="58">
        <f t="shared" si="12"/>
        <v>0</v>
      </c>
      <c r="R76" s="58">
        <f t="shared" si="12"/>
        <v>0</v>
      </c>
      <c r="S76" s="58">
        <f t="shared" si="12"/>
        <v>0</v>
      </c>
      <c r="T76" s="58">
        <f t="shared" si="12"/>
        <v>0</v>
      </c>
      <c r="U76" s="58">
        <f t="shared" si="12"/>
        <v>0</v>
      </c>
      <c r="V76" s="58">
        <f t="shared" si="12"/>
        <v>0</v>
      </c>
      <c r="W76" s="58">
        <f t="shared" si="12"/>
        <v>0</v>
      </c>
      <c r="X76" s="58">
        <f t="shared" si="12"/>
        <v>0</v>
      </c>
      <c r="Y76" s="58">
        <f t="shared" si="12"/>
        <v>0</v>
      </c>
      <c r="Z76" s="58">
        <f t="shared" si="12"/>
        <v>0</v>
      </c>
      <c r="AA76" s="58">
        <f t="shared" si="12"/>
        <v>0</v>
      </c>
      <c r="AB76" s="58">
        <f t="shared" si="12"/>
        <v>0</v>
      </c>
      <c r="AC76" s="58">
        <f t="shared" si="12"/>
        <v>0</v>
      </c>
      <c r="AD76" s="58">
        <f t="shared" si="12"/>
        <v>0</v>
      </c>
      <c r="AE76" s="58">
        <f t="shared" si="12"/>
        <v>0</v>
      </c>
      <c r="AF76" s="58">
        <f t="shared" si="12"/>
        <v>0</v>
      </c>
      <c r="AG76" s="62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6" t="s">
        <v>66</v>
      </c>
      <c r="B77" s="58">
        <f>IF(B58&lt;0,B58*-1,0)</f>
        <v>0</v>
      </c>
      <c r="C77" s="58">
        <f>IF(C58&lt;0,C58*-1,0)</f>
        <v>0</v>
      </c>
      <c r="D77" s="58">
        <f t="shared" ref="D77:AF77" si="15">IF(D58&lt;0,D58*-1,0)</f>
        <v>0</v>
      </c>
      <c r="E77" s="58">
        <f t="shared" si="15"/>
        <v>0</v>
      </c>
      <c r="F77" s="58">
        <f t="shared" si="15"/>
        <v>0</v>
      </c>
      <c r="G77" s="58">
        <f t="shared" si="15"/>
        <v>0</v>
      </c>
      <c r="H77" s="58">
        <f t="shared" si="15"/>
        <v>0</v>
      </c>
      <c r="I77" s="58">
        <f t="shared" si="15"/>
        <v>0</v>
      </c>
      <c r="J77" s="58">
        <f t="shared" si="15"/>
        <v>0</v>
      </c>
      <c r="K77" s="58">
        <f t="shared" si="15"/>
        <v>0</v>
      </c>
      <c r="L77" s="58">
        <f t="shared" si="15"/>
        <v>0</v>
      </c>
      <c r="M77" s="58">
        <f t="shared" si="15"/>
        <v>0</v>
      </c>
      <c r="N77" s="58">
        <f t="shared" si="15"/>
        <v>0</v>
      </c>
      <c r="O77" s="58">
        <f t="shared" si="15"/>
        <v>0</v>
      </c>
      <c r="P77" s="58">
        <f t="shared" si="15"/>
        <v>0</v>
      </c>
      <c r="Q77" s="58">
        <f t="shared" si="15"/>
        <v>0</v>
      </c>
      <c r="R77" s="58">
        <f t="shared" si="15"/>
        <v>0</v>
      </c>
      <c r="S77" s="58">
        <f t="shared" si="15"/>
        <v>0</v>
      </c>
      <c r="T77" s="58">
        <f t="shared" si="15"/>
        <v>0</v>
      </c>
      <c r="U77" s="58">
        <f t="shared" si="15"/>
        <v>0</v>
      </c>
      <c r="V77" s="58">
        <f t="shared" si="15"/>
        <v>0</v>
      </c>
      <c r="W77" s="58">
        <f t="shared" si="15"/>
        <v>0</v>
      </c>
      <c r="X77" s="58">
        <f t="shared" si="15"/>
        <v>0</v>
      </c>
      <c r="Y77" s="58">
        <f t="shared" si="15"/>
        <v>0</v>
      </c>
      <c r="Z77" s="58">
        <f t="shared" si="15"/>
        <v>0</v>
      </c>
      <c r="AA77" s="58">
        <f t="shared" si="15"/>
        <v>0</v>
      </c>
      <c r="AB77" s="58">
        <f t="shared" si="15"/>
        <v>0</v>
      </c>
      <c r="AC77" s="58">
        <f t="shared" si="15"/>
        <v>0</v>
      </c>
      <c r="AD77" s="58">
        <f t="shared" si="15"/>
        <v>0</v>
      </c>
      <c r="AE77" s="58">
        <f t="shared" si="15"/>
        <v>0</v>
      </c>
      <c r="AF77" s="58">
        <f t="shared" si="15"/>
        <v>0</v>
      </c>
      <c r="AG77" s="67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6" t="s">
        <v>84</v>
      </c>
      <c r="B78" s="58">
        <f>IF(B61&lt;0,B61*-1,0)</f>
        <v>0</v>
      </c>
      <c r="C78" s="58">
        <f>IF(C61&lt;0,C61*-1,0)</f>
        <v>0</v>
      </c>
      <c r="D78" s="58">
        <f t="shared" ref="D78:AF78" si="16">IF(D61&lt;0,D61*-1,0)</f>
        <v>0</v>
      </c>
      <c r="E78" s="58">
        <f t="shared" si="16"/>
        <v>0</v>
      </c>
      <c r="F78" s="58">
        <f t="shared" si="16"/>
        <v>0</v>
      </c>
      <c r="G78" s="58">
        <f t="shared" si="16"/>
        <v>0</v>
      </c>
      <c r="H78" s="58">
        <f t="shared" si="16"/>
        <v>0</v>
      </c>
      <c r="I78" s="58">
        <f t="shared" si="16"/>
        <v>0</v>
      </c>
      <c r="J78" s="58">
        <f t="shared" si="16"/>
        <v>0</v>
      </c>
      <c r="K78" s="58">
        <f t="shared" si="16"/>
        <v>0</v>
      </c>
      <c r="L78" s="58">
        <f t="shared" si="16"/>
        <v>0</v>
      </c>
      <c r="M78" s="58">
        <f t="shared" si="16"/>
        <v>0</v>
      </c>
      <c r="N78" s="58">
        <f t="shared" si="16"/>
        <v>0</v>
      </c>
      <c r="O78" s="58">
        <f t="shared" si="16"/>
        <v>0</v>
      </c>
      <c r="P78" s="58">
        <f t="shared" si="16"/>
        <v>0</v>
      </c>
      <c r="Q78" s="58">
        <f t="shared" si="16"/>
        <v>0</v>
      </c>
      <c r="R78" s="58">
        <f t="shared" si="16"/>
        <v>0</v>
      </c>
      <c r="S78" s="58">
        <f t="shared" si="16"/>
        <v>0</v>
      </c>
      <c r="T78" s="58">
        <f t="shared" si="16"/>
        <v>0</v>
      </c>
      <c r="U78" s="58">
        <f t="shared" si="16"/>
        <v>0</v>
      </c>
      <c r="V78" s="58">
        <f t="shared" si="16"/>
        <v>0</v>
      </c>
      <c r="W78" s="58">
        <f t="shared" si="16"/>
        <v>0</v>
      </c>
      <c r="X78" s="58">
        <f t="shared" si="16"/>
        <v>0</v>
      </c>
      <c r="Y78" s="58">
        <f t="shared" si="16"/>
        <v>0</v>
      </c>
      <c r="Z78" s="58">
        <f t="shared" si="16"/>
        <v>0</v>
      </c>
      <c r="AA78" s="58">
        <f t="shared" si="16"/>
        <v>0</v>
      </c>
      <c r="AB78" s="58">
        <f t="shared" si="16"/>
        <v>0</v>
      </c>
      <c r="AC78" s="58">
        <f t="shared" si="16"/>
        <v>0</v>
      </c>
      <c r="AD78" s="58">
        <f t="shared" si="16"/>
        <v>0</v>
      </c>
      <c r="AE78" s="58">
        <f t="shared" si="16"/>
        <v>0</v>
      </c>
      <c r="AF78" s="58">
        <f t="shared" si="16"/>
        <v>0</v>
      </c>
      <c r="AG78" s="92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6" t="s">
        <v>85</v>
      </c>
      <c r="B79" s="58">
        <f>IF(B59&lt;0,B59*-1,0)</f>
        <v>0</v>
      </c>
      <c r="C79" s="58">
        <f>IF(C59&lt;0,C59*-1,0)</f>
        <v>0</v>
      </c>
      <c r="D79" s="58">
        <f t="shared" ref="D79:AF79" si="17">IF(D59&lt;0,D59*-1,0)</f>
        <v>0</v>
      </c>
      <c r="E79" s="58">
        <f t="shared" si="17"/>
        <v>0</v>
      </c>
      <c r="F79" s="58">
        <f t="shared" si="17"/>
        <v>0</v>
      </c>
      <c r="G79" s="58">
        <f t="shared" si="17"/>
        <v>0</v>
      </c>
      <c r="H79" s="58">
        <f t="shared" si="17"/>
        <v>0</v>
      </c>
      <c r="I79" s="58">
        <f t="shared" si="17"/>
        <v>0</v>
      </c>
      <c r="J79" s="58">
        <f t="shared" si="17"/>
        <v>0</v>
      </c>
      <c r="K79" s="58">
        <f t="shared" si="17"/>
        <v>0</v>
      </c>
      <c r="L79" s="58">
        <f t="shared" si="17"/>
        <v>0</v>
      </c>
      <c r="M79" s="58">
        <f t="shared" si="17"/>
        <v>0</v>
      </c>
      <c r="N79" s="58">
        <f t="shared" si="17"/>
        <v>0</v>
      </c>
      <c r="O79" s="58">
        <f t="shared" si="17"/>
        <v>0</v>
      </c>
      <c r="P79" s="58">
        <f t="shared" si="17"/>
        <v>0</v>
      </c>
      <c r="Q79" s="58">
        <f t="shared" si="17"/>
        <v>0</v>
      </c>
      <c r="R79" s="58">
        <f t="shared" si="17"/>
        <v>0</v>
      </c>
      <c r="S79" s="58">
        <f t="shared" si="17"/>
        <v>0</v>
      </c>
      <c r="T79" s="58">
        <f t="shared" si="17"/>
        <v>0</v>
      </c>
      <c r="U79" s="58">
        <f t="shared" si="17"/>
        <v>0</v>
      </c>
      <c r="V79" s="58">
        <f t="shared" si="17"/>
        <v>0</v>
      </c>
      <c r="W79" s="58">
        <f t="shared" si="17"/>
        <v>0</v>
      </c>
      <c r="X79" s="58">
        <f t="shared" si="17"/>
        <v>0</v>
      </c>
      <c r="Y79" s="58">
        <f t="shared" si="17"/>
        <v>0</v>
      </c>
      <c r="Z79" s="58">
        <f t="shared" si="17"/>
        <v>0</v>
      </c>
      <c r="AA79" s="58">
        <f t="shared" si="17"/>
        <v>0</v>
      </c>
      <c r="AB79" s="58">
        <f t="shared" si="17"/>
        <v>0</v>
      </c>
      <c r="AC79" s="58">
        <f t="shared" si="17"/>
        <v>0</v>
      </c>
      <c r="AD79" s="58">
        <f t="shared" si="17"/>
        <v>0</v>
      </c>
      <c r="AE79" s="58">
        <f t="shared" si="17"/>
        <v>0</v>
      </c>
      <c r="AF79" s="58">
        <f t="shared" si="17"/>
        <v>0</v>
      </c>
      <c r="AG79" s="92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6" t="s">
        <v>65</v>
      </c>
      <c r="B80" s="58">
        <f>IF(B57&lt;0,B57*-1,0)</f>
        <v>0</v>
      </c>
      <c r="C80" s="58">
        <f>IF(C57&lt;0,C57*-1,0)</f>
        <v>0</v>
      </c>
      <c r="D80" s="58">
        <f t="shared" ref="D80:AF80" si="18">IF(D57&lt;0,D57*-1,0)</f>
        <v>0</v>
      </c>
      <c r="E80" s="58">
        <f t="shared" si="18"/>
        <v>0</v>
      </c>
      <c r="F80" s="58">
        <f t="shared" si="18"/>
        <v>0</v>
      </c>
      <c r="G80" s="58">
        <f t="shared" si="18"/>
        <v>0</v>
      </c>
      <c r="H80" s="58">
        <f t="shared" si="18"/>
        <v>0</v>
      </c>
      <c r="I80" s="58">
        <f t="shared" si="18"/>
        <v>0</v>
      </c>
      <c r="J80" s="58">
        <f t="shared" si="18"/>
        <v>0</v>
      </c>
      <c r="K80" s="58">
        <f t="shared" si="18"/>
        <v>0</v>
      </c>
      <c r="L80" s="58">
        <f t="shared" si="18"/>
        <v>0</v>
      </c>
      <c r="M80" s="58">
        <f t="shared" si="18"/>
        <v>0</v>
      </c>
      <c r="N80" s="58">
        <f t="shared" si="18"/>
        <v>0</v>
      </c>
      <c r="O80" s="58">
        <f t="shared" si="18"/>
        <v>0</v>
      </c>
      <c r="P80" s="58">
        <f t="shared" si="18"/>
        <v>0</v>
      </c>
      <c r="Q80" s="58">
        <f t="shared" si="18"/>
        <v>0</v>
      </c>
      <c r="R80" s="58">
        <f t="shared" si="18"/>
        <v>0</v>
      </c>
      <c r="S80" s="58">
        <f t="shared" si="18"/>
        <v>0</v>
      </c>
      <c r="T80" s="58">
        <f t="shared" si="18"/>
        <v>0</v>
      </c>
      <c r="U80" s="58">
        <f t="shared" si="18"/>
        <v>0</v>
      </c>
      <c r="V80" s="58">
        <f t="shared" si="18"/>
        <v>0</v>
      </c>
      <c r="W80" s="58">
        <f t="shared" si="18"/>
        <v>0</v>
      </c>
      <c r="X80" s="58">
        <f t="shared" si="18"/>
        <v>0</v>
      </c>
      <c r="Y80" s="58">
        <f t="shared" si="18"/>
        <v>0</v>
      </c>
      <c r="Z80" s="58">
        <f t="shared" si="18"/>
        <v>0</v>
      </c>
      <c r="AA80" s="58">
        <f t="shared" si="18"/>
        <v>0</v>
      </c>
      <c r="AB80" s="58">
        <f t="shared" si="18"/>
        <v>0</v>
      </c>
      <c r="AC80" s="58">
        <f t="shared" si="18"/>
        <v>0</v>
      </c>
      <c r="AD80" s="58">
        <f t="shared" si="18"/>
        <v>0</v>
      </c>
      <c r="AE80" s="58">
        <f t="shared" si="18"/>
        <v>0</v>
      </c>
      <c r="AF80" s="58">
        <f t="shared" si="18"/>
        <v>0</v>
      </c>
      <c r="AG80" s="92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6" t="s">
        <v>86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50"/>
      <c r="T81" s="50"/>
      <c r="U81" s="50"/>
      <c r="V81" s="50"/>
      <c r="W81" s="50"/>
      <c r="X81" s="50"/>
      <c r="Y81" s="50"/>
      <c r="Z81" s="50"/>
      <c r="AA81" s="50"/>
      <c r="AB81" s="63"/>
      <c r="AC81" s="63"/>
      <c r="AD81" s="63"/>
      <c r="AE81" s="63"/>
      <c r="AF81" s="63"/>
      <c r="AG81" s="87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93" t="s">
        <v>87</v>
      </c>
      <c r="B82" s="72">
        <f>SUM(B76:B81)</f>
        <v>0</v>
      </c>
      <c r="C82" s="72">
        <f t="shared" ref="C82:AG82" si="19">SUM(C76:C81)</f>
        <v>0</v>
      </c>
      <c r="D82" s="72">
        <f t="shared" si="19"/>
        <v>0</v>
      </c>
      <c r="E82" s="72">
        <f t="shared" si="19"/>
        <v>0</v>
      </c>
      <c r="F82" s="72">
        <f t="shared" si="19"/>
        <v>0</v>
      </c>
      <c r="G82" s="72">
        <f t="shared" si="19"/>
        <v>0</v>
      </c>
      <c r="H82" s="72">
        <f t="shared" si="19"/>
        <v>0</v>
      </c>
      <c r="I82" s="72">
        <f t="shared" si="19"/>
        <v>0</v>
      </c>
      <c r="J82" s="72">
        <f t="shared" si="19"/>
        <v>0</v>
      </c>
      <c r="K82" s="72">
        <f t="shared" si="19"/>
        <v>0</v>
      </c>
      <c r="L82" s="72">
        <f t="shared" si="19"/>
        <v>0</v>
      </c>
      <c r="M82" s="72">
        <f t="shared" si="19"/>
        <v>0</v>
      </c>
      <c r="N82" s="72">
        <f t="shared" si="19"/>
        <v>0</v>
      </c>
      <c r="O82" s="72">
        <f t="shared" si="19"/>
        <v>0</v>
      </c>
      <c r="P82" s="72">
        <f t="shared" si="19"/>
        <v>0</v>
      </c>
      <c r="Q82" s="72">
        <f t="shared" si="19"/>
        <v>0</v>
      </c>
      <c r="R82" s="72">
        <f t="shared" si="19"/>
        <v>0</v>
      </c>
      <c r="S82" s="72">
        <f t="shared" si="19"/>
        <v>0</v>
      </c>
      <c r="T82" s="72">
        <f t="shared" si="19"/>
        <v>0</v>
      </c>
      <c r="U82" s="72">
        <f t="shared" si="19"/>
        <v>0</v>
      </c>
      <c r="V82" s="72">
        <f t="shared" si="19"/>
        <v>0</v>
      </c>
      <c r="W82" s="72">
        <f t="shared" si="19"/>
        <v>0</v>
      </c>
      <c r="X82" s="72">
        <f t="shared" si="19"/>
        <v>0</v>
      </c>
      <c r="Y82" s="72">
        <f t="shared" si="19"/>
        <v>0</v>
      </c>
      <c r="Z82" s="72">
        <f t="shared" si="19"/>
        <v>0</v>
      </c>
      <c r="AA82" s="72">
        <f t="shared" si="19"/>
        <v>0</v>
      </c>
      <c r="AB82" s="72">
        <f t="shared" si="19"/>
        <v>0</v>
      </c>
      <c r="AC82" s="72">
        <f t="shared" si="19"/>
        <v>0</v>
      </c>
      <c r="AD82" s="72">
        <f t="shared" si="19"/>
        <v>0</v>
      </c>
      <c r="AE82" s="72">
        <f t="shared" si="19"/>
        <v>0</v>
      </c>
      <c r="AF82" s="72">
        <f t="shared" si="19"/>
        <v>0</v>
      </c>
      <c r="AG82" s="78">
        <f t="shared" si="19"/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71" t="s">
        <v>88</v>
      </c>
      <c r="B83" s="72">
        <f>SUM(B70:B82)</f>
        <v>7.08</v>
      </c>
      <c r="C83" s="72">
        <f t="shared" ref="C83:AG83" si="20">SUM(C70:C82)</f>
        <v>7.08</v>
      </c>
      <c r="D83" s="72">
        <f t="shared" si="20"/>
        <v>7.08</v>
      </c>
      <c r="E83" s="72">
        <f t="shared" si="20"/>
        <v>7.08</v>
      </c>
      <c r="F83" s="72">
        <f t="shared" si="20"/>
        <v>7.08</v>
      </c>
      <c r="G83" s="72">
        <f t="shared" si="20"/>
        <v>7.08</v>
      </c>
      <c r="H83" s="72">
        <f t="shared" si="20"/>
        <v>7.08</v>
      </c>
      <c r="I83" s="72">
        <f t="shared" si="20"/>
        <v>7.08</v>
      </c>
      <c r="J83" s="72">
        <f t="shared" si="20"/>
        <v>7.08</v>
      </c>
      <c r="K83" s="72">
        <f t="shared" si="20"/>
        <v>7.08</v>
      </c>
      <c r="L83" s="72">
        <f t="shared" si="20"/>
        <v>7.08</v>
      </c>
      <c r="M83" s="72">
        <f t="shared" si="20"/>
        <v>7.08</v>
      </c>
      <c r="N83" s="72">
        <f t="shared" si="20"/>
        <v>7.08</v>
      </c>
      <c r="O83" s="72">
        <f t="shared" si="20"/>
        <v>7.08</v>
      </c>
      <c r="P83" s="72">
        <f t="shared" si="20"/>
        <v>7.08</v>
      </c>
      <c r="Q83" s="72">
        <f t="shared" si="20"/>
        <v>7.08</v>
      </c>
      <c r="R83" s="72">
        <f t="shared" si="20"/>
        <v>7.08</v>
      </c>
      <c r="S83" s="72">
        <f t="shared" si="20"/>
        <v>7.08</v>
      </c>
      <c r="T83" s="72">
        <f t="shared" si="20"/>
        <v>7.08</v>
      </c>
      <c r="U83" s="72">
        <f t="shared" si="20"/>
        <v>7.08</v>
      </c>
      <c r="V83" s="72">
        <f t="shared" si="20"/>
        <v>7.08</v>
      </c>
      <c r="W83" s="72">
        <f t="shared" si="20"/>
        <v>7.08</v>
      </c>
      <c r="X83" s="72">
        <f t="shared" si="20"/>
        <v>7.08</v>
      </c>
      <c r="Y83" s="72">
        <f t="shared" si="20"/>
        <v>7.08</v>
      </c>
      <c r="Z83" s="72">
        <f t="shared" si="20"/>
        <v>7.08</v>
      </c>
      <c r="AA83" s="72">
        <f t="shared" si="20"/>
        <v>7.08</v>
      </c>
      <c r="AB83" s="72">
        <f t="shared" si="20"/>
        <v>7.08</v>
      </c>
      <c r="AC83" s="72">
        <f t="shared" si="20"/>
        <v>7.08</v>
      </c>
      <c r="AD83" s="72">
        <f t="shared" si="20"/>
        <v>7.08</v>
      </c>
      <c r="AE83" s="72">
        <f t="shared" si="20"/>
        <v>7.08</v>
      </c>
      <c r="AF83" s="72">
        <f t="shared" si="20"/>
        <v>7.08</v>
      </c>
      <c r="AG83" s="78">
        <f t="shared" si="20"/>
        <v>4360.08</v>
      </c>
      <c r="AH83" s="54">
        <f t="shared" si="13"/>
        <v>7.08</v>
      </c>
      <c r="AI83" s="55">
        <f t="shared" si="14"/>
        <v>7.08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94" t="s">
        <v>89</v>
      </c>
      <c r="B84" s="95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7"/>
      <c r="AH84" s="54">
        <f t="shared" si="13"/>
        <v>0</v>
      </c>
      <c r="AI84" s="55">
        <f t="shared" si="14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8" t="s">
        <v>90</v>
      </c>
      <c r="B85" s="99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100"/>
      <c r="V85" s="100"/>
      <c r="W85" s="100"/>
      <c r="X85" s="100"/>
      <c r="Y85" s="100"/>
      <c r="Z85" s="100"/>
      <c r="AA85" s="100"/>
      <c r="AB85" s="73"/>
      <c r="AC85" s="73"/>
      <c r="AD85" s="73"/>
      <c r="AE85" s="73"/>
      <c r="AF85" s="73"/>
      <c r="AG85" s="101"/>
      <c r="AH85" s="54">
        <f t="shared" si="13"/>
        <v>0</v>
      </c>
      <c r="AI85" s="55">
        <f t="shared" si="14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8" t="s">
        <v>91</v>
      </c>
      <c r="B86" s="99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100"/>
      <c r="V86" s="100"/>
      <c r="W86" s="100"/>
      <c r="X86" s="100"/>
      <c r="Y86" s="100"/>
      <c r="Z86" s="100"/>
      <c r="AA86" s="100"/>
      <c r="AB86" s="73"/>
      <c r="AC86" s="73"/>
      <c r="AD86" s="73"/>
      <c r="AE86" s="73"/>
      <c r="AF86" s="73"/>
      <c r="AG86" s="101"/>
      <c r="AH86" s="54">
        <f t="shared" si="13"/>
        <v>0</v>
      </c>
      <c r="AI86" s="55">
        <f t="shared" si="14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8" t="s">
        <v>92</v>
      </c>
      <c r="B87" s="99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100"/>
      <c r="Y87" s="100"/>
      <c r="Z87" s="100"/>
      <c r="AA87" s="100"/>
      <c r="AB87" s="73"/>
      <c r="AC87" s="73"/>
      <c r="AD87" s="73"/>
      <c r="AE87" s="73"/>
      <c r="AF87" s="73"/>
      <c r="AG87" s="101"/>
      <c r="AH87" s="54">
        <f t="shared" si="13"/>
        <v>0</v>
      </c>
      <c r="AI87" s="55">
        <f t="shared" si="14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102" t="s">
        <v>93</v>
      </c>
      <c r="B88" s="99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100"/>
      <c r="Y88" s="100"/>
      <c r="Z88" s="100"/>
      <c r="AA88" s="100"/>
      <c r="AB88" s="73"/>
      <c r="AC88" s="73"/>
      <c r="AD88" s="73"/>
      <c r="AE88" s="73"/>
      <c r="AF88" s="73"/>
      <c r="AG88" s="101"/>
      <c r="AH88" s="54">
        <f t="shared" si="13"/>
        <v>0</v>
      </c>
      <c r="AI88" s="55">
        <f t="shared" si="14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102" t="s">
        <v>94</v>
      </c>
      <c r="B89" s="103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0"/>
      <c r="Y89" s="100"/>
      <c r="Z89" s="100"/>
      <c r="AA89" s="100"/>
      <c r="AB89" s="104"/>
      <c r="AC89" s="104"/>
      <c r="AD89" s="104"/>
      <c r="AE89" s="104"/>
      <c r="AF89" s="104"/>
      <c r="AG89" s="105"/>
      <c r="AH89" s="54">
        <f t="shared" si="13"/>
        <v>0</v>
      </c>
      <c r="AI89" s="55">
        <f t="shared" si="14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8" t="s">
        <v>95</v>
      </c>
      <c r="B90" s="99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100"/>
      <c r="Y90" s="100"/>
      <c r="Z90" s="100"/>
      <c r="AA90" s="100"/>
      <c r="AB90" s="73"/>
      <c r="AC90" s="73"/>
      <c r="AD90" s="73"/>
      <c r="AE90" s="73"/>
      <c r="AF90" s="73"/>
      <c r="AG90" s="101"/>
      <c r="AH90" s="54">
        <f t="shared" si="13"/>
        <v>0</v>
      </c>
      <c r="AI90" s="55">
        <f t="shared" si="14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8" t="s">
        <v>96</v>
      </c>
      <c r="B91" s="106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8"/>
      <c r="AH91" s="54">
        <f t="shared" si="13"/>
        <v>0</v>
      </c>
      <c r="AI91" s="55">
        <f t="shared" si="14"/>
        <v>0</v>
      </c>
    </row>
    <row r="92" spans="1:88" ht="15.75" thickBot="1" x14ac:dyDescent="0.3">
      <c r="A92" s="109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1"/>
      <c r="AH92" s="54"/>
      <c r="AI92" s="55"/>
    </row>
    <row r="93" spans="1:88" ht="15.75" thickBot="1" x14ac:dyDescent="0.3">
      <c r="A93" s="112" t="s">
        <v>97</v>
      </c>
      <c r="B93" s="113">
        <f t="shared" ref="B93:AF93" si="21">SUM(B15,B18,B21:B22,B42,B44:B45,B47,B49,B94:B97,B103,B109,B115,B124,B126,B138,B145,B148:B149,B156,B158,B160,B164:B166,B168:B170,B175,B181:B182,B184:B186,B194,B199)</f>
        <v>34.840000000000003</v>
      </c>
      <c r="C93" s="114">
        <f t="shared" si="21"/>
        <v>34.840000000000003</v>
      </c>
      <c r="D93" s="114">
        <f t="shared" si="21"/>
        <v>34.840000000000003</v>
      </c>
      <c r="E93" s="114">
        <f t="shared" si="21"/>
        <v>34.840000000000003</v>
      </c>
      <c r="F93" s="114">
        <f t="shared" si="21"/>
        <v>34.840000000000003</v>
      </c>
      <c r="G93" s="113">
        <f t="shared" si="21"/>
        <v>34.840000000000003</v>
      </c>
      <c r="H93" s="113">
        <f t="shared" si="21"/>
        <v>34.840000000000003</v>
      </c>
      <c r="I93" s="113">
        <f t="shared" si="21"/>
        <v>34.840000000000003</v>
      </c>
      <c r="J93" s="113">
        <f t="shared" si="21"/>
        <v>34.840000000000003</v>
      </c>
      <c r="K93" s="113">
        <f t="shared" si="21"/>
        <v>34.840000000000003</v>
      </c>
      <c r="L93" s="113">
        <f t="shared" si="21"/>
        <v>34.840000000000003</v>
      </c>
      <c r="M93" s="113">
        <f t="shared" si="21"/>
        <v>34.840000000000003</v>
      </c>
      <c r="N93" s="113">
        <f t="shared" si="21"/>
        <v>34.840000000000003</v>
      </c>
      <c r="O93" s="113">
        <f t="shared" si="21"/>
        <v>34.840000000000003</v>
      </c>
      <c r="P93" s="113">
        <f t="shared" si="21"/>
        <v>34.840000000000003</v>
      </c>
      <c r="Q93" s="113">
        <f t="shared" si="21"/>
        <v>34.840000000000003</v>
      </c>
      <c r="R93" s="113">
        <f t="shared" si="21"/>
        <v>34.840000000000003</v>
      </c>
      <c r="S93" s="113">
        <f t="shared" si="21"/>
        <v>34.840000000000003</v>
      </c>
      <c r="T93" s="113">
        <f t="shared" si="21"/>
        <v>34.840000000000003</v>
      </c>
      <c r="U93" s="113">
        <f t="shared" si="21"/>
        <v>34.840000000000003</v>
      </c>
      <c r="V93" s="113">
        <f t="shared" si="21"/>
        <v>34.840000000000003</v>
      </c>
      <c r="W93" s="113">
        <f t="shared" si="21"/>
        <v>34.840000000000003</v>
      </c>
      <c r="X93" s="113">
        <f t="shared" si="21"/>
        <v>34.840000000000003</v>
      </c>
      <c r="Y93" s="113">
        <f t="shared" si="21"/>
        <v>34.840000000000003</v>
      </c>
      <c r="Z93" s="113">
        <f t="shared" si="21"/>
        <v>34.840000000000003</v>
      </c>
      <c r="AA93" s="113">
        <f t="shared" si="21"/>
        <v>34.840000000000003</v>
      </c>
      <c r="AB93" s="113">
        <f t="shared" si="21"/>
        <v>34.840000000000003</v>
      </c>
      <c r="AC93" s="113">
        <f t="shared" si="21"/>
        <v>34.840000000000003</v>
      </c>
      <c r="AD93" s="113">
        <f t="shared" si="21"/>
        <v>34.840000000000003</v>
      </c>
      <c r="AE93" s="113">
        <f t="shared" si="21"/>
        <v>34.840000000000003</v>
      </c>
      <c r="AF93" s="113">
        <f t="shared" si="21"/>
        <v>34.840000000000003</v>
      </c>
      <c r="AG93" s="115"/>
      <c r="AH93" s="54">
        <f>MAX(C93:AF93)</f>
        <v>34.840000000000003</v>
      </c>
      <c r="AI93" s="55">
        <f>MIN(C93:AF93)</f>
        <v>34.840000000000003</v>
      </c>
    </row>
    <row r="94" spans="1:88" x14ac:dyDescent="0.25">
      <c r="A94" s="116" t="s">
        <v>98</v>
      </c>
      <c r="B94" s="117"/>
      <c r="C94" s="58"/>
      <c r="D94" s="58"/>
      <c r="E94" s="58"/>
      <c r="F94" s="58"/>
      <c r="G94" s="118"/>
      <c r="H94" s="118"/>
      <c r="I94" s="118"/>
      <c r="J94" s="118"/>
      <c r="K94" s="118"/>
      <c r="L94" s="118"/>
      <c r="M94" s="119"/>
      <c r="N94" s="118"/>
      <c r="O94" s="118"/>
      <c r="P94" s="118"/>
      <c r="Q94" s="118"/>
      <c r="R94" s="118"/>
      <c r="S94" s="118"/>
      <c r="T94" s="118"/>
      <c r="U94" s="119"/>
      <c r="V94" s="119"/>
      <c r="W94" s="119"/>
      <c r="X94" s="118"/>
      <c r="Y94" s="118"/>
      <c r="Z94" s="118"/>
      <c r="AA94" s="118"/>
      <c r="AB94" s="119"/>
      <c r="AC94" s="119"/>
      <c r="AD94" s="119"/>
      <c r="AE94" s="119"/>
      <c r="AF94" s="119"/>
      <c r="AG94" s="120">
        <v>75</v>
      </c>
      <c r="AH94" s="54">
        <f>IF(ABS(MAX(C94:AF94))&gt;ABS(MIN(C94:AF94)),MAX(C94:AF94),MIN(C94:AF94))</f>
        <v>0</v>
      </c>
      <c r="AI94" s="121" t="e">
        <f>INDEX($C$9:$AF$9,1,MATCH(AH94,C94:AF94,0))</f>
        <v>#N/A</v>
      </c>
    </row>
    <row r="95" spans="1:88" x14ac:dyDescent="0.25">
      <c r="A95" s="122" t="s">
        <v>99</v>
      </c>
      <c r="B95" s="123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73"/>
      <c r="AC95" s="73"/>
      <c r="AD95" s="73"/>
      <c r="AE95" s="73"/>
      <c r="AF95" s="73"/>
      <c r="AG95" s="120">
        <v>240</v>
      </c>
      <c r="AH95" s="54">
        <f>IF(ABS(MAX(C95:AF95))&gt;ABS(MIN(C95:AF95)),MAX(C95:AF95),MIN(C95:AF95))</f>
        <v>0</v>
      </c>
      <c r="AI95" s="121" t="e">
        <f>INDEX($C$9:$AF$9,1,MATCH(AH95,C95:AF95,0))</f>
        <v>#N/A</v>
      </c>
    </row>
    <row r="96" spans="1:88" x14ac:dyDescent="0.25">
      <c r="A96" s="122" t="s">
        <v>100</v>
      </c>
      <c r="B96" s="123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73"/>
      <c r="AC96" s="73"/>
      <c r="AD96" s="73"/>
      <c r="AE96" s="73"/>
      <c r="AF96" s="73"/>
      <c r="AG96" s="120">
        <v>60</v>
      </c>
      <c r="AH96" s="54">
        <f>IF(ABS(MAX(C96:AF96))&gt;ABS(MIN(C96:AF96)),MAX(C96:AF96),MIN(C96:AF96))</f>
        <v>0</v>
      </c>
      <c r="AI96" s="121" t="e">
        <f>INDEX($C$9:$AF$9,1,MATCH(AH96,C96:AF96,0))</f>
        <v>#N/A</v>
      </c>
    </row>
    <row r="97" spans="1:37" x14ac:dyDescent="0.25">
      <c r="A97" s="124" t="s">
        <v>101</v>
      </c>
      <c r="B97" s="125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126"/>
      <c r="AC97" s="126"/>
      <c r="AD97" s="126"/>
      <c r="AE97" s="126"/>
      <c r="AF97" s="126"/>
      <c r="AG97" s="127">
        <v>120</v>
      </c>
      <c r="AH97" s="54">
        <f>IF(ABS(MAX(C97:AF97))&gt;ABS(MIN(C97:AF97)),MAX(C97:AF97),MIN(C97:AF97))</f>
        <v>0</v>
      </c>
      <c r="AI97" s="121" t="e">
        <f>INDEX($C$9:$AF$9,1,MATCH(AH97,C97:AF97,0))</f>
        <v>#N/A</v>
      </c>
    </row>
    <row r="98" spans="1:37" x14ac:dyDescent="0.25">
      <c r="A98" s="124" t="s">
        <v>102</v>
      </c>
      <c r="B98" s="125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126"/>
      <c r="AC98" s="126"/>
      <c r="AD98" s="126"/>
      <c r="AE98" s="126"/>
      <c r="AF98" s="126"/>
      <c r="AG98" s="127"/>
      <c r="AH98" s="54">
        <f>IF(ABS(MAX(C98:AF98))&gt;ABS(MIN(C98:AF98)),MAX(C98:AF98),MIN(C98:AF98))</f>
        <v>0</v>
      </c>
      <c r="AI98" s="121" t="e">
        <f>INDEX($C$9:$AF$9,1,MATCH(AH98,C98:AF98,0))</f>
        <v>#N/A</v>
      </c>
    </row>
    <row r="99" spans="1:37" x14ac:dyDescent="0.25">
      <c r="A99" s="124" t="s">
        <v>103</v>
      </c>
      <c r="B99" s="125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126"/>
      <c r="AC99" s="126"/>
      <c r="AD99" s="126"/>
      <c r="AE99" s="126"/>
      <c r="AF99" s="126"/>
      <c r="AG99" s="128"/>
      <c r="AH99" s="54"/>
      <c r="AI99" s="121"/>
    </row>
    <row r="100" spans="1:37" ht="15.75" thickBot="1" x14ac:dyDescent="0.3">
      <c r="A100" s="181" t="s">
        <v>222</v>
      </c>
      <c r="B100" s="10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104"/>
      <c r="AC100" s="104"/>
      <c r="AD100" s="104"/>
      <c r="AE100" s="104"/>
      <c r="AF100" s="104"/>
      <c r="AG100" s="128"/>
      <c r="AH100" s="54"/>
      <c r="AI100" s="121"/>
    </row>
    <row r="101" spans="1:37" ht="15.75" thickBot="1" x14ac:dyDescent="0.3">
      <c r="A101" s="180" t="s">
        <v>104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31"/>
      <c r="AH101" s="132"/>
      <c r="AI101" s="55"/>
      <c r="AK101" s="56"/>
    </row>
    <row r="102" spans="1:37" x14ac:dyDescent="0.25">
      <c r="A102" s="133" t="s">
        <v>105</v>
      </c>
      <c r="B102" s="134">
        <f t="shared" ref="B102:B107" si="22">AF102</f>
        <v>9.9</v>
      </c>
      <c r="C102" s="53">
        <v>9.9</v>
      </c>
      <c r="D102" s="134">
        <f t="shared" ref="D102:S107" si="23">C102</f>
        <v>9.9</v>
      </c>
      <c r="E102" s="134">
        <f t="shared" si="23"/>
        <v>9.9</v>
      </c>
      <c r="F102" s="134">
        <f t="shared" si="23"/>
        <v>9.9</v>
      </c>
      <c r="G102" s="134">
        <f t="shared" si="23"/>
        <v>9.9</v>
      </c>
      <c r="H102" s="134">
        <f t="shared" si="23"/>
        <v>9.9</v>
      </c>
      <c r="I102" s="134">
        <f t="shared" si="23"/>
        <v>9.9</v>
      </c>
      <c r="J102" s="134">
        <f t="shared" si="23"/>
        <v>9.9</v>
      </c>
      <c r="K102" s="134">
        <f t="shared" si="23"/>
        <v>9.9</v>
      </c>
      <c r="L102" s="134">
        <f t="shared" si="23"/>
        <v>9.9</v>
      </c>
      <c r="M102" s="134">
        <f t="shared" si="23"/>
        <v>9.9</v>
      </c>
      <c r="N102" s="134">
        <f t="shared" si="23"/>
        <v>9.9</v>
      </c>
      <c r="O102" s="134">
        <f t="shared" si="23"/>
        <v>9.9</v>
      </c>
      <c r="P102" s="134">
        <f t="shared" si="23"/>
        <v>9.9</v>
      </c>
      <c r="Q102" s="134">
        <f t="shared" si="23"/>
        <v>9.9</v>
      </c>
      <c r="R102" s="134">
        <f t="shared" si="23"/>
        <v>9.9</v>
      </c>
      <c r="S102" s="134">
        <f t="shared" si="23"/>
        <v>9.9</v>
      </c>
      <c r="T102" s="134">
        <f t="shared" ref="T102:AF107" si="24">S102</f>
        <v>9.9</v>
      </c>
      <c r="U102" s="134">
        <f t="shared" si="24"/>
        <v>9.9</v>
      </c>
      <c r="V102" s="134">
        <f t="shared" si="24"/>
        <v>9.9</v>
      </c>
      <c r="W102" s="134">
        <f t="shared" si="24"/>
        <v>9.9</v>
      </c>
      <c r="X102" s="134">
        <f t="shared" si="24"/>
        <v>9.9</v>
      </c>
      <c r="Y102" s="134">
        <f t="shared" si="24"/>
        <v>9.9</v>
      </c>
      <c r="Z102" s="134">
        <f t="shared" si="24"/>
        <v>9.9</v>
      </c>
      <c r="AA102" s="134">
        <f t="shared" si="24"/>
        <v>9.9</v>
      </c>
      <c r="AB102" s="134">
        <f t="shared" si="24"/>
        <v>9.9</v>
      </c>
      <c r="AC102" s="134">
        <f t="shared" si="24"/>
        <v>9.9</v>
      </c>
      <c r="AD102" s="134">
        <f t="shared" si="24"/>
        <v>9.9</v>
      </c>
      <c r="AE102" s="134">
        <f t="shared" si="24"/>
        <v>9.9</v>
      </c>
      <c r="AF102" s="134">
        <f t="shared" si="24"/>
        <v>9.9</v>
      </c>
      <c r="AG102" s="135">
        <v>9.94</v>
      </c>
      <c r="AH102" s="54"/>
      <c r="AI102" s="55"/>
      <c r="AK102" s="56"/>
    </row>
    <row r="103" spans="1:37" x14ac:dyDescent="0.25">
      <c r="A103" s="122" t="s">
        <v>106</v>
      </c>
      <c r="B103" s="136">
        <f t="shared" si="22"/>
        <v>9.6</v>
      </c>
      <c r="C103" s="137">
        <v>9.6</v>
      </c>
      <c r="D103" s="136">
        <f t="shared" si="23"/>
        <v>9.6</v>
      </c>
      <c r="E103" s="136">
        <f t="shared" si="23"/>
        <v>9.6</v>
      </c>
      <c r="F103" s="136">
        <f t="shared" si="23"/>
        <v>9.6</v>
      </c>
      <c r="G103" s="136">
        <f t="shared" si="23"/>
        <v>9.6</v>
      </c>
      <c r="H103" s="136">
        <f t="shared" si="23"/>
        <v>9.6</v>
      </c>
      <c r="I103" s="136">
        <f t="shared" si="23"/>
        <v>9.6</v>
      </c>
      <c r="J103" s="136">
        <f t="shared" si="23"/>
        <v>9.6</v>
      </c>
      <c r="K103" s="136">
        <f t="shared" si="23"/>
        <v>9.6</v>
      </c>
      <c r="L103" s="136">
        <f t="shared" si="23"/>
        <v>9.6</v>
      </c>
      <c r="M103" s="136">
        <f t="shared" si="23"/>
        <v>9.6</v>
      </c>
      <c r="N103" s="136">
        <f t="shared" si="23"/>
        <v>9.6</v>
      </c>
      <c r="O103" s="136">
        <f t="shared" si="23"/>
        <v>9.6</v>
      </c>
      <c r="P103" s="136">
        <f t="shared" si="23"/>
        <v>9.6</v>
      </c>
      <c r="Q103" s="136">
        <f t="shared" si="23"/>
        <v>9.6</v>
      </c>
      <c r="R103" s="136">
        <f t="shared" si="23"/>
        <v>9.6</v>
      </c>
      <c r="S103" s="136">
        <f t="shared" si="23"/>
        <v>9.6</v>
      </c>
      <c r="T103" s="136">
        <f t="shared" si="24"/>
        <v>9.6</v>
      </c>
      <c r="U103" s="136">
        <f t="shared" si="24"/>
        <v>9.6</v>
      </c>
      <c r="V103" s="136">
        <f t="shared" si="24"/>
        <v>9.6</v>
      </c>
      <c r="W103" s="136">
        <f t="shared" si="24"/>
        <v>9.6</v>
      </c>
      <c r="X103" s="136">
        <f t="shared" si="24"/>
        <v>9.6</v>
      </c>
      <c r="Y103" s="136">
        <f t="shared" si="24"/>
        <v>9.6</v>
      </c>
      <c r="Z103" s="136">
        <f t="shared" si="24"/>
        <v>9.6</v>
      </c>
      <c r="AA103" s="136">
        <f t="shared" si="24"/>
        <v>9.6</v>
      </c>
      <c r="AB103" s="136">
        <f t="shared" si="24"/>
        <v>9.6</v>
      </c>
      <c r="AC103" s="136">
        <f t="shared" si="24"/>
        <v>9.6</v>
      </c>
      <c r="AD103" s="136">
        <f t="shared" si="24"/>
        <v>9.6</v>
      </c>
      <c r="AE103" s="136">
        <f t="shared" si="24"/>
        <v>9.6</v>
      </c>
      <c r="AF103" s="136">
        <f t="shared" si="24"/>
        <v>9.6</v>
      </c>
      <c r="AG103" s="138">
        <v>9.9</v>
      </c>
      <c r="AH103" s="54"/>
      <c r="AI103" s="55"/>
      <c r="AK103" s="56"/>
    </row>
    <row r="104" spans="1:37" x14ac:dyDescent="0.25">
      <c r="A104" s="124" t="s">
        <v>107</v>
      </c>
      <c r="B104" s="136">
        <f t="shared" si="22"/>
        <v>9.98</v>
      </c>
      <c r="C104" s="137">
        <v>9.98</v>
      </c>
      <c r="D104" s="136">
        <f t="shared" si="23"/>
        <v>9.98</v>
      </c>
      <c r="E104" s="136">
        <f t="shared" si="23"/>
        <v>9.98</v>
      </c>
      <c r="F104" s="136">
        <f t="shared" si="23"/>
        <v>9.98</v>
      </c>
      <c r="G104" s="136">
        <f t="shared" si="23"/>
        <v>9.98</v>
      </c>
      <c r="H104" s="136">
        <f t="shared" si="23"/>
        <v>9.98</v>
      </c>
      <c r="I104" s="136">
        <f t="shared" si="23"/>
        <v>9.98</v>
      </c>
      <c r="J104" s="136">
        <f t="shared" si="23"/>
        <v>9.98</v>
      </c>
      <c r="K104" s="136">
        <f t="shared" si="23"/>
        <v>9.98</v>
      </c>
      <c r="L104" s="136">
        <f t="shared" si="23"/>
        <v>9.98</v>
      </c>
      <c r="M104" s="136">
        <f t="shared" si="23"/>
        <v>9.98</v>
      </c>
      <c r="N104" s="136">
        <f t="shared" si="23"/>
        <v>9.98</v>
      </c>
      <c r="O104" s="136">
        <f t="shared" si="23"/>
        <v>9.98</v>
      </c>
      <c r="P104" s="136">
        <f t="shared" si="23"/>
        <v>9.98</v>
      </c>
      <c r="Q104" s="136">
        <f t="shared" si="23"/>
        <v>9.98</v>
      </c>
      <c r="R104" s="136">
        <f t="shared" si="23"/>
        <v>9.98</v>
      </c>
      <c r="S104" s="136">
        <f t="shared" si="23"/>
        <v>9.98</v>
      </c>
      <c r="T104" s="136">
        <f t="shared" si="24"/>
        <v>9.98</v>
      </c>
      <c r="U104" s="136">
        <f t="shared" si="24"/>
        <v>9.98</v>
      </c>
      <c r="V104" s="136">
        <f t="shared" si="24"/>
        <v>9.98</v>
      </c>
      <c r="W104" s="136">
        <f t="shared" si="24"/>
        <v>9.98</v>
      </c>
      <c r="X104" s="136">
        <f t="shared" si="24"/>
        <v>9.98</v>
      </c>
      <c r="Y104" s="136">
        <f t="shared" si="24"/>
        <v>9.98</v>
      </c>
      <c r="Z104" s="136">
        <f t="shared" si="24"/>
        <v>9.98</v>
      </c>
      <c r="AA104" s="136">
        <f t="shared" si="24"/>
        <v>9.98</v>
      </c>
      <c r="AB104" s="136">
        <f t="shared" si="24"/>
        <v>9.98</v>
      </c>
      <c r="AC104" s="136">
        <f t="shared" si="24"/>
        <v>9.98</v>
      </c>
      <c r="AD104" s="136">
        <f t="shared" si="24"/>
        <v>9.98</v>
      </c>
      <c r="AE104" s="136">
        <f t="shared" si="24"/>
        <v>9.98</v>
      </c>
      <c r="AF104" s="136">
        <f t="shared" si="24"/>
        <v>9.98</v>
      </c>
      <c r="AG104" s="139">
        <v>9.6579999999999995</v>
      </c>
      <c r="AH104" s="54"/>
      <c r="AI104" s="55"/>
      <c r="AK104" s="56"/>
    </row>
    <row r="105" spans="1:37" x14ac:dyDescent="0.25">
      <c r="A105" s="124" t="s">
        <v>108</v>
      </c>
      <c r="B105" s="136">
        <f t="shared" si="22"/>
        <v>9.1</v>
      </c>
      <c r="C105" s="137">
        <v>9.1</v>
      </c>
      <c r="D105" s="136">
        <f t="shared" si="23"/>
        <v>9.1</v>
      </c>
      <c r="E105" s="136">
        <f t="shared" si="23"/>
        <v>9.1</v>
      </c>
      <c r="F105" s="136">
        <f t="shared" si="23"/>
        <v>9.1</v>
      </c>
      <c r="G105" s="136">
        <f t="shared" si="23"/>
        <v>9.1</v>
      </c>
      <c r="H105" s="136">
        <f t="shared" si="23"/>
        <v>9.1</v>
      </c>
      <c r="I105" s="136">
        <f t="shared" si="23"/>
        <v>9.1</v>
      </c>
      <c r="J105" s="136">
        <f t="shared" si="23"/>
        <v>9.1</v>
      </c>
      <c r="K105" s="136">
        <f t="shared" si="23"/>
        <v>9.1</v>
      </c>
      <c r="L105" s="136">
        <f t="shared" si="23"/>
        <v>9.1</v>
      </c>
      <c r="M105" s="136">
        <f t="shared" si="23"/>
        <v>9.1</v>
      </c>
      <c r="N105" s="136">
        <f t="shared" si="23"/>
        <v>9.1</v>
      </c>
      <c r="O105" s="136">
        <f t="shared" si="23"/>
        <v>9.1</v>
      </c>
      <c r="P105" s="136">
        <f t="shared" si="23"/>
        <v>9.1</v>
      </c>
      <c r="Q105" s="136">
        <f t="shared" si="23"/>
        <v>9.1</v>
      </c>
      <c r="R105" s="136">
        <f t="shared" si="23"/>
        <v>9.1</v>
      </c>
      <c r="S105" s="136">
        <f t="shared" si="23"/>
        <v>9.1</v>
      </c>
      <c r="T105" s="136">
        <f t="shared" si="24"/>
        <v>9.1</v>
      </c>
      <c r="U105" s="136">
        <f t="shared" si="24"/>
        <v>9.1</v>
      </c>
      <c r="V105" s="136">
        <f t="shared" si="24"/>
        <v>9.1</v>
      </c>
      <c r="W105" s="136">
        <f t="shared" si="24"/>
        <v>9.1</v>
      </c>
      <c r="X105" s="136">
        <f t="shared" si="24"/>
        <v>9.1</v>
      </c>
      <c r="Y105" s="136">
        <f t="shared" si="24"/>
        <v>9.1</v>
      </c>
      <c r="Z105" s="136">
        <f t="shared" si="24"/>
        <v>9.1</v>
      </c>
      <c r="AA105" s="136">
        <f t="shared" si="24"/>
        <v>9.1</v>
      </c>
      <c r="AB105" s="136">
        <f t="shared" si="24"/>
        <v>9.1</v>
      </c>
      <c r="AC105" s="136">
        <f t="shared" si="24"/>
        <v>9.1</v>
      </c>
      <c r="AD105" s="136">
        <f t="shared" si="24"/>
        <v>9.1</v>
      </c>
      <c r="AE105" s="136">
        <f t="shared" si="24"/>
        <v>9.1</v>
      </c>
      <c r="AF105" s="136">
        <f t="shared" si="24"/>
        <v>9.1</v>
      </c>
      <c r="AG105" s="139">
        <v>9.6</v>
      </c>
      <c r="AH105" s="54"/>
      <c r="AI105" s="55"/>
      <c r="AK105" s="56"/>
    </row>
    <row r="106" spans="1:37" x14ac:dyDescent="0.25">
      <c r="A106" s="124" t="s">
        <v>109</v>
      </c>
      <c r="B106" s="136">
        <f t="shared" si="22"/>
        <v>9.18</v>
      </c>
      <c r="C106" s="137">
        <v>9.18</v>
      </c>
      <c r="D106" s="136">
        <f t="shared" si="23"/>
        <v>9.18</v>
      </c>
      <c r="E106" s="136">
        <f t="shared" si="23"/>
        <v>9.18</v>
      </c>
      <c r="F106" s="136">
        <f t="shared" si="23"/>
        <v>9.18</v>
      </c>
      <c r="G106" s="136">
        <f t="shared" si="23"/>
        <v>9.18</v>
      </c>
      <c r="H106" s="136">
        <f t="shared" si="23"/>
        <v>9.18</v>
      </c>
      <c r="I106" s="136">
        <f t="shared" si="23"/>
        <v>9.18</v>
      </c>
      <c r="J106" s="136">
        <f t="shared" si="23"/>
        <v>9.18</v>
      </c>
      <c r="K106" s="136">
        <f t="shared" si="23"/>
        <v>9.18</v>
      </c>
      <c r="L106" s="136">
        <f t="shared" si="23"/>
        <v>9.18</v>
      </c>
      <c r="M106" s="136">
        <f t="shared" si="23"/>
        <v>9.18</v>
      </c>
      <c r="N106" s="136">
        <f t="shared" si="23"/>
        <v>9.18</v>
      </c>
      <c r="O106" s="136">
        <f t="shared" si="23"/>
        <v>9.18</v>
      </c>
      <c r="P106" s="136">
        <f t="shared" si="23"/>
        <v>9.18</v>
      </c>
      <c r="Q106" s="136">
        <f t="shared" si="23"/>
        <v>9.18</v>
      </c>
      <c r="R106" s="136">
        <f t="shared" si="23"/>
        <v>9.18</v>
      </c>
      <c r="S106" s="136">
        <f t="shared" si="23"/>
        <v>9.18</v>
      </c>
      <c r="T106" s="136">
        <f t="shared" si="24"/>
        <v>9.18</v>
      </c>
      <c r="U106" s="136">
        <f t="shared" si="24"/>
        <v>9.18</v>
      </c>
      <c r="V106" s="136">
        <f t="shared" si="24"/>
        <v>9.18</v>
      </c>
      <c r="W106" s="136">
        <f t="shared" si="24"/>
        <v>9.18</v>
      </c>
      <c r="X106" s="136">
        <f t="shared" si="24"/>
        <v>9.18</v>
      </c>
      <c r="Y106" s="136">
        <f t="shared" si="24"/>
        <v>9.18</v>
      </c>
      <c r="Z106" s="136">
        <f t="shared" si="24"/>
        <v>9.18</v>
      </c>
      <c r="AA106" s="136">
        <f t="shared" si="24"/>
        <v>9.18</v>
      </c>
      <c r="AB106" s="136">
        <f t="shared" si="24"/>
        <v>9.18</v>
      </c>
      <c r="AC106" s="136">
        <f t="shared" si="24"/>
        <v>9.18</v>
      </c>
      <c r="AD106" s="136">
        <f t="shared" si="24"/>
        <v>9.18</v>
      </c>
      <c r="AE106" s="136">
        <f t="shared" si="24"/>
        <v>9.18</v>
      </c>
      <c r="AF106" s="136">
        <f t="shared" si="24"/>
        <v>9.18</v>
      </c>
      <c r="AG106" s="139">
        <v>9.51</v>
      </c>
      <c r="AH106" s="54"/>
      <c r="AI106" s="55"/>
      <c r="AK106" s="56"/>
    </row>
    <row r="107" spans="1:37" x14ac:dyDescent="0.25">
      <c r="A107" s="124" t="s">
        <v>110</v>
      </c>
      <c r="B107" s="136">
        <f t="shared" si="22"/>
        <v>7</v>
      </c>
      <c r="C107" s="137">
        <v>7</v>
      </c>
      <c r="D107" s="136">
        <f t="shared" si="23"/>
        <v>7</v>
      </c>
      <c r="E107" s="136">
        <f t="shared" si="23"/>
        <v>7</v>
      </c>
      <c r="F107" s="136">
        <f t="shared" si="23"/>
        <v>7</v>
      </c>
      <c r="G107" s="136">
        <f t="shared" si="23"/>
        <v>7</v>
      </c>
      <c r="H107" s="136">
        <f t="shared" si="23"/>
        <v>7</v>
      </c>
      <c r="I107" s="136">
        <f t="shared" si="23"/>
        <v>7</v>
      </c>
      <c r="J107" s="136">
        <f t="shared" si="23"/>
        <v>7</v>
      </c>
      <c r="K107" s="136">
        <f t="shared" si="23"/>
        <v>7</v>
      </c>
      <c r="L107" s="136">
        <f t="shared" si="23"/>
        <v>7</v>
      </c>
      <c r="M107" s="136">
        <f t="shared" si="23"/>
        <v>7</v>
      </c>
      <c r="N107" s="136">
        <f t="shared" si="23"/>
        <v>7</v>
      </c>
      <c r="O107" s="136">
        <f t="shared" si="23"/>
        <v>7</v>
      </c>
      <c r="P107" s="136">
        <f t="shared" si="23"/>
        <v>7</v>
      </c>
      <c r="Q107" s="136">
        <f t="shared" si="23"/>
        <v>7</v>
      </c>
      <c r="R107" s="136">
        <f t="shared" si="23"/>
        <v>7</v>
      </c>
      <c r="S107" s="136">
        <f t="shared" si="23"/>
        <v>7</v>
      </c>
      <c r="T107" s="136">
        <f t="shared" si="24"/>
        <v>7</v>
      </c>
      <c r="U107" s="136">
        <f t="shared" si="24"/>
        <v>7</v>
      </c>
      <c r="V107" s="136">
        <f t="shared" si="24"/>
        <v>7</v>
      </c>
      <c r="W107" s="136">
        <f t="shared" si="24"/>
        <v>7</v>
      </c>
      <c r="X107" s="136">
        <f t="shared" si="24"/>
        <v>7</v>
      </c>
      <c r="Y107" s="136">
        <f t="shared" si="24"/>
        <v>7</v>
      </c>
      <c r="Z107" s="136">
        <f t="shared" si="24"/>
        <v>7</v>
      </c>
      <c r="AA107" s="136">
        <f t="shared" si="24"/>
        <v>7</v>
      </c>
      <c r="AB107" s="136">
        <f t="shared" si="24"/>
        <v>7</v>
      </c>
      <c r="AC107" s="136">
        <f t="shared" si="24"/>
        <v>7</v>
      </c>
      <c r="AD107" s="136">
        <f t="shared" si="24"/>
        <v>7</v>
      </c>
      <c r="AE107" s="136">
        <f t="shared" si="24"/>
        <v>7</v>
      </c>
      <c r="AF107" s="136">
        <f t="shared" si="24"/>
        <v>7</v>
      </c>
      <c r="AG107" s="139">
        <v>9.4</v>
      </c>
      <c r="AH107" s="54"/>
      <c r="AI107" s="55"/>
      <c r="AK107" s="56"/>
    </row>
    <row r="108" spans="1:37" x14ac:dyDescent="0.25">
      <c r="A108" s="124" t="s">
        <v>111</v>
      </c>
      <c r="B108" s="136"/>
      <c r="C108" s="137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9">
        <v>8.8000000000000007</v>
      </c>
      <c r="AH108" s="54"/>
      <c r="AI108" s="55"/>
      <c r="AK108" s="56"/>
    </row>
    <row r="109" spans="1:37" x14ac:dyDescent="0.25">
      <c r="A109" s="124" t="s">
        <v>112</v>
      </c>
      <c r="B109" s="136">
        <f>AF109</f>
        <v>2.25</v>
      </c>
      <c r="C109" s="137">
        <v>2.25</v>
      </c>
      <c r="D109" s="136">
        <f t="shared" ref="D109:S110" si="25">C109</f>
        <v>2.25</v>
      </c>
      <c r="E109" s="136">
        <f t="shared" si="25"/>
        <v>2.25</v>
      </c>
      <c r="F109" s="136">
        <f t="shared" si="25"/>
        <v>2.25</v>
      </c>
      <c r="G109" s="136">
        <f t="shared" si="25"/>
        <v>2.25</v>
      </c>
      <c r="H109" s="136">
        <f t="shared" si="25"/>
        <v>2.25</v>
      </c>
      <c r="I109" s="136">
        <f t="shared" si="25"/>
        <v>2.25</v>
      </c>
      <c r="J109" s="136">
        <f t="shared" si="25"/>
        <v>2.25</v>
      </c>
      <c r="K109" s="136">
        <f t="shared" si="25"/>
        <v>2.25</v>
      </c>
      <c r="L109" s="136">
        <f t="shared" si="25"/>
        <v>2.25</v>
      </c>
      <c r="M109" s="136">
        <f t="shared" si="25"/>
        <v>2.25</v>
      </c>
      <c r="N109" s="136">
        <f t="shared" si="25"/>
        <v>2.25</v>
      </c>
      <c r="O109" s="136">
        <f t="shared" si="25"/>
        <v>2.25</v>
      </c>
      <c r="P109" s="136">
        <f t="shared" si="25"/>
        <v>2.25</v>
      </c>
      <c r="Q109" s="136">
        <f t="shared" si="25"/>
        <v>2.25</v>
      </c>
      <c r="R109" s="136">
        <f t="shared" si="25"/>
        <v>2.25</v>
      </c>
      <c r="S109" s="136">
        <f t="shared" si="25"/>
        <v>2.25</v>
      </c>
      <c r="T109" s="136">
        <f t="shared" ref="T109:AF110" si="26">S109</f>
        <v>2.25</v>
      </c>
      <c r="U109" s="136">
        <f t="shared" si="26"/>
        <v>2.25</v>
      </c>
      <c r="V109" s="136">
        <f t="shared" si="26"/>
        <v>2.25</v>
      </c>
      <c r="W109" s="136">
        <f t="shared" si="26"/>
        <v>2.25</v>
      </c>
      <c r="X109" s="136">
        <f t="shared" si="26"/>
        <v>2.25</v>
      </c>
      <c r="Y109" s="136">
        <f t="shared" si="26"/>
        <v>2.25</v>
      </c>
      <c r="Z109" s="136">
        <f t="shared" si="26"/>
        <v>2.25</v>
      </c>
      <c r="AA109" s="136">
        <f t="shared" si="26"/>
        <v>2.25</v>
      </c>
      <c r="AB109" s="136">
        <f t="shared" si="26"/>
        <v>2.25</v>
      </c>
      <c r="AC109" s="136">
        <f t="shared" si="26"/>
        <v>2.25</v>
      </c>
      <c r="AD109" s="136">
        <f t="shared" si="26"/>
        <v>2.25</v>
      </c>
      <c r="AE109" s="136">
        <f t="shared" si="26"/>
        <v>2.25</v>
      </c>
      <c r="AF109" s="136">
        <f t="shared" si="26"/>
        <v>2.25</v>
      </c>
      <c r="AG109" s="139">
        <v>8.5</v>
      </c>
      <c r="AH109" s="54"/>
      <c r="AI109" s="55"/>
      <c r="AK109" s="56"/>
    </row>
    <row r="110" spans="1:37" x14ac:dyDescent="0.25">
      <c r="A110" s="124" t="s">
        <v>113</v>
      </c>
      <c r="B110" s="136">
        <f>AF110</f>
        <v>1.64</v>
      </c>
      <c r="C110" s="137">
        <v>1.64</v>
      </c>
      <c r="D110" s="136">
        <f t="shared" si="25"/>
        <v>1.64</v>
      </c>
      <c r="E110" s="136">
        <f t="shared" si="25"/>
        <v>1.64</v>
      </c>
      <c r="F110" s="136">
        <f t="shared" si="25"/>
        <v>1.64</v>
      </c>
      <c r="G110" s="136">
        <f t="shared" si="25"/>
        <v>1.64</v>
      </c>
      <c r="H110" s="136">
        <f t="shared" si="25"/>
        <v>1.64</v>
      </c>
      <c r="I110" s="136">
        <f t="shared" si="25"/>
        <v>1.64</v>
      </c>
      <c r="J110" s="136">
        <f t="shared" si="25"/>
        <v>1.64</v>
      </c>
      <c r="K110" s="136">
        <f t="shared" si="25"/>
        <v>1.64</v>
      </c>
      <c r="L110" s="136">
        <f t="shared" si="25"/>
        <v>1.64</v>
      </c>
      <c r="M110" s="136">
        <f t="shared" si="25"/>
        <v>1.64</v>
      </c>
      <c r="N110" s="136">
        <f t="shared" si="25"/>
        <v>1.64</v>
      </c>
      <c r="O110" s="136">
        <f t="shared" si="25"/>
        <v>1.64</v>
      </c>
      <c r="P110" s="136">
        <f t="shared" si="25"/>
        <v>1.64</v>
      </c>
      <c r="Q110" s="136">
        <f t="shared" si="25"/>
        <v>1.64</v>
      </c>
      <c r="R110" s="136">
        <f t="shared" si="25"/>
        <v>1.64</v>
      </c>
      <c r="S110" s="136">
        <f t="shared" si="25"/>
        <v>1.64</v>
      </c>
      <c r="T110" s="136">
        <f t="shared" si="26"/>
        <v>1.64</v>
      </c>
      <c r="U110" s="136">
        <f t="shared" si="26"/>
        <v>1.64</v>
      </c>
      <c r="V110" s="136">
        <f t="shared" si="26"/>
        <v>1.64</v>
      </c>
      <c r="W110" s="136">
        <f t="shared" si="26"/>
        <v>1.64</v>
      </c>
      <c r="X110" s="136">
        <f t="shared" si="26"/>
        <v>1.64</v>
      </c>
      <c r="Y110" s="136">
        <f t="shared" si="26"/>
        <v>1.64</v>
      </c>
      <c r="Z110" s="136">
        <f t="shared" si="26"/>
        <v>1.64</v>
      </c>
      <c r="AA110" s="136">
        <f t="shared" si="26"/>
        <v>1.64</v>
      </c>
      <c r="AB110" s="136">
        <f t="shared" si="26"/>
        <v>1.64</v>
      </c>
      <c r="AC110" s="136">
        <f t="shared" si="26"/>
        <v>1.64</v>
      </c>
      <c r="AD110" s="136">
        <f t="shared" si="26"/>
        <v>1.64</v>
      </c>
      <c r="AE110" s="136">
        <f t="shared" si="26"/>
        <v>1.64</v>
      </c>
      <c r="AF110" s="136">
        <f t="shared" si="26"/>
        <v>1.64</v>
      </c>
      <c r="AG110" s="139">
        <v>8.5</v>
      </c>
      <c r="AH110" s="54"/>
      <c r="AI110" s="55"/>
      <c r="AK110" s="56"/>
    </row>
    <row r="111" spans="1:37" x14ac:dyDescent="0.25">
      <c r="A111" s="124" t="s">
        <v>114</v>
      </c>
      <c r="B111" s="136"/>
      <c r="C111" s="137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9">
        <v>8.4</v>
      </c>
      <c r="AH111" s="54"/>
      <c r="AI111" s="55"/>
      <c r="AK111" s="56"/>
    </row>
    <row r="112" spans="1:37" x14ac:dyDescent="0.25">
      <c r="A112" s="124" t="s">
        <v>115</v>
      </c>
      <c r="B112" s="136">
        <f t="shared" ref="B112:B129" si="27">AF112</f>
        <v>1.62</v>
      </c>
      <c r="C112" s="137">
        <v>1.62</v>
      </c>
      <c r="D112" s="136">
        <f t="shared" ref="D112:S119" si="28">C112</f>
        <v>1.62</v>
      </c>
      <c r="E112" s="136">
        <f t="shared" si="28"/>
        <v>1.62</v>
      </c>
      <c r="F112" s="136">
        <f t="shared" si="28"/>
        <v>1.62</v>
      </c>
      <c r="G112" s="136">
        <f t="shared" si="28"/>
        <v>1.62</v>
      </c>
      <c r="H112" s="136">
        <f t="shared" si="28"/>
        <v>1.62</v>
      </c>
      <c r="I112" s="136">
        <f t="shared" si="28"/>
        <v>1.62</v>
      </c>
      <c r="J112" s="136">
        <f t="shared" si="28"/>
        <v>1.62</v>
      </c>
      <c r="K112" s="136">
        <f t="shared" si="28"/>
        <v>1.62</v>
      </c>
      <c r="L112" s="136">
        <f t="shared" si="28"/>
        <v>1.62</v>
      </c>
      <c r="M112" s="136">
        <f t="shared" si="28"/>
        <v>1.62</v>
      </c>
      <c r="N112" s="136">
        <f t="shared" si="28"/>
        <v>1.62</v>
      </c>
      <c r="O112" s="136">
        <f t="shared" si="28"/>
        <v>1.62</v>
      </c>
      <c r="P112" s="136">
        <f t="shared" si="28"/>
        <v>1.62</v>
      </c>
      <c r="Q112" s="136">
        <f t="shared" si="28"/>
        <v>1.62</v>
      </c>
      <c r="R112" s="136">
        <f t="shared" si="28"/>
        <v>1.62</v>
      </c>
      <c r="S112" s="136">
        <f t="shared" si="28"/>
        <v>1.62</v>
      </c>
      <c r="T112" s="136">
        <f t="shared" ref="T112:AF127" si="29">S112</f>
        <v>1.62</v>
      </c>
      <c r="U112" s="136">
        <f t="shared" si="29"/>
        <v>1.62</v>
      </c>
      <c r="V112" s="136">
        <f t="shared" si="29"/>
        <v>1.62</v>
      </c>
      <c r="W112" s="136">
        <f t="shared" si="29"/>
        <v>1.62</v>
      </c>
      <c r="X112" s="136">
        <f t="shared" si="29"/>
        <v>1.62</v>
      </c>
      <c r="Y112" s="136">
        <f t="shared" si="29"/>
        <v>1.62</v>
      </c>
      <c r="Z112" s="136">
        <f t="shared" si="29"/>
        <v>1.62</v>
      </c>
      <c r="AA112" s="136">
        <f t="shared" si="29"/>
        <v>1.62</v>
      </c>
      <c r="AB112" s="136">
        <f t="shared" si="29"/>
        <v>1.62</v>
      </c>
      <c r="AC112" s="136">
        <f t="shared" si="29"/>
        <v>1.62</v>
      </c>
      <c r="AD112" s="136">
        <f t="shared" si="29"/>
        <v>1.62</v>
      </c>
      <c r="AE112" s="136">
        <f t="shared" si="29"/>
        <v>1.62</v>
      </c>
      <c r="AF112" s="136">
        <f t="shared" si="29"/>
        <v>1.62</v>
      </c>
      <c r="AG112" s="139">
        <v>8</v>
      </c>
      <c r="AH112" s="54"/>
      <c r="AI112" s="55"/>
      <c r="AK112" s="56"/>
    </row>
    <row r="113" spans="1:37" x14ac:dyDescent="0.25">
      <c r="A113" s="124" t="s">
        <v>116</v>
      </c>
      <c r="B113" s="136">
        <f t="shared" si="27"/>
        <v>8.36</v>
      </c>
      <c r="C113" s="137">
        <v>8.36</v>
      </c>
      <c r="D113" s="136">
        <f t="shared" si="28"/>
        <v>8.36</v>
      </c>
      <c r="E113" s="136">
        <f t="shared" si="28"/>
        <v>8.36</v>
      </c>
      <c r="F113" s="136">
        <f t="shared" si="28"/>
        <v>8.36</v>
      </c>
      <c r="G113" s="136">
        <f t="shared" si="28"/>
        <v>8.36</v>
      </c>
      <c r="H113" s="136">
        <f t="shared" si="28"/>
        <v>8.36</v>
      </c>
      <c r="I113" s="136">
        <f t="shared" si="28"/>
        <v>8.36</v>
      </c>
      <c r="J113" s="136">
        <f t="shared" si="28"/>
        <v>8.36</v>
      </c>
      <c r="K113" s="136">
        <f t="shared" si="28"/>
        <v>8.36</v>
      </c>
      <c r="L113" s="136">
        <f t="shared" si="28"/>
        <v>8.36</v>
      </c>
      <c r="M113" s="136">
        <f t="shared" si="28"/>
        <v>8.36</v>
      </c>
      <c r="N113" s="136">
        <f t="shared" si="28"/>
        <v>8.36</v>
      </c>
      <c r="O113" s="136">
        <f t="shared" si="28"/>
        <v>8.36</v>
      </c>
      <c r="P113" s="136">
        <f t="shared" si="28"/>
        <v>8.36</v>
      </c>
      <c r="Q113" s="136">
        <f t="shared" si="28"/>
        <v>8.36</v>
      </c>
      <c r="R113" s="136">
        <f t="shared" si="28"/>
        <v>8.36</v>
      </c>
      <c r="S113" s="136">
        <f t="shared" si="28"/>
        <v>8.36</v>
      </c>
      <c r="T113" s="136">
        <f t="shared" si="29"/>
        <v>8.36</v>
      </c>
      <c r="U113" s="136">
        <f t="shared" si="29"/>
        <v>8.36</v>
      </c>
      <c r="V113" s="136">
        <f t="shared" si="29"/>
        <v>8.36</v>
      </c>
      <c r="W113" s="136">
        <f t="shared" si="29"/>
        <v>8.36</v>
      </c>
      <c r="X113" s="136">
        <f t="shared" si="29"/>
        <v>8.36</v>
      </c>
      <c r="Y113" s="136">
        <f t="shared" si="29"/>
        <v>8.36</v>
      </c>
      <c r="Z113" s="136">
        <f t="shared" si="29"/>
        <v>8.36</v>
      </c>
      <c r="AA113" s="136">
        <f t="shared" si="29"/>
        <v>8.36</v>
      </c>
      <c r="AB113" s="136">
        <f t="shared" si="29"/>
        <v>8.36</v>
      </c>
      <c r="AC113" s="136">
        <f t="shared" si="29"/>
        <v>8.36</v>
      </c>
      <c r="AD113" s="136">
        <f t="shared" si="29"/>
        <v>8.36</v>
      </c>
      <c r="AE113" s="136">
        <f t="shared" si="29"/>
        <v>8.36</v>
      </c>
      <c r="AF113" s="136">
        <f t="shared" si="29"/>
        <v>8.36</v>
      </c>
      <c r="AG113" s="139">
        <v>8</v>
      </c>
      <c r="AH113" s="54"/>
      <c r="AI113" s="55"/>
      <c r="AK113" s="56"/>
    </row>
    <row r="114" spans="1:37" x14ac:dyDescent="0.25">
      <c r="A114" s="124" t="s">
        <v>117</v>
      </c>
      <c r="B114" s="136">
        <f t="shared" si="27"/>
        <v>5.4</v>
      </c>
      <c r="C114" s="137">
        <v>8</v>
      </c>
      <c r="D114" s="136">
        <f t="shared" si="28"/>
        <v>8</v>
      </c>
      <c r="E114" s="136">
        <f t="shared" si="28"/>
        <v>8</v>
      </c>
      <c r="F114" s="136">
        <f t="shared" si="28"/>
        <v>8</v>
      </c>
      <c r="G114" s="136">
        <f t="shared" si="28"/>
        <v>8</v>
      </c>
      <c r="H114" s="136">
        <f t="shared" si="28"/>
        <v>8</v>
      </c>
      <c r="I114" s="136">
        <f t="shared" si="28"/>
        <v>8</v>
      </c>
      <c r="J114" s="136">
        <v>5.4</v>
      </c>
      <c r="K114" s="136">
        <f t="shared" si="28"/>
        <v>5.4</v>
      </c>
      <c r="L114" s="136">
        <f t="shared" si="28"/>
        <v>5.4</v>
      </c>
      <c r="M114" s="136">
        <f t="shared" si="28"/>
        <v>5.4</v>
      </c>
      <c r="N114" s="136">
        <f t="shared" si="28"/>
        <v>5.4</v>
      </c>
      <c r="O114" s="136">
        <f t="shared" si="28"/>
        <v>5.4</v>
      </c>
      <c r="P114" s="136">
        <f t="shared" si="28"/>
        <v>5.4</v>
      </c>
      <c r="Q114" s="136">
        <f t="shared" si="28"/>
        <v>5.4</v>
      </c>
      <c r="R114" s="136">
        <f t="shared" si="28"/>
        <v>5.4</v>
      </c>
      <c r="S114" s="136">
        <f t="shared" si="28"/>
        <v>5.4</v>
      </c>
      <c r="T114" s="136">
        <f t="shared" si="29"/>
        <v>5.4</v>
      </c>
      <c r="U114" s="136">
        <f t="shared" si="29"/>
        <v>5.4</v>
      </c>
      <c r="V114" s="136">
        <f t="shared" si="29"/>
        <v>5.4</v>
      </c>
      <c r="W114" s="136">
        <f t="shared" si="29"/>
        <v>5.4</v>
      </c>
      <c r="X114" s="136">
        <f t="shared" si="29"/>
        <v>5.4</v>
      </c>
      <c r="Y114" s="136">
        <f t="shared" si="29"/>
        <v>5.4</v>
      </c>
      <c r="Z114" s="136">
        <f t="shared" si="29"/>
        <v>5.4</v>
      </c>
      <c r="AA114" s="136">
        <f t="shared" si="29"/>
        <v>5.4</v>
      </c>
      <c r="AB114" s="136">
        <f t="shared" si="29"/>
        <v>5.4</v>
      </c>
      <c r="AC114" s="136">
        <f t="shared" si="29"/>
        <v>5.4</v>
      </c>
      <c r="AD114" s="136">
        <f t="shared" si="29"/>
        <v>5.4</v>
      </c>
      <c r="AE114" s="136">
        <f t="shared" si="29"/>
        <v>5.4</v>
      </c>
      <c r="AF114" s="136">
        <f t="shared" si="29"/>
        <v>5.4</v>
      </c>
      <c r="AG114" s="139">
        <v>8</v>
      </c>
      <c r="AH114" s="54"/>
      <c r="AI114" s="55"/>
      <c r="AK114" s="56"/>
    </row>
    <row r="115" spans="1:37" x14ac:dyDescent="0.25">
      <c r="A115" s="124" t="s">
        <v>118</v>
      </c>
      <c r="B115" s="136">
        <f t="shared" si="27"/>
        <v>6.57</v>
      </c>
      <c r="C115" s="137">
        <v>6.57</v>
      </c>
      <c r="D115" s="136">
        <f t="shared" si="28"/>
        <v>6.57</v>
      </c>
      <c r="E115" s="136">
        <f t="shared" si="28"/>
        <v>6.57</v>
      </c>
      <c r="F115" s="136">
        <f t="shared" si="28"/>
        <v>6.57</v>
      </c>
      <c r="G115" s="136">
        <f t="shared" si="28"/>
        <v>6.57</v>
      </c>
      <c r="H115" s="136">
        <f t="shared" si="28"/>
        <v>6.57</v>
      </c>
      <c r="I115" s="136">
        <f t="shared" si="28"/>
        <v>6.57</v>
      </c>
      <c r="J115" s="136">
        <f t="shared" si="28"/>
        <v>6.57</v>
      </c>
      <c r="K115" s="136">
        <f t="shared" si="28"/>
        <v>6.57</v>
      </c>
      <c r="L115" s="136">
        <f t="shared" si="28"/>
        <v>6.57</v>
      </c>
      <c r="M115" s="136">
        <f t="shared" si="28"/>
        <v>6.57</v>
      </c>
      <c r="N115" s="136">
        <f t="shared" si="28"/>
        <v>6.57</v>
      </c>
      <c r="O115" s="136">
        <f t="shared" si="28"/>
        <v>6.57</v>
      </c>
      <c r="P115" s="136">
        <f t="shared" si="28"/>
        <v>6.57</v>
      </c>
      <c r="Q115" s="136">
        <f t="shared" si="28"/>
        <v>6.57</v>
      </c>
      <c r="R115" s="136">
        <f t="shared" si="28"/>
        <v>6.57</v>
      </c>
      <c r="S115" s="136">
        <f t="shared" si="28"/>
        <v>6.57</v>
      </c>
      <c r="T115" s="136">
        <f t="shared" si="29"/>
        <v>6.57</v>
      </c>
      <c r="U115" s="136">
        <f t="shared" si="29"/>
        <v>6.57</v>
      </c>
      <c r="V115" s="136">
        <f t="shared" si="29"/>
        <v>6.57</v>
      </c>
      <c r="W115" s="136">
        <f t="shared" si="29"/>
        <v>6.57</v>
      </c>
      <c r="X115" s="136">
        <f t="shared" si="29"/>
        <v>6.57</v>
      </c>
      <c r="Y115" s="136">
        <f t="shared" si="29"/>
        <v>6.57</v>
      </c>
      <c r="Z115" s="136">
        <f t="shared" si="29"/>
        <v>6.57</v>
      </c>
      <c r="AA115" s="136">
        <f t="shared" si="29"/>
        <v>6.57</v>
      </c>
      <c r="AB115" s="136">
        <f t="shared" si="29"/>
        <v>6.57</v>
      </c>
      <c r="AC115" s="136">
        <f t="shared" si="29"/>
        <v>6.57</v>
      </c>
      <c r="AD115" s="136">
        <f t="shared" si="29"/>
        <v>6.57</v>
      </c>
      <c r="AE115" s="136">
        <f t="shared" si="29"/>
        <v>6.57</v>
      </c>
      <c r="AF115" s="136">
        <f t="shared" si="29"/>
        <v>6.57</v>
      </c>
      <c r="AG115" s="139">
        <v>7.8</v>
      </c>
      <c r="AH115" s="54"/>
      <c r="AI115" s="55"/>
      <c r="AK115" s="56"/>
    </row>
    <row r="116" spans="1:37" x14ac:dyDescent="0.25">
      <c r="A116" s="124" t="s">
        <v>119</v>
      </c>
      <c r="B116" s="136">
        <f t="shared" si="27"/>
        <v>3.43</v>
      </c>
      <c r="C116" s="137">
        <v>3.43</v>
      </c>
      <c r="D116" s="136">
        <f t="shared" si="28"/>
        <v>3.43</v>
      </c>
      <c r="E116" s="136">
        <f t="shared" si="28"/>
        <v>3.43</v>
      </c>
      <c r="F116" s="136">
        <f t="shared" si="28"/>
        <v>3.43</v>
      </c>
      <c r="G116" s="136">
        <f t="shared" si="28"/>
        <v>3.43</v>
      </c>
      <c r="H116" s="136">
        <f t="shared" si="28"/>
        <v>3.43</v>
      </c>
      <c r="I116" s="136">
        <f t="shared" si="28"/>
        <v>3.43</v>
      </c>
      <c r="J116" s="136">
        <f t="shared" si="28"/>
        <v>3.43</v>
      </c>
      <c r="K116" s="136">
        <f t="shared" si="28"/>
        <v>3.43</v>
      </c>
      <c r="L116" s="136">
        <f t="shared" si="28"/>
        <v>3.43</v>
      </c>
      <c r="M116" s="136">
        <f t="shared" si="28"/>
        <v>3.43</v>
      </c>
      <c r="N116" s="136">
        <f t="shared" si="28"/>
        <v>3.43</v>
      </c>
      <c r="O116" s="136">
        <f t="shared" si="28"/>
        <v>3.43</v>
      </c>
      <c r="P116" s="136">
        <f t="shared" si="28"/>
        <v>3.43</v>
      </c>
      <c r="Q116" s="136">
        <f t="shared" si="28"/>
        <v>3.43</v>
      </c>
      <c r="R116" s="136">
        <f t="shared" si="28"/>
        <v>3.43</v>
      </c>
      <c r="S116" s="136">
        <f t="shared" si="28"/>
        <v>3.43</v>
      </c>
      <c r="T116" s="136">
        <f t="shared" si="29"/>
        <v>3.43</v>
      </c>
      <c r="U116" s="136">
        <f t="shared" si="29"/>
        <v>3.43</v>
      </c>
      <c r="V116" s="136">
        <f t="shared" si="29"/>
        <v>3.43</v>
      </c>
      <c r="W116" s="136">
        <f t="shared" si="29"/>
        <v>3.43</v>
      </c>
      <c r="X116" s="136">
        <f t="shared" si="29"/>
        <v>3.43</v>
      </c>
      <c r="Y116" s="136">
        <f t="shared" si="29"/>
        <v>3.43</v>
      </c>
      <c r="Z116" s="136">
        <f t="shared" si="29"/>
        <v>3.43</v>
      </c>
      <c r="AA116" s="136">
        <f t="shared" si="29"/>
        <v>3.43</v>
      </c>
      <c r="AB116" s="136">
        <f t="shared" si="29"/>
        <v>3.43</v>
      </c>
      <c r="AC116" s="136">
        <f t="shared" si="29"/>
        <v>3.43</v>
      </c>
      <c r="AD116" s="136">
        <f t="shared" si="29"/>
        <v>3.43</v>
      </c>
      <c r="AE116" s="136">
        <f t="shared" si="29"/>
        <v>3.43</v>
      </c>
      <c r="AF116" s="136">
        <f t="shared" si="29"/>
        <v>3.43</v>
      </c>
      <c r="AG116" s="139">
        <v>7.6</v>
      </c>
      <c r="AH116" s="54"/>
      <c r="AI116" s="55"/>
      <c r="AK116" s="56"/>
    </row>
    <row r="117" spans="1:37" x14ac:dyDescent="0.25">
      <c r="A117" s="124" t="s">
        <v>120</v>
      </c>
      <c r="B117" s="136">
        <f t="shared" si="27"/>
        <v>2.96</v>
      </c>
      <c r="C117" s="137">
        <v>2.96</v>
      </c>
      <c r="D117" s="136">
        <f t="shared" si="28"/>
        <v>2.96</v>
      </c>
      <c r="E117" s="136">
        <f t="shared" si="28"/>
        <v>2.96</v>
      </c>
      <c r="F117" s="136">
        <f t="shared" si="28"/>
        <v>2.96</v>
      </c>
      <c r="G117" s="136">
        <f t="shared" si="28"/>
        <v>2.96</v>
      </c>
      <c r="H117" s="136">
        <f t="shared" si="28"/>
        <v>2.96</v>
      </c>
      <c r="I117" s="136">
        <f t="shared" si="28"/>
        <v>2.96</v>
      </c>
      <c r="J117" s="136">
        <f t="shared" si="28"/>
        <v>2.96</v>
      </c>
      <c r="K117" s="136">
        <f t="shared" si="28"/>
        <v>2.96</v>
      </c>
      <c r="L117" s="136">
        <f t="shared" si="28"/>
        <v>2.96</v>
      </c>
      <c r="M117" s="136">
        <f t="shared" si="28"/>
        <v>2.96</v>
      </c>
      <c r="N117" s="136">
        <f t="shared" si="28"/>
        <v>2.96</v>
      </c>
      <c r="O117" s="136">
        <f t="shared" si="28"/>
        <v>2.96</v>
      </c>
      <c r="P117" s="136">
        <f t="shared" si="28"/>
        <v>2.96</v>
      </c>
      <c r="Q117" s="136">
        <f t="shared" si="28"/>
        <v>2.96</v>
      </c>
      <c r="R117" s="136">
        <f t="shared" si="28"/>
        <v>2.96</v>
      </c>
      <c r="S117" s="136">
        <f t="shared" si="28"/>
        <v>2.96</v>
      </c>
      <c r="T117" s="136">
        <f t="shared" si="29"/>
        <v>2.96</v>
      </c>
      <c r="U117" s="136">
        <f t="shared" si="29"/>
        <v>2.96</v>
      </c>
      <c r="V117" s="136">
        <f t="shared" si="29"/>
        <v>2.96</v>
      </c>
      <c r="W117" s="136">
        <f t="shared" si="29"/>
        <v>2.96</v>
      </c>
      <c r="X117" s="136">
        <f t="shared" si="29"/>
        <v>2.96</v>
      </c>
      <c r="Y117" s="136">
        <f t="shared" si="29"/>
        <v>2.96</v>
      </c>
      <c r="Z117" s="136">
        <f t="shared" si="29"/>
        <v>2.96</v>
      </c>
      <c r="AA117" s="136">
        <f t="shared" si="29"/>
        <v>2.96</v>
      </c>
      <c r="AB117" s="136">
        <f t="shared" si="29"/>
        <v>2.96</v>
      </c>
      <c r="AC117" s="136">
        <f t="shared" si="29"/>
        <v>2.96</v>
      </c>
      <c r="AD117" s="136">
        <f t="shared" si="29"/>
        <v>2.96</v>
      </c>
      <c r="AE117" s="136">
        <f t="shared" si="29"/>
        <v>2.96</v>
      </c>
      <c r="AF117" s="136">
        <f t="shared" si="29"/>
        <v>2.96</v>
      </c>
      <c r="AG117" s="139">
        <v>7.5</v>
      </c>
      <c r="AH117" s="54"/>
      <c r="AI117" s="55"/>
      <c r="AK117" s="56"/>
    </row>
    <row r="118" spans="1:37" x14ac:dyDescent="0.25">
      <c r="A118" s="124" t="s">
        <v>121</v>
      </c>
      <c r="B118" s="136">
        <f t="shared" si="27"/>
        <v>8</v>
      </c>
      <c r="C118" s="137">
        <v>8</v>
      </c>
      <c r="D118" s="136">
        <f t="shared" si="28"/>
        <v>8</v>
      </c>
      <c r="E118" s="136">
        <f t="shared" si="28"/>
        <v>8</v>
      </c>
      <c r="F118" s="136">
        <f t="shared" si="28"/>
        <v>8</v>
      </c>
      <c r="G118" s="136">
        <f t="shared" si="28"/>
        <v>8</v>
      </c>
      <c r="H118" s="136">
        <f t="shared" si="28"/>
        <v>8</v>
      </c>
      <c r="I118" s="136">
        <f t="shared" si="28"/>
        <v>8</v>
      </c>
      <c r="J118" s="136">
        <f t="shared" si="28"/>
        <v>8</v>
      </c>
      <c r="K118" s="136">
        <f t="shared" si="28"/>
        <v>8</v>
      </c>
      <c r="L118" s="136">
        <f t="shared" si="28"/>
        <v>8</v>
      </c>
      <c r="M118" s="136">
        <f t="shared" si="28"/>
        <v>8</v>
      </c>
      <c r="N118" s="136">
        <f t="shared" si="28"/>
        <v>8</v>
      </c>
      <c r="O118" s="136">
        <f t="shared" si="28"/>
        <v>8</v>
      </c>
      <c r="P118" s="136">
        <f t="shared" si="28"/>
        <v>8</v>
      </c>
      <c r="Q118" s="136">
        <f t="shared" si="28"/>
        <v>8</v>
      </c>
      <c r="R118" s="136">
        <f t="shared" si="28"/>
        <v>8</v>
      </c>
      <c r="S118" s="136">
        <f t="shared" si="28"/>
        <v>8</v>
      </c>
      <c r="T118" s="136">
        <f t="shared" si="29"/>
        <v>8</v>
      </c>
      <c r="U118" s="136">
        <f t="shared" si="29"/>
        <v>8</v>
      </c>
      <c r="V118" s="136">
        <f t="shared" si="29"/>
        <v>8</v>
      </c>
      <c r="W118" s="136">
        <f t="shared" si="29"/>
        <v>8</v>
      </c>
      <c r="X118" s="136">
        <f t="shared" si="29"/>
        <v>8</v>
      </c>
      <c r="Y118" s="136">
        <f t="shared" si="29"/>
        <v>8</v>
      </c>
      <c r="Z118" s="136">
        <f t="shared" si="29"/>
        <v>8</v>
      </c>
      <c r="AA118" s="136">
        <f t="shared" si="29"/>
        <v>8</v>
      </c>
      <c r="AB118" s="136">
        <f t="shared" si="29"/>
        <v>8</v>
      </c>
      <c r="AC118" s="136">
        <f t="shared" si="29"/>
        <v>8</v>
      </c>
      <c r="AD118" s="136">
        <f t="shared" si="29"/>
        <v>8</v>
      </c>
      <c r="AE118" s="136">
        <f t="shared" si="29"/>
        <v>8</v>
      </c>
      <c r="AF118" s="136">
        <f t="shared" si="29"/>
        <v>8</v>
      </c>
      <c r="AG118" s="139">
        <v>7.5</v>
      </c>
      <c r="AH118" s="54"/>
      <c r="AI118" s="55"/>
      <c r="AK118" s="56"/>
    </row>
    <row r="119" spans="1:37" x14ac:dyDescent="0.25">
      <c r="A119" s="124" t="s">
        <v>122</v>
      </c>
      <c r="B119" s="136">
        <f t="shared" si="27"/>
        <v>7</v>
      </c>
      <c r="C119" s="137">
        <v>7</v>
      </c>
      <c r="D119" s="136">
        <f>C119</f>
        <v>7</v>
      </c>
      <c r="E119" s="136">
        <f t="shared" si="28"/>
        <v>7</v>
      </c>
      <c r="F119" s="136">
        <f t="shared" si="28"/>
        <v>7</v>
      </c>
      <c r="G119" s="136">
        <f t="shared" si="28"/>
        <v>7</v>
      </c>
      <c r="H119" s="136">
        <f t="shared" si="28"/>
        <v>7</v>
      </c>
      <c r="I119" s="136">
        <f t="shared" si="28"/>
        <v>7</v>
      </c>
      <c r="J119" s="136">
        <f t="shared" si="28"/>
        <v>7</v>
      </c>
      <c r="K119" s="136">
        <f t="shared" si="28"/>
        <v>7</v>
      </c>
      <c r="L119" s="136">
        <f t="shared" si="28"/>
        <v>7</v>
      </c>
      <c r="M119" s="136">
        <f t="shared" si="28"/>
        <v>7</v>
      </c>
      <c r="N119" s="136">
        <f t="shared" si="28"/>
        <v>7</v>
      </c>
      <c r="O119" s="136">
        <f t="shared" si="28"/>
        <v>7</v>
      </c>
      <c r="P119" s="136">
        <f t="shared" si="28"/>
        <v>7</v>
      </c>
      <c r="Q119" s="136">
        <f t="shared" si="28"/>
        <v>7</v>
      </c>
      <c r="R119" s="136">
        <f t="shared" si="28"/>
        <v>7</v>
      </c>
      <c r="S119" s="136">
        <f t="shared" si="28"/>
        <v>7</v>
      </c>
      <c r="T119" s="136">
        <f t="shared" si="29"/>
        <v>7</v>
      </c>
      <c r="U119" s="136">
        <f t="shared" si="29"/>
        <v>7</v>
      </c>
      <c r="V119" s="136">
        <f t="shared" si="29"/>
        <v>7</v>
      </c>
      <c r="W119" s="136">
        <f t="shared" si="29"/>
        <v>7</v>
      </c>
      <c r="X119" s="136">
        <f t="shared" si="29"/>
        <v>7</v>
      </c>
      <c r="Y119" s="136">
        <f t="shared" si="29"/>
        <v>7</v>
      </c>
      <c r="Z119" s="136">
        <f t="shared" si="29"/>
        <v>7</v>
      </c>
      <c r="AA119" s="136">
        <f t="shared" si="29"/>
        <v>7</v>
      </c>
      <c r="AB119" s="136">
        <f t="shared" si="29"/>
        <v>7</v>
      </c>
      <c r="AC119" s="136">
        <f t="shared" si="29"/>
        <v>7</v>
      </c>
      <c r="AD119" s="136">
        <f t="shared" si="29"/>
        <v>7</v>
      </c>
      <c r="AE119" s="136">
        <f t="shared" si="29"/>
        <v>7</v>
      </c>
      <c r="AF119" s="136">
        <f t="shared" si="29"/>
        <v>7</v>
      </c>
      <c r="AG119" s="139">
        <v>7</v>
      </c>
      <c r="AH119" s="54"/>
      <c r="AI119" s="55"/>
      <c r="AK119" s="56"/>
    </row>
    <row r="120" spans="1:37" x14ac:dyDescent="0.25">
      <c r="A120" s="124" t="s">
        <v>123</v>
      </c>
      <c r="B120" s="136">
        <f t="shared" si="27"/>
        <v>3.47</v>
      </c>
      <c r="C120" s="137">
        <v>3.47</v>
      </c>
      <c r="D120" s="136">
        <f t="shared" ref="D120:S129" si="30">C120</f>
        <v>3.47</v>
      </c>
      <c r="E120" s="136">
        <f t="shared" si="30"/>
        <v>3.47</v>
      </c>
      <c r="F120" s="136">
        <f t="shared" si="30"/>
        <v>3.47</v>
      </c>
      <c r="G120" s="136">
        <f t="shared" si="30"/>
        <v>3.47</v>
      </c>
      <c r="H120" s="136">
        <f t="shared" si="30"/>
        <v>3.47</v>
      </c>
      <c r="I120" s="136">
        <f t="shared" si="30"/>
        <v>3.47</v>
      </c>
      <c r="J120" s="136">
        <f t="shared" si="30"/>
        <v>3.47</v>
      </c>
      <c r="K120" s="136">
        <f t="shared" si="30"/>
        <v>3.47</v>
      </c>
      <c r="L120" s="136">
        <f t="shared" si="30"/>
        <v>3.47</v>
      </c>
      <c r="M120" s="136">
        <f t="shared" si="30"/>
        <v>3.47</v>
      </c>
      <c r="N120" s="136">
        <f t="shared" si="30"/>
        <v>3.47</v>
      </c>
      <c r="O120" s="136">
        <f t="shared" si="30"/>
        <v>3.47</v>
      </c>
      <c r="P120" s="136">
        <f t="shared" si="30"/>
        <v>3.47</v>
      </c>
      <c r="Q120" s="136">
        <f t="shared" si="30"/>
        <v>3.47</v>
      </c>
      <c r="R120" s="136">
        <f t="shared" si="30"/>
        <v>3.47</v>
      </c>
      <c r="S120" s="136">
        <f t="shared" si="30"/>
        <v>3.47</v>
      </c>
      <c r="T120" s="136">
        <f t="shared" si="29"/>
        <v>3.47</v>
      </c>
      <c r="U120" s="136">
        <f t="shared" si="29"/>
        <v>3.47</v>
      </c>
      <c r="V120" s="136">
        <f t="shared" si="29"/>
        <v>3.47</v>
      </c>
      <c r="W120" s="136">
        <f t="shared" si="29"/>
        <v>3.47</v>
      </c>
      <c r="X120" s="136">
        <f t="shared" si="29"/>
        <v>3.47</v>
      </c>
      <c r="Y120" s="136">
        <f t="shared" si="29"/>
        <v>3.47</v>
      </c>
      <c r="Z120" s="136">
        <f t="shared" si="29"/>
        <v>3.47</v>
      </c>
      <c r="AA120" s="136">
        <f t="shared" si="29"/>
        <v>3.47</v>
      </c>
      <c r="AB120" s="136">
        <f t="shared" si="29"/>
        <v>3.47</v>
      </c>
      <c r="AC120" s="136">
        <f t="shared" si="29"/>
        <v>3.47</v>
      </c>
      <c r="AD120" s="136">
        <f t="shared" si="29"/>
        <v>3.47</v>
      </c>
      <c r="AE120" s="136">
        <f t="shared" si="29"/>
        <v>3.47</v>
      </c>
      <c r="AF120" s="136">
        <f t="shared" si="29"/>
        <v>3.47</v>
      </c>
      <c r="AG120" s="139">
        <v>7</v>
      </c>
      <c r="AH120" s="54"/>
      <c r="AI120" s="55"/>
      <c r="AK120" s="56"/>
    </row>
    <row r="121" spans="1:37" x14ac:dyDescent="0.25">
      <c r="A121" s="124" t="s">
        <v>124</v>
      </c>
      <c r="B121" s="136">
        <f t="shared" si="27"/>
        <v>2.1</v>
      </c>
      <c r="C121" s="137">
        <v>2.1</v>
      </c>
      <c r="D121" s="136">
        <f t="shared" si="30"/>
        <v>2.1</v>
      </c>
      <c r="E121" s="136">
        <f t="shared" si="30"/>
        <v>2.1</v>
      </c>
      <c r="F121" s="136">
        <f t="shared" si="30"/>
        <v>2.1</v>
      </c>
      <c r="G121" s="136">
        <f t="shared" si="30"/>
        <v>2.1</v>
      </c>
      <c r="H121" s="136">
        <f t="shared" si="30"/>
        <v>2.1</v>
      </c>
      <c r="I121" s="136">
        <f t="shared" si="30"/>
        <v>2.1</v>
      </c>
      <c r="J121" s="136">
        <f t="shared" si="30"/>
        <v>2.1</v>
      </c>
      <c r="K121" s="136">
        <f t="shared" si="30"/>
        <v>2.1</v>
      </c>
      <c r="L121" s="136">
        <f t="shared" si="30"/>
        <v>2.1</v>
      </c>
      <c r="M121" s="136">
        <f t="shared" si="30"/>
        <v>2.1</v>
      </c>
      <c r="N121" s="136">
        <f t="shared" si="30"/>
        <v>2.1</v>
      </c>
      <c r="O121" s="136">
        <f t="shared" si="30"/>
        <v>2.1</v>
      </c>
      <c r="P121" s="136">
        <f t="shared" si="30"/>
        <v>2.1</v>
      </c>
      <c r="Q121" s="136">
        <f t="shared" si="30"/>
        <v>2.1</v>
      </c>
      <c r="R121" s="136">
        <f t="shared" si="30"/>
        <v>2.1</v>
      </c>
      <c r="S121" s="136">
        <f t="shared" si="30"/>
        <v>2.1</v>
      </c>
      <c r="T121" s="136">
        <f t="shared" si="29"/>
        <v>2.1</v>
      </c>
      <c r="U121" s="136">
        <f t="shared" si="29"/>
        <v>2.1</v>
      </c>
      <c r="V121" s="136">
        <f t="shared" si="29"/>
        <v>2.1</v>
      </c>
      <c r="W121" s="136">
        <f t="shared" si="29"/>
        <v>2.1</v>
      </c>
      <c r="X121" s="136">
        <f t="shared" si="29"/>
        <v>2.1</v>
      </c>
      <c r="Y121" s="136">
        <f t="shared" si="29"/>
        <v>2.1</v>
      </c>
      <c r="Z121" s="136">
        <f t="shared" si="29"/>
        <v>2.1</v>
      </c>
      <c r="AA121" s="136">
        <f t="shared" si="29"/>
        <v>2.1</v>
      </c>
      <c r="AB121" s="136">
        <f t="shared" si="29"/>
        <v>2.1</v>
      </c>
      <c r="AC121" s="136">
        <f t="shared" si="29"/>
        <v>2.1</v>
      </c>
      <c r="AD121" s="136">
        <f t="shared" si="29"/>
        <v>2.1</v>
      </c>
      <c r="AE121" s="136">
        <f t="shared" si="29"/>
        <v>2.1</v>
      </c>
      <c r="AF121" s="136">
        <f t="shared" si="29"/>
        <v>2.1</v>
      </c>
      <c r="AG121" s="139">
        <v>7</v>
      </c>
      <c r="AH121" s="54"/>
      <c r="AI121" s="55"/>
      <c r="AK121" s="56"/>
    </row>
    <row r="122" spans="1:37" x14ac:dyDescent="0.25">
      <c r="A122" s="124" t="s">
        <v>125</v>
      </c>
      <c r="B122" s="136">
        <f t="shared" si="27"/>
        <v>9.3000000000000007</v>
      </c>
      <c r="C122" s="137">
        <v>9.3000000000000007</v>
      </c>
      <c r="D122" s="136">
        <f t="shared" si="30"/>
        <v>9.3000000000000007</v>
      </c>
      <c r="E122" s="136">
        <f t="shared" si="30"/>
        <v>9.3000000000000007</v>
      </c>
      <c r="F122" s="136">
        <f t="shared" si="30"/>
        <v>9.3000000000000007</v>
      </c>
      <c r="G122" s="136">
        <f t="shared" si="30"/>
        <v>9.3000000000000007</v>
      </c>
      <c r="H122" s="136">
        <f t="shared" si="30"/>
        <v>9.3000000000000007</v>
      </c>
      <c r="I122" s="136">
        <f t="shared" si="30"/>
        <v>9.3000000000000007</v>
      </c>
      <c r="J122" s="136">
        <f t="shared" si="30"/>
        <v>9.3000000000000007</v>
      </c>
      <c r="K122" s="136">
        <f t="shared" si="30"/>
        <v>9.3000000000000007</v>
      </c>
      <c r="L122" s="136">
        <f t="shared" si="30"/>
        <v>9.3000000000000007</v>
      </c>
      <c r="M122" s="136">
        <f t="shared" si="30"/>
        <v>9.3000000000000007</v>
      </c>
      <c r="N122" s="136">
        <f t="shared" si="30"/>
        <v>9.3000000000000007</v>
      </c>
      <c r="O122" s="136">
        <f t="shared" si="30"/>
        <v>9.3000000000000007</v>
      </c>
      <c r="P122" s="136">
        <f t="shared" si="30"/>
        <v>9.3000000000000007</v>
      </c>
      <c r="Q122" s="136">
        <f t="shared" si="30"/>
        <v>9.3000000000000007</v>
      </c>
      <c r="R122" s="136">
        <f t="shared" si="30"/>
        <v>9.3000000000000007</v>
      </c>
      <c r="S122" s="136">
        <f t="shared" si="30"/>
        <v>9.3000000000000007</v>
      </c>
      <c r="T122" s="136">
        <f t="shared" si="29"/>
        <v>9.3000000000000007</v>
      </c>
      <c r="U122" s="136">
        <f t="shared" si="29"/>
        <v>9.3000000000000007</v>
      </c>
      <c r="V122" s="136">
        <f t="shared" si="29"/>
        <v>9.3000000000000007</v>
      </c>
      <c r="W122" s="136">
        <f t="shared" si="29"/>
        <v>9.3000000000000007</v>
      </c>
      <c r="X122" s="136">
        <f t="shared" si="29"/>
        <v>9.3000000000000007</v>
      </c>
      <c r="Y122" s="136">
        <f t="shared" si="29"/>
        <v>9.3000000000000007</v>
      </c>
      <c r="Z122" s="136">
        <f t="shared" si="29"/>
        <v>9.3000000000000007</v>
      </c>
      <c r="AA122" s="136">
        <f t="shared" si="29"/>
        <v>9.3000000000000007</v>
      </c>
      <c r="AB122" s="136">
        <f t="shared" si="29"/>
        <v>9.3000000000000007</v>
      </c>
      <c r="AC122" s="136">
        <f t="shared" si="29"/>
        <v>9.3000000000000007</v>
      </c>
      <c r="AD122" s="136">
        <f t="shared" si="29"/>
        <v>9.3000000000000007</v>
      </c>
      <c r="AE122" s="136">
        <f t="shared" si="29"/>
        <v>9.3000000000000007</v>
      </c>
      <c r="AF122" s="136">
        <f t="shared" si="29"/>
        <v>9.3000000000000007</v>
      </c>
      <c r="AG122" s="139">
        <v>7</v>
      </c>
      <c r="AH122" s="54"/>
      <c r="AI122" s="55"/>
      <c r="AK122" s="56"/>
    </row>
    <row r="123" spans="1:37" x14ac:dyDescent="0.25">
      <c r="A123" s="124" t="s">
        <v>126</v>
      </c>
      <c r="B123" s="136">
        <f t="shared" si="27"/>
        <v>0</v>
      </c>
      <c r="C123" s="137">
        <v>0</v>
      </c>
      <c r="D123" s="136">
        <f t="shared" si="30"/>
        <v>0</v>
      </c>
      <c r="E123" s="136">
        <f t="shared" si="30"/>
        <v>0</v>
      </c>
      <c r="F123" s="136">
        <f t="shared" si="30"/>
        <v>0</v>
      </c>
      <c r="G123" s="136">
        <f t="shared" si="30"/>
        <v>0</v>
      </c>
      <c r="H123" s="136">
        <f t="shared" si="30"/>
        <v>0</v>
      </c>
      <c r="I123" s="136">
        <f t="shared" si="30"/>
        <v>0</v>
      </c>
      <c r="J123" s="136">
        <f t="shared" si="30"/>
        <v>0</v>
      </c>
      <c r="K123" s="136">
        <f t="shared" si="30"/>
        <v>0</v>
      </c>
      <c r="L123" s="136">
        <f t="shared" si="30"/>
        <v>0</v>
      </c>
      <c r="M123" s="136">
        <f t="shared" si="30"/>
        <v>0</v>
      </c>
      <c r="N123" s="136">
        <f t="shared" si="30"/>
        <v>0</v>
      </c>
      <c r="O123" s="136">
        <f t="shared" si="30"/>
        <v>0</v>
      </c>
      <c r="P123" s="136">
        <f t="shared" si="30"/>
        <v>0</v>
      </c>
      <c r="Q123" s="136">
        <f t="shared" si="30"/>
        <v>0</v>
      </c>
      <c r="R123" s="136">
        <f t="shared" si="30"/>
        <v>0</v>
      </c>
      <c r="S123" s="136">
        <f t="shared" si="30"/>
        <v>0</v>
      </c>
      <c r="T123" s="136">
        <f t="shared" si="29"/>
        <v>0</v>
      </c>
      <c r="U123" s="136">
        <f t="shared" si="29"/>
        <v>0</v>
      </c>
      <c r="V123" s="136">
        <f t="shared" si="29"/>
        <v>0</v>
      </c>
      <c r="W123" s="136">
        <f t="shared" si="29"/>
        <v>0</v>
      </c>
      <c r="X123" s="136">
        <f t="shared" si="29"/>
        <v>0</v>
      </c>
      <c r="Y123" s="136">
        <f t="shared" si="29"/>
        <v>0</v>
      </c>
      <c r="Z123" s="136">
        <f t="shared" si="29"/>
        <v>0</v>
      </c>
      <c r="AA123" s="136">
        <f t="shared" si="29"/>
        <v>0</v>
      </c>
      <c r="AB123" s="136">
        <f t="shared" si="29"/>
        <v>0</v>
      </c>
      <c r="AC123" s="136">
        <f t="shared" si="29"/>
        <v>0</v>
      </c>
      <c r="AD123" s="136">
        <f t="shared" si="29"/>
        <v>0</v>
      </c>
      <c r="AE123" s="136">
        <f t="shared" si="29"/>
        <v>0</v>
      </c>
      <c r="AF123" s="136">
        <f t="shared" si="29"/>
        <v>0</v>
      </c>
      <c r="AG123" s="139">
        <v>6.6</v>
      </c>
      <c r="AH123" s="54"/>
      <c r="AI123" s="55"/>
      <c r="AK123" s="56"/>
    </row>
    <row r="124" spans="1:37" x14ac:dyDescent="0.25">
      <c r="A124" s="124" t="s">
        <v>127</v>
      </c>
      <c r="B124" s="136">
        <f t="shared" si="27"/>
        <v>0</v>
      </c>
      <c r="C124" s="137">
        <v>0</v>
      </c>
      <c r="D124" s="136">
        <f t="shared" si="30"/>
        <v>0</v>
      </c>
      <c r="E124" s="136">
        <f t="shared" si="30"/>
        <v>0</v>
      </c>
      <c r="F124" s="136">
        <f t="shared" si="30"/>
        <v>0</v>
      </c>
      <c r="G124" s="136">
        <f t="shared" si="30"/>
        <v>0</v>
      </c>
      <c r="H124" s="136">
        <f t="shared" si="30"/>
        <v>0</v>
      </c>
      <c r="I124" s="136">
        <f t="shared" si="30"/>
        <v>0</v>
      </c>
      <c r="J124" s="136">
        <f t="shared" si="30"/>
        <v>0</v>
      </c>
      <c r="K124" s="136">
        <f t="shared" si="30"/>
        <v>0</v>
      </c>
      <c r="L124" s="136">
        <f t="shared" si="30"/>
        <v>0</v>
      </c>
      <c r="M124" s="136">
        <f t="shared" si="30"/>
        <v>0</v>
      </c>
      <c r="N124" s="136">
        <f t="shared" si="30"/>
        <v>0</v>
      </c>
      <c r="O124" s="136">
        <f t="shared" si="30"/>
        <v>0</v>
      </c>
      <c r="P124" s="136">
        <f t="shared" si="30"/>
        <v>0</v>
      </c>
      <c r="Q124" s="136">
        <f t="shared" si="30"/>
        <v>0</v>
      </c>
      <c r="R124" s="136">
        <f t="shared" si="30"/>
        <v>0</v>
      </c>
      <c r="S124" s="136">
        <f t="shared" si="30"/>
        <v>0</v>
      </c>
      <c r="T124" s="136">
        <f t="shared" si="29"/>
        <v>0</v>
      </c>
      <c r="U124" s="136">
        <f t="shared" si="29"/>
        <v>0</v>
      </c>
      <c r="V124" s="136">
        <f t="shared" si="29"/>
        <v>0</v>
      </c>
      <c r="W124" s="136">
        <f t="shared" si="29"/>
        <v>0</v>
      </c>
      <c r="X124" s="136">
        <f t="shared" si="29"/>
        <v>0</v>
      </c>
      <c r="Y124" s="136">
        <f t="shared" si="29"/>
        <v>0</v>
      </c>
      <c r="Z124" s="136">
        <f t="shared" si="29"/>
        <v>0</v>
      </c>
      <c r="AA124" s="136">
        <f t="shared" si="29"/>
        <v>0</v>
      </c>
      <c r="AB124" s="136">
        <f t="shared" si="29"/>
        <v>0</v>
      </c>
      <c r="AC124" s="136">
        <f t="shared" si="29"/>
        <v>0</v>
      </c>
      <c r="AD124" s="136">
        <f t="shared" si="29"/>
        <v>0</v>
      </c>
      <c r="AE124" s="136">
        <f t="shared" si="29"/>
        <v>0</v>
      </c>
      <c r="AF124" s="136">
        <f t="shared" si="29"/>
        <v>0</v>
      </c>
      <c r="AG124" s="139">
        <v>6.6</v>
      </c>
      <c r="AH124" s="54"/>
      <c r="AI124" s="55"/>
      <c r="AK124" s="56"/>
    </row>
    <row r="125" spans="1:37" x14ac:dyDescent="0.25">
      <c r="A125" s="124" t="s">
        <v>128</v>
      </c>
      <c r="B125" s="136">
        <f t="shared" si="27"/>
        <v>5</v>
      </c>
      <c r="C125" s="137">
        <v>5</v>
      </c>
      <c r="D125" s="136">
        <f t="shared" si="30"/>
        <v>5</v>
      </c>
      <c r="E125" s="136">
        <f t="shared" si="30"/>
        <v>5</v>
      </c>
      <c r="F125" s="136">
        <f t="shared" si="30"/>
        <v>5</v>
      </c>
      <c r="G125" s="136">
        <f t="shared" si="30"/>
        <v>5</v>
      </c>
      <c r="H125" s="136">
        <f t="shared" si="30"/>
        <v>5</v>
      </c>
      <c r="I125" s="136">
        <f t="shared" si="30"/>
        <v>5</v>
      </c>
      <c r="J125" s="136">
        <f t="shared" si="30"/>
        <v>5</v>
      </c>
      <c r="K125" s="136">
        <f t="shared" si="30"/>
        <v>5</v>
      </c>
      <c r="L125" s="136">
        <f t="shared" si="30"/>
        <v>5</v>
      </c>
      <c r="M125" s="136">
        <f t="shared" si="30"/>
        <v>5</v>
      </c>
      <c r="N125" s="136">
        <f t="shared" si="30"/>
        <v>5</v>
      </c>
      <c r="O125" s="136">
        <f t="shared" si="30"/>
        <v>5</v>
      </c>
      <c r="P125" s="136">
        <f t="shared" si="30"/>
        <v>5</v>
      </c>
      <c r="Q125" s="136">
        <f t="shared" si="30"/>
        <v>5</v>
      </c>
      <c r="R125" s="136">
        <f t="shared" si="30"/>
        <v>5</v>
      </c>
      <c r="S125" s="136">
        <f t="shared" si="30"/>
        <v>5</v>
      </c>
      <c r="T125" s="136">
        <f t="shared" si="29"/>
        <v>5</v>
      </c>
      <c r="U125" s="136">
        <f t="shared" si="29"/>
        <v>5</v>
      </c>
      <c r="V125" s="136">
        <f t="shared" si="29"/>
        <v>5</v>
      </c>
      <c r="W125" s="136">
        <f t="shared" si="29"/>
        <v>5</v>
      </c>
      <c r="X125" s="136">
        <f t="shared" si="29"/>
        <v>5</v>
      </c>
      <c r="Y125" s="136">
        <f t="shared" si="29"/>
        <v>5</v>
      </c>
      <c r="Z125" s="136">
        <f t="shared" si="29"/>
        <v>5</v>
      </c>
      <c r="AA125" s="136">
        <f t="shared" si="29"/>
        <v>5</v>
      </c>
      <c r="AB125" s="136">
        <f t="shared" si="29"/>
        <v>5</v>
      </c>
      <c r="AC125" s="136">
        <f t="shared" si="29"/>
        <v>5</v>
      </c>
      <c r="AD125" s="136">
        <f t="shared" si="29"/>
        <v>5</v>
      </c>
      <c r="AE125" s="136">
        <f t="shared" si="29"/>
        <v>5</v>
      </c>
      <c r="AF125" s="136">
        <f t="shared" si="29"/>
        <v>5</v>
      </c>
      <c r="AG125" s="139">
        <v>6.4</v>
      </c>
      <c r="AH125" s="54"/>
      <c r="AI125" s="55"/>
      <c r="AK125" s="56"/>
    </row>
    <row r="126" spans="1:37" x14ac:dyDescent="0.25">
      <c r="A126" s="124" t="s">
        <v>129</v>
      </c>
      <c r="B126" s="136">
        <f t="shared" si="27"/>
        <v>1</v>
      </c>
      <c r="C126" s="137">
        <v>1</v>
      </c>
      <c r="D126" s="136">
        <f t="shared" si="30"/>
        <v>1</v>
      </c>
      <c r="E126" s="136">
        <f t="shared" si="30"/>
        <v>1</v>
      </c>
      <c r="F126" s="136">
        <f t="shared" si="30"/>
        <v>1</v>
      </c>
      <c r="G126" s="136">
        <f t="shared" si="30"/>
        <v>1</v>
      </c>
      <c r="H126" s="136">
        <f t="shared" si="30"/>
        <v>1</v>
      </c>
      <c r="I126" s="136">
        <f t="shared" si="30"/>
        <v>1</v>
      </c>
      <c r="J126" s="136">
        <f t="shared" si="30"/>
        <v>1</v>
      </c>
      <c r="K126" s="136">
        <f t="shared" si="30"/>
        <v>1</v>
      </c>
      <c r="L126" s="136">
        <f t="shared" si="30"/>
        <v>1</v>
      </c>
      <c r="M126" s="136">
        <f t="shared" si="30"/>
        <v>1</v>
      </c>
      <c r="N126" s="136">
        <f t="shared" si="30"/>
        <v>1</v>
      </c>
      <c r="O126" s="136">
        <f t="shared" si="30"/>
        <v>1</v>
      </c>
      <c r="P126" s="136">
        <f t="shared" si="30"/>
        <v>1</v>
      </c>
      <c r="Q126" s="136">
        <f t="shared" si="30"/>
        <v>1</v>
      </c>
      <c r="R126" s="136">
        <f t="shared" si="30"/>
        <v>1</v>
      </c>
      <c r="S126" s="136">
        <f t="shared" si="30"/>
        <v>1</v>
      </c>
      <c r="T126" s="136">
        <f t="shared" si="29"/>
        <v>1</v>
      </c>
      <c r="U126" s="136">
        <f t="shared" si="29"/>
        <v>1</v>
      </c>
      <c r="V126" s="136">
        <f t="shared" si="29"/>
        <v>1</v>
      </c>
      <c r="W126" s="136">
        <f t="shared" si="29"/>
        <v>1</v>
      </c>
      <c r="X126" s="136">
        <f t="shared" si="29"/>
        <v>1</v>
      </c>
      <c r="Y126" s="136">
        <f t="shared" si="29"/>
        <v>1</v>
      </c>
      <c r="Z126" s="136">
        <f t="shared" si="29"/>
        <v>1</v>
      </c>
      <c r="AA126" s="136">
        <f t="shared" si="29"/>
        <v>1</v>
      </c>
      <c r="AB126" s="136">
        <f t="shared" si="29"/>
        <v>1</v>
      </c>
      <c r="AC126" s="136">
        <f t="shared" si="29"/>
        <v>1</v>
      </c>
      <c r="AD126" s="136">
        <f t="shared" si="29"/>
        <v>1</v>
      </c>
      <c r="AE126" s="136">
        <f t="shared" si="29"/>
        <v>1</v>
      </c>
      <c r="AF126" s="136">
        <f t="shared" si="29"/>
        <v>1</v>
      </c>
      <c r="AG126" s="139">
        <v>6</v>
      </c>
      <c r="AH126" s="54"/>
      <c r="AI126" s="55"/>
      <c r="AK126" s="56"/>
    </row>
    <row r="127" spans="1:37" x14ac:dyDescent="0.25">
      <c r="A127" s="124" t="s">
        <v>130</v>
      </c>
      <c r="B127" s="136">
        <f t="shared" si="27"/>
        <v>1.58</v>
      </c>
      <c r="C127" s="137">
        <v>1.58</v>
      </c>
      <c r="D127" s="136">
        <f t="shared" si="30"/>
        <v>1.58</v>
      </c>
      <c r="E127" s="136">
        <f t="shared" si="30"/>
        <v>1.58</v>
      </c>
      <c r="F127" s="136">
        <f t="shared" si="30"/>
        <v>1.58</v>
      </c>
      <c r="G127" s="136">
        <f t="shared" si="30"/>
        <v>1.58</v>
      </c>
      <c r="H127" s="136">
        <f t="shared" si="30"/>
        <v>1.58</v>
      </c>
      <c r="I127" s="136">
        <f t="shared" si="30"/>
        <v>1.58</v>
      </c>
      <c r="J127" s="136">
        <f t="shared" si="30"/>
        <v>1.58</v>
      </c>
      <c r="K127" s="136">
        <f t="shared" si="30"/>
        <v>1.58</v>
      </c>
      <c r="L127" s="136">
        <f t="shared" si="30"/>
        <v>1.58</v>
      </c>
      <c r="M127" s="136">
        <f t="shared" si="30"/>
        <v>1.58</v>
      </c>
      <c r="N127" s="136">
        <f t="shared" si="30"/>
        <v>1.58</v>
      </c>
      <c r="O127" s="136">
        <f t="shared" si="30"/>
        <v>1.58</v>
      </c>
      <c r="P127" s="136">
        <f t="shared" si="30"/>
        <v>1.58</v>
      </c>
      <c r="Q127" s="136">
        <f t="shared" si="30"/>
        <v>1.58</v>
      </c>
      <c r="R127" s="136">
        <f t="shared" si="30"/>
        <v>1.58</v>
      </c>
      <c r="S127" s="136">
        <f t="shared" si="30"/>
        <v>1.58</v>
      </c>
      <c r="T127" s="136">
        <f t="shared" si="29"/>
        <v>1.58</v>
      </c>
      <c r="U127" s="136">
        <f t="shared" si="29"/>
        <v>1.58</v>
      </c>
      <c r="V127" s="136">
        <f t="shared" si="29"/>
        <v>1.58</v>
      </c>
      <c r="W127" s="136">
        <f t="shared" si="29"/>
        <v>1.58</v>
      </c>
      <c r="X127" s="136">
        <f t="shared" si="29"/>
        <v>1.58</v>
      </c>
      <c r="Y127" s="136">
        <f t="shared" si="29"/>
        <v>1.58</v>
      </c>
      <c r="Z127" s="136">
        <f t="shared" si="29"/>
        <v>1.58</v>
      </c>
      <c r="AA127" s="136">
        <f t="shared" si="29"/>
        <v>1.58</v>
      </c>
      <c r="AB127" s="136">
        <f t="shared" si="29"/>
        <v>1.58</v>
      </c>
      <c r="AC127" s="136">
        <f t="shared" si="29"/>
        <v>1.58</v>
      </c>
      <c r="AD127" s="136">
        <f t="shared" si="29"/>
        <v>1.58</v>
      </c>
      <c r="AE127" s="136">
        <f t="shared" si="29"/>
        <v>1.58</v>
      </c>
      <c r="AF127" s="136">
        <f t="shared" si="29"/>
        <v>1.58</v>
      </c>
      <c r="AG127" s="139">
        <v>5.0999999999999996</v>
      </c>
      <c r="AH127" s="54"/>
      <c r="AI127" s="55"/>
      <c r="AK127" s="56"/>
    </row>
    <row r="128" spans="1:37" x14ac:dyDescent="0.25">
      <c r="A128" s="124" t="s">
        <v>131</v>
      </c>
      <c r="B128" s="136">
        <f t="shared" si="27"/>
        <v>1.46</v>
      </c>
      <c r="C128" s="137">
        <v>1.46</v>
      </c>
      <c r="D128" s="136">
        <f t="shared" si="30"/>
        <v>1.46</v>
      </c>
      <c r="E128" s="136">
        <f t="shared" si="30"/>
        <v>1.46</v>
      </c>
      <c r="F128" s="136">
        <f t="shared" si="30"/>
        <v>1.46</v>
      </c>
      <c r="G128" s="136">
        <f t="shared" si="30"/>
        <v>1.46</v>
      </c>
      <c r="H128" s="136">
        <f t="shared" si="30"/>
        <v>1.46</v>
      </c>
      <c r="I128" s="136">
        <f t="shared" si="30"/>
        <v>1.46</v>
      </c>
      <c r="J128" s="136">
        <f t="shared" si="30"/>
        <v>1.46</v>
      </c>
      <c r="K128" s="136">
        <f t="shared" si="30"/>
        <v>1.46</v>
      </c>
      <c r="L128" s="136">
        <f t="shared" si="30"/>
        <v>1.46</v>
      </c>
      <c r="M128" s="136">
        <f t="shared" si="30"/>
        <v>1.46</v>
      </c>
      <c r="N128" s="136">
        <f t="shared" si="30"/>
        <v>1.46</v>
      </c>
      <c r="O128" s="136">
        <f t="shared" si="30"/>
        <v>1.46</v>
      </c>
      <c r="P128" s="136">
        <f t="shared" si="30"/>
        <v>1.46</v>
      </c>
      <c r="Q128" s="136">
        <f t="shared" si="30"/>
        <v>1.46</v>
      </c>
      <c r="R128" s="136">
        <f t="shared" si="30"/>
        <v>1.46</v>
      </c>
      <c r="S128" s="136">
        <f t="shared" si="30"/>
        <v>1.46</v>
      </c>
      <c r="T128" s="136">
        <f t="shared" ref="T128:AF129" si="31">S128</f>
        <v>1.46</v>
      </c>
      <c r="U128" s="136">
        <f t="shared" si="31"/>
        <v>1.46</v>
      </c>
      <c r="V128" s="136">
        <f t="shared" si="31"/>
        <v>1.46</v>
      </c>
      <c r="W128" s="136">
        <f t="shared" si="31"/>
        <v>1.46</v>
      </c>
      <c r="X128" s="136">
        <f t="shared" si="31"/>
        <v>1.46</v>
      </c>
      <c r="Y128" s="136">
        <f t="shared" si="31"/>
        <v>1.46</v>
      </c>
      <c r="Z128" s="136">
        <f t="shared" si="31"/>
        <v>1.46</v>
      </c>
      <c r="AA128" s="136">
        <f t="shared" si="31"/>
        <v>1.46</v>
      </c>
      <c r="AB128" s="136">
        <f t="shared" si="31"/>
        <v>1.46</v>
      </c>
      <c r="AC128" s="136">
        <f t="shared" si="31"/>
        <v>1.46</v>
      </c>
      <c r="AD128" s="136">
        <f t="shared" si="31"/>
        <v>1.46</v>
      </c>
      <c r="AE128" s="136">
        <f t="shared" si="31"/>
        <v>1.46</v>
      </c>
      <c r="AF128" s="136">
        <f t="shared" si="31"/>
        <v>1.46</v>
      </c>
      <c r="AG128" s="139">
        <v>5</v>
      </c>
      <c r="AH128" s="54"/>
      <c r="AI128" s="55"/>
      <c r="AK128" s="56"/>
    </row>
    <row r="129" spans="1:37" x14ac:dyDescent="0.25">
      <c r="A129" s="122" t="s">
        <v>132</v>
      </c>
      <c r="B129" s="136">
        <f t="shared" si="27"/>
        <v>1.48</v>
      </c>
      <c r="C129" s="137">
        <v>1.48</v>
      </c>
      <c r="D129" s="136">
        <f t="shared" si="30"/>
        <v>1.48</v>
      </c>
      <c r="E129" s="136">
        <f t="shared" si="30"/>
        <v>1.48</v>
      </c>
      <c r="F129" s="136">
        <f t="shared" si="30"/>
        <v>1.48</v>
      </c>
      <c r="G129" s="136">
        <f t="shared" si="30"/>
        <v>1.48</v>
      </c>
      <c r="H129" s="136">
        <f t="shared" si="30"/>
        <v>1.48</v>
      </c>
      <c r="I129" s="136">
        <f t="shared" si="30"/>
        <v>1.48</v>
      </c>
      <c r="J129" s="136">
        <f t="shared" si="30"/>
        <v>1.48</v>
      </c>
      <c r="K129" s="136">
        <f t="shared" si="30"/>
        <v>1.48</v>
      </c>
      <c r="L129" s="136">
        <f t="shared" si="30"/>
        <v>1.48</v>
      </c>
      <c r="M129" s="136">
        <f t="shared" si="30"/>
        <v>1.48</v>
      </c>
      <c r="N129" s="136">
        <f t="shared" si="30"/>
        <v>1.48</v>
      </c>
      <c r="O129" s="136">
        <f t="shared" si="30"/>
        <v>1.48</v>
      </c>
      <c r="P129" s="136">
        <f t="shared" si="30"/>
        <v>1.48</v>
      </c>
      <c r="Q129" s="136">
        <f t="shared" si="30"/>
        <v>1.48</v>
      </c>
      <c r="R129" s="136">
        <f t="shared" si="30"/>
        <v>1.48</v>
      </c>
      <c r="S129" s="136">
        <f t="shared" si="30"/>
        <v>1.48</v>
      </c>
      <c r="T129" s="136">
        <f t="shared" si="31"/>
        <v>1.48</v>
      </c>
      <c r="U129" s="136">
        <f t="shared" si="31"/>
        <v>1.48</v>
      </c>
      <c r="V129" s="136">
        <f t="shared" si="31"/>
        <v>1.48</v>
      </c>
      <c r="W129" s="136">
        <f t="shared" si="31"/>
        <v>1.48</v>
      </c>
      <c r="X129" s="136">
        <f t="shared" si="31"/>
        <v>1.48</v>
      </c>
      <c r="Y129" s="136">
        <f t="shared" si="31"/>
        <v>1.48</v>
      </c>
      <c r="Z129" s="136">
        <f t="shared" si="31"/>
        <v>1.48</v>
      </c>
      <c r="AA129" s="136">
        <f t="shared" si="31"/>
        <v>1.48</v>
      </c>
      <c r="AB129" s="136">
        <f t="shared" si="31"/>
        <v>1.48</v>
      </c>
      <c r="AC129" s="136">
        <f t="shared" si="31"/>
        <v>1.48</v>
      </c>
      <c r="AD129" s="136">
        <f t="shared" si="31"/>
        <v>1.48</v>
      </c>
      <c r="AE129" s="136">
        <f t="shared" si="31"/>
        <v>1.48</v>
      </c>
      <c r="AF129" s="136">
        <f t="shared" si="31"/>
        <v>1.48</v>
      </c>
      <c r="AG129" s="138">
        <v>5</v>
      </c>
      <c r="AH129" s="54"/>
      <c r="AI129" s="55"/>
      <c r="AK129" s="56"/>
    </row>
    <row r="130" spans="1:37" x14ac:dyDescent="0.25">
      <c r="A130" s="124" t="s">
        <v>133</v>
      </c>
      <c r="B130" s="136"/>
      <c r="C130" s="137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9">
        <v>5</v>
      </c>
      <c r="AH130" s="54"/>
      <c r="AI130" s="55"/>
      <c r="AK130" s="56"/>
    </row>
    <row r="131" spans="1:37" x14ac:dyDescent="0.25">
      <c r="A131" s="124" t="s">
        <v>134</v>
      </c>
      <c r="B131" s="136">
        <f t="shared" ref="B131:B138" si="32">AF131</f>
        <v>2.2000000000000002</v>
      </c>
      <c r="C131" s="137">
        <v>2.2000000000000002</v>
      </c>
      <c r="D131" s="136">
        <f t="shared" ref="D131:S138" si="33">C131</f>
        <v>2.2000000000000002</v>
      </c>
      <c r="E131" s="136">
        <f t="shared" si="33"/>
        <v>2.2000000000000002</v>
      </c>
      <c r="F131" s="136">
        <f t="shared" si="33"/>
        <v>2.2000000000000002</v>
      </c>
      <c r="G131" s="136">
        <f t="shared" si="33"/>
        <v>2.2000000000000002</v>
      </c>
      <c r="H131" s="136">
        <f t="shared" si="33"/>
        <v>2.2000000000000002</v>
      </c>
      <c r="I131" s="136">
        <f t="shared" si="33"/>
        <v>2.2000000000000002</v>
      </c>
      <c r="J131" s="136">
        <f t="shared" si="33"/>
        <v>2.2000000000000002</v>
      </c>
      <c r="K131" s="136">
        <f t="shared" si="33"/>
        <v>2.2000000000000002</v>
      </c>
      <c r="L131" s="136">
        <f t="shared" si="33"/>
        <v>2.2000000000000002</v>
      </c>
      <c r="M131" s="136">
        <f t="shared" si="33"/>
        <v>2.2000000000000002</v>
      </c>
      <c r="N131" s="136">
        <f t="shared" si="33"/>
        <v>2.2000000000000002</v>
      </c>
      <c r="O131" s="136">
        <f t="shared" si="33"/>
        <v>2.2000000000000002</v>
      </c>
      <c r="P131" s="136">
        <f t="shared" si="33"/>
        <v>2.2000000000000002</v>
      </c>
      <c r="Q131" s="136">
        <f t="shared" si="33"/>
        <v>2.2000000000000002</v>
      </c>
      <c r="R131" s="136">
        <f t="shared" si="33"/>
        <v>2.2000000000000002</v>
      </c>
      <c r="S131" s="136">
        <f t="shared" si="33"/>
        <v>2.2000000000000002</v>
      </c>
      <c r="T131" s="136">
        <f t="shared" ref="T131:AF138" si="34">S131</f>
        <v>2.2000000000000002</v>
      </c>
      <c r="U131" s="136">
        <f t="shared" si="34"/>
        <v>2.2000000000000002</v>
      </c>
      <c r="V131" s="136">
        <f t="shared" si="34"/>
        <v>2.2000000000000002</v>
      </c>
      <c r="W131" s="136">
        <f t="shared" si="34"/>
        <v>2.2000000000000002</v>
      </c>
      <c r="X131" s="136">
        <f t="shared" si="34"/>
        <v>2.2000000000000002</v>
      </c>
      <c r="Y131" s="136">
        <f t="shared" si="34"/>
        <v>2.2000000000000002</v>
      </c>
      <c r="Z131" s="136">
        <f t="shared" si="34"/>
        <v>2.2000000000000002</v>
      </c>
      <c r="AA131" s="136">
        <f t="shared" si="34"/>
        <v>2.2000000000000002</v>
      </c>
      <c r="AB131" s="136">
        <f t="shared" si="34"/>
        <v>2.2000000000000002</v>
      </c>
      <c r="AC131" s="136">
        <f t="shared" si="34"/>
        <v>2.2000000000000002</v>
      </c>
      <c r="AD131" s="136">
        <f t="shared" si="34"/>
        <v>2.2000000000000002</v>
      </c>
      <c r="AE131" s="136">
        <f t="shared" si="34"/>
        <v>2.2000000000000002</v>
      </c>
      <c r="AF131" s="136">
        <f t="shared" si="34"/>
        <v>2.2000000000000002</v>
      </c>
      <c r="AG131" s="139">
        <v>5</v>
      </c>
      <c r="AH131" s="54"/>
      <c r="AI131" s="55"/>
      <c r="AK131" s="56"/>
    </row>
    <row r="132" spans="1:37" x14ac:dyDescent="0.25">
      <c r="A132" s="124" t="s">
        <v>135</v>
      </c>
      <c r="B132" s="136">
        <f t="shared" si="32"/>
        <v>2</v>
      </c>
      <c r="C132" s="137">
        <v>2</v>
      </c>
      <c r="D132" s="136">
        <f t="shared" si="33"/>
        <v>2</v>
      </c>
      <c r="E132" s="136">
        <f t="shared" si="33"/>
        <v>2</v>
      </c>
      <c r="F132" s="136">
        <f t="shared" si="33"/>
        <v>2</v>
      </c>
      <c r="G132" s="136">
        <f t="shared" si="33"/>
        <v>2</v>
      </c>
      <c r="H132" s="136">
        <f t="shared" si="33"/>
        <v>2</v>
      </c>
      <c r="I132" s="136">
        <f t="shared" si="33"/>
        <v>2</v>
      </c>
      <c r="J132" s="136">
        <f t="shared" si="33"/>
        <v>2</v>
      </c>
      <c r="K132" s="136">
        <f t="shared" si="33"/>
        <v>2</v>
      </c>
      <c r="L132" s="136">
        <f t="shared" si="33"/>
        <v>2</v>
      </c>
      <c r="M132" s="136">
        <f t="shared" si="33"/>
        <v>2</v>
      </c>
      <c r="N132" s="136">
        <f t="shared" si="33"/>
        <v>2</v>
      </c>
      <c r="O132" s="136">
        <f t="shared" si="33"/>
        <v>2</v>
      </c>
      <c r="P132" s="136">
        <f t="shared" si="33"/>
        <v>2</v>
      </c>
      <c r="Q132" s="136">
        <f t="shared" si="33"/>
        <v>2</v>
      </c>
      <c r="R132" s="136">
        <f t="shared" si="33"/>
        <v>2</v>
      </c>
      <c r="S132" s="136">
        <f t="shared" si="33"/>
        <v>2</v>
      </c>
      <c r="T132" s="136">
        <f t="shared" si="34"/>
        <v>2</v>
      </c>
      <c r="U132" s="136">
        <f t="shared" si="34"/>
        <v>2</v>
      </c>
      <c r="V132" s="136">
        <f t="shared" si="34"/>
        <v>2</v>
      </c>
      <c r="W132" s="136">
        <f t="shared" si="34"/>
        <v>2</v>
      </c>
      <c r="X132" s="136">
        <f t="shared" si="34"/>
        <v>2</v>
      </c>
      <c r="Y132" s="136">
        <f t="shared" si="34"/>
        <v>2</v>
      </c>
      <c r="Z132" s="136">
        <f t="shared" si="34"/>
        <v>2</v>
      </c>
      <c r="AA132" s="136">
        <f t="shared" si="34"/>
        <v>2</v>
      </c>
      <c r="AB132" s="136">
        <f t="shared" si="34"/>
        <v>2</v>
      </c>
      <c r="AC132" s="136">
        <f t="shared" si="34"/>
        <v>2</v>
      </c>
      <c r="AD132" s="136">
        <f t="shared" si="34"/>
        <v>2</v>
      </c>
      <c r="AE132" s="136">
        <f t="shared" si="34"/>
        <v>2</v>
      </c>
      <c r="AF132" s="136">
        <f t="shared" si="34"/>
        <v>2</v>
      </c>
      <c r="AG132" s="139">
        <v>5</v>
      </c>
      <c r="AH132" s="54"/>
      <c r="AI132" s="55"/>
      <c r="AK132" s="56"/>
    </row>
    <row r="133" spans="1:37" x14ac:dyDescent="0.25">
      <c r="A133" s="124" t="s">
        <v>136</v>
      </c>
      <c r="B133" s="136">
        <f t="shared" si="32"/>
        <v>1.25</v>
      </c>
      <c r="C133" s="137">
        <v>1.25</v>
      </c>
      <c r="D133" s="136">
        <f t="shared" si="33"/>
        <v>1.25</v>
      </c>
      <c r="E133" s="136">
        <f t="shared" si="33"/>
        <v>1.25</v>
      </c>
      <c r="F133" s="136">
        <f t="shared" si="33"/>
        <v>1.25</v>
      </c>
      <c r="G133" s="136">
        <f t="shared" si="33"/>
        <v>1.25</v>
      </c>
      <c r="H133" s="136">
        <f t="shared" si="33"/>
        <v>1.25</v>
      </c>
      <c r="I133" s="136">
        <f t="shared" si="33"/>
        <v>1.25</v>
      </c>
      <c r="J133" s="136">
        <f t="shared" si="33"/>
        <v>1.25</v>
      </c>
      <c r="K133" s="136">
        <f t="shared" si="33"/>
        <v>1.25</v>
      </c>
      <c r="L133" s="136">
        <f t="shared" si="33"/>
        <v>1.25</v>
      </c>
      <c r="M133" s="136">
        <f t="shared" si="33"/>
        <v>1.25</v>
      </c>
      <c r="N133" s="136">
        <f t="shared" si="33"/>
        <v>1.25</v>
      </c>
      <c r="O133" s="136">
        <f t="shared" si="33"/>
        <v>1.25</v>
      </c>
      <c r="P133" s="136">
        <f t="shared" si="33"/>
        <v>1.25</v>
      </c>
      <c r="Q133" s="136">
        <f t="shared" si="33"/>
        <v>1.25</v>
      </c>
      <c r="R133" s="136">
        <f t="shared" si="33"/>
        <v>1.25</v>
      </c>
      <c r="S133" s="136">
        <f t="shared" si="33"/>
        <v>1.25</v>
      </c>
      <c r="T133" s="136">
        <f t="shared" si="34"/>
        <v>1.25</v>
      </c>
      <c r="U133" s="136">
        <f t="shared" si="34"/>
        <v>1.25</v>
      </c>
      <c r="V133" s="136">
        <f t="shared" si="34"/>
        <v>1.25</v>
      </c>
      <c r="W133" s="136">
        <f t="shared" si="34"/>
        <v>1.25</v>
      </c>
      <c r="X133" s="136">
        <f t="shared" si="34"/>
        <v>1.25</v>
      </c>
      <c r="Y133" s="136">
        <f t="shared" si="34"/>
        <v>1.25</v>
      </c>
      <c r="Z133" s="136">
        <f t="shared" si="34"/>
        <v>1.25</v>
      </c>
      <c r="AA133" s="136">
        <f t="shared" si="34"/>
        <v>1.25</v>
      </c>
      <c r="AB133" s="136">
        <f t="shared" si="34"/>
        <v>1.25</v>
      </c>
      <c r="AC133" s="136">
        <f t="shared" si="34"/>
        <v>1.25</v>
      </c>
      <c r="AD133" s="136">
        <f t="shared" si="34"/>
        <v>1.25</v>
      </c>
      <c r="AE133" s="136">
        <f t="shared" si="34"/>
        <v>1.25</v>
      </c>
      <c r="AF133" s="136">
        <f t="shared" si="34"/>
        <v>1.25</v>
      </c>
      <c r="AG133" s="139">
        <v>5</v>
      </c>
      <c r="AH133" s="54"/>
      <c r="AI133" s="55"/>
      <c r="AK133" s="56"/>
    </row>
    <row r="134" spans="1:37" x14ac:dyDescent="0.25">
      <c r="A134" s="124" t="s">
        <v>137</v>
      </c>
      <c r="B134" s="136">
        <f t="shared" si="32"/>
        <v>1.1499999999999999</v>
      </c>
      <c r="C134" s="137">
        <v>1.1499999999999999</v>
      </c>
      <c r="D134" s="136">
        <f t="shared" si="33"/>
        <v>1.1499999999999999</v>
      </c>
      <c r="E134" s="136">
        <f t="shared" si="33"/>
        <v>1.1499999999999999</v>
      </c>
      <c r="F134" s="136">
        <f t="shared" si="33"/>
        <v>1.1499999999999999</v>
      </c>
      <c r="G134" s="136">
        <f t="shared" si="33"/>
        <v>1.1499999999999999</v>
      </c>
      <c r="H134" s="136">
        <f t="shared" si="33"/>
        <v>1.1499999999999999</v>
      </c>
      <c r="I134" s="136">
        <f t="shared" si="33"/>
        <v>1.1499999999999999</v>
      </c>
      <c r="J134" s="136">
        <f t="shared" si="33"/>
        <v>1.1499999999999999</v>
      </c>
      <c r="K134" s="136">
        <f t="shared" si="33"/>
        <v>1.1499999999999999</v>
      </c>
      <c r="L134" s="136">
        <f t="shared" si="33"/>
        <v>1.1499999999999999</v>
      </c>
      <c r="M134" s="136">
        <f t="shared" si="33"/>
        <v>1.1499999999999999</v>
      </c>
      <c r="N134" s="136">
        <f t="shared" si="33"/>
        <v>1.1499999999999999</v>
      </c>
      <c r="O134" s="136">
        <f t="shared" si="33"/>
        <v>1.1499999999999999</v>
      </c>
      <c r="P134" s="136">
        <f t="shared" si="33"/>
        <v>1.1499999999999999</v>
      </c>
      <c r="Q134" s="136">
        <f t="shared" si="33"/>
        <v>1.1499999999999999</v>
      </c>
      <c r="R134" s="136">
        <f t="shared" si="33"/>
        <v>1.1499999999999999</v>
      </c>
      <c r="S134" s="136">
        <f t="shared" si="33"/>
        <v>1.1499999999999999</v>
      </c>
      <c r="T134" s="136">
        <f t="shared" si="34"/>
        <v>1.1499999999999999</v>
      </c>
      <c r="U134" s="136">
        <f t="shared" si="34"/>
        <v>1.1499999999999999</v>
      </c>
      <c r="V134" s="136">
        <f t="shared" si="34"/>
        <v>1.1499999999999999</v>
      </c>
      <c r="W134" s="136">
        <f t="shared" si="34"/>
        <v>1.1499999999999999</v>
      </c>
      <c r="X134" s="136">
        <f t="shared" si="34"/>
        <v>1.1499999999999999</v>
      </c>
      <c r="Y134" s="136">
        <f t="shared" si="34"/>
        <v>1.1499999999999999</v>
      </c>
      <c r="Z134" s="136">
        <f t="shared" si="34"/>
        <v>1.1499999999999999</v>
      </c>
      <c r="AA134" s="136">
        <f t="shared" si="34"/>
        <v>1.1499999999999999</v>
      </c>
      <c r="AB134" s="136">
        <f t="shared" si="34"/>
        <v>1.1499999999999999</v>
      </c>
      <c r="AC134" s="136">
        <f t="shared" si="34"/>
        <v>1.1499999999999999</v>
      </c>
      <c r="AD134" s="136">
        <f t="shared" si="34"/>
        <v>1.1499999999999999</v>
      </c>
      <c r="AE134" s="136">
        <f t="shared" si="34"/>
        <v>1.1499999999999999</v>
      </c>
      <c r="AF134" s="136">
        <f t="shared" si="34"/>
        <v>1.1499999999999999</v>
      </c>
      <c r="AG134" s="139">
        <v>5</v>
      </c>
      <c r="AH134" s="54"/>
      <c r="AI134" s="55"/>
      <c r="AK134" s="56"/>
    </row>
    <row r="135" spans="1:37" x14ac:dyDescent="0.25">
      <c r="A135" s="124" t="s">
        <v>138</v>
      </c>
      <c r="B135" s="136">
        <f t="shared" si="32"/>
        <v>2.133</v>
      </c>
      <c r="C135" s="137">
        <v>2.133</v>
      </c>
      <c r="D135" s="136">
        <f t="shared" si="33"/>
        <v>2.133</v>
      </c>
      <c r="E135" s="136">
        <f t="shared" si="33"/>
        <v>2.133</v>
      </c>
      <c r="F135" s="136">
        <f t="shared" si="33"/>
        <v>2.133</v>
      </c>
      <c r="G135" s="136">
        <f t="shared" si="33"/>
        <v>2.133</v>
      </c>
      <c r="H135" s="136">
        <f t="shared" si="33"/>
        <v>2.133</v>
      </c>
      <c r="I135" s="136">
        <f t="shared" si="33"/>
        <v>2.133</v>
      </c>
      <c r="J135" s="136">
        <f t="shared" si="33"/>
        <v>2.133</v>
      </c>
      <c r="K135" s="136">
        <f t="shared" si="33"/>
        <v>2.133</v>
      </c>
      <c r="L135" s="136">
        <f t="shared" si="33"/>
        <v>2.133</v>
      </c>
      <c r="M135" s="136">
        <f t="shared" si="33"/>
        <v>2.133</v>
      </c>
      <c r="N135" s="136">
        <f t="shared" si="33"/>
        <v>2.133</v>
      </c>
      <c r="O135" s="136">
        <f t="shared" si="33"/>
        <v>2.133</v>
      </c>
      <c r="P135" s="136">
        <f t="shared" si="33"/>
        <v>2.133</v>
      </c>
      <c r="Q135" s="136">
        <f t="shared" si="33"/>
        <v>2.133</v>
      </c>
      <c r="R135" s="136">
        <f t="shared" si="33"/>
        <v>2.133</v>
      </c>
      <c r="S135" s="136">
        <f t="shared" si="33"/>
        <v>2.133</v>
      </c>
      <c r="T135" s="136">
        <f t="shared" si="34"/>
        <v>2.133</v>
      </c>
      <c r="U135" s="136">
        <f t="shared" si="34"/>
        <v>2.133</v>
      </c>
      <c r="V135" s="136">
        <f t="shared" si="34"/>
        <v>2.133</v>
      </c>
      <c r="W135" s="136">
        <f t="shared" si="34"/>
        <v>2.133</v>
      </c>
      <c r="X135" s="136">
        <f t="shared" si="34"/>
        <v>2.133</v>
      </c>
      <c r="Y135" s="136">
        <f t="shared" si="34"/>
        <v>2.133</v>
      </c>
      <c r="Z135" s="136">
        <f t="shared" si="34"/>
        <v>2.133</v>
      </c>
      <c r="AA135" s="136">
        <f t="shared" si="34"/>
        <v>2.133</v>
      </c>
      <c r="AB135" s="136">
        <f t="shared" si="34"/>
        <v>2.133</v>
      </c>
      <c r="AC135" s="136">
        <f t="shared" si="34"/>
        <v>2.133</v>
      </c>
      <c r="AD135" s="136">
        <f t="shared" si="34"/>
        <v>2.133</v>
      </c>
      <c r="AE135" s="136">
        <f t="shared" si="34"/>
        <v>2.133</v>
      </c>
      <c r="AF135" s="136">
        <f t="shared" si="34"/>
        <v>2.133</v>
      </c>
      <c r="AG135" s="139">
        <v>4.9930000000000003</v>
      </c>
      <c r="AH135" s="54"/>
      <c r="AI135" s="55"/>
      <c r="AK135" s="56"/>
    </row>
    <row r="136" spans="1:37" x14ac:dyDescent="0.25">
      <c r="A136" s="124" t="s">
        <v>139</v>
      </c>
      <c r="B136" s="136">
        <f t="shared" si="32"/>
        <v>2.09</v>
      </c>
      <c r="C136" s="137">
        <v>2.09</v>
      </c>
      <c r="D136" s="136">
        <f t="shared" si="33"/>
        <v>2.09</v>
      </c>
      <c r="E136" s="136">
        <f t="shared" si="33"/>
        <v>2.09</v>
      </c>
      <c r="F136" s="136">
        <f t="shared" si="33"/>
        <v>2.09</v>
      </c>
      <c r="G136" s="136">
        <f t="shared" si="33"/>
        <v>2.09</v>
      </c>
      <c r="H136" s="136">
        <f t="shared" si="33"/>
        <v>2.09</v>
      </c>
      <c r="I136" s="136">
        <f t="shared" si="33"/>
        <v>2.09</v>
      </c>
      <c r="J136" s="136">
        <f t="shared" si="33"/>
        <v>2.09</v>
      </c>
      <c r="K136" s="136">
        <f t="shared" si="33"/>
        <v>2.09</v>
      </c>
      <c r="L136" s="136">
        <f t="shared" si="33"/>
        <v>2.09</v>
      </c>
      <c r="M136" s="136">
        <f t="shared" si="33"/>
        <v>2.09</v>
      </c>
      <c r="N136" s="136">
        <f t="shared" si="33"/>
        <v>2.09</v>
      </c>
      <c r="O136" s="136">
        <f t="shared" si="33"/>
        <v>2.09</v>
      </c>
      <c r="P136" s="136">
        <f t="shared" si="33"/>
        <v>2.09</v>
      </c>
      <c r="Q136" s="136">
        <f t="shared" si="33"/>
        <v>2.09</v>
      </c>
      <c r="R136" s="136">
        <f t="shared" si="33"/>
        <v>2.09</v>
      </c>
      <c r="S136" s="136">
        <f t="shared" si="33"/>
        <v>2.09</v>
      </c>
      <c r="T136" s="136">
        <f t="shared" si="34"/>
        <v>2.09</v>
      </c>
      <c r="U136" s="136">
        <f t="shared" si="34"/>
        <v>2.09</v>
      </c>
      <c r="V136" s="136">
        <f t="shared" si="34"/>
        <v>2.09</v>
      </c>
      <c r="W136" s="136">
        <f t="shared" si="34"/>
        <v>2.09</v>
      </c>
      <c r="X136" s="136">
        <f t="shared" si="34"/>
        <v>2.09</v>
      </c>
      <c r="Y136" s="136">
        <f t="shared" si="34"/>
        <v>2.09</v>
      </c>
      <c r="Z136" s="136">
        <f t="shared" si="34"/>
        <v>2.09</v>
      </c>
      <c r="AA136" s="136">
        <f t="shared" si="34"/>
        <v>2.09</v>
      </c>
      <c r="AB136" s="136">
        <f t="shared" si="34"/>
        <v>2.09</v>
      </c>
      <c r="AC136" s="136">
        <f t="shared" si="34"/>
        <v>2.09</v>
      </c>
      <c r="AD136" s="136">
        <f t="shared" si="34"/>
        <v>2.09</v>
      </c>
      <c r="AE136" s="136">
        <f t="shared" si="34"/>
        <v>2.09</v>
      </c>
      <c r="AF136" s="136">
        <f t="shared" si="34"/>
        <v>2.09</v>
      </c>
      <c r="AG136" s="139">
        <v>4.9800000000000004</v>
      </c>
      <c r="AH136" s="54"/>
      <c r="AI136" s="55"/>
      <c r="AK136" s="56"/>
    </row>
    <row r="137" spans="1:37" x14ac:dyDescent="0.25">
      <c r="A137" s="124" t="s">
        <v>140</v>
      </c>
      <c r="B137" s="136">
        <f t="shared" si="32"/>
        <v>1.1399999999999999</v>
      </c>
      <c r="C137" s="137">
        <v>1.1399999999999999</v>
      </c>
      <c r="D137" s="136">
        <f t="shared" si="33"/>
        <v>1.1399999999999999</v>
      </c>
      <c r="E137" s="136">
        <f t="shared" si="33"/>
        <v>1.1399999999999999</v>
      </c>
      <c r="F137" s="136">
        <f t="shared" si="33"/>
        <v>1.1399999999999999</v>
      </c>
      <c r="G137" s="136">
        <f t="shared" si="33"/>
        <v>1.1399999999999999</v>
      </c>
      <c r="H137" s="136">
        <f t="shared" si="33"/>
        <v>1.1399999999999999</v>
      </c>
      <c r="I137" s="136">
        <f t="shared" si="33"/>
        <v>1.1399999999999999</v>
      </c>
      <c r="J137" s="136">
        <f t="shared" si="33"/>
        <v>1.1399999999999999</v>
      </c>
      <c r="K137" s="136">
        <f t="shared" si="33"/>
        <v>1.1399999999999999</v>
      </c>
      <c r="L137" s="136">
        <f t="shared" si="33"/>
        <v>1.1399999999999999</v>
      </c>
      <c r="M137" s="136">
        <f t="shared" si="33"/>
        <v>1.1399999999999999</v>
      </c>
      <c r="N137" s="136">
        <f t="shared" si="33"/>
        <v>1.1399999999999999</v>
      </c>
      <c r="O137" s="136">
        <f t="shared" si="33"/>
        <v>1.1399999999999999</v>
      </c>
      <c r="P137" s="136">
        <f t="shared" si="33"/>
        <v>1.1399999999999999</v>
      </c>
      <c r="Q137" s="136">
        <f t="shared" si="33"/>
        <v>1.1399999999999999</v>
      </c>
      <c r="R137" s="136">
        <f t="shared" si="33"/>
        <v>1.1399999999999999</v>
      </c>
      <c r="S137" s="136">
        <f t="shared" si="33"/>
        <v>1.1399999999999999</v>
      </c>
      <c r="T137" s="136">
        <f t="shared" si="34"/>
        <v>1.1399999999999999</v>
      </c>
      <c r="U137" s="136">
        <f t="shared" si="34"/>
        <v>1.1399999999999999</v>
      </c>
      <c r="V137" s="136">
        <f t="shared" si="34"/>
        <v>1.1399999999999999</v>
      </c>
      <c r="W137" s="136">
        <f t="shared" si="34"/>
        <v>1.1399999999999999</v>
      </c>
      <c r="X137" s="136">
        <f t="shared" si="34"/>
        <v>1.1399999999999999</v>
      </c>
      <c r="Y137" s="136">
        <f t="shared" si="34"/>
        <v>1.1399999999999999</v>
      </c>
      <c r="Z137" s="136">
        <f t="shared" si="34"/>
        <v>1.1399999999999999</v>
      </c>
      <c r="AA137" s="136">
        <f t="shared" si="34"/>
        <v>1.1399999999999999</v>
      </c>
      <c r="AB137" s="136">
        <f t="shared" si="34"/>
        <v>1.1399999999999999</v>
      </c>
      <c r="AC137" s="136">
        <f t="shared" si="34"/>
        <v>1.1399999999999999</v>
      </c>
      <c r="AD137" s="136">
        <f t="shared" si="34"/>
        <v>1.1399999999999999</v>
      </c>
      <c r="AE137" s="136">
        <f t="shared" si="34"/>
        <v>1.1399999999999999</v>
      </c>
      <c r="AF137" s="136">
        <f t="shared" si="34"/>
        <v>1.1399999999999999</v>
      </c>
      <c r="AG137" s="139">
        <v>4.95</v>
      </c>
      <c r="AH137" s="54"/>
      <c r="AI137" s="55"/>
      <c r="AK137" s="56"/>
    </row>
    <row r="138" spans="1:37" x14ac:dyDescent="0.25">
      <c r="A138" s="124" t="s">
        <v>141</v>
      </c>
      <c r="B138" s="136">
        <f t="shared" si="32"/>
        <v>0.82</v>
      </c>
      <c r="C138" s="137">
        <v>0.82</v>
      </c>
      <c r="D138" s="136">
        <f t="shared" si="33"/>
        <v>0.82</v>
      </c>
      <c r="E138" s="136">
        <f t="shared" si="33"/>
        <v>0.82</v>
      </c>
      <c r="F138" s="136">
        <f t="shared" si="33"/>
        <v>0.82</v>
      </c>
      <c r="G138" s="136">
        <f t="shared" si="33"/>
        <v>0.82</v>
      </c>
      <c r="H138" s="136">
        <f t="shared" si="33"/>
        <v>0.82</v>
      </c>
      <c r="I138" s="136">
        <f t="shared" si="33"/>
        <v>0.82</v>
      </c>
      <c r="J138" s="136">
        <f t="shared" si="33"/>
        <v>0.82</v>
      </c>
      <c r="K138" s="136">
        <f t="shared" si="33"/>
        <v>0.82</v>
      </c>
      <c r="L138" s="136">
        <f t="shared" si="33"/>
        <v>0.82</v>
      </c>
      <c r="M138" s="136">
        <f t="shared" si="33"/>
        <v>0.82</v>
      </c>
      <c r="N138" s="136">
        <f t="shared" si="33"/>
        <v>0.82</v>
      </c>
      <c r="O138" s="136">
        <f t="shared" si="33"/>
        <v>0.82</v>
      </c>
      <c r="P138" s="136">
        <f t="shared" si="33"/>
        <v>0.82</v>
      </c>
      <c r="Q138" s="136">
        <f t="shared" si="33"/>
        <v>0.82</v>
      </c>
      <c r="R138" s="136">
        <f t="shared" si="33"/>
        <v>0.82</v>
      </c>
      <c r="S138" s="136">
        <f t="shared" si="33"/>
        <v>0.82</v>
      </c>
      <c r="T138" s="136">
        <f t="shared" si="34"/>
        <v>0.82</v>
      </c>
      <c r="U138" s="136">
        <f t="shared" si="34"/>
        <v>0.82</v>
      </c>
      <c r="V138" s="136">
        <f t="shared" si="34"/>
        <v>0.82</v>
      </c>
      <c r="W138" s="136">
        <f t="shared" si="34"/>
        <v>0.82</v>
      </c>
      <c r="X138" s="136">
        <f t="shared" si="34"/>
        <v>0.82</v>
      </c>
      <c r="Y138" s="136">
        <f t="shared" si="34"/>
        <v>0.82</v>
      </c>
      <c r="Z138" s="136">
        <f t="shared" si="34"/>
        <v>0.82</v>
      </c>
      <c r="AA138" s="136">
        <f t="shared" si="34"/>
        <v>0.82</v>
      </c>
      <c r="AB138" s="136">
        <f t="shared" si="34"/>
        <v>0.82</v>
      </c>
      <c r="AC138" s="136">
        <f t="shared" si="34"/>
        <v>0.82</v>
      </c>
      <c r="AD138" s="136">
        <f t="shared" si="34"/>
        <v>0.82</v>
      </c>
      <c r="AE138" s="136">
        <f t="shared" si="34"/>
        <v>0.82</v>
      </c>
      <c r="AF138" s="136">
        <f t="shared" si="34"/>
        <v>0.82</v>
      </c>
      <c r="AG138" s="139">
        <v>4.95</v>
      </c>
      <c r="AH138" s="54"/>
      <c r="AI138" s="55"/>
      <c r="AK138" s="56"/>
    </row>
    <row r="139" spans="1:37" x14ac:dyDescent="0.25">
      <c r="A139" s="124" t="s">
        <v>142</v>
      </c>
      <c r="B139" s="136"/>
      <c r="C139" s="137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9">
        <v>4.8</v>
      </c>
      <c r="AH139" s="54"/>
      <c r="AI139" s="55"/>
      <c r="AK139" s="56"/>
    </row>
    <row r="140" spans="1:37" x14ac:dyDescent="0.25">
      <c r="A140" s="124" t="s">
        <v>143</v>
      </c>
      <c r="B140" s="136">
        <f t="shared" ref="B140:B146" si="35">AF140</f>
        <v>2</v>
      </c>
      <c r="C140" s="137">
        <v>2</v>
      </c>
      <c r="D140" s="136">
        <f t="shared" ref="D140:S146" si="36">C140</f>
        <v>2</v>
      </c>
      <c r="E140" s="136">
        <f t="shared" si="36"/>
        <v>2</v>
      </c>
      <c r="F140" s="136">
        <f t="shared" si="36"/>
        <v>2</v>
      </c>
      <c r="G140" s="136">
        <f t="shared" si="36"/>
        <v>2</v>
      </c>
      <c r="H140" s="136">
        <f t="shared" si="36"/>
        <v>2</v>
      </c>
      <c r="I140" s="136">
        <f t="shared" si="36"/>
        <v>2</v>
      </c>
      <c r="J140" s="136">
        <f t="shared" si="36"/>
        <v>2</v>
      </c>
      <c r="K140" s="136">
        <f t="shared" si="36"/>
        <v>2</v>
      </c>
      <c r="L140" s="136">
        <f t="shared" si="36"/>
        <v>2</v>
      </c>
      <c r="M140" s="136">
        <f t="shared" si="36"/>
        <v>2</v>
      </c>
      <c r="N140" s="136">
        <f t="shared" si="36"/>
        <v>2</v>
      </c>
      <c r="O140" s="136">
        <f t="shared" si="36"/>
        <v>2</v>
      </c>
      <c r="P140" s="136">
        <f t="shared" si="36"/>
        <v>2</v>
      </c>
      <c r="Q140" s="136">
        <f t="shared" si="36"/>
        <v>2</v>
      </c>
      <c r="R140" s="136">
        <f t="shared" si="36"/>
        <v>2</v>
      </c>
      <c r="S140" s="136">
        <f t="shared" si="36"/>
        <v>2</v>
      </c>
      <c r="T140" s="136">
        <f t="shared" ref="T140:AF146" si="37">S140</f>
        <v>2</v>
      </c>
      <c r="U140" s="136">
        <f t="shared" si="37"/>
        <v>2</v>
      </c>
      <c r="V140" s="136">
        <f t="shared" si="37"/>
        <v>2</v>
      </c>
      <c r="W140" s="136">
        <f t="shared" si="37"/>
        <v>2</v>
      </c>
      <c r="X140" s="136">
        <f t="shared" si="37"/>
        <v>2</v>
      </c>
      <c r="Y140" s="136">
        <f t="shared" si="37"/>
        <v>2</v>
      </c>
      <c r="Z140" s="136">
        <f t="shared" si="37"/>
        <v>2</v>
      </c>
      <c r="AA140" s="136">
        <f t="shared" si="37"/>
        <v>2</v>
      </c>
      <c r="AB140" s="136">
        <f t="shared" si="37"/>
        <v>2</v>
      </c>
      <c r="AC140" s="136">
        <f t="shared" si="37"/>
        <v>2</v>
      </c>
      <c r="AD140" s="136">
        <f t="shared" si="37"/>
        <v>2</v>
      </c>
      <c r="AE140" s="136">
        <f t="shared" si="37"/>
        <v>2</v>
      </c>
      <c r="AF140" s="136">
        <f t="shared" si="37"/>
        <v>2</v>
      </c>
      <c r="AG140" s="139">
        <v>4.8</v>
      </c>
      <c r="AH140" s="54"/>
      <c r="AI140" s="55"/>
      <c r="AK140" s="56"/>
    </row>
    <row r="141" spans="1:37" x14ac:dyDescent="0.25">
      <c r="A141" s="124" t="s">
        <v>144</v>
      </c>
      <c r="B141" s="136">
        <f t="shared" si="35"/>
        <v>5.61</v>
      </c>
      <c r="C141" s="137">
        <v>5.61</v>
      </c>
      <c r="D141" s="136">
        <f t="shared" si="36"/>
        <v>5.61</v>
      </c>
      <c r="E141" s="136">
        <f t="shared" si="36"/>
        <v>5.61</v>
      </c>
      <c r="F141" s="136">
        <f t="shared" si="36"/>
        <v>5.61</v>
      </c>
      <c r="G141" s="136">
        <f t="shared" si="36"/>
        <v>5.61</v>
      </c>
      <c r="H141" s="136">
        <f t="shared" si="36"/>
        <v>5.61</v>
      </c>
      <c r="I141" s="136">
        <f t="shared" si="36"/>
        <v>5.61</v>
      </c>
      <c r="J141" s="136">
        <f t="shared" si="36"/>
        <v>5.61</v>
      </c>
      <c r="K141" s="136">
        <f t="shared" si="36"/>
        <v>5.61</v>
      </c>
      <c r="L141" s="136">
        <f t="shared" si="36"/>
        <v>5.61</v>
      </c>
      <c r="M141" s="136">
        <f t="shared" si="36"/>
        <v>5.61</v>
      </c>
      <c r="N141" s="136">
        <f t="shared" si="36"/>
        <v>5.61</v>
      </c>
      <c r="O141" s="136">
        <f t="shared" si="36"/>
        <v>5.61</v>
      </c>
      <c r="P141" s="136">
        <f t="shared" si="36"/>
        <v>5.61</v>
      </c>
      <c r="Q141" s="136">
        <f t="shared" si="36"/>
        <v>5.61</v>
      </c>
      <c r="R141" s="136">
        <f t="shared" si="36"/>
        <v>5.61</v>
      </c>
      <c r="S141" s="136">
        <f t="shared" si="36"/>
        <v>5.61</v>
      </c>
      <c r="T141" s="136">
        <f t="shared" si="37"/>
        <v>5.61</v>
      </c>
      <c r="U141" s="136">
        <f t="shared" si="37"/>
        <v>5.61</v>
      </c>
      <c r="V141" s="136">
        <f t="shared" si="37"/>
        <v>5.61</v>
      </c>
      <c r="W141" s="136">
        <f t="shared" si="37"/>
        <v>5.61</v>
      </c>
      <c r="X141" s="136">
        <f t="shared" si="37"/>
        <v>5.61</v>
      </c>
      <c r="Y141" s="136">
        <f t="shared" si="37"/>
        <v>5.61</v>
      </c>
      <c r="Z141" s="136">
        <f t="shared" si="37"/>
        <v>5.61</v>
      </c>
      <c r="AA141" s="136">
        <f t="shared" si="37"/>
        <v>5.61</v>
      </c>
      <c r="AB141" s="136">
        <f t="shared" si="37"/>
        <v>5.61</v>
      </c>
      <c r="AC141" s="136">
        <f t="shared" si="37"/>
        <v>5.61</v>
      </c>
      <c r="AD141" s="136">
        <f t="shared" si="37"/>
        <v>5.61</v>
      </c>
      <c r="AE141" s="136">
        <f t="shared" si="37"/>
        <v>5.61</v>
      </c>
      <c r="AF141" s="136">
        <f t="shared" si="37"/>
        <v>5.61</v>
      </c>
      <c r="AG141" s="139">
        <v>4.8</v>
      </c>
      <c r="AH141" s="54"/>
      <c r="AI141" s="55"/>
      <c r="AK141" s="56"/>
    </row>
    <row r="142" spans="1:37" x14ac:dyDescent="0.25">
      <c r="A142" s="124" t="s">
        <v>145</v>
      </c>
      <c r="B142" s="136">
        <f t="shared" si="35"/>
        <v>1.25</v>
      </c>
      <c r="C142" s="137">
        <v>1.25</v>
      </c>
      <c r="D142" s="136">
        <f t="shared" si="36"/>
        <v>1.25</v>
      </c>
      <c r="E142" s="136">
        <f t="shared" si="36"/>
        <v>1.25</v>
      </c>
      <c r="F142" s="136">
        <f t="shared" si="36"/>
        <v>1.25</v>
      </c>
      <c r="G142" s="136">
        <f t="shared" si="36"/>
        <v>1.25</v>
      </c>
      <c r="H142" s="136">
        <f t="shared" si="36"/>
        <v>1.25</v>
      </c>
      <c r="I142" s="136">
        <f t="shared" si="36"/>
        <v>1.25</v>
      </c>
      <c r="J142" s="136">
        <f t="shared" si="36"/>
        <v>1.25</v>
      </c>
      <c r="K142" s="136">
        <f t="shared" si="36"/>
        <v>1.25</v>
      </c>
      <c r="L142" s="136">
        <f t="shared" si="36"/>
        <v>1.25</v>
      </c>
      <c r="M142" s="136">
        <f t="shared" si="36"/>
        <v>1.25</v>
      </c>
      <c r="N142" s="136">
        <f t="shared" si="36"/>
        <v>1.25</v>
      </c>
      <c r="O142" s="136">
        <f t="shared" si="36"/>
        <v>1.25</v>
      </c>
      <c r="P142" s="136">
        <f t="shared" si="36"/>
        <v>1.25</v>
      </c>
      <c r="Q142" s="136">
        <f t="shared" si="36"/>
        <v>1.25</v>
      </c>
      <c r="R142" s="136">
        <f t="shared" si="36"/>
        <v>1.25</v>
      </c>
      <c r="S142" s="136">
        <f t="shared" si="36"/>
        <v>1.25</v>
      </c>
      <c r="T142" s="136">
        <f t="shared" si="37"/>
        <v>1.25</v>
      </c>
      <c r="U142" s="136">
        <f t="shared" si="37"/>
        <v>1.25</v>
      </c>
      <c r="V142" s="136">
        <f t="shared" si="37"/>
        <v>1.25</v>
      </c>
      <c r="W142" s="136">
        <f t="shared" si="37"/>
        <v>1.25</v>
      </c>
      <c r="X142" s="136">
        <f t="shared" si="37"/>
        <v>1.25</v>
      </c>
      <c r="Y142" s="136">
        <f t="shared" si="37"/>
        <v>1.25</v>
      </c>
      <c r="Z142" s="136">
        <f t="shared" si="37"/>
        <v>1.25</v>
      </c>
      <c r="AA142" s="136">
        <f t="shared" si="37"/>
        <v>1.25</v>
      </c>
      <c r="AB142" s="136">
        <f t="shared" si="37"/>
        <v>1.25</v>
      </c>
      <c r="AC142" s="136">
        <f t="shared" si="37"/>
        <v>1.25</v>
      </c>
      <c r="AD142" s="136">
        <f t="shared" si="37"/>
        <v>1.25</v>
      </c>
      <c r="AE142" s="136">
        <f t="shared" si="37"/>
        <v>1.25</v>
      </c>
      <c r="AF142" s="136">
        <f t="shared" si="37"/>
        <v>1.25</v>
      </c>
      <c r="AG142" s="139">
        <v>4.5</v>
      </c>
      <c r="AH142" s="54"/>
      <c r="AI142" s="55"/>
      <c r="AK142" s="56"/>
    </row>
    <row r="143" spans="1:37" x14ac:dyDescent="0.25">
      <c r="A143" s="124" t="s">
        <v>146</v>
      </c>
      <c r="B143" s="136">
        <f t="shared" si="35"/>
        <v>1.25</v>
      </c>
      <c r="C143" s="137">
        <v>1.25</v>
      </c>
      <c r="D143" s="136">
        <f t="shared" si="36"/>
        <v>1.25</v>
      </c>
      <c r="E143" s="136">
        <f t="shared" si="36"/>
        <v>1.25</v>
      </c>
      <c r="F143" s="136">
        <f t="shared" si="36"/>
        <v>1.25</v>
      </c>
      <c r="G143" s="136">
        <f t="shared" si="36"/>
        <v>1.25</v>
      </c>
      <c r="H143" s="136">
        <f t="shared" si="36"/>
        <v>1.25</v>
      </c>
      <c r="I143" s="136">
        <f t="shared" si="36"/>
        <v>1.25</v>
      </c>
      <c r="J143" s="136">
        <f t="shared" si="36"/>
        <v>1.25</v>
      </c>
      <c r="K143" s="136">
        <f t="shared" si="36"/>
        <v>1.25</v>
      </c>
      <c r="L143" s="136">
        <f t="shared" si="36"/>
        <v>1.25</v>
      </c>
      <c r="M143" s="136">
        <f t="shared" si="36"/>
        <v>1.25</v>
      </c>
      <c r="N143" s="136">
        <f t="shared" si="36"/>
        <v>1.25</v>
      </c>
      <c r="O143" s="136">
        <f t="shared" si="36"/>
        <v>1.25</v>
      </c>
      <c r="P143" s="136">
        <f t="shared" si="36"/>
        <v>1.25</v>
      </c>
      <c r="Q143" s="136">
        <f t="shared" si="36"/>
        <v>1.25</v>
      </c>
      <c r="R143" s="136">
        <f t="shared" si="36"/>
        <v>1.25</v>
      </c>
      <c r="S143" s="136">
        <f t="shared" si="36"/>
        <v>1.25</v>
      </c>
      <c r="T143" s="136">
        <f t="shared" si="37"/>
        <v>1.25</v>
      </c>
      <c r="U143" s="136">
        <f t="shared" si="37"/>
        <v>1.25</v>
      </c>
      <c r="V143" s="136">
        <f t="shared" si="37"/>
        <v>1.25</v>
      </c>
      <c r="W143" s="136">
        <f t="shared" si="37"/>
        <v>1.25</v>
      </c>
      <c r="X143" s="136">
        <f t="shared" si="37"/>
        <v>1.25</v>
      </c>
      <c r="Y143" s="136">
        <f t="shared" si="37"/>
        <v>1.25</v>
      </c>
      <c r="Z143" s="136">
        <f t="shared" si="37"/>
        <v>1.25</v>
      </c>
      <c r="AA143" s="136">
        <f t="shared" si="37"/>
        <v>1.25</v>
      </c>
      <c r="AB143" s="136">
        <f t="shared" si="37"/>
        <v>1.25</v>
      </c>
      <c r="AC143" s="136">
        <f t="shared" si="37"/>
        <v>1.25</v>
      </c>
      <c r="AD143" s="136">
        <f t="shared" si="37"/>
        <v>1.25</v>
      </c>
      <c r="AE143" s="136">
        <f t="shared" si="37"/>
        <v>1.25</v>
      </c>
      <c r="AF143" s="136">
        <f t="shared" si="37"/>
        <v>1.25</v>
      </c>
      <c r="AG143" s="139">
        <v>4.5</v>
      </c>
      <c r="AH143" s="54"/>
      <c r="AI143" s="55"/>
      <c r="AK143" s="56"/>
    </row>
    <row r="144" spans="1:37" x14ac:dyDescent="0.25">
      <c r="A144" s="124" t="s">
        <v>147</v>
      </c>
      <c r="B144" s="136">
        <f t="shared" si="35"/>
        <v>1.46</v>
      </c>
      <c r="C144" s="137">
        <v>1.46</v>
      </c>
      <c r="D144" s="136">
        <f t="shared" si="36"/>
        <v>1.46</v>
      </c>
      <c r="E144" s="136">
        <f t="shared" si="36"/>
        <v>1.46</v>
      </c>
      <c r="F144" s="136">
        <f t="shared" si="36"/>
        <v>1.46</v>
      </c>
      <c r="G144" s="136">
        <f t="shared" si="36"/>
        <v>1.46</v>
      </c>
      <c r="H144" s="136">
        <f t="shared" si="36"/>
        <v>1.46</v>
      </c>
      <c r="I144" s="136">
        <f t="shared" si="36"/>
        <v>1.46</v>
      </c>
      <c r="J144" s="136">
        <f t="shared" si="36"/>
        <v>1.46</v>
      </c>
      <c r="K144" s="136">
        <f t="shared" si="36"/>
        <v>1.46</v>
      </c>
      <c r="L144" s="136">
        <f t="shared" si="36"/>
        <v>1.46</v>
      </c>
      <c r="M144" s="136">
        <f t="shared" si="36"/>
        <v>1.46</v>
      </c>
      <c r="N144" s="136">
        <f t="shared" si="36"/>
        <v>1.46</v>
      </c>
      <c r="O144" s="136">
        <f t="shared" si="36"/>
        <v>1.46</v>
      </c>
      <c r="P144" s="136">
        <f t="shared" si="36"/>
        <v>1.46</v>
      </c>
      <c r="Q144" s="136">
        <f t="shared" si="36"/>
        <v>1.46</v>
      </c>
      <c r="R144" s="136">
        <f t="shared" si="36"/>
        <v>1.46</v>
      </c>
      <c r="S144" s="136">
        <f t="shared" si="36"/>
        <v>1.46</v>
      </c>
      <c r="T144" s="136">
        <f t="shared" si="37"/>
        <v>1.46</v>
      </c>
      <c r="U144" s="136">
        <f t="shared" si="37"/>
        <v>1.46</v>
      </c>
      <c r="V144" s="136">
        <f t="shared" si="37"/>
        <v>1.46</v>
      </c>
      <c r="W144" s="136">
        <f t="shared" si="37"/>
        <v>1.46</v>
      </c>
      <c r="X144" s="136">
        <f t="shared" si="37"/>
        <v>1.46</v>
      </c>
      <c r="Y144" s="136">
        <f t="shared" si="37"/>
        <v>1.46</v>
      </c>
      <c r="Z144" s="136">
        <f t="shared" si="37"/>
        <v>1.46</v>
      </c>
      <c r="AA144" s="136">
        <f t="shared" si="37"/>
        <v>1.46</v>
      </c>
      <c r="AB144" s="136">
        <f t="shared" si="37"/>
        <v>1.46</v>
      </c>
      <c r="AC144" s="136">
        <f t="shared" si="37"/>
        <v>1.46</v>
      </c>
      <c r="AD144" s="136">
        <f t="shared" si="37"/>
        <v>1.46</v>
      </c>
      <c r="AE144" s="136">
        <f t="shared" si="37"/>
        <v>1.46</v>
      </c>
      <c r="AF144" s="136">
        <f t="shared" si="37"/>
        <v>1.46</v>
      </c>
      <c r="AG144" s="139">
        <v>4.4550000000000001</v>
      </c>
      <c r="AH144" s="54"/>
      <c r="AI144" s="55"/>
      <c r="AK144" s="56"/>
    </row>
    <row r="145" spans="1:37" x14ac:dyDescent="0.25">
      <c r="A145" s="124" t="s">
        <v>148</v>
      </c>
      <c r="B145" s="136">
        <f t="shared" si="35"/>
        <v>3</v>
      </c>
      <c r="C145" s="137">
        <v>3</v>
      </c>
      <c r="D145" s="136">
        <f t="shared" si="36"/>
        <v>3</v>
      </c>
      <c r="E145" s="136">
        <f t="shared" si="36"/>
        <v>3</v>
      </c>
      <c r="F145" s="136">
        <f t="shared" si="36"/>
        <v>3</v>
      </c>
      <c r="G145" s="136">
        <f t="shared" si="36"/>
        <v>3</v>
      </c>
      <c r="H145" s="136">
        <f t="shared" si="36"/>
        <v>3</v>
      </c>
      <c r="I145" s="136">
        <f t="shared" si="36"/>
        <v>3</v>
      </c>
      <c r="J145" s="136">
        <f t="shared" si="36"/>
        <v>3</v>
      </c>
      <c r="K145" s="136">
        <f t="shared" si="36"/>
        <v>3</v>
      </c>
      <c r="L145" s="136">
        <f t="shared" si="36"/>
        <v>3</v>
      </c>
      <c r="M145" s="136">
        <f t="shared" si="36"/>
        <v>3</v>
      </c>
      <c r="N145" s="136">
        <f t="shared" si="36"/>
        <v>3</v>
      </c>
      <c r="O145" s="136">
        <f t="shared" si="36"/>
        <v>3</v>
      </c>
      <c r="P145" s="136">
        <f t="shared" si="36"/>
        <v>3</v>
      </c>
      <c r="Q145" s="136">
        <f t="shared" si="36"/>
        <v>3</v>
      </c>
      <c r="R145" s="136">
        <f t="shared" si="36"/>
        <v>3</v>
      </c>
      <c r="S145" s="136">
        <f t="shared" si="36"/>
        <v>3</v>
      </c>
      <c r="T145" s="136">
        <f t="shared" si="37"/>
        <v>3</v>
      </c>
      <c r="U145" s="136">
        <f t="shared" si="37"/>
        <v>3</v>
      </c>
      <c r="V145" s="136">
        <f t="shared" si="37"/>
        <v>3</v>
      </c>
      <c r="W145" s="136">
        <f t="shared" si="37"/>
        <v>3</v>
      </c>
      <c r="X145" s="136">
        <f t="shared" si="37"/>
        <v>3</v>
      </c>
      <c r="Y145" s="136">
        <f t="shared" si="37"/>
        <v>3</v>
      </c>
      <c r="Z145" s="136">
        <f t="shared" si="37"/>
        <v>3</v>
      </c>
      <c r="AA145" s="136">
        <f t="shared" si="37"/>
        <v>3</v>
      </c>
      <c r="AB145" s="136">
        <f t="shared" si="37"/>
        <v>3</v>
      </c>
      <c r="AC145" s="136">
        <f t="shared" si="37"/>
        <v>3</v>
      </c>
      <c r="AD145" s="136">
        <f t="shared" si="37"/>
        <v>3</v>
      </c>
      <c r="AE145" s="136">
        <f t="shared" si="37"/>
        <v>3</v>
      </c>
      <c r="AF145" s="136">
        <f t="shared" si="37"/>
        <v>3</v>
      </c>
      <c r="AG145" s="139">
        <v>4.41</v>
      </c>
      <c r="AH145" s="54"/>
      <c r="AI145" s="55"/>
      <c r="AK145" s="56"/>
    </row>
    <row r="146" spans="1:37" x14ac:dyDescent="0.25">
      <c r="A146" s="124" t="s">
        <v>149</v>
      </c>
      <c r="B146" s="136">
        <f t="shared" si="35"/>
        <v>3.3</v>
      </c>
      <c r="C146" s="137">
        <v>3.3</v>
      </c>
      <c r="D146" s="136">
        <f t="shared" si="36"/>
        <v>3.3</v>
      </c>
      <c r="E146" s="136">
        <f t="shared" si="36"/>
        <v>3.3</v>
      </c>
      <c r="F146" s="136">
        <f t="shared" si="36"/>
        <v>3.3</v>
      </c>
      <c r="G146" s="136">
        <f t="shared" si="36"/>
        <v>3.3</v>
      </c>
      <c r="H146" s="136">
        <f t="shared" si="36"/>
        <v>3.3</v>
      </c>
      <c r="I146" s="136">
        <f t="shared" si="36"/>
        <v>3.3</v>
      </c>
      <c r="J146" s="136">
        <f t="shared" si="36"/>
        <v>3.3</v>
      </c>
      <c r="K146" s="136">
        <f t="shared" si="36"/>
        <v>3.3</v>
      </c>
      <c r="L146" s="136">
        <f t="shared" si="36"/>
        <v>3.3</v>
      </c>
      <c r="M146" s="136">
        <f t="shared" si="36"/>
        <v>3.3</v>
      </c>
      <c r="N146" s="136">
        <f t="shared" si="36"/>
        <v>3.3</v>
      </c>
      <c r="O146" s="136">
        <f t="shared" si="36"/>
        <v>3.3</v>
      </c>
      <c r="P146" s="136">
        <f t="shared" si="36"/>
        <v>3.3</v>
      </c>
      <c r="Q146" s="136">
        <f t="shared" si="36"/>
        <v>3.3</v>
      </c>
      <c r="R146" s="136">
        <f t="shared" si="36"/>
        <v>3.3</v>
      </c>
      <c r="S146" s="136">
        <f t="shared" si="36"/>
        <v>3.3</v>
      </c>
      <c r="T146" s="136">
        <f t="shared" si="37"/>
        <v>3.3</v>
      </c>
      <c r="U146" s="136">
        <f t="shared" si="37"/>
        <v>3.3</v>
      </c>
      <c r="V146" s="136">
        <f t="shared" si="37"/>
        <v>3.3</v>
      </c>
      <c r="W146" s="136">
        <f t="shared" si="37"/>
        <v>3.3</v>
      </c>
      <c r="X146" s="136">
        <f t="shared" si="37"/>
        <v>3.3</v>
      </c>
      <c r="Y146" s="136">
        <f t="shared" si="37"/>
        <v>3.3</v>
      </c>
      <c r="Z146" s="136">
        <f t="shared" si="37"/>
        <v>3.3</v>
      </c>
      <c r="AA146" s="136">
        <f t="shared" si="37"/>
        <v>3.3</v>
      </c>
      <c r="AB146" s="136">
        <f t="shared" si="37"/>
        <v>3.3</v>
      </c>
      <c r="AC146" s="136">
        <f t="shared" si="37"/>
        <v>3.3</v>
      </c>
      <c r="AD146" s="136">
        <f t="shared" si="37"/>
        <v>3.3</v>
      </c>
      <c r="AE146" s="136">
        <f t="shared" si="37"/>
        <v>3.3</v>
      </c>
      <c r="AF146" s="136">
        <f t="shared" si="37"/>
        <v>3.3</v>
      </c>
      <c r="AG146" s="139">
        <v>4.4000000000000004</v>
      </c>
      <c r="AH146" s="54"/>
      <c r="AI146" s="55"/>
      <c r="AK146" s="56"/>
    </row>
    <row r="147" spans="1:37" x14ac:dyDescent="0.25">
      <c r="A147" s="124" t="s">
        <v>150</v>
      </c>
      <c r="B147" s="136"/>
      <c r="C147" s="137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9">
        <v>4.3600000000000003</v>
      </c>
      <c r="AH147" s="54"/>
      <c r="AI147" s="55"/>
      <c r="AK147" s="56"/>
    </row>
    <row r="148" spans="1:37" x14ac:dyDescent="0.25">
      <c r="A148" s="124" t="s">
        <v>151</v>
      </c>
      <c r="B148" s="136">
        <f>AF148</f>
        <v>1.76</v>
      </c>
      <c r="C148" s="137">
        <v>1.76</v>
      </c>
      <c r="D148" s="136">
        <f t="shared" ref="D148:S149" si="38">C148</f>
        <v>1.76</v>
      </c>
      <c r="E148" s="136">
        <f t="shared" si="38"/>
        <v>1.76</v>
      </c>
      <c r="F148" s="136">
        <f t="shared" si="38"/>
        <v>1.76</v>
      </c>
      <c r="G148" s="136">
        <f t="shared" si="38"/>
        <v>1.76</v>
      </c>
      <c r="H148" s="136">
        <f t="shared" si="38"/>
        <v>1.76</v>
      </c>
      <c r="I148" s="136">
        <f t="shared" si="38"/>
        <v>1.76</v>
      </c>
      <c r="J148" s="136">
        <f t="shared" si="38"/>
        <v>1.76</v>
      </c>
      <c r="K148" s="136">
        <f t="shared" si="38"/>
        <v>1.76</v>
      </c>
      <c r="L148" s="136">
        <f t="shared" si="38"/>
        <v>1.76</v>
      </c>
      <c r="M148" s="136">
        <f t="shared" si="38"/>
        <v>1.76</v>
      </c>
      <c r="N148" s="136">
        <f t="shared" si="38"/>
        <v>1.76</v>
      </c>
      <c r="O148" s="136">
        <f t="shared" si="38"/>
        <v>1.76</v>
      </c>
      <c r="P148" s="136">
        <f t="shared" si="38"/>
        <v>1.76</v>
      </c>
      <c r="Q148" s="136">
        <f t="shared" si="38"/>
        <v>1.76</v>
      </c>
      <c r="R148" s="136">
        <f t="shared" si="38"/>
        <v>1.76</v>
      </c>
      <c r="S148" s="136">
        <f t="shared" si="38"/>
        <v>1.76</v>
      </c>
      <c r="T148" s="136">
        <f t="shared" ref="T148:AF149" si="39">S148</f>
        <v>1.76</v>
      </c>
      <c r="U148" s="136">
        <f t="shared" si="39"/>
        <v>1.76</v>
      </c>
      <c r="V148" s="136">
        <f t="shared" si="39"/>
        <v>1.76</v>
      </c>
      <c r="W148" s="136">
        <f t="shared" si="39"/>
        <v>1.76</v>
      </c>
      <c r="X148" s="136">
        <f t="shared" si="39"/>
        <v>1.76</v>
      </c>
      <c r="Y148" s="136">
        <f t="shared" si="39"/>
        <v>1.76</v>
      </c>
      <c r="Z148" s="136">
        <f t="shared" si="39"/>
        <v>1.76</v>
      </c>
      <c r="AA148" s="136">
        <f t="shared" si="39"/>
        <v>1.76</v>
      </c>
      <c r="AB148" s="136">
        <f t="shared" si="39"/>
        <v>1.76</v>
      </c>
      <c r="AC148" s="136">
        <f t="shared" si="39"/>
        <v>1.76</v>
      </c>
      <c r="AD148" s="136">
        <f t="shared" si="39"/>
        <v>1.76</v>
      </c>
      <c r="AE148" s="136">
        <f t="shared" si="39"/>
        <v>1.76</v>
      </c>
      <c r="AF148" s="136">
        <f t="shared" si="39"/>
        <v>1.76</v>
      </c>
      <c r="AG148" s="139">
        <v>4.2</v>
      </c>
      <c r="AH148" s="54"/>
      <c r="AI148" s="55"/>
      <c r="AK148" s="56"/>
    </row>
    <row r="149" spans="1:37" x14ac:dyDescent="0.25">
      <c r="A149" s="124" t="s">
        <v>152</v>
      </c>
      <c r="B149" s="136">
        <f>AF149</f>
        <v>0</v>
      </c>
      <c r="C149" s="137">
        <v>0</v>
      </c>
      <c r="D149" s="136">
        <f t="shared" si="38"/>
        <v>0</v>
      </c>
      <c r="E149" s="136">
        <f t="shared" si="38"/>
        <v>0</v>
      </c>
      <c r="F149" s="136">
        <f t="shared" si="38"/>
        <v>0</v>
      </c>
      <c r="G149" s="136">
        <f t="shared" si="38"/>
        <v>0</v>
      </c>
      <c r="H149" s="136">
        <f t="shared" si="38"/>
        <v>0</v>
      </c>
      <c r="I149" s="136">
        <f t="shared" si="38"/>
        <v>0</v>
      </c>
      <c r="J149" s="136">
        <f t="shared" si="38"/>
        <v>0</v>
      </c>
      <c r="K149" s="136">
        <f t="shared" si="38"/>
        <v>0</v>
      </c>
      <c r="L149" s="136">
        <f t="shared" si="38"/>
        <v>0</v>
      </c>
      <c r="M149" s="136">
        <f t="shared" si="38"/>
        <v>0</v>
      </c>
      <c r="N149" s="136">
        <f t="shared" si="38"/>
        <v>0</v>
      </c>
      <c r="O149" s="136">
        <f t="shared" si="38"/>
        <v>0</v>
      </c>
      <c r="P149" s="136">
        <f t="shared" si="38"/>
        <v>0</v>
      </c>
      <c r="Q149" s="136">
        <f t="shared" si="38"/>
        <v>0</v>
      </c>
      <c r="R149" s="136">
        <f t="shared" si="38"/>
        <v>0</v>
      </c>
      <c r="S149" s="136">
        <f t="shared" si="38"/>
        <v>0</v>
      </c>
      <c r="T149" s="136">
        <f t="shared" si="39"/>
        <v>0</v>
      </c>
      <c r="U149" s="136">
        <f t="shared" si="39"/>
        <v>0</v>
      </c>
      <c r="V149" s="136">
        <f t="shared" si="39"/>
        <v>0</v>
      </c>
      <c r="W149" s="136">
        <f t="shared" si="39"/>
        <v>0</v>
      </c>
      <c r="X149" s="136">
        <f t="shared" si="39"/>
        <v>0</v>
      </c>
      <c r="Y149" s="136">
        <f t="shared" si="39"/>
        <v>0</v>
      </c>
      <c r="Z149" s="136">
        <f t="shared" si="39"/>
        <v>0</v>
      </c>
      <c r="AA149" s="136">
        <f t="shared" si="39"/>
        <v>0</v>
      </c>
      <c r="AB149" s="136">
        <f t="shared" si="39"/>
        <v>0</v>
      </c>
      <c r="AC149" s="136">
        <f t="shared" si="39"/>
        <v>0</v>
      </c>
      <c r="AD149" s="136">
        <f t="shared" si="39"/>
        <v>0</v>
      </c>
      <c r="AE149" s="136">
        <f t="shared" si="39"/>
        <v>0</v>
      </c>
      <c r="AF149" s="136">
        <f t="shared" si="39"/>
        <v>0</v>
      </c>
      <c r="AG149" s="139">
        <v>4</v>
      </c>
      <c r="AH149" s="54"/>
      <c r="AI149" s="55"/>
      <c r="AK149" s="56"/>
    </row>
    <row r="150" spans="1:37" x14ac:dyDescent="0.25">
      <c r="A150" s="124" t="s">
        <v>153</v>
      </c>
      <c r="B150" s="136"/>
      <c r="C150" s="137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9">
        <v>4</v>
      </c>
      <c r="AH150" s="54"/>
      <c r="AI150" s="55"/>
      <c r="AK150" s="56"/>
    </row>
    <row r="151" spans="1:37" x14ac:dyDescent="0.25">
      <c r="A151" s="124" t="s">
        <v>154</v>
      </c>
      <c r="B151" s="136">
        <f>AF151</f>
        <v>0.1</v>
      </c>
      <c r="C151" s="137">
        <v>0.1</v>
      </c>
      <c r="D151" s="136">
        <f t="shared" ref="D151:S154" si="40">C151</f>
        <v>0.1</v>
      </c>
      <c r="E151" s="136">
        <f t="shared" si="40"/>
        <v>0.1</v>
      </c>
      <c r="F151" s="136">
        <f t="shared" si="40"/>
        <v>0.1</v>
      </c>
      <c r="G151" s="136">
        <f t="shared" si="40"/>
        <v>0.1</v>
      </c>
      <c r="H151" s="136">
        <f t="shared" si="40"/>
        <v>0.1</v>
      </c>
      <c r="I151" s="136">
        <f t="shared" si="40"/>
        <v>0.1</v>
      </c>
      <c r="J151" s="136">
        <f t="shared" si="40"/>
        <v>0.1</v>
      </c>
      <c r="K151" s="136">
        <f t="shared" si="40"/>
        <v>0.1</v>
      </c>
      <c r="L151" s="136">
        <f t="shared" si="40"/>
        <v>0.1</v>
      </c>
      <c r="M151" s="136">
        <f t="shared" si="40"/>
        <v>0.1</v>
      </c>
      <c r="N151" s="136">
        <f t="shared" si="40"/>
        <v>0.1</v>
      </c>
      <c r="O151" s="136">
        <f t="shared" si="40"/>
        <v>0.1</v>
      </c>
      <c r="P151" s="136">
        <f t="shared" si="40"/>
        <v>0.1</v>
      </c>
      <c r="Q151" s="136">
        <f t="shared" si="40"/>
        <v>0.1</v>
      </c>
      <c r="R151" s="136">
        <f t="shared" si="40"/>
        <v>0.1</v>
      </c>
      <c r="S151" s="136">
        <f t="shared" si="40"/>
        <v>0.1</v>
      </c>
      <c r="T151" s="136">
        <f t="shared" ref="T151:AF154" si="41">S151</f>
        <v>0.1</v>
      </c>
      <c r="U151" s="136">
        <f t="shared" si="41"/>
        <v>0.1</v>
      </c>
      <c r="V151" s="136">
        <f t="shared" si="41"/>
        <v>0.1</v>
      </c>
      <c r="W151" s="136">
        <f t="shared" si="41"/>
        <v>0.1</v>
      </c>
      <c r="X151" s="136">
        <f t="shared" si="41"/>
        <v>0.1</v>
      </c>
      <c r="Y151" s="136">
        <f t="shared" si="41"/>
        <v>0.1</v>
      </c>
      <c r="Z151" s="136">
        <f t="shared" si="41"/>
        <v>0.1</v>
      </c>
      <c r="AA151" s="136">
        <f t="shared" si="41"/>
        <v>0.1</v>
      </c>
      <c r="AB151" s="136">
        <f t="shared" si="41"/>
        <v>0.1</v>
      </c>
      <c r="AC151" s="136">
        <f t="shared" si="41"/>
        <v>0.1</v>
      </c>
      <c r="AD151" s="136">
        <f t="shared" si="41"/>
        <v>0.1</v>
      </c>
      <c r="AE151" s="136">
        <f t="shared" si="41"/>
        <v>0.1</v>
      </c>
      <c r="AF151" s="136">
        <f t="shared" si="41"/>
        <v>0.1</v>
      </c>
      <c r="AG151" s="139">
        <v>4</v>
      </c>
      <c r="AH151" s="54"/>
      <c r="AI151" s="55"/>
      <c r="AK151" s="56"/>
    </row>
    <row r="152" spans="1:37" x14ac:dyDescent="0.25">
      <c r="A152" s="124" t="s">
        <v>155</v>
      </c>
      <c r="B152" s="136">
        <f>AF152</f>
        <v>2.0499999999999998</v>
      </c>
      <c r="C152" s="137">
        <v>2.0499999999999998</v>
      </c>
      <c r="D152" s="136">
        <f t="shared" si="40"/>
        <v>2.0499999999999998</v>
      </c>
      <c r="E152" s="136">
        <f t="shared" si="40"/>
        <v>2.0499999999999998</v>
      </c>
      <c r="F152" s="136">
        <f t="shared" si="40"/>
        <v>2.0499999999999998</v>
      </c>
      <c r="G152" s="136">
        <f t="shared" si="40"/>
        <v>2.0499999999999998</v>
      </c>
      <c r="H152" s="136">
        <f t="shared" si="40"/>
        <v>2.0499999999999998</v>
      </c>
      <c r="I152" s="136">
        <f t="shared" si="40"/>
        <v>2.0499999999999998</v>
      </c>
      <c r="J152" s="136">
        <f t="shared" si="40"/>
        <v>2.0499999999999998</v>
      </c>
      <c r="K152" s="136">
        <f t="shared" si="40"/>
        <v>2.0499999999999998</v>
      </c>
      <c r="L152" s="136">
        <f t="shared" si="40"/>
        <v>2.0499999999999998</v>
      </c>
      <c r="M152" s="136">
        <f t="shared" si="40"/>
        <v>2.0499999999999998</v>
      </c>
      <c r="N152" s="136">
        <f t="shared" si="40"/>
        <v>2.0499999999999998</v>
      </c>
      <c r="O152" s="136">
        <f t="shared" si="40"/>
        <v>2.0499999999999998</v>
      </c>
      <c r="P152" s="136">
        <f t="shared" si="40"/>
        <v>2.0499999999999998</v>
      </c>
      <c r="Q152" s="136">
        <f t="shared" si="40"/>
        <v>2.0499999999999998</v>
      </c>
      <c r="R152" s="136">
        <f t="shared" si="40"/>
        <v>2.0499999999999998</v>
      </c>
      <c r="S152" s="136">
        <f t="shared" si="40"/>
        <v>2.0499999999999998</v>
      </c>
      <c r="T152" s="136">
        <f t="shared" si="41"/>
        <v>2.0499999999999998</v>
      </c>
      <c r="U152" s="136">
        <f t="shared" si="41"/>
        <v>2.0499999999999998</v>
      </c>
      <c r="V152" s="136">
        <f t="shared" si="41"/>
        <v>2.0499999999999998</v>
      </c>
      <c r="W152" s="136">
        <f t="shared" si="41"/>
        <v>2.0499999999999998</v>
      </c>
      <c r="X152" s="136">
        <f t="shared" si="41"/>
        <v>2.0499999999999998</v>
      </c>
      <c r="Y152" s="136">
        <f t="shared" si="41"/>
        <v>2.0499999999999998</v>
      </c>
      <c r="Z152" s="136">
        <f t="shared" si="41"/>
        <v>2.0499999999999998</v>
      </c>
      <c r="AA152" s="136">
        <f t="shared" si="41"/>
        <v>2.0499999999999998</v>
      </c>
      <c r="AB152" s="136">
        <f t="shared" si="41"/>
        <v>2.0499999999999998</v>
      </c>
      <c r="AC152" s="136">
        <f t="shared" si="41"/>
        <v>2.0499999999999998</v>
      </c>
      <c r="AD152" s="136">
        <f t="shared" si="41"/>
        <v>2.0499999999999998</v>
      </c>
      <c r="AE152" s="136">
        <f t="shared" si="41"/>
        <v>2.0499999999999998</v>
      </c>
      <c r="AF152" s="136">
        <f t="shared" si="41"/>
        <v>2.0499999999999998</v>
      </c>
      <c r="AG152" s="139">
        <v>4</v>
      </c>
      <c r="AH152" s="54"/>
      <c r="AI152" s="55"/>
      <c r="AK152" s="56"/>
    </row>
    <row r="153" spans="1:37" x14ac:dyDescent="0.25">
      <c r="A153" s="124" t="s">
        <v>156</v>
      </c>
      <c r="B153" s="136">
        <f>AF153</f>
        <v>2.7</v>
      </c>
      <c r="C153" s="137">
        <v>2.7</v>
      </c>
      <c r="D153" s="136">
        <f t="shared" si="40"/>
        <v>2.7</v>
      </c>
      <c r="E153" s="136">
        <f t="shared" si="40"/>
        <v>2.7</v>
      </c>
      <c r="F153" s="136">
        <f t="shared" si="40"/>
        <v>2.7</v>
      </c>
      <c r="G153" s="136">
        <f t="shared" si="40"/>
        <v>2.7</v>
      </c>
      <c r="H153" s="136">
        <f t="shared" si="40"/>
        <v>2.7</v>
      </c>
      <c r="I153" s="136">
        <f t="shared" si="40"/>
        <v>2.7</v>
      </c>
      <c r="J153" s="136">
        <f t="shared" si="40"/>
        <v>2.7</v>
      </c>
      <c r="K153" s="136">
        <f t="shared" si="40"/>
        <v>2.7</v>
      </c>
      <c r="L153" s="136">
        <f t="shared" si="40"/>
        <v>2.7</v>
      </c>
      <c r="M153" s="136">
        <f t="shared" si="40"/>
        <v>2.7</v>
      </c>
      <c r="N153" s="136">
        <f t="shared" si="40"/>
        <v>2.7</v>
      </c>
      <c r="O153" s="136">
        <f t="shared" si="40"/>
        <v>2.7</v>
      </c>
      <c r="P153" s="136">
        <f t="shared" si="40"/>
        <v>2.7</v>
      </c>
      <c r="Q153" s="136">
        <f t="shared" si="40"/>
        <v>2.7</v>
      </c>
      <c r="R153" s="136">
        <f t="shared" si="40"/>
        <v>2.7</v>
      </c>
      <c r="S153" s="136">
        <f t="shared" si="40"/>
        <v>2.7</v>
      </c>
      <c r="T153" s="136">
        <f t="shared" si="41"/>
        <v>2.7</v>
      </c>
      <c r="U153" s="136">
        <f t="shared" si="41"/>
        <v>2.7</v>
      </c>
      <c r="V153" s="136">
        <f t="shared" si="41"/>
        <v>2.7</v>
      </c>
      <c r="W153" s="136">
        <f t="shared" si="41"/>
        <v>2.7</v>
      </c>
      <c r="X153" s="136">
        <f t="shared" si="41"/>
        <v>2.7</v>
      </c>
      <c r="Y153" s="136">
        <f t="shared" si="41"/>
        <v>2.7</v>
      </c>
      <c r="Z153" s="136">
        <f t="shared" si="41"/>
        <v>2.7</v>
      </c>
      <c r="AA153" s="136">
        <f t="shared" si="41"/>
        <v>2.7</v>
      </c>
      <c r="AB153" s="136">
        <f t="shared" si="41"/>
        <v>2.7</v>
      </c>
      <c r="AC153" s="136">
        <f t="shared" si="41"/>
        <v>2.7</v>
      </c>
      <c r="AD153" s="136">
        <f t="shared" si="41"/>
        <v>2.7</v>
      </c>
      <c r="AE153" s="136">
        <f t="shared" si="41"/>
        <v>2.7</v>
      </c>
      <c r="AF153" s="136">
        <f t="shared" si="41"/>
        <v>2.7</v>
      </c>
      <c r="AG153" s="139">
        <v>4</v>
      </c>
      <c r="AH153" s="54"/>
      <c r="AI153" s="55"/>
      <c r="AK153" s="56"/>
    </row>
    <row r="154" spans="1:37" x14ac:dyDescent="0.25">
      <c r="A154" s="124" t="s">
        <v>157</v>
      </c>
      <c r="B154" s="136">
        <f>AF154</f>
        <v>2.15</v>
      </c>
      <c r="C154" s="137">
        <v>2.15</v>
      </c>
      <c r="D154" s="136">
        <f t="shared" si="40"/>
        <v>2.15</v>
      </c>
      <c r="E154" s="136">
        <f t="shared" si="40"/>
        <v>2.15</v>
      </c>
      <c r="F154" s="136">
        <f t="shared" si="40"/>
        <v>2.15</v>
      </c>
      <c r="G154" s="136">
        <f t="shared" si="40"/>
        <v>2.15</v>
      </c>
      <c r="H154" s="136">
        <f t="shared" si="40"/>
        <v>2.15</v>
      </c>
      <c r="I154" s="136">
        <f t="shared" si="40"/>
        <v>2.15</v>
      </c>
      <c r="J154" s="136">
        <f t="shared" si="40"/>
        <v>2.15</v>
      </c>
      <c r="K154" s="136">
        <f t="shared" si="40"/>
        <v>2.15</v>
      </c>
      <c r="L154" s="136">
        <f t="shared" si="40"/>
        <v>2.15</v>
      </c>
      <c r="M154" s="136">
        <f t="shared" si="40"/>
        <v>2.15</v>
      </c>
      <c r="N154" s="136">
        <f t="shared" si="40"/>
        <v>2.15</v>
      </c>
      <c r="O154" s="136">
        <f t="shared" si="40"/>
        <v>2.15</v>
      </c>
      <c r="P154" s="136">
        <f t="shared" si="40"/>
        <v>2.15</v>
      </c>
      <c r="Q154" s="136">
        <f t="shared" si="40"/>
        <v>2.15</v>
      </c>
      <c r="R154" s="136">
        <f t="shared" si="40"/>
        <v>2.15</v>
      </c>
      <c r="S154" s="136">
        <f t="shared" si="40"/>
        <v>2.15</v>
      </c>
      <c r="T154" s="136">
        <f t="shared" si="41"/>
        <v>2.15</v>
      </c>
      <c r="U154" s="136">
        <f t="shared" si="41"/>
        <v>2.15</v>
      </c>
      <c r="V154" s="136">
        <f t="shared" si="41"/>
        <v>2.15</v>
      </c>
      <c r="W154" s="136">
        <f t="shared" si="41"/>
        <v>2.15</v>
      </c>
      <c r="X154" s="136">
        <f t="shared" si="41"/>
        <v>2.15</v>
      </c>
      <c r="Y154" s="136">
        <f t="shared" si="41"/>
        <v>2.15</v>
      </c>
      <c r="Z154" s="136">
        <f t="shared" si="41"/>
        <v>2.15</v>
      </c>
      <c r="AA154" s="136">
        <f t="shared" si="41"/>
        <v>2.15</v>
      </c>
      <c r="AB154" s="136">
        <f t="shared" si="41"/>
        <v>2.15</v>
      </c>
      <c r="AC154" s="136">
        <f t="shared" si="41"/>
        <v>2.15</v>
      </c>
      <c r="AD154" s="136">
        <f t="shared" si="41"/>
        <v>2.15</v>
      </c>
      <c r="AE154" s="136">
        <f t="shared" si="41"/>
        <v>2.15</v>
      </c>
      <c r="AF154" s="136">
        <f t="shared" si="41"/>
        <v>2.15</v>
      </c>
      <c r="AG154" s="139">
        <v>4</v>
      </c>
      <c r="AH154" s="54"/>
      <c r="AI154" s="55"/>
      <c r="AK154" s="56"/>
    </row>
    <row r="155" spans="1:37" x14ac:dyDescent="0.25">
      <c r="A155" s="124" t="s">
        <v>158</v>
      </c>
      <c r="B155" s="136"/>
      <c r="C155" s="137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9">
        <v>4</v>
      </c>
      <c r="AH155" s="54"/>
      <c r="AI155" s="55"/>
      <c r="AK155" s="56"/>
    </row>
    <row r="156" spans="1:37" x14ac:dyDescent="0.25">
      <c r="A156" s="124" t="s">
        <v>159</v>
      </c>
      <c r="B156" s="136">
        <f t="shared" ref="B156:B168" si="42">AF156</f>
        <v>0.9</v>
      </c>
      <c r="C156" s="137">
        <v>0.9</v>
      </c>
      <c r="D156" s="136">
        <f t="shared" ref="D156:S168" si="43">C156</f>
        <v>0.9</v>
      </c>
      <c r="E156" s="136">
        <f t="shared" si="43"/>
        <v>0.9</v>
      </c>
      <c r="F156" s="136">
        <f t="shared" si="43"/>
        <v>0.9</v>
      </c>
      <c r="G156" s="136">
        <f t="shared" si="43"/>
        <v>0.9</v>
      </c>
      <c r="H156" s="136">
        <f t="shared" si="43"/>
        <v>0.9</v>
      </c>
      <c r="I156" s="136">
        <f t="shared" si="43"/>
        <v>0.9</v>
      </c>
      <c r="J156" s="136">
        <f t="shared" si="43"/>
        <v>0.9</v>
      </c>
      <c r="K156" s="136">
        <f t="shared" si="43"/>
        <v>0.9</v>
      </c>
      <c r="L156" s="136">
        <f t="shared" si="43"/>
        <v>0.9</v>
      </c>
      <c r="M156" s="136">
        <f t="shared" si="43"/>
        <v>0.9</v>
      </c>
      <c r="N156" s="136">
        <f t="shared" si="43"/>
        <v>0.9</v>
      </c>
      <c r="O156" s="136">
        <f t="shared" si="43"/>
        <v>0.9</v>
      </c>
      <c r="P156" s="136">
        <f t="shared" si="43"/>
        <v>0.9</v>
      </c>
      <c r="Q156" s="136">
        <f t="shared" si="43"/>
        <v>0.9</v>
      </c>
      <c r="R156" s="136">
        <f t="shared" si="43"/>
        <v>0.9</v>
      </c>
      <c r="S156" s="136">
        <f t="shared" si="43"/>
        <v>0.9</v>
      </c>
      <c r="T156" s="136">
        <f t="shared" ref="S156:AF168" si="44">S156</f>
        <v>0.9</v>
      </c>
      <c r="U156" s="136">
        <f t="shared" si="44"/>
        <v>0.9</v>
      </c>
      <c r="V156" s="136">
        <f t="shared" si="44"/>
        <v>0.9</v>
      </c>
      <c r="W156" s="136">
        <f t="shared" si="44"/>
        <v>0.9</v>
      </c>
      <c r="X156" s="136">
        <f t="shared" si="44"/>
        <v>0.9</v>
      </c>
      <c r="Y156" s="136">
        <f t="shared" si="44"/>
        <v>0.9</v>
      </c>
      <c r="Z156" s="136">
        <f t="shared" si="44"/>
        <v>0.9</v>
      </c>
      <c r="AA156" s="136">
        <f t="shared" si="44"/>
        <v>0.9</v>
      </c>
      <c r="AB156" s="136">
        <f t="shared" si="44"/>
        <v>0.9</v>
      </c>
      <c r="AC156" s="136">
        <f t="shared" si="44"/>
        <v>0.9</v>
      </c>
      <c r="AD156" s="136">
        <f t="shared" si="44"/>
        <v>0.9</v>
      </c>
      <c r="AE156" s="136">
        <f t="shared" si="44"/>
        <v>0.9</v>
      </c>
      <c r="AF156" s="136">
        <f t="shared" si="44"/>
        <v>0.9</v>
      </c>
      <c r="AG156" s="139">
        <v>4</v>
      </c>
      <c r="AH156" s="54"/>
      <c r="AI156" s="55"/>
      <c r="AK156" s="56"/>
    </row>
    <row r="157" spans="1:37" x14ac:dyDescent="0.25">
      <c r="A157" s="124" t="s">
        <v>160</v>
      </c>
      <c r="B157" s="136">
        <f t="shared" si="42"/>
        <v>1.08</v>
      </c>
      <c r="C157" s="137">
        <v>1.08</v>
      </c>
      <c r="D157" s="136">
        <f t="shared" si="43"/>
        <v>1.08</v>
      </c>
      <c r="E157" s="136">
        <f t="shared" si="43"/>
        <v>1.08</v>
      </c>
      <c r="F157" s="136">
        <f t="shared" si="43"/>
        <v>1.08</v>
      </c>
      <c r="G157" s="136">
        <f t="shared" si="43"/>
        <v>1.08</v>
      </c>
      <c r="H157" s="136">
        <f t="shared" si="43"/>
        <v>1.08</v>
      </c>
      <c r="I157" s="136">
        <f t="shared" si="43"/>
        <v>1.08</v>
      </c>
      <c r="J157" s="136">
        <f t="shared" si="43"/>
        <v>1.08</v>
      </c>
      <c r="K157" s="136">
        <f t="shared" si="43"/>
        <v>1.08</v>
      </c>
      <c r="L157" s="136">
        <f t="shared" si="43"/>
        <v>1.08</v>
      </c>
      <c r="M157" s="136">
        <f t="shared" si="43"/>
        <v>1.08</v>
      </c>
      <c r="N157" s="136">
        <f t="shared" si="43"/>
        <v>1.08</v>
      </c>
      <c r="O157" s="136">
        <f t="shared" si="43"/>
        <v>1.08</v>
      </c>
      <c r="P157" s="136">
        <f t="shared" si="43"/>
        <v>1.08</v>
      </c>
      <c r="Q157" s="136">
        <f t="shared" si="43"/>
        <v>1.08</v>
      </c>
      <c r="R157" s="136">
        <f t="shared" si="43"/>
        <v>1.08</v>
      </c>
      <c r="S157" s="136">
        <f t="shared" si="43"/>
        <v>1.08</v>
      </c>
      <c r="T157" s="136">
        <f t="shared" si="44"/>
        <v>1.08</v>
      </c>
      <c r="U157" s="136">
        <f t="shared" si="44"/>
        <v>1.08</v>
      </c>
      <c r="V157" s="136">
        <f t="shared" si="44"/>
        <v>1.08</v>
      </c>
      <c r="W157" s="136">
        <f t="shared" si="44"/>
        <v>1.08</v>
      </c>
      <c r="X157" s="136">
        <f t="shared" si="44"/>
        <v>1.08</v>
      </c>
      <c r="Y157" s="136">
        <f t="shared" si="44"/>
        <v>1.08</v>
      </c>
      <c r="Z157" s="136">
        <f t="shared" si="44"/>
        <v>1.08</v>
      </c>
      <c r="AA157" s="136">
        <f t="shared" si="44"/>
        <v>1.08</v>
      </c>
      <c r="AB157" s="136">
        <f t="shared" si="44"/>
        <v>1.08</v>
      </c>
      <c r="AC157" s="136">
        <f t="shared" si="44"/>
        <v>1.08</v>
      </c>
      <c r="AD157" s="136">
        <f t="shared" si="44"/>
        <v>1.08</v>
      </c>
      <c r="AE157" s="136">
        <f t="shared" si="44"/>
        <v>1.08</v>
      </c>
      <c r="AF157" s="136">
        <f t="shared" si="44"/>
        <v>1.08</v>
      </c>
      <c r="AG157" s="139">
        <v>3.75</v>
      </c>
      <c r="AH157" s="54"/>
      <c r="AI157" s="55"/>
      <c r="AK157" s="56"/>
    </row>
    <row r="158" spans="1:37" x14ac:dyDescent="0.25">
      <c r="A158" s="124" t="s">
        <v>161</v>
      </c>
      <c r="B158" s="136">
        <f t="shared" si="42"/>
        <v>2.37</v>
      </c>
      <c r="C158" s="137">
        <v>2.37</v>
      </c>
      <c r="D158" s="136">
        <f t="shared" si="43"/>
        <v>2.37</v>
      </c>
      <c r="E158" s="136">
        <f t="shared" si="43"/>
        <v>2.37</v>
      </c>
      <c r="F158" s="136">
        <f t="shared" si="43"/>
        <v>2.37</v>
      </c>
      <c r="G158" s="136">
        <f t="shared" si="43"/>
        <v>2.37</v>
      </c>
      <c r="H158" s="136">
        <f t="shared" si="43"/>
        <v>2.37</v>
      </c>
      <c r="I158" s="136">
        <f t="shared" si="43"/>
        <v>2.37</v>
      </c>
      <c r="J158" s="136">
        <f t="shared" si="43"/>
        <v>2.37</v>
      </c>
      <c r="K158" s="136">
        <f t="shared" si="43"/>
        <v>2.37</v>
      </c>
      <c r="L158" s="136">
        <f t="shared" si="43"/>
        <v>2.37</v>
      </c>
      <c r="M158" s="136">
        <f t="shared" si="43"/>
        <v>2.37</v>
      </c>
      <c r="N158" s="136">
        <f t="shared" si="43"/>
        <v>2.37</v>
      </c>
      <c r="O158" s="136">
        <f t="shared" si="43"/>
        <v>2.37</v>
      </c>
      <c r="P158" s="136">
        <f t="shared" si="43"/>
        <v>2.37</v>
      </c>
      <c r="Q158" s="136">
        <f t="shared" si="43"/>
        <v>2.37</v>
      </c>
      <c r="R158" s="136">
        <f t="shared" si="43"/>
        <v>2.37</v>
      </c>
      <c r="S158" s="136">
        <f t="shared" si="43"/>
        <v>2.37</v>
      </c>
      <c r="T158" s="136">
        <f t="shared" si="44"/>
        <v>2.37</v>
      </c>
      <c r="U158" s="136">
        <f t="shared" si="44"/>
        <v>2.37</v>
      </c>
      <c r="V158" s="136">
        <f t="shared" si="44"/>
        <v>2.37</v>
      </c>
      <c r="W158" s="136">
        <f t="shared" si="44"/>
        <v>2.37</v>
      </c>
      <c r="X158" s="136">
        <f t="shared" si="44"/>
        <v>2.37</v>
      </c>
      <c r="Y158" s="136">
        <f t="shared" si="44"/>
        <v>2.37</v>
      </c>
      <c r="Z158" s="136">
        <f t="shared" si="44"/>
        <v>2.37</v>
      </c>
      <c r="AA158" s="136">
        <f t="shared" si="44"/>
        <v>2.37</v>
      </c>
      <c r="AB158" s="136">
        <f t="shared" si="44"/>
        <v>2.37</v>
      </c>
      <c r="AC158" s="136">
        <f t="shared" si="44"/>
        <v>2.37</v>
      </c>
      <c r="AD158" s="136">
        <f t="shared" si="44"/>
        <v>2.37</v>
      </c>
      <c r="AE158" s="136">
        <f t="shared" si="44"/>
        <v>2.37</v>
      </c>
      <c r="AF158" s="136">
        <f t="shared" si="44"/>
        <v>2.37</v>
      </c>
      <c r="AG158" s="139">
        <v>3.52</v>
      </c>
      <c r="AH158" s="54"/>
      <c r="AI158" s="55"/>
      <c r="AK158" s="56"/>
    </row>
    <row r="159" spans="1:37" x14ac:dyDescent="0.25">
      <c r="A159" s="124" t="s">
        <v>162</v>
      </c>
      <c r="B159" s="136">
        <f t="shared" si="42"/>
        <v>1.81</v>
      </c>
      <c r="C159" s="137">
        <v>1.81</v>
      </c>
      <c r="D159" s="136">
        <f t="shared" si="43"/>
        <v>1.81</v>
      </c>
      <c r="E159" s="136">
        <f t="shared" si="43"/>
        <v>1.81</v>
      </c>
      <c r="F159" s="136">
        <f t="shared" si="43"/>
        <v>1.81</v>
      </c>
      <c r="G159" s="136">
        <f t="shared" si="43"/>
        <v>1.81</v>
      </c>
      <c r="H159" s="136">
        <f t="shared" si="43"/>
        <v>1.81</v>
      </c>
      <c r="I159" s="136">
        <f t="shared" si="43"/>
        <v>1.81</v>
      </c>
      <c r="J159" s="136">
        <f t="shared" si="43"/>
        <v>1.81</v>
      </c>
      <c r="K159" s="136">
        <f t="shared" si="43"/>
        <v>1.81</v>
      </c>
      <c r="L159" s="136">
        <f t="shared" si="43"/>
        <v>1.81</v>
      </c>
      <c r="M159" s="136">
        <f t="shared" si="43"/>
        <v>1.81</v>
      </c>
      <c r="N159" s="136">
        <f t="shared" si="43"/>
        <v>1.81</v>
      </c>
      <c r="O159" s="136">
        <f t="shared" si="43"/>
        <v>1.81</v>
      </c>
      <c r="P159" s="136">
        <f t="shared" si="43"/>
        <v>1.81</v>
      </c>
      <c r="Q159" s="136">
        <f t="shared" si="43"/>
        <v>1.81</v>
      </c>
      <c r="R159" s="136">
        <f t="shared" si="43"/>
        <v>1.81</v>
      </c>
      <c r="S159" s="136">
        <f t="shared" si="43"/>
        <v>1.81</v>
      </c>
      <c r="T159" s="136">
        <f t="shared" si="44"/>
        <v>1.81</v>
      </c>
      <c r="U159" s="136">
        <f t="shared" si="44"/>
        <v>1.81</v>
      </c>
      <c r="V159" s="136">
        <f t="shared" si="44"/>
        <v>1.81</v>
      </c>
      <c r="W159" s="136">
        <f t="shared" si="44"/>
        <v>1.81</v>
      </c>
      <c r="X159" s="136">
        <f t="shared" si="44"/>
        <v>1.81</v>
      </c>
      <c r="Y159" s="136">
        <f t="shared" si="44"/>
        <v>1.81</v>
      </c>
      <c r="Z159" s="136">
        <f t="shared" si="44"/>
        <v>1.81</v>
      </c>
      <c r="AA159" s="136">
        <f t="shared" si="44"/>
        <v>1.81</v>
      </c>
      <c r="AB159" s="136">
        <f t="shared" si="44"/>
        <v>1.81</v>
      </c>
      <c r="AC159" s="136">
        <f t="shared" si="44"/>
        <v>1.81</v>
      </c>
      <c r="AD159" s="136">
        <f t="shared" si="44"/>
        <v>1.81</v>
      </c>
      <c r="AE159" s="136">
        <f t="shared" si="44"/>
        <v>1.81</v>
      </c>
      <c r="AF159" s="136">
        <f t="shared" si="44"/>
        <v>1.81</v>
      </c>
      <c r="AG159" s="139">
        <v>3.33</v>
      </c>
      <c r="AH159" s="54"/>
      <c r="AI159" s="55"/>
      <c r="AK159" s="56"/>
    </row>
    <row r="160" spans="1:37" x14ac:dyDescent="0.25">
      <c r="A160" s="124" t="s">
        <v>163</v>
      </c>
      <c r="B160" s="136">
        <f t="shared" si="42"/>
        <v>1.0900000000000001</v>
      </c>
      <c r="C160" s="137">
        <v>1.0900000000000001</v>
      </c>
      <c r="D160" s="136">
        <f t="shared" si="43"/>
        <v>1.0900000000000001</v>
      </c>
      <c r="E160" s="136">
        <f t="shared" si="43"/>
        <v>1.0900000000000001</v>
      </c>
      <c r="F160" s="136">
        <f t="shared" si="43"/>
        <v>1.0900000000000001</v>
      </c>
      <c r="G160" s="136">
        <f t="shared" si="43"/>
        <v>1.0900000000000001</v>
      </c>
      <c r="H160" s="136">
        <f t="shared" si="43"/>
        <v>1.0900000000000001</v>
      </c>
      <c r="I160" s="136">
        <f t="shared" si="43"/>
        <v>1.0900000000000001</v>
      </c>
      <c r="J160" s="136">
        <f t="shared" si="43"/>
        <v>1.0900000000000001</v>
      </c>
      <c r="K160" s="136">
        <f t="shared" si="43"/>
        <v>1.0900000000000001</v>
      </c>
      <c r="L160" s="136">
        <f t="shared" si="43"/>
        <v>1.0900000000000001</v>
      </c>
      <c r="M160" s="136">
        <f t="shared" si="43"/>
        <v>1.0900000000000001</v>
      </c>
      <c r="N160" s="136">
        <f t="shared" si="43"/>
        <v>1.0900000000000001</v>
      </c>
      <c r="O160" s="136">
        <f t="shared" si="43"/>
        <v>1.0900000000000001</v>
      </c>
      <c r="P160" s="136">
        <f t="shared" si="43"/>
        <v>1.0900000000000001</v>
      </c>
      <c r="Q160" s="136">
        <f t="shared" si="43"/>
        <v>1.0900000000000001</v>
      </c>
      <c r="R160" s="136">
        <f t="shared" si="43"/>
        <v>1.0900000000000001</v>
      </c>
      <c r="S160" s="136">
        <f t="shared" si="43"/>
        <v>1.0900000000000001</v>
      </c>
      <c r="T160" s="136">
        <f t="shared" si="44"/>
        <v>1.0900000000000001</v>
      </c>
      <c r="U160" s="136">
        <f t="shared" si="44"/>
        <v>1.0900000000000001</v>
      </c>
      <c r="V160" s="136">
        <f t="shared" si="44"/>
        <v>1.0900000000000001</v>
      </c>
      <c r="W160" s="136">
        <f t="shared" si="44"/>
        <v>1.0900000000000001</v>
      </c>
      <c r="X160" s="136">
        <f t="shared" si="44"/>
        <v>1.0900000000000001</v>
      </c>
      <c r="Y160" s="136">
        <f t="shared" si="44"/>
        <v>1.0900000000000001</v>
      </c>
      <c r="Z160" s="136">
        <f t="shared" si="44"/>
        <v>1.0900000000000001</v>
      </c>
      <c r="AA160" s="136">
        <f t="shared" si="44"/>
        <v>1.0900000000000001</v>
      </c>
      <c r="AB160" s="136">
        <f t="shared" si="44"/>
        <v>1.0900000000000001</v>
      </c>
      <c r="AC160" s="136">
        <f t="shared" si="44"/>
        <v>1.0900000000000001</v>
      </c>
      <c r="AD160" s="136">
        <f t="shared" si="44"/>
        <v>1.0900000000000001</v>
      </c>
      <c r="AE160" s="136">
        <f t="shared" si="44"/>
        <v>1.0900000000000001</v>
      </c>
      <c r="AF160" s="136">
        <f t="shared" si="44"/>
        <v>1.0900000000000001</v>
      </c>
      <c r="AG160" s="139">
        <v>3.2</v>
      </c>
      <c r="AH160" s="54"/>
      <c r="AI160" s="55"/>
      <c r="AK160" s="56"/>
    </row>
    <row r="161" spans="1:37" x14ac:dyDescent="0.25">
      <c r="A161" s="124" t="s">
        <v>164</v>
      </c>
      <c r="B161" s="136">
        <f t="shared" si="42"/>
        <v>1.58</v>
      </c>
      <c r="C161" s="137">
        <v>1.58</v>
      </c>
      <c r="D161" s="136">
        <f t="shared" si="43"/>
        <v>1.58</v>
      </c>
      <c r="E161" s="136">
        <f t="shared" si="43"/>
        <v>1.58</v>
      </c>
      <c r="F161" s="136">
        <f t="shared" si="43"/>
        <v>1.58</v>
      </c>
      <c r="G161" s="136">
        <f t="shared" si="43"/>
        <v>1.58</v>
      </c>
      <c r="H161" s="136">
        <f t="shared" si="43"/>
        <v>1.58</v>
      </c>
      <c r="I161" s="136">
        <f t="shared" si="43"/>
        <v>1.58</v>
      </c>
      <c r="J161" s="136">
        <f t="shared" si="43"/>
        <v>1.58</v>
      </c>
      <c r="K161" s="136">
        <f t="shared" si="43"/>
        <v>1.58</v>
      </c>
      <c r="L161" s="136">
        <f t="shared" si="43"/>
        <v>1.58</v>
      </c>
      <c r="M161" s="136">
        <f t="shared" si="43"/>
        <v>1.58</v>
      </c>
      <c r="N161" s="136">
        <f t="shared" si="43"/>
        <v>1.58</v>
      </c>
      <c r="O161" s="136">
        <f t="shared" si="43"/>
        <v>1.58</v>
      </c>
      <c r="P161" s="136">
        <f t="shared" si="43"/>
        <v>1.58</v>
      </c>
      <c r="Q161" s="136">
        <f t="shared" si="43"/>
        <v>1.58</v>
      </c>
      <c r="R161" s="136">
        <f t="shared" si="43"/>
        <v>1.58</v>
      </c>
      <c r="S161" s="136">
        <f t="shared" si="43"/>
        <v>1.58</v>
      </c>
      <c r="T161" s="136">
        <f t="shared" si="44"/>
        <v>1.58</v>
      </c>
      <c r="U161" s="136">
        <f t="shared" si="44"/>
        <v>1.58</v>
      </c>
      <c r="V161" s="136">
        <f t="shared" si="44"/>
        <v>1.58</v>
      </c>
      <c r="W161" s="136">
        <f t="shared" si="44"/>
        <v>1.58</v>
      </c>
      <c r="X161" s="136">
        <f t="shared" si="44"/>
        <v>1.58</v>
      </c>
      <c r="Y161" s="136">
        <f t="shared" si="44"/>
        <v>1.58</v>
      </c>
      <c r="Z161" s="136">
        <f t="shared" si="44"/>
        <v>1.58</v>
      </c>
      <c r="AA161" s="136">
        <f t="shared" si="44"/>
        <v>1.58</v>
      </c>
      <c r="AB161" s="136">
        <f t="shared" si="44"/>
        <v>1.58</v>
      </c>
      <c r="AC161" s="136">
        <f t="shared" si="44"/>
        <v>1.58</v>
      </c>
      <c r="AD161" s="136">
        <f t="shared" si="44"/>
        <v>1.58</v>
      </c>
      <c r="AE161" s="136">
        <f t="shared" si="44"/>
        <v>1.58</v>
      </c>
      <c r="AF161" s="136">
        <f t="shared" si="44"/>
        <v>1.58</v>
      </c>
      <c r="AG161" s="139">
        <v>3</v>
      </c>
      <c r="AH161" s="54"/>
      <c r="AI161" s="55"/>
      <c r="AK161" s="56"/>
    </row>
    <row r="162" spans="1:37" x14ac:dyDescent="0.25">
      <c r="A162" s="124" t="s">
        <v>165</v>
      </c>
      <c r="B162" s="136">
        <f t="shared" si="42"/>
        <v>2</v>
      </c>
      <c r="C162" s="137">
        <v>2</v>
      </c>
      <c r="D162" s="136">
        <f t="shared" si="43"/>
        <v>2</v>
      </c>
      <c r="E162" s="136">
        <f t="shared" si="43"/>
        <v>2</v>
      </c>
      <c r="F162" s="136">
        <f t="shared" si="43"/>
        <v>2</v>
      </c>
      <c r="G162" s="136">
        <f t="shared" si="43"/>
        <v>2</v>
      </c>
      <c r="H162" s="136">
        <f t="shared" si="43"/>
        <v>2</v>
      </c>
      <c r="I162" s="136">
        <f t="shared" si="43"/>
        <v>2</v>
      </c>
      <c r="J162" s="136">
        <f t="shared" si="43"/>
        <v>2</v>
      </c>
      <c r="K162" s="136">
        <f t="shared" si="43"/>
        <v>2</v>
      </c>
      <c r="L162" s="136">
        <f t="shared" si="43"/>
        <v>2</v>
      </c>
      <c r="M162" s="136">
        <f t="shared" si="43"/>
        <v>2</v>
      </c>
      <c r="N162" s="136">
        <f t="shared" si="43"/>
        <v>2</v>
      </c>
      <c r="O162" s="136">
        <f t="shared" si="43"/>
        <v>2</v>
      </c>
      <c r="P162" s="136">
        <f t="shared" si="43"/>
        <v>2</v>
      </c>
      <c r="Q162" s="136">
        <f t="shared" si="43"/>
        <v>2</v>
      </c>
      <c r="R162" s="136">
        <f t="shared" si="43"/>
        <v>2</v>
      </c>
      <c r="S162" s="136">
        <f t="shared" si="43"/>
        <v>2</v>
      </c>
      <c r="T162" s="136">
        <f t="shared" si="44"/>
        <v>2</v>
      </c>
      <c r="U162" s="136">
        <f t="shared" si="44"/>
        <v>2</v>
      </c>
      <c r="V162" s="136">
        <f t="shared" si="44"/>
        <v>2</v>
      </c>
      <c r="W162" s="136">
        <f t="shared" si="44"/>
        <v>2</v>
      </c>
      <c r="X162" s="136">
        <f t="shared" si="44"/>
        <v>2</v>
      </c>
      <c r="Y162" s="136">
        <f t="shared" si="44"/>
        <v>2</v>
      </c>
      <c r="Z162" s="136">
        <f t="shared" si="44"/>
        <v>2</v>
      </c>
      <c r="AA162" s="136">
        <f t="shared" si="44"/>
        <v>2</v>
      </c>
      <c r="AB162" s="136">
        <f t="shared" si="44"/>
        <v>2</v>
      </c>
      <c r="AC162" s="136">
        <f t="shared" si="44"/>
        <v>2</v>
      </c>
      <c r="AD162" s="136">
        <f t="shared" si="44"/>
        <v>2</v>
      </c>
      <c r="AE162" s="136">
        <f t="shared" si="44"/>
        <v>2</v>
      </c>
      <c r="AF162" s="136">
        <f t="shared" si="44"/>
        <v>2</v>
      </c>
      <c r="AG162" s="139">
        <v>3</v>
      </c>
      <c r="AH162" s="54"/>
      <c r="AI162" s="55"/>
      <c r="AK162" s="56"/>
    </row>
    <row r="163" spans="1:37" x14ac:dyDescent="0.25">
      <c r="A163" s="124" t="s">
        <v>166</v>
      </c>
      <c r="B163" s="136">
        <f t="shared" si="42"/>
        <v>0.47</v>
      </c>
      <c r="C163" s="137">
        <v>0.47</v>
      </c>
      <c r="D163" s="136">
        <f t="shared" si="43"/>
        <v>0.47</v>
      </c>
      <c r="E163" s="136">
        <f t="shared" si="43"/>
        <v>0.47</v>
      </c>
      <c r="F163" s="136">
        <f t="shared" si="43"/>
        <v>0.47</v>
      </c>
      <c r="G163" s="136">
        <f t="shared" si="43"/>
        <v>0.47</v>
      </c>
      <c r="H163" s="136">
        <f t="shared" si="43"/>
        <v>0.47</v>
      </c>
      <c r="I163" s="136">
        <f t="shared" si="43"/>
        <v>0.47</v>
      </c>
      <c r="J163" s="136">
        <f t="shared" si="43"/>
        <v>0.47</v>
      </c>
      <c r="K163" s="136">
        <f t="shared" si="43"/>
        <v>0.47</v>
      </c>
      <c r="L163" s="136">
        <f t="shared" si="43"/>
        <v>0.47</v>
      </c>
      <c r="M163" s="136">
        <f t="shared" si="43"/>
        <v>0.47</v>
      </c>
      <c r="N163" s="136">
        <f t="shared" si="43"/>
        <v>0.47</v>
      </c>
      <c r="O163" s="136">
        <f t="shared" si="43"/>
        <v>0.47</v>
      </c>
      <c r="P163" s="136">
        <f t="shared" si="43"/>
        <v>0.47</v>
      </c>
      <c r="Q163" s="136">
        <f t="shared" si="43"/>
        <v>0.47</v>
      </c>
      <c r="R163" s="136">
        <f t="shared" si="43"/>
        <v>0.47</v>
      </c>
      <c r="S163" s="136">
        <f t="shared" si="43"/>
        <v>0.47</v>
      </c>
      <c r="T163" s="136">
        <f t="shared" si="44"/>
        <v>0.47</v>
      </c>
      <c r="U163" s="136">
        <f t="shared" si="44"/>
        <v>0.47</v>
      </c>
      <c r="V163" s="136">
        <f t="shared" si="44"/>
        <v>0.47</v>
      </c>
      <c r="W163" s="136">
        <f t="shared" si="44"/>
        <v>0.47</v>
      </c>
      <c r="X163" s="136">
        <f t="shared" si="44"/>
        <v>0.47</v>
      </c>
      <c r="Y163" s="136">
        <f t="shared" si="44"/>
        <v>0.47</v>
      </c>
      <c r="Z163" s="136">
        <f t="shared" si="44"/>
        <v>0.47</v>
      </c>
      <c r="AA163" s="136">
        <f t="shared" si="44"/>
        <v>0.47</v>
      </c>
      <c r="AB163" s="136">
        <f t="shared" si="44"/>
        <v>0.47</v>
      </c>
      <c r="AC163" s="136">
        <f t="shared" si="44"/>
        <v>0.47</v>
      </c>
      <c r="AD163" s="136">
        <f t="shared" si="44"/>
        <v>0.47</v>
      </c>
      <c r="AE163" s="136">
        <f t="shared" si="44"/>
        <v>0.47</v>
      </c>
      <c r="AF163" s="136">
        <f t="shared" si="44"/>
        <v>0.47</v>
      </c>
      <c r="AG163" s="139">
        <v>3</v>
      </c>
      <c r="AH163" s="54"/>
      <c r="AI163" s="55"/>
      <c r="AK163" s="56"/>
    </row>
    <row r="164" spans="1:37" x14ac:dyDescent="0.25">
      <c r="A164" s="124" t="s">
        <v>167</v>
      </c>
      <c r="B164" s="136">
        <f t="shared" si="42"/>
        <v>0</v>
      </c>
      <c r="C164" s="137">
        <v>0</v>
      </c>
      <c r="D164" s="136">
        <f t="shared" si="43"/>
        <v>0</v>
      </c>
      <c r="E164" s="136">
        <f t="shared" si="43"/>
        <v>0</v>
      </c>
      <c r="F164" s="136">
        <f t="shared" si="43"/>
        <v>0</v>
      </c>
      <c r="G164" s="136">
        <f t="shared" si="43"/>
        <v>0</v>
      </c>
      <c r="H164" s="136">
        <f t="shared" si="43"/>
        <v>0</v>
      </c>
      <c r="I164" s="136">
        <f t="shared" si="43"/>
        <v>0</v>
      </c>
      <c r="J164" s="136">
        <f t="shared" si="43"/>
        <v>0</v>
      </c>
      <c r="K164" s="136">
        <f t="shared" si="43"/>
        <v>0</v>
      </c>
      <c r="L164" s="136">
        <f t="shared" si="43"/>
        <v>0</v>
      </c>
      <c r="M164" s="136">
        <f t="shared" si="43"/>
        <v>0</v>
      </c>
      <c r="N164" s="136">
        <f t="shared" si="43"/>
        <v>0</v>
      </c>
      <c r="O164" s="136">
        <f t="shared" si="43"/>
        <v>0</v>
      </c>
      <c r="P164" s="136">
        <f t="shared" si="43"/>
        <v>0</v>
      </c>
      <c r="Q164" s="136">
        <f t="shared" si="43"/>
        <v>0</v>
      </c>
      <c r="R164" s="136">
        <f t="shared" si="43"/>
        <v>0</v>
      </c>
      <c r="S164" s="136">
        <f t="shared" si="43"/>
        <v>0</v>
      </c>
      <c r="T164" s="136">
        <f t="shared" si="44"/>
        <v>0</v>
      </c>
      <c r="U164" s="136">
        <f t="shared" si="44"/>
        <v>0</v>
      </c>
      <c r="V164" s="136">
        <f t="shared" si="44"/>
        <v>0</v>
      </c>
      <c r="W164" s="136">
        <f t="shared" si="44"/>
        <v>0</v>
      </c>
      <c r="X164" s="136">
        <f t="shared" si="44"/>
        <v>0</v>
      </c>
      <c r="Y164" s="136">
        <f t="shared" si="44"/>
        <v>0</v>
      </c>
      <c r="Z164" s="136">
        <f t="shared" si="44"/>
        <v>0</v>
      </c>
      <c r="AA164" s="136">
        <f t="shared" si="44"/>
        <v>0</v>
      </c>
      <c r="AB164" s="136">
        <f t="shared" si="44"/>
        <v>0</v>
      </c>
      <c r="AC164" s="136">
        <f t="shared" si="44"/>
        <v>0</v>
      </c>
      <c r="AD164" s="136">
        <f t="shared" si="44"/>
        <v>0</v>
      </c>
      <c r="AE164" s="136">
        <f t="shared" si="44"/>
        <v>0</v>
      </c>
      <c r="AF164" s="136">
        <f t="shared" si="44"/>
        <v>0</v>
      </c>
      <c r="AG164" s="139">
        <v>3</v>
      </c>
      <c r="AH164" s="54"/>
      <c r="AI164" s="55"/>
      <c r="AK164" s="56"/>
    </row>
    <row r="165" spans="1:37" x14ac:dyDescent="0.25">
      <c r="A165" s="124" t="s">
        <v>168</v>
      </c>
      <c r="B165" s="136">
        <f t="shared" si="42"/>
        <v>0</v>
      </c>
      <c r="C165" s="137">
        <v>0</v>
      </c>
      <c r="D165" s="136">
        <f t="shared" si="43"/>
        <v>0</v>
      </c>
      <c r="E165" s="136">
        <f t="shared" si="43"/>
        <v>0</v>
      </c>
      <c r="F165" s="136">
        <f t="shared" si="43"/>
        <v>0</v>
      </c>
      <c r="G165" s="136">
        <f t="shared" si="43"/>
        <v>0</v>
      </c>
      <c r="H165" s="136">
        <f t="shared" si="43"/>
        <v>0</v>
      </c>
      <c r="I165" s="136">
        <f t="shared" si="43"/>
        <v>0</v>
      </c>
      <c r="J165" s="136">
        <f t="shared" si="43"/>
        <v>0</v>
      </c>
      <c r="K165" s="136">
        <f t="shared" si="43"/>
        <v>0</v>
      </c>
      <c r="L165" s="136">
        <f t="shared" si="43"/>
        <v>0</v>
      </c>
      <c r="M165" s="136">
        <f t="shared" si="43"/>
        <v>0</v>
      </c>
      <c r="N165" s="136">
        <f t="shared" si="43"/>
        <v>0</v>
      </c>
      <c r="O165" s="136">
        <f t="shared" si="43"/>
        <v>0</v>
      </c>
      <c r="P165" s="136">
        <f t="shared" si="43"/>
        <v>0</v>
      </c>
      <c r="Q165" s="136">
        <f t="shared" si="43"/>
        <v>0</v>
      </c>
      <c r="R165" s="136">
        <f t="shared" si="43"/>
        <v>0</v>
      </c>
      <c r="S165" s="136">
        <f t="shared" si="44"/>
        <v>0</v>
      </c>
      <c r="T165" s="136">
        <f t="shared" si="44"/>
        <v>0</v>
      </c>
      <c r="U165" s="136">
        <f t="shared" si="44"/>
        <v>0</v>
      </c>
      <c r="V165" s="136">
        <f t="shared" si="44"/>
        <v>0</v>
      </c>
      <c r="W165" s="136">
        <f t="shared" si="44"/>
        <v>0</v>
      </c>
      <c r="X165" s="136">
        <f t="shared" si="44"/>
        <v>0</v>
      </c>
      <c r="Y165" s="136">
        <f t="shared" si="44"/>
        <v>0</v>
      </c>
      <c r="Z165" s="136">
        <f t="shared" si="44"/>
        <v>0</v>
      </c>
      <c r="AA165" s="136">
        <f t="shared" si="44"/>
        <v>0</v>
      </c>
      <c r="AB165" s="136">
        <f t="shared" si="44"/>
        <v>0</v>
      </c>
      <c r="AC165" s="136">
        <f t="shared" si="44"/>
        <v>0</v>
      </c>
      <c r="AD165" s="136">
        <f t="shared" si="44"/>
        <v>0</v>
      </c>
      <c r="AE165" s="136">
        <f t="shared" si="44"/>
        <v>0</v>
      </c>
      <c r="AF165" s="136">
        <f t="shared" si="44"/>
        <v>0</v>
      </c>
      <c r="AG165" s="139">
        <v>3</v>
      </c>
      <c r="AH165" s="54"/>
      <c r="AI165" s="55"/>
      <c r="AK165" s="56"/>
    </row>
    <row r="166" spans="1:37" x14ac:dyDescent="0.25">
      <c r="A166" s="124" t="s">
        <v>169</v>
      </c>
      <c r="B166" s="136">
        <f t="shared" si="42"/>
        <v>0.8</v>
      </c>
      <c r="C166" s="137">
        <v>0.8</v>
      </c>
      <c r="D166" s="136">
        <f t="shared" si="43"/>
        <v>0.8</v>
      </c>
      <c r="E166" s="136">
        <f t="shared" si="43"/>
        <v>0.8</v>
      </c>
      <c r="F166" s="136">
        <f t="shared" si="43"/>
        <v>0.8</v>
      </c>
      <c r="G166" s="136">
        <f t="shared" si="43"/>
        <v>0.8</v>
      </c>
      <c r="H166" s="136">
        <f t="shared" si="43"/>
        <v>0.8</v>
      </c>
      <c r="I166" s="136">
        <f t="shared" si="43"/>
        <v>0.8</v>
      </c>
      <c r="J166" s="136">
        <f t="shared" si="43"/>
        <v>0.8</v>
      </c>
      <c r="K166" s="136">
        <f t="shared" si="43"/>
        <v>0.8</v>
      </c>
      <c r="L166" s="136">
        <f t="shared" si="43"/>
        <v>0.8</v>
      </c>
      <c r="M166" s="136">
        <f t="shared" si="43"/>
        <v>0.8</v>
      </c>
      <c r="N166" s="136">
        <f t="shared" si="43"/>
        <v>0.8</v>
      </c>
      <c r="O166" s="136">
        <f t="shared" si="43"/>
        <v>0.8</v>
      </c>
      <c r="P166" s="136">
        <f t="shared" si="43"/>
        <v>0.8</v>
      </c>
      <c r="Q166" s="136">
        <f t="shared" si="43"/>
        <v>0.8</v>
      </c>
      <c r="R166" s="136">
        <f t="shared" si="43"/>
        <v>0.8</v>
      </c>
      <c r="S166" s="136">
        <f t="shared" si="44"/>
        <v>0.8</v>
      </c>
      <c r="T166" s="136">
        <f t="shared" si="44"/>
        <v>0.8</v>
      </c>
      <c r="U166" s="136">
        <f t="shared" si="44"/>
        <v>0.8</v>
      </c>
      <c r="V166" s="136">
        <f t="shared" si="44"/>
        <v>0.8</v>
      </c>
      <c r="W166" s="136">
        <f t="shared" si="44"/>
        <v>0.8</v>
      </c>
      <c r="X166" s="136">
        <f t="shared" si="44"/>
        <v>0.8</v>
      </c>
      <c r="Y166" s="136">
        <f t="shared" si="44"/>
        <v>0.8</v>
      </c>
      <c r="Z166" s="136">
        <f t="shared" si="44"/>
        <v>0.8</v>
      </c>
      <c r="AA166" s="136">
        <f t="shared" si="44"/>
        <v>0.8</v>
      </c>
      <c r="AB166" s="136">
        <f t="shared" si="44"/>
        <v>0.8</v>
      </c>
      <c r="AC166" s="136">
        <f t="shared" si="44"/>
        <v>0.8</v>
      </c>
      <c r="AD166" s="136">
        <f t="shared" si="44"/>
        <v>0.8</v>
      </c>
      <c r="AE166" s="136">
        <f t="shared" si="44"/>
        <v>0.8</v>
      </c>
      <c r="AF166" s="136">
        <f t="shared" si="44"/>
        <v>0.8</v>
      </c>
      <c r="AG166" s="139">
        <v>3</v>
      </c>
      <c r="AH166" s="54"/>
      <c r="AI166" s="55"/>
      <c r="AK166" s="56"/>
    </row>
    <row r="167" spans="1:37" x14ac:dyDescent="0.25">
      <c r="A167" s="124" t="s">
        <v>170</v>
      </c>
      <c r="B167" s="136">
        <f t="shared" si="42"/>
        <v>1.5</v>
      </c>
      <c r="C167" s="137">
        <v>1.5</v>
      </c>
      <c r="D167" s="136">
        <f t="shared" si="43"/>
        <v>1.5</v>
      </c>
      <c r="E167" s="136">
        <f t="shared" si="43"/>
        <v>1.5</v>
      </c>
      <c r="F167" s="136">
        <f t="shared" si="43"/>
        <v>1.5</v>
      </c>
      <c r="G167" s="136">
        <f t="shared" si="43"/>
        <v>1.5</v>
      </c>
      <c r="H167" s="136">
        <f t="shared" si="43"/>
        <v>1.5</v>
      </c>
      <c r="I167" s="136">
        <f t="shared" si="43"/>
        <v>1.5</v>
      </c>
      <c r="J167" s="136">
        <f t="shared" si="43"/>
        <v>1.5</v>
      </c>
      <c r="K167" s="136">
        <f t="shared" si="43"/>
        <v>1.5</v>
      </c>
      <c r="L167" s="136">
        <f t="shared" si="43"/>
        <v>1.5</v>
      </c>
      <c r="M167" s="136">
        <f t="shared" si="43"/>
        <v>1.5</v>
      </c>
      <c r="N167" s="136">
        <f t="shared" si="43"/>
        <v>1.5</v>
      </c>
      <c r="O167" s="136">
        <f t="shared" si="43"/>
        <v>1.5</v>
      </c>
      <c r="P167" s="136">
        <f t="shared" si="43"/>
        <v>1.5</v>
      </c>
      <c r="Q167" s="136">
        <f t="shared" si="43"/>
        <v>1.5</v>
      </c>
      <c r="R167" s="136">
        <f t="shared" si="43"/>
        <v>1.5</v>
      </c>
      <c r="S167" s="136">
        <f t="shared" si="44"/>
        <v>1.5</v>
      </c>
      <c r="T167" s="136">
        <f t="shared" si="44"/>
        <v>1.5</v>
      </c>
      <c r="U167" s="136">
        <f t="shared" si="44"/>
        <v>1.5</v>
      </c>
      <c r="V167" s="136">
        <f t="shared" si="44"/>
        <v>1.5</v>
      </c>
      <c r="W167" s="136">
        <f t="shared" si="44"/>
        <v>1.5</v>
      </c>
      <c r="X167" s="136">
        <f t="shared" si="44"/>
        <v>1.5</v>
      </c>
      <c r="Y167" s="136">
        <f t="shared" si="44"/>
        <v>1.5</v>
      </c>
      <c r="Z167" s="136">
        <f t="shared" si="44"/>
        <v>1.5</v>
      </c>
      <c r="AA167" s="136">
        <f t="shared" si="44"/>
        <v>1.5</v>
      </c>
      <c r="AB167" s="136">
        <f t="shared" si="44"/>
        <v>1.5</v>
      </c>
      <c r="AC167" s="136">
        <f t="shared" si="44"/>
        <v>1.5</v>
      </c>
      <c r="AD167" s="136">
        <f t="shared" si="44"/>
        <v>1.5</v>
      </c>
      <c r="AE167" s="136">
        <f t="shared" si="44"/>
        <v>1.5</v>
      </c>
      <c r="AF167" s="136">
        <f t="shared" si="44"/>
        <v>1.5</v>
      </c>
      <c r="AG167" s="139">
        <v>3</v>
      </c>
      <c r="AH167" s="54"/>
      <c r="AI167" s="55"/>
      <c r="AK167" s="56"/>
    </row>
    <row r="168" spans="1:37" x14ac:dyDescent="0.25">
      <c r="A168" s="124" t="s">
        <v>171</v>
      </c>
      <c r="B168" s="136">
        <f t="shared" si="42"/>
        <v>1</v>
      </c>
      <c r="C168" s="137">
        <v>1</v>
      </c>
      <c r="D168" s="136">
        <f t="shared" si="43"/>
        <v>1</v>
      </c>
      <c r="E168" s="136">
        <f t="shared" si="43"/>
        <v>1</v>
      </c>
      <c r="F168" s="136">
        <f t="shared" si="43"/>
        <v>1</v>
      </c>
      <c r="G168" s="136">
        <f t="shared" si="43"/>
        <v>1</v>
      </c>
      <c r="H168" s="136">
        <f t="shared" si="43"/>
        <v>1</v>
      </c>
      <c r="I168" s="136">
        <f t="shared" si="43"/>
        <v>1</v>
      </c>
      <c r="J168" s="136">
        <f t="shared" si="43"/>
        <v>1</v>
      </c>
      <c r="K168" s="136">
        <f t="shared" si="43"/>
        <v>1</v>
      </c>
      <c r="L168" s="136">
        <f t="shared" si="43"/>
        <v>1</v>
      </c>
      <c r="M168" s="136">
        <f t="shared" si="43"/>
        <v>1</v>
      </c>
      <c r="N168" s="136">
        <f t="shared" si="43"/>
        <v>1</v>
      </c>
      <c r="O168" s="136">
        <f t="shared" si="43"/>
        <v>1</v>
      </c>
      <c r="P168" s="136">
        <f t="shared" si="43"/>
        <v>1</v>
      </c>
      <c r="Q168" s="136">
        <f t="shared" si="43"/>
        <v>1</v>
      </c>
      <c r="R168" s="136">
        <f t="shared" si="43"/>
        <v>1</v>
      </c>
      <c r="S168" s="136">
        <f t="shared" si="44"/>
        <v>1</v>
      </c>
      <c r="T168" s="136">
        <f t="shared" si="44"/>
        <v>1</v>
      </c>
      <c r="U168" s="136">
        <f t="shared" si="44"/>
        <v>1</v>
      </c>
      <c r="V168" s="136">
        <f t="shared" si="44"/>
        <v>1</v>
      </c>
      <c r="W168" s="136">
        <f t="shared" si="44"/>
        <v>1</v>
      </c>
      <c r="X168" s="136">
        <f t="shared" si="44"/>
        <v>1</v>
      </c>
      <c r="Y168" s="136">
        <f t="shared" si="44"/>
        <v>1</v>
      </c>
      <c r="Z168" s="136">
        <f t="shared" si="44"/>
        <v>1</v>
      </c>
      <c r="AA168" s="136">
        <f t="shared" si="44"/>
        <v>1</v>
      </c>
      <c r="AB168" s="136">
        <f t="shared" si="44"/>
        <v>1</v>
      </c>
      <c r="AC168" s="136">
        <f t="shared" si="44"/>
        <v>1</v>
      </c>
      <c r="AD168" s="136">
        <f t="shared" si="44"/>
        <v>1</v>
      </c>
      <c r="AE168" s="136">
        <f t="shared" si="44"/>
        <v>1</v>
      </c>
      <c r="AF168" s="136">
        <f t="shared" si="44"/>
        <v>1</v>
      </c>
      <c r="AG168" s="139">
        <v>3</v>
      </c>
      <c r="AH168" s="54"/>
      <c r="AI168" s="55"/>
      <c r="AK168" s="56"/>
    </row>
    <row r="169" spans="1:37" x14ac:dyDescent="0.25">
      <c r="A169" s="124" t="s">
        <v>172</v>
      </c>
      <c r="B169" s="136"/>
      <c r="C169" s="137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9">
        <v>2.83</v>
      </c>
      <c r="AH169" s="54"/>
      <c r="AI169" s="55"/>
      <c r="AK169" s="56"/>
    </row>
    <row r="170" spans="1:37" x14ac:dyDescent="0.25">
      <c r="A170" s="124" t="s">
        <v>173</v>
      </c>
      <c r="B170" s="136">
        <f t="shared" ref="B170:B177" si="45">AF170</f>
        <v>1</v>
      </c>
      <c r="C170" s="137">
        <v>1</v>
      </c>
      <c r="D170" s="136">
        <f t="shared" ref="D170:S177" si="46">C170</f>
        <v>1</v>
      </c>
      <c r="E170" s="136">
        <f t="shared" si="46"/>
        <v>1</v>
      </c>
      <c r="F170" s="136">
        <f t="shared" si="46"/>
        <v>1</v>
      </c>
      <c r="G170" s="136">
        <f t="shared" si="46"/>
        <v>1</v>
      </c>
      <c r="H170" s="136">
        <f t="shared" si="46"/>
        <v>1</v>
      </c>
      <c r="I170" s="136">
        <f t="shared" si="46"/>
        <v>1</v>
      </c>
      <c r="J170" s="136">
        <f t="shared" si="46"/>
        <v>1</v>
      </c>
      <c r="K170" s="136">
        <f t="shared" si="46"/>
        <v>1</v>
      </c>
      <c r="L170" s="136">
        <f t="shared" si="46"/>
        <v>1</v>
      </c>
      <c r="M170" s="136">
        <f t="shared" si="46"/>
        <v>1</v>
      </c>
      <c r="N170" s="136">
        <f t="shared" si="46"/>
        <v>1</v>
      </c>
      <c r="O170" s="136">
        <f t="shared" si="46"/>
        <v>1</v>
      </c>
      <c r="P170" s="136">
        <f t="shared" si="46"/>
        <v>1</v>
      </c>
      <c r="Q170" s="136">
        <f t="shared" si="46"/>
        <v>1</v>
      </c>
      <c r="R170" s="136">
        <f t="shared" si="46"/>
        <v>1</v>
      </c>
      <c r="S170" s="136">
        <f t="shared" si="46"/>
        <v>1</v>
      </c>
      <c r="T170" s="136">
        <f t="shared" ref="S170:AF177" si="47">S170</f>
        <v>1</v>
      </c>
      <c r="U170" s="136">
        <f t="shared" si="47"/>
        <v>1</v>
      </c>
      <c r="V170" s="136">
        <f t="shared" si="47"/>
        <v>1</v>
      </c>
      <c r="W170" s="136">
        <f t="shared" si="47"/>
        <v>1</v>
      </c>
      <c r="X170" s="136">
        <f t="shared" si="47"/>
        <v>1</v>
      </c>
      <c r="Y170" s="136">
        <f t="shared" si="47"/>
        <v>1</v>
      </c>
      <c r="Z170" s="136">
        <f t="shared" si="47"/>
        <v>1</v>
      </c>
      <c r="AA170" s="136">
        <f t="shared" si="47"/>
        <v>1</v>
      </c>
      <c r="AB170" s="136">
        <f t="shared" si="47"/>
        <v>1</v>
      </c>
      <c r="AC170" s="136">
        <f t="shared" si="47"/>
        <v>1</v>
      </c>
      <c r="AD170" s="136">
        <f t="shared" si="47"/>
        <v>1</v>
      </c>
      <c r="AE170" s="136">
        <f t="shared" si="47"/>
        <v>1</v>
      </c>
      <c r="AF170" s="136">
        <f t="shared" si="47"/>
        <v>1</v>
      </c>
      <c r="AG170" s="139">
        <v>2.5</v>
      </c>
      <c r="AH170" s="54"/>
      <c r="AI170" s="55"/>
      <c r="AK170" s="56"/>
    </row>
    <row r="171" spans="1:37" x14ac:dyDescent="0.25">
      <c r="A171" s="124" t="s">
        <v>174</v>
      </c>
      <c r="B171" s="136">
        <f t="shared" si="45"/>
        <v>0.42</v>
      </c>
      <c r="C171" s="137">
        <v>0.42</v>
      </c>
      <c r="D171" s="136">
        <f t="shared" si="46"/>
        <v>0.42</v>
      </c>
      <c r="E171" s="136">
        <f t="shared" si="46"/>
        <v>0.42</v>
      </c>
      <c r="F171" s="136">
        <f t="shared" si="46"/>
        <v>0.42</v>
      </c>
      <c r="G171" s="136">
        <f t="shared" si="46"/>
        <v>0.42</v>
      </c>
      <c r="H171" s="136">
        <f t="shared" si="46"/>
        <v>0.42</v>
      </c>
      <c r="I171" s="136">
        <f t="shared" si="46"/>
        <v>0.42</v>
      </c>
      <c r="J171" s="136">
        <f t="shared" si="46"/>
        <v>0.42</v>
      </c>
      <c r="K171" s="136">
        <f t="shared" si="46"/>
        <v>0.42</v>
      </c>
      <c r="L171" s="136">
        <f t="shared" si="46"/>
        <v>0.42</v>
      </c>
      <c r="M171" s="136">
        <f t="shared" si="46"/>
        <v>0.42</v>
      </c>
      <c r="N171" s="136">
        <f t="shared" si="46"/>
        <v>0.42</v>
      </c>
      <c r="O171" s="136">
        <f t="shared" si="46"/>
        <v>0.42</v>
      </c>
      <c r="P171" s="136">
        <f t="shared" si="46"/>
        <v>0.42</v>
      </c>
      <c r="Q171" s="136">
        <f t="shared" si="46"/>
        <v>0.42</v>
      </c>
      <c r="R171" s="136">
        <f t="shared" si="46"/>
        <v>0.42</v>
      </c>
      <c r="S171" s="136">
        <f t="shared" si="47"/>
        <v>0.42</v>
      </c>
      <c r="T171" s="136">
        <f t="shared" si="47"/>
        <v>0.42</v>
      </c>
      <c r="U171" s="136">
        <f t="shared" si="47"/>
        <v>0.42</v>
      </c>
      <c r="V171" s="136">
        <f t="shared" si="47"/>
        <v>0.42</v>
      </c>
      <c r="W171" s="136">
        <f t="shared" si="47"/>
        <v>0.42</v>
      </c>
      <c r="X171" s="136">
        <f t="shared" si="47"/>
        <v>0.42</v>
      </c>
      <c r="Y171" s="136">
        <f t="shared" si="47"/>
        <v>0.42</v>
      </c>
      <c r="Z171" s="136">
        <f t="shared" si="47"/>
        <v>0.42</v>
      </c>
      <c r="AA171" s="136">
        <f t="shared" si="47"/>
        <v>0.42</v>
      </c>
      <c r="AB171" s="136">
        <f t="shared" si="47"/>
        <v>0.42</v>
      </c>
      <c r="AC171" s="136">
        <f t="shared" si="47"/>
        <v>0.42</v>
      </c>
      <c r="AD171" s="136">
        <f t="shared" si="47"/>
        <v>0.42</v>
      </c>
      <c r="AE171" s="136">
        <f t="shared" si="47"/>
        <v>0.42</v>
      </c>
      <c r="AF171" s="136">
        <f t="shared" si="47"/>
        <v>0.42</v>
      </c>
      <c r="AG171" s="139">
        <v>2.5</v>
      </c>
      <c r="AH171" s="54"/>
      <c r="AI171" s="55"/>
      <c r="AK171" s="56"/>
    </row>
    <row r="172" spans="1:37" x14ac:dyDescent="0.25">
      <c r="A172" s="124" t="s">
        <v>175</v>
      </c>
      <c r="B172" s="136">
        <f t="shared" si="45"/>
        <v>0.46</v>
      </c>
      <c r="C172" s="137">
        <v>0.46</v>
      </c>
      <c r="D172" s="136">
        <f t="shared" si="46"/>
        <v>0.46</v>
      </c>
      <c r="E172" s="136">
        <f t="shared" si="46"/>
        <v>0.46</v>
      </c>
      <c r="F172" s="136">
        <f t="shared" si="46"/>
        <v>0.46</v>
      </c>
      <c r="G172" s="136">
        <f t="shared" si="46"/>
        <v>0.46</v>
      </c>
      <c r="H172" s="136">
        <f t="shared" si="46"/>
        <v>0.46</v>
      </c>
      <c r="I172" s="136">
        <f t="shared" si="46"/>
        <v>0.46</v>
      </c>
      <c r="J172" s="136">
        <f t="shared" si="46"/>
        <v>0.46</v>
      </c>
      <c r="K172" s="136">
        <f t="shared" si="46"/>
        <v>0.46</v>
      </c>
      <c r="L172" s="136">
        <f t="shared" si="46"/>
        <v>0.46</v>
      </c>
      <c r="M172" s="136">
        <f t="shared" si="46"/>
        <v>0.46</v>
      </c>
      <c r="N172" s="136">
        <f t="shared" si="46"/>
        <v>0.46</v>
      </c>
      <c r="O172" s="136">
        <f t="shared" si="46"/>
        <v>0.46</v>
      </c>
      <c r="P172" s="136">
        <f t="shared" si="46"/>
        <v>0.46</v>
      </c>
      <c r="Q172" s="136">
        <f t="shared" si="46"/>
        <v>0.46</v>
      </c>
      <c r="R172" s="136">
        <f t="shared" si="46"/>
        <v>0.46</v>
      </c>
      <c r="S172" s="136">
        <f t="shared" si="47"/>
        <v>0.46</v>
      </c>
      <c r="T172" s="136">
        <f t="shared" si="47"/>
        <v>0.46</v>
      </c>
      <c r="U172" s="136">
        <f t="shared" si="47"/>
        <v>0.46</v>
      </c>
      <c r="V172" s="136">
        <f t="shared" si="47"/>
        <v>0.46</v>
      </c>
      <c r="W172" s="136">
        <f t="shared" si="47"/>
        <v>0.46</v>
      </c>
      <c r="X172" s="136">
        <f t="shared" si="47"/>
        <v>0.46</v>
      </c>
      <c r="Y172" s="136">
        <f t="shared" si="47"/>
        <v>0.46</v>
      </c>
      <c r="Z172" s="136">
        <f t="shared" si="47"/>
        <v>0.46</v>
      </c>
      <c r="AA172" s="136">
        <f t="shared" si="47"/>
        <v>0.46</v>
      </c>
      <c r="AB172" s="136">
        <f t="shared" si="47"/>
        <v>0.46</v>
      </c>
      <c r="AC172" s="136">
        <f t="shared" si="47"/>
        <v>0.46</v>
      </c>
      <c r="AD172" s="136">
        <f t="shared" si="47"/>
        <v>0.46</v>
      </c>
      <c r="AE172" s="136">
        <f t="shared" si="47"/>
        <v>0.46</v>
      </c>
      <c r="AF172" s="136">
        <f t="shared" si="47"/>
        <v>0.46</v>
      </c>
      <c r="AG172" s="139">
        <v>2.4</v>
      </c>
      <c r="AH172" s="54"/>
      <c r="AI172" s="55"/>
      <c r="AK172" s="56"/>
    </row>
    <row r="173" spans="1:37" x14ac:dyDescent="0.25">
      <c r="A173" s="124" t="s">
        <v>176</v>
      </c>
      <c r="B173" s="136">
        <f t="shared" si="45"/>
        <v>0.85</v>
      </c>
      <c r="C173" s="137">
        <v>0.85</v>
      </c>
      <c r="D173" s="136">
        <f t="shared" si="46"/>
        <v>0.85</v>
      </c>
      <c r="E173" s="136">
        <f t="shared" si="46"/>
        <v>0.85</v>
      </c>
      <c r="F173" s="136">
        <f t="shared" si="46"/>
        <v>0.85</v>
      </c>
      <c r="G173" s="136">
        <f t="shared" si="46"/>
        <v>0.85</v>
      </c>
      <c r="H173" s="136">
        <f t="shared" si="46"/>
        <v>0.85</v>
      </c>
      <c r="I173" s="136">
        <f t="shared" si="46"/>
        <v>0.85</v>
      </c>
      <c r="J173" s="136">
        <f t="shared" si="46"/>
        <v>0.85</v>
      </c>
      <c r="K173" s="136">
        <f t="shared" si="46"/>
        <v>0.85</v>
      </c>
      <c r="L173" s="136">
        <f t="shared" si="46"/>
        <v>0.85</v>
      </c>
      <c r="M173" s="136">
        <f t="shared" si="46"/>
        <v>0.85</v>
      </c>
      <c r="N173" s="136">
        <f t="shared" si="46"/>
        <v>0.85</v>
      </c>
      <c r="O173" s="136">
        <f t="shared" si="46"/>
        <v>0.85</v>
      </c>
      <c r="P173" s="136">
        <f t="shared" si="46"/>
        <v>0.85</v>
      </c>
      <c r="Q173" s="136">
        <f t="shared" si="46"/>
        <v>0.85</v>
      </c>
      <c r="R173" s="136">
        <f t="shared" si="46"/>
        <v>0.85</v>
      </c>
      <c r="S173" s="136">
        <f t="shared" si="47"/>
        <v>0.85</v>
      </c>
      <c r="T173" s="136">
        <f t="shared" si="47"/>
        <v>0.85</v>
      </c>
      <c r="U173" s="136">
        <f t="shared" si="47"/>
        <v>0.85</v>
      </c>
      <c r="V173" s="136">
        <f t="shared" si="47"/>
        <v>0.85</v>
      </c>
      <c r="W173" s="136">
        <f t="shared" si="47"/>
        <v>0.85</v>
      </c>
      <c r="X173" s="136">
        <f t="shared" si="47"/>
        <v>0.85</v>
      </c>
      <c r="Y173" s="136">
        <f t="shared" si="47"/>
        <v>0.85</v>
      </c>
      <c r="Z173" s="136">
        <f t="shared" si="47"/>
        <v>0.85</v>
      </c>
      <c r="AA173" s="136">
        <f t="shared" si="47"/>
        <v>0.85</v>
      </c>
      <c r="AB173" s="136">
        <f t="shared" si="47"/>
        <v>0.85</v>
      </c>
      <c r="AC173" s="136">
        <f t="shared" si="47"/>
        <v>0.85</v>
      </c>
      <c r="AD173" s="136">
        <f t="shared" si="47"/>
        <v>0.85</v>
      </c>
      <c r="AE173" s="136">
        <f t="shared" si="47"/>
        <v>0.85</v>
      </c>
      <c r="AF173" s="136">
        <f t="shared" si="47"/>
        <v>0.85</v>
      </c>
      <c r="AG173" s="139">
        <v>2.4</v>
      </c>
      <c r="AH173" s="54"/>
      <c r="AI173" s="55"/>
      <c r="AK173" s="56"/>
    </row>
    <row r="174" spans="1:37" x14ac:dyDescent="0.25">
      <c r="A174" s="124" t="s">
        <v>177</v>
      </c>
      <c r="B174" s="136">
        <f t="shared" si="45"/>
        <v>0.9</v>
      </c>
      <c r="C174" s="137">
        <v>0.9</v>
      </c>
      <c r="D174" s="136">
        <f t="shared" si="46"/>
        <v>0.9</v>
      </c>
      <c r="E174" s="136">
        <f t="shared" si="46"/>
        <v>0.9</v>
      </c>
      <c r="F174" s="136">
        <f t="shared" si="46"/>
        <v>0.9</v>
      </c>
      <c r="G174" s="136">
        <f t="shared" si="46"/>
        <v>0.9</v>
      </c>
      <c r="H174" s="136">
        <f t="shared" si="46"/>
        <v>0.9</v>
      </c>
      <c r="I174" s="136">
        <f t="shared" si="46"/>
        <v>0.9</v>
      </c>
      <c r="J174" s="136">
        <f t="shared" si="46"/>
        <v>0.9</v>
      </c>
      <c r="K174" s="136">
        <f t="shared" si="46"/>
        <v>0.9</v>
      </c>
      <c r="L174" s="136">
        <f t="shared" si="46"/>
        <v>0.9</v>
      </c>
      <c r="M174" s="136">
        <f t="shared" si="46"/>
        <v>0.9</v>
      </c>
      <c r="N174" s="136">
        <f t="shared" si="46"/>
        <v>0.9</v>
      </c>
      <c r="O174" s="136">
        <f t="shared" si="46"/>
        <v>0.9</v>
      </c>
      <c r="P174" s="136">
        <f t="shared" si="46"/>
        <v>0.9</v>
      </c>
      <c r="Q174" s="136">
        <f t="shared" si="46"/>
        <v>0.9</v>
      </c>
      <c r="R174" s="136">
        <f t="shared" si="46"/>
        <v>0.9</v>
      </c>
      <c r="S174" s="136">
        <f t="shared" si="47"/>
        <v>0.9</v>
      </c>
      <c r="T174" s="136">
        <f t="shared" si="47"/>
        <v>0.9</v>
      </c>
      <c r="U174" s="136">
        <f t="shared" si="47"/>
        <v>0.9</v>
      </c>
      <c r="V174" s="136">
        <f t="shared" si="47"/>
        <v>0.9</v>
      </c>
      <c r="W174" s="136">
        <f t="shared" si="47"/>
        <v>0.9</v>
      </c>
      <c r="X174" s="136">
        <f t="shared" si="47"/>
        <v>0.9</v>
      </c>
      <c r="Y174" s="136">
        <f t="shared" si="47"/>
        <v>0.9</v>
      </c>
      <c r="Z174" s="136">
        <f t="shared" si="47"/>
        <v>0.9</v>
      </c>
      <c r="AA174" s="136">
        <f t="shared" si="47"/>
        <v>0.9</v>
      </c>
      <c r="AB174" s="136">
        <f t="shared" si="47"/>
        <v>0.9</v>
      </c>
      <c r="AC174" s="136">
        <f t="shared" si="47"/>
        <v>0.9</v>
      </c>
      <c r="AD174" s="136">
        <f t="shared" si="47"/>
        <v>0.9</v>
      </c>
      <c r="AE174" s="136">
        <f t="shared" si="47"/>
        <v>0.9</v>
      </c>
      <c r="AF174" s="136">
        <f t="shared" si="47"/>
        <v>0.9</v>
      </c>
      <c r="AG174" s="139">
        <v>2.2000000000000002</v>
      </c>
      <c r="AH174" s="54"/>
      <c r="AI174" s="55"/>
      <c r="AK174" s="56"/>
    </row>
    <row r="175" spans="1:37" x14ac:dyDescent="0.25">
      <c r="A175" s="124" t="s">
        <v>178</v>
      </c>
      <c r="B175" s="136">
        <f t="shared" si="45"/>
        <v>0.44</v>
      </c>
      <c r="C175" s="137">
        <v>0.44</v>
      </c>
      <c r="D175" s="136">
        <f t="shared" si="46"/>
        <v>0.44</v>
      </c>
      <c r="E175" s="136">
        <f t="shared" si="46"/>
        <v>0.44</v>
      </c>
      <c r="F175" s="136">
        <f t="shared" si="46"/>
        <v>0.44</v>
      </c>
      <c r="G175" s="136">
        <f t="shared" si="46"/>
        <v>0.44</v>
      </c>
      <c r="H175" s="136">
        <f t="shared" si="46"/>
        <v>0.44</v>
      </c>
      <c r="I175" s="136">
        <f t="shared" si="46"/>
        <v>0.44</v>
      </c>
      <c r="J175" s="136">
        <f t="shared" si="46"/>
        <v>0.44</v>
      </c>
      <c r="K175" s="136">
        <f t="shared" si="46"/>
        <v>0.44</v>
      </c>
      <c r="L175" s="136">
        <f t="shared" si="46"/>
        <v>0.44</v>
      </c>
      <c r="M175" s="136">
        <f t="shared" si="46"/>
        <v>0.44</v>
      </c>
      <c r="N175" s="136">
        <f t="shared" si="46"/>
        <v>0.44</v>
      </c>
      <c r="O175" s="136">
        <f t="shared" si="46"/>
        <v>0.44</v>
      </c>
      <c r="P175" s="136">
        <f t="shared" si="46"/>
        <v>0.44</v>
      </c>
      <c r="Q175" s="136">
        <f t="shared" si="46"/>
        <v>0.44</v>
      </c>
      <c r="R175" s="136">
        <f t="shared" si="46"/>
        <v>0.44</v>
      </c>
      <c r="S175" s="136">
        <f t="shared" si="47"/>
        <v>0.44</v>
      </c>
      <c r="T175" s="136">
        <f t="shared" si="47"/>
        <v>0.44</v>
      </c>
      <c r="U175" s="136">
        <f t="shared" si="47"/>
        <v>0.44</v>
      </c>
      <c r="V175" s="136">
        <f t="shared" si="47"/>
        <v>0.44</v>
      </c>
      <c r="W175" s="136">
        <f t="shared" si="47"/>
        <v>0.44</v>
      </c>
      <c r="X175" s="136">
        <f t="shared" si="47"/>
        <v>0.44</v>
      </c>
      <c r="Y175" s="136">
        <f t="shared" si="47"/>
        <v>0.44</v>
      </c>
      <c r="Z175" s="136">
        <f t="shared" si="47"/>
        <v>0.44</v>
      </c>
      <c r="AA175" s="136">
        <f t="shared" si="47"/>
        <v>0.44</v>
      </c>
      <c r="AB175" s="136">
        <f t="shared" si="47"/>
        <v>0.44</v>
      </c>
      <c r="AC175" s="136">
        <f t="shared" si="47"/>
        <v>0.44</v>
      </c>
      <c r="AD175" s="136">
        <f t="shared" si="47"/>
        <v>0.44</v>
      </c>
      <c r="AE175" s="136">
        <f t="shared" si="47"/>
        <v>0.44</v>
      </c>
      <c r="AF175" s="136">
        <f t="shared" si="47"/>
        <v>0.44</v>
      </c>
      <c r="AG175" s="139">
        <v>2</v>
      </c>
      <c r="AH175" s="54"/>
      <c r="AI175" s="55"/>
      <c r="AK175" s="56"/>
    </row>
    <row r="176" spans="1:37" x14ac:dyDescent="0.25">
      <c r="A176" s="124" t="s">
        <v>179</v>
      </c>
      <c r="B176" s="136">
        <f t="shared" si="45"/>
        <v>2.1</v>
      </c>
      <c r="C176" s="137">
        <v>2.1</v>
      </c>
      <c r="D176" s="136">
        <f t="shared" si="46"/>
        <v>2.1</v>
      </c>
      <c r="E176" s="136">
        <f t="shared" si="46"/>
        <v>2.1</v>
      </c>
      <c r="F176" s="136">
        <f t="shared" si="46"/>
        <v>2.1</v>
      </c>
      <c r="G176" s="136">
        <f t="shared" si="46"/>
        <v>2.1</v>
      </c>
      <c r="H176" s="136">
        <f t="shared" si="46"/>
        <v>2.1</v>
      </c>
      <c r="I176" s="136">
        <f t="shared" si="46"/>
        <v>2.1</v>
      </c>
      <c r="J176" s="136">
        <f t="shared" si="46"/>
        <v>2.1</v>
      </c>
      <c r="K176" s="136">
        <f t="shared" si="46"/>
        <v>2.1</v>
      </c>
      <c r="L176" s="136">
        <f t="shared" si="46"/>
        <v>2.1</v>
      </c>
      <c r="M176" s="136">
        <f t="shared" si="46"/>
        <v>2.1</v>
      </c>
      <c r="N176" s="136">
        <f t="shared" si="46"/>
        <v>2.1</v>
      </c>
      <c r="O176" s="136">
        <f t="shared" si="46"/>
        <v>2.1</v>
      </c>
      <c r="P176" s="136">
        <f t="shared" si="46"/>
        <v>2.1</v>
      </c>
      <c r="Q176" s="136">
        <f t="shared" si="46"/>
        <v>2.1</v>
      </c>
      <c r="R176" s="136">
        <f t="shared" si="46"/>
        <v>2.1</v>
      </c>
      <c r="S176" s="136">
        <f t="shared" si="47"/>
        <v>2.1</v>
      </c>
      <c r="T176" s="136">
        <f t="shared" si="47"/>
        <v>2.1</v>
      </c>
      <c r="U176" s="136">
        <f t="shared" si="47"/>
        <v>2.1</v>
      </c>
      <c r="V176" s="136">
        <f t="shared" si="47"/>
        <v>2.1</v>
      </c>
      <c r="W176" s="136">
        <f t="shared" si="47"/>
        <v>2.1</v>
      </c>
      <c r="X176" s="136">
        <f t="shared" si="47"/>
        <v>2.1</v>
      </c>
      <c r="Y176" s="136">
        <f t="shared" si="47"/>
        <v>2.1</v>
      </c>
      <c r="Z176" s="136">
        <f t="shared" si="47"/>
        <v>2.1</v>
      </c>
      <c r="AA176" s="136">
        <f t="shared" si="47"/>
        <v>2.1</v>
      </c>
      <c r="AB176" s="136">
        <f t="shared" si="47"/>
        <v>2.1</v>
      </c>
      <c r="AC176" s="136">
        <f t="shared" si="47"/>
        <v>2.1</v>
      </c>
      <c r="AD176" s="136">
        <f t="shared" si="47"/>
        <v>2.1</v>
      </c>
      <c r="AE176" s="136">
        <f t="shared" si="47"/>
        <v>2.1</v>
      </c>
      <c r="AF176" s="136">
        <f t="shared" si="47"/>
        <v>2.1</v>
      </c>
      <c r="AG176" s="139">
        <v>2</v>
      </c>
      <c r="AH176" s="54"/>
      <c r="AI176" s="55"/>
      <c r="AK176" s="56"/>
    </row>
    <row r="177" spans="1:37" x14ac:dyDescent="0.25">
      <c r="A177" s="124" t="s">
        <v>180</v>
      </c>
      <c r="B177" s="136">
        <f t="shared" si="45"/>
        <v>0.9</v>
      </c>
      <c r="C177" s="137">
        <v>0.9</v>
      </c>
      <c r="D177" s="136">
        <f t="shared" si="46"/>
        <v>0.9</v>
      </c>
      <c r="E177" s="136">
        <f t="shared" si="46"/>
        <v>0.9</v>
      </c>
      <c r="F177" s="136">
        <f t="shared" si="46"/>
        <v>0.9</v>
      </c>
      <c r="G177" s="136">
        <f t="shared" si="46"/>
        <v>0.9</v>
      </c>
      <c r="H177" s="136">
        <f t="shared" si="46"/>
        <v>0.9</v>
      </c>
      <c r="I177" s="136">
        <f t="shared" si="46"/>
        <v>0.9</v>
      </c>
      <c r="J177" s="136">
        <f t="shared" si="46"/>
        <v>0.9</v>
      </c>
      <c r="K177" s="136">
        <f t="shared" si="46"/>
        <v>0.9</v>
      </c>
      <c r="L177" s="136">
        <f t="shared" si="46"/>
        <v>0.9</v>
      </c>
      <c r="M177" s="136">
        <f t="shared" si="46"/>
        <v>0.9</v>
      </c>
      <c r="N177" s="136">
        <f t="shared" si="46"/>
        <v>0.9</v>
      </c>
      <c r="O177" s="136">
        <f t="shared" si="46"/>
        <v>0.9</v>
      </c>
      <c r="P177" s="136">
        <f t="shared" si="46"/>
        <v>0.9</v>
      </c>
      <c r="Q177" s="136">
        <f t="shared" si="46"/>
        <v>0.9</v>
      </c>
      <c r="R177" s="136">
        <f t="shared" si="46"/>
        <v>0.9</v>
      </c>
      <c r="S177" s="136">
        <f t="shared" si="47"/>
        <v>0.9</v>
      </c>
      <c r="T177" s="136">
        <f t="shared" si="47"/>
        <v>0.9</v>
      </c>
      <c r="U177" s="136">
        <f t="shared" si="47"/>
        <v>0.9</v>
      </c>
      <c r="V177" s="136">
        <f t="shared" si="47"/>
        <v>0.9</v>
      </c>
      <c r="W177" s="136">
        <f t="shared" si="47"/>
        <v>0.9</v>
      </c>
      <c r="X177" s="136">
        <f t="shared" si="47"/>
        <v>0.9</v>
      </c>
      <c r="Y177" s="136">
        <f t="shared" si="47"/>
        <v>0.9</v>
      </c>
      <c r="Z177" s="136">
        <f t="shared" si="47"/>
        <v>0.9</v>
      </c>
      <c r="AA177" s="136">
        <f t="shared" si="47"/>
        <v>0.9</v>
      </c>
      <c r="AB177" s="136">
        <f t="shared" si="47"/>
        <v>0.9</v>
      </c>
      <c r="AC177" s="136">
        <f t="shared" si="47"/>
        <v>0.9</v>
      </c>
      <c r="AD177" s="136">
        <f t="shared" si="47"/>
        <v>0.9</v>
      </c>
      <c r="AE177" s="136">
        <f t="shared" si="47"/>
        <v>0.9</v>
      </c>
      <c r="AF177" s="136">
        <f t="shared" si="47"/>
        <v>0.9</v>
      </c>
      <c r="AG177" s="139">
        <v>2</v>
      </c>
      <c r="AH177" s="54"/>
      <c r="AI177" s="55"/>
      <c r="AK177" s="56"/>
    </row>
    <row r="178" spans="1:37" x14ac:dyDescent="0.25">
      <c r="A178" s="124" t="s">
        <v>181</v>
      </c>
      <c r="B178" s="136"/>
      <c r="C178" s="137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9">
        <v>1.8</v>
      </c>
      <c r="AH178" s="54"/>
      <c r="AI178" s="55"/>
      <c r="AK178" s="56"/>
    </row>
    <row r="179" spans="1:37" x14ac:dyDescent="0.25">
      <c r="A179" s="124" t="s">
        <v>182</v>
      </c>
      <c r="B179" s="136">
        <f t="shared" ref="B179:B191" si="48">AF179</f>
        <v>0.57999999999999996</v>
      </c>
      <c r="C179" s="137">
        <v>0.57999999999999996</v>
      </c>
      <c r="D179" s="136">
        <f t="shared" ref="D179:S191" si="49">C179</f>
        <v>0.57999999999999996</v>
      </c>
      <c r="E179" s="136">
        <f t="shared" si="49"/>
        <v>0.57999999999999996</v>
      </c>
      <c r="F179" s="136">
        <f t="shared" si="49"/>
        <v>0.57999999999999996</v>
      </c>
      <c r="G179" s="136">
        <f t="shared" si="49"/>
        <v>0.57999999999999996</v>
      </c>
      <c r="H179" s="136">
        <f t="shared" si="49"/>
        <v>0.57999999999999996</v>
      </c>
      <c r="I179" s="136">
        <f t="shared" si="49"/>
        <v>0.57999999999999996</v>
      </c>
      <c r="J179" s="136">
        <f t="shared" si="49"/>
        <v>0.57999999999999996</v>
      </c>
      <c r="K179" s="136">
        <f t="shared" si="49"/>
        <v>0.57999999999999996</v>
      </c>
      <c r="L179" s="136">
        <f t="shared" si="49"/>
        <v>0.57999999999999996</v>
      </c>
      <c r="M179" s="136">
        <f t="shared" si="49"/>
        <v>0.57999999999999996</v>
      </c>
      <c r="N179" s="136">
        <f t="shared" si="49"/>
        <v>0.57999999999999996</v>
      </c>
      <c r="O179" s="136">
        <f t="shared" si="49"/>
        <v>0.57999999999999996</v>
      </c>
      <c r="P179" s="136">
        <f t="shared" si="49"/>
        <v>0.57999999999999996</v>
      </c>
      <c r="Q179" s="136">
        <f t="shared" si="49"/>
        <v>0.57999999999999996</v>
      </c>
      <c r="R179" s="136">
        <f t="shared" si="49"/>
        <v>0.57999999999999996</v>
      </c>
      <c r="S179" s="136">
        <f t="shared" si="49"/>
        <v>0.57999999999999996</v>
      </c>
      <c r="T179" s="136">
        <f t="shared" ref="S179:AF191" si="50">S179</f>
        <v>0.57999999999999996</v>
      </c>
      <c r="U179" s="136">
        <f t="shared" si="50"/>
        <v>0.57999999999999996</v>
      </c>
      <c r="V179" s="136">
        <f t="shared" si="50"/>
        <v>0.57999999999999996</v>
      </c>
      <c r="W179" s="136">
        <f t="shared" si="50"/>
        <v>0.57999999999999996</v>
      </c>
      <c r="X179" s="136">
        <f t="shared" si="50"/>
        <v>0.57999999999999996</v>
      </c>
      <c r="Y179" s="136">
        <f t="shared" si="50"/>
        <v>0.57999999999999996</v>
      </c>
      <c r="Z179" s="136">
        <f t="shared" si="50"/>
        <v>0.57999999999999996</v>
      </c>
      <c r="AA179" s="136">
        <f t="shared" si="50"/>
        <v>0.57999999999999996</v>
      </c>
      <c r="AB179" s="136">
        <f t="shared" si="50"/>
        <v>0.57999999999999996</v>
      </c>
      <c r="AC179" s="136">
        <f t="shared" si="50"/>
        <v>0.57999999999999996</v>
      </c>
      <c r="AD179" s="136">
        <f t="shared" si="50"/>
        <v>0.57999999999999996</v>
      </c>
      <c r="AE179" s="136">
        <f t="shared" si="50"/>
        <v>0.57999999999999996</v>
      </c>
      <c r="AF179" s="136">
        <f t="shared" si="50"/>
        <v>0.57999999999999996</v>
      </c>
      <c r="AG179" s="139">
        <v>1.8</v>
      </c>
      <c r="AH179" s="54"/>
      <c r="AI179" s="55"/>
      <c r="AK179" s="56"/>
    </row>
    <row r="180" spans="1:37" x14ac:dyDescent="0.25">
      <c r="A180" s="124" t="s">
        <v>183</v>
      </c>
      <c r="B180" s="136">
        <f t="shared" si="48"/>
        <v>0.8</v>
      </c>
      <c r="C180" s="137">
        <v>0.8</v>
      </c>
      <c r="D180" s="136">
        <f t="shared" si="49"/>
        <v>0.8</v>
      </c>
      <c r="E180" s="136">
        <f t="shared" si="49"/>
        <v>0.8</v>
      </c>
      <c r="F180" s="136">
        <f t="shared" si="49"/>
        <v>0.8</v>
      </c>
      <c r="G180" s="136">
        <f t="shared" si="49"/>
        <v>0.8</v>
      </c>
      <c r="H180" s="136">
        <f t="shared" si="49"/>
        <v>0.8</v>
      </c>
      <c r="I180" s="136">
        <f t="shared" si="49"/>
        <v>0.8</v>
      </c>
      <c r="J180" s="136">
        <f t="shared" si="49"/>
        <v>0.8</v>
      </c>
      <c r="K180" s="136">
        <f t="shared" si="49"/>
        <v>0.8</v>
      </c>
      <c r="L180" s="136">
        <f t="shared" si="49"/>
        <v>0.8</v>
      </c>
      <c r="M180" s="136">
        <f t="shared" si="49"/>
        <v>0.8</v>
      </c>
      <c r="N180" s="136">
        <f t="shared" si="49"/>
        <v>0.8</v>
      </c>
      <c r="O180" s="136">
        <f t="shared" si="49"/>
        <v>0.8</v>
      </c>
      <c r="P180" s="136">
        <f t="shared" si="49"/>
        <v>0.8</v>
      </c>
      <c r="Q180" s="136">
        <f t="shared" si="49"/>
        <v>0.8</v>
      </c>
      <c r="R180" s="136">
        <f t="shared" si="49"/>
        <v>0.8</v>
      </c>
      <c r="S180" s="136">
        <f t="shared" si="49"/>
        <v>0.8</v>
      </c>
      <c r="T180" s="136">
        <f t="shared" si="50"/>
        <v>0.8</v>
      </c>
      <c r="U180" s="136">
        <f t="shared" si="50"/>
        <v>0.8</v>
      </c>
      <c r="V180" s="136">
        <f t="shared" si="50"/>
        <v>0.8</v>
      </c>
      <c r="W180" s="136">
        <f t="shared" si="50"/>
        <v>0.8</v>
      </c>
      <c r="X180" s="136">
        <f t="shared" si="50"/>
        <v>0.8</v>
      </c>
      <c r="Y180" s="136">
        <f t="shared" si="50"/>
        <v>0.8</v>
      </c>
      <c r="Z180" s="136">
        <f t="shared" si="50"/>
        <v>0.8</v>
      </c>
      <c r="AA180" s="136">
        <f t="shared" si="50"/>
        <v>0.8</v>
      </c>
      <c r="AB180" s="136">
        <f t="shared" si="50"/>
        <v>0.8</v>
      </c>
      <c r="AC180" s="136">
        <f t="shared" si="50"/>
        <v>0.8</v>
      </c>
      <c r="AD180" s="136">
        <f t="shared" si="50"/>
        <v>0.8</v>
      </c>
      <c r="AE180" s="136">
        <f t="shared" si="50"/>
        <v>0.8</v>
      </c>
      <c r="AF180" s="136">
        <f t="shared" si="50"/>
        <v>0.8</v>
      </c>
      <c r="AG180" s="139">
        <v>1.65</v>
      </c>
      <c r="AH180" s="54"/>
      <c r="AI180" s="55"/>
      <c r="AK180" s="56"/>
    </row>
    <row r="181" spans="1:37" x14ac:dyDescent="0.25">
      <c r="A181" s="124" t="s">
        <v>184</v>
      </c>
      <c r="B181" s="136">
        <f t="shared" si="48"/>
        <v>0</v>
      </c>
      <c r="C181" s="137">
        <v>0</v>
      </c>
      <c r="D181" s="136">
        <f t="shared" si="49"/>
        <v>0</v>
      </c>
      <c r="E181" s="136">
        <f t="shared" si="49"/>
        <v>0</v>
      </c>
      <c r="F181" s="136">
        <f t="shared" si="49"/>
        <v>0</v>
      </c>
      <c r="G181" s="136">
        <f t="shared" si="49"/>
        <v>0</v>
      </c>
      <c r="H181" s="136">
        <f t="shared" si="49"/>
        <v>0</v>
      </c>
      <c r="I181" s="136">
        <f t="shared" si="49"/>
        <v>0</v>
      </c>
      <c r="J181" s="136">
        <f t="shared" si="49"/>
        <v>0</v>
      </c>
      <c r="K181" s="136">
        <f t="shared" si="49"/>
        <v>0</v>
      </c>
      <c r="L181" s="136">
        <f t="shared" si="49"/>
        <v>0</v>
      </c>
      <c r="M181" s="136">
        <f t="shared" si="49"/>
        <v>0</v>
      </c>
      <c r="N181" s="136">
        <f t="shared" si="49"/>
        <v>0</v>
      </c>
      <c r="O181" s="136">
        <f t="shared" si="49"/>
        <v>0</v>
      </c>
      <c r="P181" s="136">
        <f t="shared" si="49"/>
        <v>0</v>
      </c>
      <c r="Q181" s="136">
        <f t="shared" si="49"/>
        <v>0</v>
      </c>
      <c r="R181" s="136">
        <f t="shared" si="49"/>
        <v>0</v>
      </c>
      <c r="S181" s="136">
        <f t="shared" si="49"/>
        <v>0</v>
      </c>
      <c r="T181" s="136">
        <f t="shared" si="50"/>
        <v>0</v>
      </c>
      <c r="U181" s="136">
        <f t="shared" si="50"/>
        <v>0</v>
      </c>
      <c r="V181" s="136">
        <f t="shared" si="50"/>
        <v>0</v>
      </c>
      <c r="W181" s="136">
        <f t="shared" si="50"/>
        <v>0</v>
      </c>
      <c r="X181" s="136">
        <f t="shared" si="50"/>
        <v>0</v>
      </c>
      <c r="Y181" s="136">
        <f t="shared" si="50"/>
        <v>0</v>
      </c>
      <c r="Z181" s="136">
        <f t="shared" si="50"/>
        <v>0</v>
      </c>
      <c r="AA181" s="136">
        <f t="shared" si="50"/>
        <v>0</v>
      </c>
      <c r="AB181" s="136">
        <f t="shared" si="50"/>
        <v>0</v>
      </c>
      <c r="AC181" s="136">
        <f t="shared" si="50"/>
        <v>0</v>
      </c>
      <c r="AD181" s="136">
        <f t="shared" si="50"/>
        <v>0</v>
      </c>
      <c r="AE181" s="136">
        <f t="shared" si="50"/>
        <v>0</v>
      </c>
      <c r="AF181" s="136">
        <f t="shared" si="50"/>
        <v>0</v>
      </c>
      <c r="AG181" s="139">
        <v>1.5</v>
      </c>
      <c r="AH181" s="54"/>
      <c r="AI181" s="55"/>
      <c r="AK181" s="56"/>
    </row>
    <row r="182" spans="1:37" x14ac:dyDescent="0.25">
      <c r="A182" s="124" t="s">
        <v>185</v>
      </c>
      <c r="B182" s="136">
        <f t="shared" si="48"/>
        <v>0.6</v>
      </c>
      <c r="C182" s="137">
        <v>0.6</v>
      </c>
      <c r="D182" s="136">
        <f t="shared" si="49"/>
        <v>0.6</v>
      </c>
      <c r="E182" s="136">
        <f t="shared" si="49"/>
        <v>0.6</v>
      </c>
      <c r="F182" s="136">
        <f t="shared" si="49"/>
        <v>0.6</v>
      </c>
      <c r="G182" s="136">
        <f t="shared" si="49"/>
        <v>0.6</v>
      </c>
      <c r="H182" s="136">
        <f t="shared" si="49"/>
        <v>0.6</v>
      </c>
      <c r="I182" s="136">
        <f t="shared" si="49"/>
        <v>0.6</v>
      </c>
      <c r="J182" s="136">
        <f t="shared" si="49"/>
        <v>0.6</v>
      </c>
      <c r="K182" s="136">
        <f t="shared" si="49"/>
        <v>0.6</v>
      </c>
      <c r="L182" s="136">
        <f t="shared" si="49"/>
        <v>0.6</v>
      </c>
      <c r="M182" s="136">
        <f t="shared" si="49"/>
        <v>0.6</v>
      </c>
      <c r="N182" s="136">
        <f t="shared" si="49"/>
        <v>0.6</v>
      </c>
      <c r="O182" s="136">
        <f t="shared" si="49"/>
        <v>0.6</v>
      </c>
      <c r="P182" s="136">
        <f t="shared" si="49"/>
        <v>0.6</v>
      </c>
      <c r="Q182" s="136">
        <f t="shared" si="49"/>
        <v>0.6</v>
      </c>
      <c r="R182" s="136">
        <f t="shared" si="49"/>
        <v>0.6</v>
      </c>
      <c r="S182" s="136">
        <f t="shared" si="49"/>
        <v>0.6</v>
      </c>
      <c r="T182" s="136">
        <f t="shared" si="50"/>
        <v>0.6</v>
      </c>
      <c r="U182" s="136">
        <f t="shared" si="50"/>
        <v>0.6</v>
      </c>
      <c r="V182" s="136">
        <f t="shared" si="50"/>
        <v>0.6</v>
      </c>
      <c r="W182" s="136">
        <f t="shared" si="50"/>
        <v>0.6</v>
      </c>
      <c r="X182" s="136">
        <f t="shared" si="50"/>
        <v>0.6</v>
      </c>
      <c r="Y182" s="136">
        <f t="shared" si="50"/>
        <v>0.6</v>
      </c>
      <c r="Z182" s="136">
        <f t="shared" si="50"/>
        <v>0.6</v>
      </c>
      <c r="AA182" s="136">
        <f t="shared" si="50"/>
        <v>0.6</v>
      </c>
      <c r="AB182" s="136">
        <f t="shared" si="50"/>
        <v>0.6</v>
      </c>
      <c r="AC182" s="136">
        <f t="shared" si="50"/>
        <v>0.6</v>
      </c>
      <c r="AD182" s="136">
        <f t="shared" si="50"/>
        <v>0.6</v>
      </c>
      <c r="AE182" s="136">
        <f t="shared" si="50"/>
        <v>0.6</v>
      </c>
      <c r="AF182" s="136">
        <f t="shared" si="50"/>
        <v>0.6</v>
      </c>
      <c r="AG182" s="139">
        <v>0.998</v>
      </c>
      <c r="AH182" s="54"/>
      <c r="AI182" s="55"/>
      <c r="AK182" s="56"/>
    </row>
    <row r="183" spans="1:37" x14ac:dyDescent="0.25">
      <c r="A183" s="124" t="s">
        <v>186</v>
      </c>
      <c r="B183" s="136">
        <f t="shared" si="48"/>
        <v>0.6</v>
      </c>
      <c r="C183" s="137">
        <v>0.6</v>
      </c>
      <c r="D183" s="136">
        <f t="shared" si="49"/>
        <v>0.6</v>
      </c>
      <c r="E183" s="136">
        <f t="shared" si="49"/>
        <v>0.6</v>
      </c>
      <c r="F183" s="136">
        <f t="shared" si="49"/>
        <v>0.6</v>
      </c>
      <c r="G183" s="136">
        <f t="shared" si="49"/>
        <v>0.6</v>
      </c>
      <c r="H183" s="136">
        <f t="shared" si="49"/>
        <v>0.6</v>
      </c>
      <c r="I183" s="136">
        <f t="shared" si="49"/>
        <v>0.6</v>
      </c>
      <c r="J183" s="136">
        <f t="shared" si="49"/>
        <v>0.6</v>
      </c>
      <c r="K183" s="136">
        <f t="shared" si="49"/>
        <v>0.6</v>
      </c>
      <c r="L183" s="136">
        <f t="shared" si="49"/>
        <v>0.6</v>
      </c>
      <c r="M183" s="136">
        <f t="shared" si="49"/>
        <v>0.6</v>
      </c>
      <c r="N183" s="136">
        <f t="shared" si="49"/>
        <v>0.6</v>
      </c>
      <c r="O183" s="136">
        <f t="shared" si="49"/>
        <v>0.6</v>
      </c>
      <c r="P183" s="136">
        <f t="shared" si="49"/>
        <v>0.6</v>
      </c>
      <c r="Q183" s="136">
        <f t="shared" si="49"/>
        <v>0.6</v>
      </c>
      <c r="R183" s="136">
        <f t="shared" si="49"/>
        <v>0.6</v>
      </c>
      <c r="S183" s="136">
        <f t="shared" si="49"/>
        <v>0.6</v>
      </c>
      <c r="T183" s="136">
        <f t="shared" si="50"/>
        <v>0.6</v>
      </c>
      <c r="U183" s="136">
        <f t="shared" si="50"/>
        <v>0.6</v>
      </c>
      <c r="V183" s="136">
        <f t="shared" si="50"/>
        <v>0.6</v>
      </c>
      <c r="W183" s="136">
        <f t="shared" si="50"/>
        <v>0.6</v>
      </c>
      <c r="X183" s="136">
        <f t="shared" si="50"/>
        <v>0.6</v>
      </c>
      <c r="Y183" s="136">
        <f t="shared" si="50"/>
        <v>0.6</v>
      </c>
      <c r="Z183" s="136">
        <f t="shared" si="50"/>
        <v>0.6</v>
      </c>
      <c r="AA183" s="136">
        <f t="shared" si="50"/>
        <v>0.6</v>
      </c>
      <c r="AB183" s="136">
        <f t="shared" si="50"/>
        <v>0.6</v>
      </c>
      <c r="AC183" s="136">
        <f t="shared" si="50"/>
        <v>0.6</v>
      </c>
      <c r="AD183" s="136">
        <f t="shared" si="50"/>
        <v>0.6</v>
      </c>
      <c r="AE183" s="136">
        <f t="shared" si="50"/>
        <v>0.6</v>
      </c>
      <c r="AF183" s="136">
        <f t="shared" si="50"/>
        <v>0.6</v>
      </c>
      <c r="AG183" s="139">
        <v>0.997</v>
      </c>
      <c r="AH183" s="54"/>
      <c r="AI183" s="55"/>
      <c r="AK183" s="56"/>
    </row>
    <row r="184" spans="1:37" x14ac:dyDescent="0.25">
      <c r="A184" s="124" t="s">
        <v>187</v>
      </c>
      <c r="B184" s="136">
        <f t="shared" si="48"/>
        <v>0.35</v>
      </c>
      <c r="C184" s="137">
        <v>0.35</v>
      </c>
      <c r="D184" s="136">
        <f t="shared" si="49"/>
        <v>0.35</v>
      </c>
      <c r="E184" s="136">
        <f t="shared" si="49"/>
        <v>0.35</v>
      </c>
      <c r="F184" s="136">
        <f t="shared" si="49"/>
        <v>0.35</v>
      </c>
      <c r="G184" s="136">
        <f t="shared" si="49"/>
        <v>0.35</v>
      </c>
      <c r="H184" s="136">
        <f t="shared" si="49"/>
        <v>0.35</v>
      </c>
      <c r="I184" s="136">
        <f t="shared" si="49"/>
        <v>0.35</v>
      </c>
      <c r="J184" s="136">
        <f t="shared" si="49"/>
        <v>0.35</v>
      </c>
      <c r="K184" s="136">
        <f t="shared" si="49"/>
        <v>0.35</v>
      </c>
      <c r="L184" s="136">
        <f t="shared" si="49"/>
        <v>0.35</v>
      </c>
      <c r="M184" s="136">
        <f t="shared" si="49"/>
        <v>0.35</v>
      </c>
      <c r="N184" s="136">
        <f t="shared" si="49"/>
        <v>0.35</v>
      </c>
      <c r="O184" s="136">
        <f t="shared" si="49"/>
        <v>0.35</v>
      </c>
      <c r="P184" s="136">
        <f t="shared" si="49"/>
        <v>0.35</v>
      </c>
      <c r="Q184" s="136">
        <f t="shared" si="49"/>
        <v>0.35</v>
      </c>
      <c r="R184" s="136">
        <f t="shared" si="49"/>
        <v>0.35</v>
      </c>
      <c r="S184" s="136">
        <f t="shared" si="49"/>
        <v>0.35</v>
      </c>
      <c r="T184" s="136">
        <f t="shared" si="50"/>
        <v>0.35</v>
      </c>
      <c r="U184" s="136">
        <f t="shared" si="50"/>
        <v>0.35</v>
      </c>
      <c r="V184" s="136">
        <f t="shared" si="50"/>
        <v>0.35</v>
      </c>
      <c r="W184" s="136">
        <f t="shared" si="50"/>
        <v>0.35</v>
      </c>
      <c r="X184" s="136">
        <f t="shared" si="50"/>
        <v>0.35</v>
      </c>
      <c r="Y184" s="136">
        <f t="shared" si="50"/>
        <v>0.35</v>
      </c>
      <c r="Z184" s="136">
        <f t="shared" si="50"/>
        <v>0.35</v>
      </c>
      <c r="AA184" s="136">
        <f t="shared" si="50"/>
        <v>0.35</v>
      </c>
      <c r="AB184" s="136">
        <f t="shared" si="50"/>
        <v>0.35</v>
      </c>
      <c r="AC184" s="136">
        <f t="shared" si="50"/>
        <v>0.35</v>
      </c>
      <c r="AD184" s="136">
        <f t="shared" si="50"/>
        <v>0.35</v>
      </c>
      <c r="AE184" s="136">
        <f t="shared" si="50"/>
        <v>0.35</v>
      </c>
      <c r="AF184" s="136">
        <f t="shared" si="50"/>
        <v>0.35</v>
      </c>
      <c r="AG184" s="139">
        <v>0.997</v>
      </c>
      <c r="AH184" s="54"/>
      <c r="AI184" s="55"/>
      <c r="AK184" s="56"/>
    </row>
    <row r="185" spans="1:37" x14ac:dyDescent="0.25">
      <c r="A185" s="124" t="s">
        <v>188</v>
      </c>
      <c r="B185" s="136">
        <f t="shared" si="48"/>
        <v>0.28999999999999998</v>
      </c>
      <c r="C185" s="137">
        <v>0.28999999999999998</v>
      </c>
      <c r="D185" s="136">
        <f t="shared" si="49"/>
        <v>0.28999999999999998</v>
      </c>
      <c r="E185" s="136">
        <f t="shared" si="49"/>
        <v>0.28999999999999998</v>
      </c>
      <c r="F185" s="136">
        <f t="shared" si="49"/>
        <v>0.28999999999999998</v>
      </c>
      <c r="G185" s="136">
        <f t="shared" si="49"/>
        <v>0.28999999999999998</v>
      </c>
      <c r="H185" s="136">
        <f t="shared" si="49"/>
        <v>0.28999999999999998</v>
      </c>
      <c r="I185" s="136">
        <f t="shared" si="49"/>
        <v>0.28999999999999998</v>
      </c>
      <c r="J185" s="136">
        <f t="shared" si="49"/>
        <v>0.28999999999999998</v>
      </c>
      <c r="K185" s="136">
        <f t="shared" si="49"/>
        <v>0.28999999999999998</v>
      </c>
      <c r="L185" s="136">
        <f t="shared" si="49"/>
        <v>0.28999999999999998</v>
      </c>
      <c r="M185" s="136">
        <f t="shared" si="49"/>
        <v>0.28999999999999998</v>
      </c>
      <c r="N185" s="136">
        <f t="shared" si="49"/>
        <v>0.28999999999999998</v>
      </c>
      <c r="O185" s="136">
        <f t="shared" si="49"/>
        <v>0.28999999999999998</v>
      </c>
      <c r="P185" s="136">
        <f t="shared" si="49"/>
        <v>0.28999999999999998</v>
      </c>
      <c r="Q185" s="136">
        <f t="shared" si="49"/>
        <v>0.28999999999999998</v>
      </c>
      <c r="R185" s="136">
        <f t="shared" si="49"/>
        <v>0.28999999999999998</v>
      </c>
      <c r="S185" s="136">
        <f t="shared" si="49"/>
        <v>0.28999999999999998</v>
      </c>
      <c r="T185" s="136">
        <f t="shared" si="50"/>
        <v>0.28999999999999998</v>
      </c>
      <c r="U185" s="136">
        <f t="shared" si="50"/>
        <v>0.28999999999999998</v>
      </c>
      <c r="V185" s="136">
        <f t="shared" si="50"/>
        <v>0.28999999999999998</v>
      </c>
      <c r="W185" s="136">
        <f t="shared" si="50"/>
        <v>0.28999999999999998</v>
      </c>
      <c r="X185" s="136">
        <f t="shared" si="50"/>
        <v>0.28999999999999998</v>
      </c>
      <c r="Y185" s="136">
        <f t="shared" si="50"/>
        <v>0.28999999999999998</v>
      </c>
      <c r="Z185" s="136">
        <f t="shared" si="50"/>
        <v>0.28999999999999998</v>
      </c>
      <c r="AA185" s="136">
        <f t="shared" si="50"/>
        <v>0.28999999999999998</v>
      </c>
      <c r="AB185" s="136">
        <f t="shared" si="50"/>
        <v>0.28999999999999998</v>
      </c>
      <c r="AC185" s="136">
        <f t="shared" si="50"/>
        <v>0.28999999999999998</v>
      </c>
      <c r="AD185" s="136">
        <f t="shared" si="50"/>
        <v>0.28999999999999998</v>
      </c>
      <c r="AE185" s="136">
        <f t="shared" si="50"/>
        <v>0.28999999999999998</v>
      </c>
      <c r="AF185" s="136">
        <f t="shared" si="50"/>
        <v>0.28999999999999998</v>
      </c>
      <c r="AG185" s="139">
        <v>0.996</v>
      </c>
      <c r="AH185" s="54"/>
      <c r="AI185" s="55"/>
      <c r="AK185" s="56"/>
    </row>
    <row r="186" spans="1:37" x14ac:dyDescent="0.25">
      <c r="A186" s="124" t="s">
        <v>189</v>
      </c>
      <c r="B186" s="136">
        <f t="shared" si="48"/>
        <v>0.06</v>
      </c>
      <c r="C186" s="137">
        <v>0.06</v>
      </c>
      <c r="D186" s="136">
        <f t="shared" si="49"/>
        <v>0.06</v>
      </c>
      <c r="E186" s="136">
        <f t="shared" si="49"/>
        <v>0.06</v>
      </c>
      <c r="F186" s="136">
        <f t="shared" si="49"/>
        <v>0.06</v>
      </c>
      <c r="G186" s="136">
        <f t="shared" si="49"/>
        <v>0.06</v>
      </c>
      <c r="H186" s="136">
        <f t="shared" si="49"/>
        <v>0.06</v>
      </c>
      <c r="I186" s="136">
        <f t="shared" si="49"/>
        <v>0.06</v>
      </c>
      <c r="J186" s="136">
        <f t="shared" si="49"/>
        <v>0.06</v>
      </c>
      <c r="K186" s="136">
        <f t="shared" si="49"/>
        <v>0.06</v>
      </c>
      <c r="L186" s="136">
        <f t="shared" si="49"/>
        <v>0.06</v>
      </c>
      <c r="M186" s="136">
        <f t="shared" si="49"/>
        <v>0.06</v>
      </c>
      <c r="N186" s="136">
        <f t="shared" si="49"/>
        <v>0.06</v>
      </c>
      <c r="O186" s="136">
        <f t="shared" si="49"/>
        <v>0.06</v>
      </c>
      <c r="P186" s="136">
        <f t="shared" si="49"/>
        <v>0.06</v>
      </c>
      <c r="Q186" s="136">
        <f t="shared" si="49"/>
        <v>0.06</v>
      </c>
      <c r="R186" s="136">
        <f t="shared" si="49"/>
        <v>0.06</v>
      </c>
      <c r="S186" s="136">
        <f t="shared" si="49"/>
        <v>0.06</v>
      </c>
      <c r="T186" s="136">
        <f t="shared" si="50"/>
        <v>0.06</v>
      </c>
      <c r="U186" s="136">
        <f t="shared" si="50"/>
        <v>0.06</v>
      </c>
      <c r="V186" s="136">
        <f t="shared" si="50"/>
        <v>0.06</v>
      </c>
      <c r="W186" s="136">
        <f t="shared" si="50"/>
        <v>0.06</v>
      </c>
      <c r="X186" s="136">
        <f t="shared" si="50"/>
        <v>0.06</v>
      </c>
      <c r="Y186" s="136">
        <f t="shared" si="50"/>
        <v>0.06</v>
      </c>
      <c r="Z186" s="136">
        <f t="shared" si="50"/>
        <v>0.06</v>
      </c>
      <c r="AA186" s="136">
        <f t="shared" si="50"/>
        <v>0.06</v>
      </c>
      <c r="AB186" s="136">
        <f t="shared" si="50"/>
        <v>0.06</v>
      </c>
      <c r="AC186" s="136">
        <f t="shared" si="50"/>
        <v>0.06</v>
      </c>
      <c r="AD186" s="136">
        <f t="shared" si="50"/>
        <v>0.06</v>
      </c>
      <c r="AE186" s="136">
        <f t="shared" si="50"/>
        <v>0.06</v>
      </c>
      <c r="AF186" s="136">
        <f t="shared" si="50"/>
        <v>0.06</v>
      </c>
      <c r="AG186" s="139">
        <v>0.996</v>
      </c>
      <c r="AH186" s="54"/>
      <c r="AI186" s="55"/>
      <c r="AK186" s="56"/>
    </row>
    <row r="187" spans="1:37" x14ac:dyDescent="0.25">
      <c r="A187" s="124" t="s">
        <v>190</v>
      </c>
      <c r="B187" s="136">
        <f t="shared" si="48"/>
        <v>0.11</v>
      </c>
      <c r="C187" s="137">
        <v>0.11</v>
      </c>
      <c r="D187" s="136">
        <f t="shared" si="49"/>
        <v>0.11</v>
      </c>
      <c r="E187" s="136">
        <f t="shared" si="49"/>
        <v>0.11</v>
      </c>
      <c r="F187" s="136">
        <f t="shared" si="49"/>
        <v>0.11</v>
      </c>
      <c r="G187" s="136">
        <f t="shared" si="49"/>
        <v>0.11</v>
      </c>
      <c r="H187" s="136">
        <f t="shared" si="49"/>
        <v>0.11</v>
      </c>
      <c r="I187" s="136">
        <f t="shared" si="49"/>
        <v>0.11</v>
      </c>
      <c r="J187" s="136">
        <f t="shared" si="49"/>
        <v>0.11</v>
      </c>
      <c r="K187" s="136">
        <f t="shared" si="49"/>
        <v>0.11</v>
      </c>
      <c r="L187" s="136">
        <f t="shared" si="49"/>
        <v>0.11</v>
      </c>
      <c r="M187" s="136">
        <f t="shared" si="49"/>
        <v>0.11</v>
      </c>
      <c r="N187" s="136">
        <f t="shared" si="49"/>
        <v>0.11</v>
      </c>
      <c r="O187" s="136">
        <f t="shared" si="49"/>
        <v>0.11</v>
      </c>
      <c r="P187" s="136">
        <f t="shared" si="49"/>
        <v>0.11</v>
      </c>
      <c r="Q187" s="136">
        <f t="shared" si="49"/>
        <v>0.11</v>
      </c>
      <c r="R187" s="136">
        <f t="shared" si="49"/>
        <v>0.11</v>
      </c>
      <c r="S187" s="136">
        <f t="shared" si="49"/>
        <v>0.11</v>
      </c>
      <c r="T187" s="136">
        <f t="shared" si="50"/>
        <v>0.11</v>
      </c>
      <c r="U187" s="136">
        <f t="shared" si="50"/>
        <v>0.11</v>
      </c>
      <c r="V187" s="136">
        <f t="shared" si="50"/>
        <v>0.11</v>
      </c>
      <c r="W187" s="136">
        <f t="shared" si="50"/>
        <v>0.11</v>
      </c>
      <c r="X187" s="136">
        <f t="shared" si="50"/>
        <v>0.11</v>
      </c>
      <c r="Y187" s="136">
        <f t="shared" si="50"/>
        <v>0.11</v>
      </c>
      <c r="Z187" s="136">
        <f t="shared" si="50"/>
        <v>0.11</v>
      </c>
      <c r="AA187" s="136">
        <f t="shared" si="50"/>
        <v>0.11</v>
      </c>
      <c r="AB187" s="136">
        <f t="shared" si="50"/>
        <v>0.11</v>
      </c>
      <c r="AC187" s="136">
        <f t="shared" si="50"/>
        <v>0.11</v>
      </c>
      <c r="AD187" s="136">
        <f t="shared" si="50"/>
        <v>0.11</v>
      </c>
      <c r="AE187" s="136">
        <f t="shared" si="50"/>
        <v>0.11</v>
      </c>
      <c r="AF187" s="136">
        <f t="shared" si="50"/>
        <v>0.11</v>
      </c>
      <c r="AG187" s="139">
        <v>0.996</v>
      </c>
      <c r="AH187" s="54"/>
      <c r="AI187" s="55"/>
      <c r="AK187" s="56"/>
    </row>
    <row r="188" spans="1:37" x14ac:dyDescent="0.25">
      <c r="A188" s="124" t="s">
        <v>191</v>
      </c>
      <c r="B188" s="136">
        <f t="shared" si="48"/>
        <v>0.1</v>
      </c>
      <c r="C188" s="137">
        <v>0.1</v>
      </c>
      <c r="D188" s="136">
        <f t="shared" si="49"/>
        <v>0.1</v>
      </c>
      <c r="E188" s="136">
        <f t="shared" si="49"/>
        <v>0.1</v>
      </c>
      <c r="F188" s="136">
        <f t="shared" si="49"/>
        <v>0.1</v>
      </c>
      <c r="G188" s="136">
        <f t="shared" si="49"/>
        <v>0.1</v>
      </c>
      <c r="H188" s="136">
        <f t="shared" si="49"/>
        <v>0.1</v>
      </c>
      <c r="I188" s="136">
        <f t="shared" si="49"/>
        <v>0.1</v>
      </c>
      <c r="J188" s="136">
        <f t="shared" si="49"/>
        <v>0.1</v>
      </c>
      <c r="K188" s="136">
        <f t="shared" si="49"/>
        <v>0.1</v>
      </c>
      <c r="L188" s="136">
        <f t="shared" si="49"/>
        <v>0.1</v>
      </c>
      <c r="M188" s="136">
        <f t="shared" si="49"/>
        <v>0.1</v>
      </c>
      <c r="N188" s="136">
        <f t="shared" si="49"/>
        <v>0.1</v>
      </c>
      <c r="O188" s="136">
        <f t="shared" si="49"/>
        <v>0.1</v>
      </c>
      <c r="P188" s="136">
        <f t="shared" si="49"/>
        <v>0.1</v>
      </c>
      <c r="Q188" s="136">
        <f t="shared" si="49"/>
        <v>0.1</v>
      </c>
      <c r="R188" s="136">
        <f t="shared" si="49"/>
        <v>0.1</v>
      </c>
      <c r="S188" s="136">
        <f t="shared" si="50"/>
        <v>0.1</v>
      </c>
      <c r="T188" s="136">
        <f t="shared" si="50"/>
        <v>0.1</v>
      </c>
      <c r="U188" s="136">
        <f t="shared" si="50"/>
        <v>0.1</v>
      </c>
      <c r="V188" s="136">
        <f t="shared" si="50"/>
        <v>0.1</v>
      </c>
      <c r="W188" s="136">
        <f t="shared" si="50"/>
        <v>0.1</v>
      </c>
      <c r="X188" s="136">
        <f t="shared" si="50"/>
        <v>0.1</v>
      </c>
      <c r="Y188" s="136">
        <f t="shared" si="50"/>
        <v>0.1</v>
      </c>
      <c r="Z188" s="136">
        <f t="shared" si="50"/>
        <v>0.1</v>
      </c>
      <c r="AA188" s="136">
        <f t="shared" si="50"/>
        <v>0.1</v>
      </c>
      <c r="AB188" s="136">
        <f t="shared" si="50"/>
        <v>0.1</v>
      </c>
      <c r="AC188" s="136">
        <f t="shared" si="50"/>
        <v>0.1</v>
      </c>
      <c r="AD188" s="136">
        <f t="shared" si="50"/>
        <v>0.1</v>
      </c>
      <c r="AE188" s="136">
        <f t="shared" si="50"/>
        <v>0.1</v>
      </c>
      <c r="AF188" s="136">
        <f t="shared" si="50"/>
        <v>0.1</v>
      </c>
      <c r="AG188" s="139">
        <v>0.995</v>
      </c>
      <c r="AH188" s="54"/>
      <c r="AI188" s="55"/>
      <c r="AK188" s="56"/>
    </row>
    <row r="189" spans="1:37" x14ac:dyDescent="0.25">
      <c r="A189" s="124" t="s">
        <v>192</v>
      </c>
      <c r="B189" s="136">
        <f t="shared" si="48"/>
        <v>0.09</v>
      </c>
      <c r="C189" s="137">
        <v>0.09</v>
      </c>
      <c r="D189" s="136">
        <f t="shared" si="49"/>
        <v>0.09</v>
      </c>
      <c r="E189" s="136">
        <f t="shared" si="49"/>
        <v>0.09</v>
      </c>
      <c r="F189" s="136">
        <f t="shared" si="49"/>
        <v>0.09</v>
      </c>
      <c r="G189" s="136">
        <f t="shared" si="49"/>
        <v>0.09</v>
      </c>
      <c r="H189" s="136">
        <f t="shared" si="49"/>
        <v>0.09</v>
      </c>
      <c r="I189" s="136">
        <f t="shared" si="49"/>
        <v>0.09</v>
      </c>
      <c r="J189" s="136">
        <f t="shared" si="49"/>
        <v>0.09</v>
      </c>
      <c r="K189" s="136">
        <f t="shared" si="49"/>
        <v>0.09</v>
      </c>
      <c r="L189" s="136">
        <f t="shared" si="49"/>
        <v>0.09</v>
      </c>
      <c r="M189" s="136">
        <f t="shared" si="49"/>
        <v>0.09</v>
      </c>
      <c r="N189" s="136">
        <f t="shared" si="49"/>
        <v>0.09</v>
      </c>
      <c r="O189" s="136">
        <f t="shared" si="49"/>
        <v>0.09</v>
      </c>
      <c r="P189" s="136">
        <f t="shared" si="49"/>
        <v>0.09</v>
      </c>
      <c r="Q189" s="136">
        <f t="shared" si="49"/>
        <v>0.09</v>
      </c>
      <c r="R189" s="136">
        <f t="shared" si="49"/>
        <v>0.09</v>
      </c>
      <c r="S189" s="136">
        <f t="shared" si="50"/>
        <v>0.09</v>
      </c>
      <c r="T189" s="136">
        <f t="shared" si="50"/>
        <v>0.09</v>
      </c>
      <c r="U189" s="136">
        <f t="shared" si="50"/>
        <v>0.09</v>
      </c>
      <c r="V189" s="136">
        <f t="shared" si="50"/>
        <v>0.09</v>
      </c>
      <c r="W189" s="136">
        <f t="shared" si="50"/>
        <v>0.09</v>
      </c>
      <c r="X189" s="136">
        <f t="shared" si="50"/>
        <v>0.09</v>
      </c>
      <c r="Y189" s="136">
        <f t="shared" si="50"/>
        <v>0.09</v>
      </c>
      <c r="Z189" s="136">
        <f t="shared" si="50"/>
        <v>0.09</v>
      </c>
      <c r="AA189" s="136">
        <f t="shared" si="50"/>
        <v>0.09</v>
      </c>
      <c r="AB189" s="136">
        <f t="shared" si="50"/>
        <v>0.09</v>
      </c>
      <c r="AC189" s="136">
        <f t="shared" si="50"/>
        <v>0.09</v>
      </c>
      <c r="AD189" s="136">
        <f t="shared" si="50"/>
        <v>0.09</v>
      </c>
      <c r="AE189" s="136">
        <f t="shared" si="50"/>
        <v>0.09</v>
      </c>
      <c r="AF189" s="136">
        <f t="shared" si="50"/>
        <v>0.09</v>
      </c>
      <c r="AG189" s="139">
        <v>0.99299999999999999</v>
      </c>
      <c r="AH189" s="54"/>
      <c r="AI189" s="55"/>
      <c r="AK189" s="56"/>
    </row>
    <row r="190" spans="1:37" x14ac:dyDescent="0.25">
      <c r="A190" s="124" t="s">
        <v>193</v>
      </c>
      <c r="B190" s="136">
        <f t="shared" si="48"/>
        <v>0.04</v>
      </c>
      <c r="C190" s="53">
        <v>0.04</v>
      </c>
      <c r="D190" s="136">
        <f t="shared" si="49"/>
        <v>0.04</v>
      </c>
      <c r="E190" s="136">
        <f t="shared" si="49"/>
        <v>0.04</v>
      </c>
      <c r="F190" s="136">
        <f t="shared" si="49"/>
        <v>0.04</v>
      </c>
      <c r="G190" s="136">
        <f t="shared" si="49"/>
        <v>0.04</v>
      </c>
      <c r="H190" s="136">
        <f t="shared" si="49"/>
        <v>0.04</v>
      </c>
      <c r="I190" s="136">
        <f t="shared" si="49"/>
        <v>0.04</v>
      </c>
      <c r="J190" s="136">
        <f t="shared" si="49"/>
        <v>0.04</v>
      </c>
      <c r="K190" s="136">
        <f t="shared" si="49"/>
        <v>0.04</v>
      </c>
      <c r="L190" s="136">
        <f t="shared" si="49"/>
        <v>0.04</v>
      </c>
      <c r="M190" s="136">
        <f t="shared" si="49"/>
        <v>0.04</v>
      </c>
      <c r="N190" s="136">
        <f t="shared" si="49"/>
        <v>0.04</v>
      </c>
      <c r="O190" s="136">
        <f t="shared" si="49"/>
        <v>0.04</v>
      </c>
      <c r="P190" s="136">
        <f t="shared" si="49"/>
        <v>0.04</v>
      </c>
      <c r="Q190" s="136">
        <f t="shared" si="49"/>
        <v>0.04</v>
      </c>
      <c r="R190" s="136">
        <f t="shared" si="49"/>
        <v>0.04</v>
      </c>
      <c r="S190" s="136">
        <f t="shared" si="50"/>
        <v>0.04</v>
      </c>
      <c r="T190" s="136">
        <f t="shared" si="50"/>
        <v>0.04</v>
      </c>
      <c r="U190" s="136">
        <f t="shared" si="50"/>
        <v>0.04</v>
      </c>
      <c r="V190" s="136">
        <f t="shared" si="50"/>
        <v>0.04</v>
      </c>
      <c r="W190" s="136">
        <f t="shared" si="50"/>
        <v>0.04</v>
      </c>
      <c r="X190" s="136">
        <f t="shared" si="50"/>
        <v>0.04</v>
      </c>
      <c r="Y190" s="136">
        <f t="shared" si="50"/>
        <v>0.04</v>
      </c>
      <c r="Z190" s="136">
        <f t="shared" si="50"/>
        <v>0.04</v>
      </c>
      <c r="AA190" s="136">
        <f t="shared" si="50"/>
        <v>0.04</v>
      </c>
      <c r="AB190" s="136">
        <f t="shared" si="50"/>
        <v>0.04</v>
      </c>
      <c r="AC190" s="136">
        <f t="shared" si="50"/>
        <v>0.04</v>
      </c>
      <c r="AD190" s="136">
        <f t="shared" si="50"/>
        <v>0.04</v>
      </c>
      <c r="AE190" s="136">
        <f t="shared" si="50"/>
        <v>0.04</v>
      </c>
      <c r="AF190" s="136">
        <f t="shared" si="50"/>
        <v>0.04</v>
      </c>
      <c r="AG190" s="139">
        <v>0.99</v>
      </c>
      <c r="AH190" s="54"/>
      <c r="AI190" s="55"/>
      <c r="AK190" s="56"/>
    </row>
    <row r="191" spans="1:37" x14ac:dyDescent="0.25">
      <c r="A191" s="124" t="s">
        <v>194</v>
      </c>
      <c r="B191" s="136">
        <f t="shared" si="48"/>
        <v>2.3E-2</v>
      </c>
      <c r="C191" s="53">
        <v>2.3E-2</v>
      </c>
      <c r="D191" s="136">
        <f>C191</f>
        <v>2.3E-2</v>
      </c>
      <c r="E191" s="136">
        <f t="shared" si="49"/>
        <v>2.3E-2</v>
      </c>
      <c r="F191" s="136">
        <f t="shared" si="49"/>
        <v>2.3E-2</v>
      </c>
      <c r="G191" s="136">
        <f t="shared" si="49"/>
        <v>2.3E-2</v>
      </c>
      <c r="H191" s="136">
        <f t="shared" si="49"/>
        <v>2.3E-2</v>
      </c>
      <c r="I191" s="136">
        <f t="shared" si="49"/>
        <v>2.3E-2</v>
      </c>
      <c r="J191" s="136">
        <f t="shared" si="49"/>
        <v>2.3E-2</v>
      </c>
      <c r="K191" s="136">
        <f t="shared" si="49"/>
        <v>2.3E-2</v>
      </c>
      <c r="L191" s="136">
        <f t="shared" si="49"/>
        <v>2.3E-2</v>
      </c>
      <c r="M191" s="136">
        <f t="shared" si="49"/>
        <v>2.3E-2</v>
      </c>
      <c r="N191" s="136">
        <f t="shared" si="49"/>
        <v>2.3E-2</v>
      </c>
      <c r="O191" s="136">
        <f t="shared" si="49"/>
        <v>2.3E-2</v>
      </c>
      <c r="P191" s="136">
        <f t="shared" si="49"/>
        <v>2.3E-2</v>
      </c>
      <c r="Q191" s="136">
        <f t="shared" si="49"/>
        <v>2.3E-2</v>
      </c>
      <c r="R191" s="136">
        <f t="shared" si="49"/>
        <v>2.3E-2</v>
      </c>
      <c r="S191" s="136">
        <f t="shared" si="50"/>
        <v>2.3E-2</v>
      </c>
      <c r="T191" s="136">
        <f t="shared" si="50"/>
        <v>2.3E-2</v>
      </c>
      <c r="U191" s="136">
        <f t="shared" si="50"/>
        <v>2.3E-2</v>
      </c>
      <c r="V191" s="136">
        <f t="shared" si="50"/>
        <v>2.3E-2</v>
      </c>
      <c r="W191" s="136">
        <f t="shared" si="50"/>
        <v>2.3E-2</v>
      </c>
      <c r="X191" s="136">
        <f t="shared" si="50"/>
        <v>2.3E-2</v>
      </c>
      <c r="Y191" s="136">
        <f t="shared" si="50"/>
        <v>2.3E-2</v>
      </c>
      <c r="Z191" s="136">
        <f t="shared" si="50"/>
        <v>2.3E-2</v>
      </c>
      <c r="AA191" s="136">
        <f t="shared" si="50"/>
        <v>2.3E-2</v>
      </c>
      <c r="AB191" s="136">
        <f t="shared" si="50"/>
        <v>2.3E-2</v>
      </c>
      <c r="AC191" s="136">
        <f t="shared" si="50"/>
        <v>2.3E-2</v>
      </c>
      <c r="AD191" s="136">
        <f t="shared" si="50"/>
        <v>2.3E-2</v>
      </c>
      <c r="AE191" s="136">
        <f t="shared" si="50"/>
        <v>2.3E-2</v>
      </c>
      <c r="AF191" s="136">
        <f t="shared" si="50"/>
        <v>2.3E-2</v>
      </c>
      <c r="AG191" s="139">
        <v>0.97899999999999998</v>
      </c>
      <c r="AH191" s="54"/>
      <c r="AI191" s="55"/>
      <c r="AK191" s="56"/>
    </row>
    <row r="192" spans="1:37" ht="15.75" thickBot="1" x14ac:dyDescent="0.3">
      <c r="A192" s="140" t="s">
        <v>195</v>
      </c>
      <c r="B192" s="141">
        <f>SUM(B102:B191)</f>
        <v>192.10600000000005</v>
      </c>
      <c r="C192" s="141">
        <f t="shared" ref="C192:AG192" si="51">SUM(C102:C191)</f>
        <v>194.70600000000002</v>
      </c>
      <c r="D192" s="141">
        <f t="shared" si="51"/>
        <v>194.70600000000002</v>
      </c>
      <c r="E192" s="141">
        <f t="shared" si="51"/>
        <v>194.70600000000002</v>
      </c>
      <c r="F192" s="141">
        <f t="shared" si="51"/>
        <v>194.70600000000002</v>
      </c>
      <c r="G192" s="141">
        <f t="shared" si="51"/>
        <v>194.70600000000002</v>
      </c>
      <c r="H192" s="141">
        <f t="shared" si="51"/>
        <v>194.70600000000002</v>
      </c>
      <c r="I192" s="141">
        <f t="shared" si="51"/>
        <v>194.70600000000002</v>
      </c>
      <c r="J192" s="141">
        <f t="shared" si="51"/>
        <v>192.10600000000005</v>
      </c>
      <c r="K192" s="141">
        <f t="shared" si="51"/>
        <v>192.10600000000005</v>
      </c>
      <c r="L192" s="141">
        <f t="shared" si="51"/>
        <v>192.10600000000005</v>
      </c>
      <c r="M192" s="141">
        <f t="shared" si="51"/>
        <v>192.10600000000005</v>
      </c>
      <c r="N192" s="141">
        <f t="shared" si="51"/>
        <v>192.10600000000005</v>
      </c>
      <c r="O192" s="141">
        <f t="shared" si="51"/>
        <v>192.10600000000005</v>
      </c>
      <c r="P192" s="141">
        <f t="shared" si="51"/>
        <v>192.10600000000005</v>
      </c>
      <c r="Q192" s="141">
        <f t="shared" si="51"/>
        <v>192.10600000000005</v>
      </c>
      <c r="R192" s="141">
        <f t="shared" si="51"/>
        <v>192.10600000000005</v>
      </c>
      <c r="S192" s="141">
        <f t="shared" si="51"/>
        <v>192.10600000000005</v>
      </c>
      <c r="T192" s="141">
        <f t="shared" si="51"/>
        <v>192.10600000000005</v>
      </c>
      <c r="U192" s="141">
        <f t="shared" si="51"/>
        <v>192.10600000000005</v>
      </c>
      <c r="V192" s="141">
        <f t="shared" si="51"/>
        <v>192.10600000000005</v>
      </c>
      <c r="W192" s="141">
        <f t="shared" si="51"/>
        <v>192.10600000000005</v>
      </c>
      <c r="X192" s="141">
        <f t="shared" si="51"/>
        <v>192.10600000000005</v>
      </c>
      <c r="Y192" s="141">
        <f t="shared" si="51"/>
        <v>192.10600000000005</v>
      </c>
      <c r="Z192" s="141">
        <f t="shared" si="51"/>
        <v>192.10600000000005</v>
      </c>
      <c r="AA192" s="141">
        <f t="shared" si="51"/>
        <v>192.10600000000005</v>
      </c>
      <c r="AB192" s="141">
        <f t="shared" si="51"/>
        <v>192.10600000000005</v>
      </c>
      <c r="AC192" s="141">
        <f t="shared" si="51"/>
        <v>192.10600000000005</v>
      </c>
      <c r="AD192" s="141">
        <f t="shared" si="51"/>
        <v>192.10600000000005</v>
      </c>
      <c r="AE192" s="141">
        <f t="shared" si="51"/>
        <v>192.10600000000005</v>
      </c>
      <c r="AF192" s="141">
        <f t="shared" si="51"/>
        <v>192.10600000000005</v>
      </c>
      <c r="AG192" s="142">
        <f t="shared" si="51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54"/>
      <c r="AI193" s="55"/>
      <c r="AK193" s="56"/>
    </row>
    <row r="194" spans="1:37" x14ac:dyDescent="0.25">
      <c r="A194" s="116" t="s">
        <v>196</v>
      </c>
      <c r="B194" s="143">
        <f t="shared" ref="B194:B199" si="52">AF194</f>
        <v>0.3</v>
      </c>
      <c r="C194" s="143">
        <v>0.3</v>
      </c>
      <c r="D194" s="143">
        <f t="shared" ref="D194:S199" si="53">C194</f>
        <v>0.3</v>
      </c>
      <c r="E194" s="143">
        <f t="shared" si="53"/>
        <v>0.3</v>
      </c>
      <c r="F194" s="143">
        <f t="shared" si="53"/>
        <v>0.3</v>
      </c>
      <c r="G194" s="143">
        <f t="shared" si="53"/>
        <v>0.3</v>
      </c>
      <c r="H194" s="143">
        <f t="shared" si="53"/>
        <v>0.3</v>
      </c>
      <c r="I194" s="143">
        <f t="shared" si="53"/>
        <v>0.3</v>
      </c>
      <c r="J194" s="143">
        <f t="shared" si="53"/>
        <v>0.3</v>
      </c>
      <c r="K194" s="143">
        <f t="shared" si="53"/>
        <v>0.3</v>
      </c>
      <c r="L194" s="143">
        <f t="shared" si="53"/>
        <v>0.3</v>
      </c>
      <c r="M194" s="143">
        <f t="shared" si="53"/>
        <v>0.3</v>
      </c>
      <c r="N194" s="143">
        <f t="shared" si="53"/>
        <v>0.3</v>
      </c>
      <c r="O194" s="143">
        <f t="shared" si="53"/>
        <v>0.3</v>
      </c>
      <c r="P194" s="143">
        <f t="shared" si="53"/>
        <v>0.3</v>
      </c>
      <c r="Q194" s="143">
        <f t="shared" si="53"/>
        <v>0.3</v>
      </c>
      <c r="R194" s="143">
        <f t="shared" si="53"/>
        <v>0.3</v>
      </c>
      <c r="S194" s="143">
        <f t="shared" si="53"/>
        <v>0.3</v>
      </c>
      <c r="T194" s="143">
        <f t="shared" ref="T194:AF199" si="54">S194</f>
        <v>0.3</v>
      </c>
      <c r="U194" s="143">
        <f t="shared" si="54"/>
        <v>0.3</v>
      </c>
      <c r="V194" s="143">
        <f t="shared" si="54"/>
        <v>0.3</v>
      </c>
      <c r="W194" s="143">
        <f t="shared" si="54"/>
        <v>0.3</v>
      </c>
      <c r="X194" s="143">
        <f t="shared" si="54"/>
        <v>0.3</v>
      </c>
      <c r="Y194" s="143">
        <f t="shared" si="54"/>
        <v>0.3</v>
      </c>
      <c r="Z194" s="143">
        <f t="shared" si="54"/>
        <v>0.3</v>
      </c>
      <c r="AA194" s="143">
        <f t="shared" si="54"/>
        <v>0.3</v>
      </c>
      <c r="AB194" s="143">
        <f t="shared" si="54"/>
        <v>0.3</v>
      </c>
      <c r="AC194" s="143">
        <f t="shared" si="54"/>
        <v>0.3</v>
      </c>
      <c r="AD194" s="143">
        <f t="shared" si="54"/>
        <v>0.3</v>
      </c>
      <c r="AE194" s="143">
        <f t="shared" si="54"/>
        <v>0.3</v>
      </c>
      <c r="AF194" s="143">
        <f t="shared" si="54"/>
        <v>0.3</v>
      </c>
      <c r="AG194" s="144">
        <v>2.4</v>
      </c>
      <c r="AH194" s="54"/>
      <c r="AI194" s="55"/>
      <c r="AK194" s="56"/>
    </row>
    <row r="195" spans="1:37" x14ac:dyDescent="0.25">
      <c r="A195" s="122" t="s">
        <v>197</v>
      </c>
      <c r="B195" s="136">
        <f t="shared" si="52"/>
        <v>0.4</v>
      </c>
      <c r="C195" s="136">
        <v>0.4</v>
      </c>
      <c r="D195" s="136">
        <f t="shared" si="53"/>
        <v>0.4</v>
      </c>
      <c r="E195" s="136">
        <f t="shared" si="53"/>
        <v>0.4</v>
      </c>
      <c r="F195" s="136">
        <f t="shared" si="53"/>
        <v>0.4</v>
      </c>
      <c r="G195" s="136">
        <f t="shared" si="53"/>
        <v>0.4</v>
      </c>
      <c r="H195" s="136">
        <f t="shared" si="53"/>
        <v>0.4</v>
      </c>
      <c r="I195" s="136">
        <f t="shared" si="53"/>
        <v>0.4</v>
      </c>
      <c r="J195" s="136">
        <f t="shared" si="53"/>
        <v>0.4</v>
      </c>
      <c r="K195" s="136">
        <f t="shared" si="53"/>
        <v>0.4</v>
      </c>
      <c r="L195" s="136">
        <f t="shared" si="53"/>
        <v>0.4</v>
      </c>
      <c r="M195" s="136">
        <f t="shared" si="53"/>
        <v>0.4</v>
      </c>
      <c r="N195" s="136">
        <f t="shared" si="53"/>
        <v>0.4</v>
      </c>
      <c r="O195" s="136">
        <f t="shared" si="53"/>
        <v>0.4</v>
      </c>
      <c r="P195" s="136">
        <f t="shared" si="53"/>
        <v>0.4</v>
      </c>
      <c r="Q195" s="136">
        <f t="shared" si="53"/>
        <v>0.4</v>
      </c>
      <c r="R195" s="136">
        <f t="shared" si="53"/>
        <v>0.4</v>
      </c>
      <c r="S195" s="136">
        <f t="shared" si="53"/>
        <v>0.4</v>
      </c>
      <c r="T195" s="136">
        <f t="shared" si="54"/>
        <v>0.4</v>
      </c>
      <c r="U195" s="136">
        <f t="shared" si="54"/>
        <v>0.4</v>
      </c>
      <c r="V195" s="136">
        <f t="shared" si="54"/>
        <v>0.4</v>
      </c>
      <c r="W195" s="136">
        <f>V195</f>
        <v>0.4</v>
      </c>
      <c r="X195" s="136">
        <f>W195</f>
        <v>0.4</v>
      </c>
      <c r="Y195" s="136">
        <f t="shared" si="54"/>
        <v>0.4</v>
      </c>
      <c r="Z195" s="136">
        <f t="shared" si="54"/>
        <v>0.4</v>
      </c>
      <c r="AA195" s="136">
        <f t="shared" si="54"/>
        <v>0.4</v>
      </c>
      <c r="AB195" s="136">
        <f t="shared" si="54"/>
        <v>0.4</v>
      </c>
      <c r="AC195" s="136">
        <f t="shared" si="54"/>
        <v>0.4</v>
      </c>
      <c r="AD195" s="136">
        <f t="shared" si="54"/>
        <v>0.4</v>
      </c>
      <c r="AE195" s="136">
        <f t="shared" si="54"/>
        <v>0.4</v>
      </c>
      <c r="AF195" s="136">
        <f t="shared" si="54"/>
        <v>0.4</v>
      </c>
      <c r="AG195" s="145">
        <v>2</v>
      </c>
      <c r="AH195" s="54"/>
      <c r="AI195" s="55"/>
      <c r="AK195" s="56"/>
    </row>
    <row r="196" spans="1:37" x14ac:dyDescent="0.25">
      <c r="A196" s="122" t="s">
        <v>198</v>
      </c>
      <c r="B196" s="136">
        <f t="shared" si="52"/>
        <v>1.5</v>
      </c>
      <c r="C196" s="136">
        <v>1.5</v>
      </c>
      <c r="D196" s="136">
        <f t="shared" si="53"/>
        <v>1.5</v>
      </c>
      <c r="E196" s="136">
        <f t="shared" si="53"/>
        <v>1.5</v>
      </c>
      <c r="F196" s="136">
        <f t="shared" si="53"/>
        <v>1.5</v>
      </c>
      <c r="G196" s="136">
        <f t="shared" si="53"/>
        <v>1.5</v>
      </c>
      <c r="H196" s="136">
        <f t="shared" si="53"/>
        <v>1.5</v>
      </c>
      <c r="I196" s="136">
        <f t="shared" si="53"/>
        <v>1.5</v>
      </c>
      <c r="J196" s="136">
        <f t="shared" si="53"/>
        <v>1.5</v>
      </c>
      <c r="K196" s="136">
        <f t="shared" si="53"/>
        <v>1.5</v>
      </c>
      <c r="L196" s="136">
        <f t="shared" si="53"/>
        <v>1.5</v>
      </c>
      <c r="M196" s="136">
        <f t="shared" si="53"/>
        <v>1.5</v>
      </c>
      <c r="N196" s="136">
        <f t="shared" si="53"/>
        <v>1.5</v>
      </c>
      <c r="O196" s="136">
        <f t="shared" si="53"/>
        <v>1.5</v>
      </c>
      <c r="P196" s="136">
        <f t="shared" si="53"/>
        <v>1.5</v>
      </c>
      <c r="Q196" s="136">
        <f t="shared" si="53"/>
        <v>1.5</v>
      </c>
      <c r="R196" s="136">
        <f t="shared" si="53"/>
        <v>1.5</v>
      </c>
      <c r="S196" s="136">
        <f t="shared" si="53"/>
        <v>1.5</v>
      </c>
      <c r="T196" s="136">
        <f t="shared" si="54"/>
        <v>1.5</v>
      </c>
      <c r="U196" s="136">
        <f t="shared" si="54"/>
        <v>1.5</v>
      </c>
      <c r="V196" s="136">
        <f t="shared" si="54"/>
        <v>1.5</v>
      </c>
      <c r="W196" s="136">
        <f t="shared" si="54"/>
        <v>1.5</v>
      </c>
      <c r="X196" s="136">
        <f t="shared" si="54"/>
        <v>1.5</v>
      </c>
      <c r="Y196" s="136">
        <f t="shared" si="54"/>
        <v>1.5</v>
      </c>
      <c r="Z196" s="136">
        <f t="shared" si="54"/>
        <v>1.5</v>
      </c>
      <c r="AA196" s="136">
        <f t="shared" si="54"/>
        <v>1.5</v>
      </c>
      <c r="AB196" s="136">
        <f t="shared" si="54"/>
        <v>1.5</v>
      </c>
      <c r="AC196" s="136">
        <f t="shared" si="54"/>
        <v>1.5</v>
      </c>
      <c r="AD196" s="136">
        <f t="shared" si="54"/>
        <v>1.5</v>
      </c>
      <c r="AE196" s="136">
        <f t="shared" si="54"/>
        <v>1.5</v>
      </c>
      <c r="AF196" s="136">
        <f t="shared" si="54"/>
        <v>1.5</v>
      </c>
      <c r="AG196" s="145">
        <v>1.5</v>
      </c>
      <c r="AH196" s="54"/>
      <c r="AI196" s="55"/>
      <c r="AK196" s="56"/>
    </row>
    <row r="197" spans="1:37" x14ac:dyDescent="0.25">
      <c r="A197" s="122" t="s">
        <v>199</v>
      </c>
      <c r="B197" s="136">
        <f t="shared" si="52"/>
        <v>0.3</v>
      </c>
      <c r="C197" s="136">
        <v>0.3</v>
      </c>
      <c r="D197" s="136">
        <f t="shared" si="53"/>
        <v>0.3</v>
      </c>
      <c r="E197" s="136">
        <f t="shared" si="53"/>
        <v>0.3</v>
      </c>
      <c r="F197" s="136">
        <f t="shared" si="53"/>
        <v>0.3</v>
      </c>
      <c r="G197" s="136">
        <f t="shared" si="53"/>
        <v>0.3</v>
      </c>
      <c r="H197" s="136">
        <f t="shared" si="53"/>
        <v>0.3</v>
      </c>
      <c r="I197" s="136">
        <f t="shared" si="53"/>
        <v>0.3</v>
      </c>
      <c r="J197" s="136">
        <f t="shared" si="53"/>
        <v>0.3</v>
      </c>
      <c r="K197" s="136">
        <f t="shared" si="53"/>
        <v>0.3</v>
      </c>
      <c r="L197" s="136">
        <f t="shared" si="53"/>
        <v>0.3</v>
      </c>
      <c r="M197" s="136">
        <f t="shared" si="53"/>
        <v>0.3</v>
      </c>
      <c r="N197" s="136">
        <f t="shared" si="53"/>
        <v>0.3</v>
      </c>
      <c r="O197" s="136">
        <f t="shared" si="53"/>
        <v>0.3</v>
      </c>
      <c r="P197" s="136">
        <f t="shared" si="53"/>
        <v>0.3</v>
      </c>
      <c r="Q197" s="136">
        <f t="shared" si="53"/>
        <v>0.3</v>
      </c>
      <c r="R197" s="136">
        <f t="shared" si="53"/>
        <v>0.3</v>
      </c>
      <c r="S197" s="136">
        <f t="shared" si="53"/>
        <v>0.3</v>
      </c>
      <c r="T197" s="136">
        <f t="shared" si="54"/>
        <v>0.3</v>
      </c>
      <c r="U197" s="136">
        <f t="shared" si="54"/>
        <v>0.3</v>
      </c>
      <c r="V197" s="136">
        <f t="shared" si="54"/>
        <v>0.3</v>
      </c>
      <c r="W197" s="136">
        <f t="shared" si="54"/>
        <v>0.3</v>
      </c>
      <c r="X197" s="136">
        <f t="shared" si="54"/>
        <v>0.3</v>
      </c>
      <c r="Y197" s="136">
        <f t="shared" si="54"/>
        <v>0.3</v>
      </c>
      <c r="Z197" s="136">
        <f t="shared" si="54"/>
        <v>0.3</v>
      </c>
      <c r="AA197" s="136">
        <f t="shared" si="54"/>
        <v>0.3</v>
      </c>
      <c r="AB197" s="136">
        <f t="shared" si="54"/>
        <v>0.3</v>
      </c>
      <c r="AC197" s="136">
        <f t="shared" si="54"/>
        <v>0.3</v>
      </c>
      <c r="AD197" s="136">
        <f t="shared" si="54"/>
        <v>0.3</v>
      </c>
      <c r="AE197" s="136">
        <f t="shared" si="54"/>
        <v>0.3</v>
      </c>
      <c r="AF197" s="136">
        <f t="shared" si="54"/>
        <v>0.3</v>
      </c>
      <c r="AG197" s="145">
        <v>1</v>
      </c>
      <c r="AH197" s="54"/>
      <c r="AI197" s="55"/>
      <c r="AK197" s="56"/>
    </row>
    <row r="198" spans="1:37" x14ac:dyDescent="0.25">
      <c r="A198" s="122" t="s">
        <v>200</v>
      </c>
      <c r="B198" s="136">
        <f t="shared" si="52"/>
        <v>0.4</v>
      </c>
      <c r="C198" s="136">
        <v>0.4</v>
      </c>
      <c r="D198" s="136">
        <f t="shared" si="53"/>
        <v>0.4</v>
      </c>
      <c r="E198" s="136">
        <f t="shared" si="53"/>
        <v>0.4</v>
      </c>
      <c r="F198" s="136">
        <f t="shared" si="53"/>
        <v>0.4</v>
      </c>
      <c r="G198" s="136">
        <f t="shared" si="53"/>
        <v>0.4</v>
      </c>
      <c r="H198" s="136">
        <f t="shared" si="53"/>
        <v>0.4</v>
      </c>
      <c r="I198" s="136">
        <f t="shared" si="53"/>
        <v>0.4</v>
      </c>
      <c r="J198" s="136">
        <f t="shared" si="53"/>
        <v>0.4</v>
      </c>
      <c r="K198" s="136">
        <f t="shared" si="53"/>
        <v>0.4</v>
      </c>
      <c r="L198" s="136">
        <f t="shared" si="53"/>
        <v>0.4</v>
      </c>
      <c r="M198" s="136">
        <f t="shared" si="53"/>
        <v>0.4</v>
      </c>
      <c r="N198" s="136">
        <f t="shared" si="53"/>
        <v>0.4</v>
      </c>
      <c r="O198" s="136">
        <f t="shared" si="53"/>
        <v>0.4</v>
      </c>
      <c r="P198" s="136">
        <f t="shared" si="53"/>
        <v>0.4</v>
      </c>
      <c r="Q198" s="136">
        <f t="shared" si="53"/>
        <v>0.4</v>
      </c>
      <c r="R198" s="136">
        <f t="shared" si="53"/>
        <v>0.4</v>
      </c>
      <c r="S198" s="136">
        <f t="shared" si="53"/>
        <v>0.4</v>
      </c>
      <c r="T198" s="136">
        <f t="shared" si="54"/>
        <v>0.4</v>
      </c>
      <c r="U198" s="136">
        <f t="shared" si="54"/>
        <v>0.4</v>
      </c>
      <c r="V198" s="136">
        <f t="shared" si="54"/>
        <v>0.4</v>
      </c>
      <c r="W198" s="136">
        <f t="shared" si="54"/>
        <v>0.4</v>
      </c>
      <c r="X198" s="136">
        <f t="shared" si="54"/>
        <v>0.4</v>
      </c>
      <c r="Y198" s="136">
        <f t="shared" si="54"/>
        <v>0.4</v>
      </c>
      <c r="Z198" s="136">
        <f t="shared" si="54"/>
        <v>0.4</v>
      </c>
      <c r="AA198" s="136">
        <f t="shared" si="54"/>
        <v>0.4</v>
      </c>
      <c r="AB198" s="136">
        <f t="shared" si="54"/>
        <v>0.4</v>
      </c>
      <c r="AC198" s="136">
        <f t="shared" si="54"/>
        <v>0.4</v>
      </c>
      <c r="AD198" s="136">
        <f t="shared" si="54"/>
        <v>0.4</v>
      </c>
      <c r="AE198" s="136">
        <f t="shared" si="54"/>
        <v>0.4</v>
      </c>
      <c r="AF198" s="136">
        <f t="shared" si="54"/>
        <v>0.4</v>
      </c>
      <c r="AG198" s="145">
        <v>1</v>
      </c>
      <c r="AH198" s="54"/>
      <c r="AI198" s="55"/>
      <c r="AK198" s="56"/>
    </row>
    <row r="199" spans="1:37" ht="15.75" thickBot="1" x14ac:dyDescent="0.3">
      <c r="A199" s="124" t="s">
        <v>201</v>
      </c>
      <c r="B199" s="146">
        <f t="shared" si="52"/>
        <v>0.64</v>
      </c>
      <c r="C199" s="146">
        <v>0.64</v>
      </c>
      <c r="D199" s="146">
        <f t="shared" si="53"/>
        <v>0.64</v>
      </c>
      <c r="E199" s="146">
        <f t="shared" si="53"/>
        <v>0.64</v>
      </c>
      <c r="F199" s="146">
        <f t="shared" si="53"/>
        <v>0.64</v>
      </c>
      <c r="G199" s="146">
        <f t="shared" si="53"/>
        <v>0.64</v>
      </c>
      <c r="H199" s="146">
        <f t="shared" si="53"/>
        <v>0.64</v>
      </c>
      <c r="I199" s="146">
        <f t="shared" si="53"/>
        <v>0.64</v>
      </c>
      <c r="J199" s="146">
        <f t="shared" si="53"/>
        <v>0.64</v>
      </c>
      <c r="K199" s="146">
        <f t="shared" si="53"/>
        <v>0.64</v>
      </c>
      <c r="L199" s="146">
        <f t="shared" si="53"/>
        <v>0.64</v>
      </c>
      <c r="M199" s="146">
        <f t="shared" si="53"/>
        <v>0.64</v>
      </c>
      <c r="N199" s="146">
        <f t="shared" si="53"/>
        <v>0.64</v>
      </c>
      <c r="O199" s="146">
        <f t="shared" si="53"/>
        <v>0.64</v>
      </c>
      <c r="P199" s="146">
        <f t="shared" si="53"/>
        <v>0.64</v>
      </c>
      <c r="Q199" s="146">
        <f t="shared" si="53"/>
        <v>0.64</v>
      </c>
      <c r="R199" s="146">
        <f t="shared" si="53"/>
        <v>0.64</v>
      </c>
      <c r="S199" s="146">
        <f t="shared" si="53"/>
        <v>0.64</v>
      </c>
      <c r="T199" s="146">
        <f t="shared" si="54"/>
        <v>0.64</v>
      </c>
      <c r="U199" s="146">
        <f t="shared" si="54"/>
        <v>0.64</v>
      </c>
      <c r="V199" s="146">
        <f t="shared" si="54"/>
        <v>0.64</v>
      </c>
      <c r="W199" s="146">
        <f t="shared" si="54"/>
        <v>0.64</v>
      </c>
      <c r="X199" s="146">
        <f t="shared" si="54"/>
        <v>0.64</v>
      </c>
      <c r="Y199" s="146">
        <f t="shared" si="54"/>
        <v>0.64</v>
      </c>
      <c r="Z199" s="146">
        <f t="shared" si="54"/>
        <v>0.64</v>
      </c>
      <c r="AA199" s="146">
        <f t="shared" si="54"/>
        <v>0.64</v>
      </c>
      <c r="AB199" s="146">
        <f t="shared" si="54"/>
        <v>0.64</v>
      </c>
      <c r="AC199" s="146">
        <f t="shared" si="54"/>
        <v>0.64</v>
      </c>
      <c r="AD199" s="146">
        <f t="shared" si="54"/>
        <v>0.64</v>
      </c>
      <c r="AE199" s="146">
        <f t="shared" si="54"/>
        <v>0.64</v>
      </c>
      <c r="AF199" s="146">
        <f t="shared" si="54"/>
        <v>0.64</v>
      </c>
      <c r="AG199" s="147">
        <v>0.66</v>
      </c>
      <c r="AH199" s="54"/>
      <c r="AI199" s="55"/>
    </row>
    <row r="200" spans="1:37" ht="15.75" thickBot="1" x14ac:dyDescent="0.3">
      <c r="A200" s="148" t="s">
        <v>59</v>
      </c>
      <c r="B200" s="149">
        <f>SUM(B194:B199)</f>
        <v>3.54</v>
      </c>
      <c r="C200" s="149">
        <f>SUM(C194:C199)</f>
        <v>3.54</v>
      </c>
      <c r="D200" s="149">
        <f t="shared" ref="D200:L200" si="55">SUM(D194:D199)</f>
        <v>3.54</v>
      </c>
      <c r="E200" s="149">
        <f t="shared" si="55"/>
        <v>3.54</v>
      </c>
      <c r="F200" s="149">
        <f t="shared" si="55"/>
        <v>3.54</v>
      </c>
      <c r="G200" s="149">
        <f t="shared" si="55"/>
        <v>3.54</v>
      </c>
      <c r="H200" s="149">
        <f t="shared" si="55"/>
        <v>3.54</v>
      </c>
      <c r="I200" s="149">
        <f t="shared" si="55"/>
        <v>3.54</v>
      </c>
      <c r="J200" s="149">
        <f t="shared" si="55"/>
        <v>3.54</v>
      </c>
      <c r="K200" s="149">
        <f t="shared" si="55"/>
        <v>3.54</v>
      </c>
      <c r="L200" s="149">
        <f t="shared" si="55"/>
        <v>3.54</v>
      </c>
      <c r="M200" s="149">
        <f>SUM(M194:M199)</f>
        <v>3.54</v>
      </c>
      <c r="N200" s="149">
        <f t="shared" ref="N200:S200" si="56">SUM(N194:N199)</f>
        <v>3.54</v>
      </c>
      <c r="O200" s="149">
        <f t="shared" si="56"/>
        <v>3.54</v>
      </c>
      <c r="P200" s="149">
        <f t="shared" si="56"/>
        <v>3.54</v>
      </c>
      <c r="Q200" s="149">
        <f t="shared" si="56"/>
        <v>3.54</v>
      </c>
      <c r="R200" s="149">
        <f t="shared" si="56"/>
        <v>3.54</v>
      </c>
      <c r="S200" s="149">
        <f t="shared" si="56"/>
        <v>3.54</v>
      </c>
      <c r="T200" s="149">
        <f>SUM(T194:T199)</f>
        <v>3.54</v>
      </c>
      <c r="U200" s="149">
        <f t="shared" ref="U200:AG200" si="57">SUM(U194:U199)</f>
        <v>3.54</v>
      </c>
      <c r="V200" s="149">
        <f t="shared" si="57"/>
        <v>3.54</v>
      </c>
      <c r="W200" s="149">
        <f t="shared" si="57"/>
        <v>3.54</v>
      </c>
      <c r="X200" s="149">
        <f t="shared" si="57"/>
        <v>3.54</v>
      </c>
      <c r="Y200" s="149">
        <f t="shared" si="57"/>
        <v>3.54</v>
      </c>
      <c r="Z200" s="149">
        <f t="shared" si="57"/>
        <v>3.54</v>
      </c>
      <c r="AA200" s="149">
        <f t="shared" si="57"/>
        <v>3.54</v>
      </c>
      <c r="AB200" s="149">
        <f t="shared" si="57"/>
        <v>3.54</v>
      </c>
      <c r="AC200" s="149">
        <f t="shared" si="57"/>
        <v>3.54</v>
      </c>
      <c r="AD200" s="149">
        <f t="shared" si="57"/>
        <v>3.54</v>
      </c>
      <c r="AE200" s="149">
        <f t="shared" si="57"/>
        <v>3.54</v>
      </c>
      <c r="AF200" s="149">
        <f t="shared" si="57"/>
        <v>3.54</v>
      </c>
      <c r="AG200" s="150">
        <f t="shared" si="57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11"/>
      <c r="AH201" s="47"/>
    </row>
    <row r="202" spans="1:37" x14ac:dyDescent="0.25">
      <c r="A202" s="94" t="s">
        <v>202</v>
      </c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2"/>
      <c r="AG202" s="47"/>
      <c r="AH202" s="54"/>
      <c r="AI202" s="55"/>
    </row>
    <row r="203" spans="1:37" x14ac:dyDescent="0.25">
      <c r="A203" s="153" t="s">
        <v>203</v>
      </c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5"/>
      <c r="AG203" s="156"/>
      <c r="AH203" s="54"/>
      <c r="AI203" s="55"/>
    </row>
    <row r="204" spans="1:37" x14ac:dyDescent="0.25">
      <c r="A204" s="98" t="s">
        <v>204</v>
      </c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8"/>
      <c r="AG204" s="156"/>
      <c r="AH204" s="54"/>
      <c r="AI204" s="55"/>
    </row>
    <row r="205" spans="1:37" x14ac:dyDescent="0.25">
      <c r="A205" s="98" t="s">
        <v>205</v>
      </c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8"/>
      <c r="AG205" s="156"/>
      <c r="AH205" s="54"/>
      <c r="AI205" s="55"/>
    </row>
    <row r="206" spans="1:37" ht="15.75" thickBot="1" x14ac:dyDescent="0.3">
      <c r="A206" s="159" t="s">
        <v>206</v>
      </c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  <c r="AE206" s="160"/>
      <c r="AF206" s="161"/>
      <c r="AG206" s="156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62" t="s">
        <v>207</v>
      </c>
      <c r="B209" s="163">
        <f>MAX(G75:N75)</f>
        <v>3.54</v>
      </c>
      <c r="C209" s="164">
        <f>INDEX(G9:N9,1,MATCH(MAX(G75:N75),G75:N75,0))</f>
        <v>0.20833333333333301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65" t="str">
        <f ca="1">MID(CELL("filename",C7),FIND("]",CELL("filename",C7))+1,600)</f>
        <v>new_sample (3)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86" t="s">
        <v>208</v>
      </c>
      <c r="B211" s="186"/>
      <c r="C211" s="47"/>
      <c r="D211" s="165" t="e">
        <f ca="1">"Pie Chart of Daily Peak Demand(Inclusive of Export) of Nepal ("&amp;A4&amp;" "&amp;B4&amp;")"</f>
        <v>#VALUE!</v>
      </c>
      <c r="E211" s="47"/>
      <c r="F211" s="47"/>
      <c r="G211" s="165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65" t="e">
        <f ca="1">"Daily Load Curve(Excluding of Export) of Nepal ("&amp;A4&amp;" "&amp;B4&amp;")"</f>
        <v>#VALUE!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66" t="s">
        <v>7</v>
      </c>
      <c r="B212" s="167"/>
      <c r="C212" s="47"/>
      <c r="D212" s="168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66" t="s">
        <v>209</v>
      </c>
      <c r="B213" s="16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69" t="s">
        <v>210</v>
      </c>
      <c r="T213" s="170">
        <v>0</v>
      </c>
      <c r="U213" s="171">
        <v>4.1666666666666664E-2</v>
      </c>
      <c r="V213" s="172">
        <v>8.3333333333333301E-2</v>
      </c>
      <c r="W213" s="172">
        <v>0.125</v>
      </c>
      <c r="X213" s="172">
        <v>0.16666666666666699</v>
      </c>
      <c r="Y213" s="172">
        <v>0.20833333333333301</v>
      </c>
      <c r="Z213" s="172">
        <v>0.22916666666666666</v>
      </c>
      <c r="AA213" s="172">
        <v>0.25</v>
      </c>
      <c r="AB213" s="172">
        <v>0.27083333333333331</v>
      </c>
      <c r="AC213" s="172">
        <v>0.29166666666666669</v>
      </c>
      <c r="AD213" s="172">
        <v>0.3125</v>
      </c>
      <c r="AE213" s="173">
        <v>0.33333333333333331</v>
      </c>
      <c r="AF213" s="173">
        <v>0.375</v>
      </c>
      <c r="AG213" s="173">
        <v>0.41666666666666702</v>
      </c>
      <c r="AH213" s="173">
        <v>0.45833333333333298</v>
      </c>
      <c r="AI213" s="173">
        <v>0.5</v>
      </c>
      <c r="AJ213" s="173">
        <v>0.54166666666666696</v>
      </c>
      <c r="AK213" s="173">
        <v>0.58333333333333304</v>
      </c>
      <c r="AL213" s="173">
        <v>0.625</v>
      </c>
      <c r="AM213" s="173">
        <v>0.66666666666666696</v>
      </c>
      <c r="AN213" s="173">
        <v>0.70833333333333304</v>
      </c>
      <c r="AO213" s="173">
        <v>0.72916666666666663</v>
      </c>
      <c r="AP213" s="173">
        <v>0.75</v>
      </c>
      <c r="AQ213" s="173">
        <v>0.77083333333333337</v>
      </c>
      <c r="AR213" s="173">
        <v>0.79166666666666663</v>
      </c>
      <c r="AS213" s="173">
        <v>0.8125</v>
      </c>
      <c r="AT213" s="172">
        <v>0.83333333333333337</v>
      </c>
      <c r="AU213" s="172">
        <v>0.85416666666666663</v>
      </c>
      <c r="AV213" s="172">
        <v>0.875</v>
      </c>
      <c r="AW213" s="172">
        <v>0.91666666666666696</v>
      </c>
      <c r="AX213" s="172">
        <v>0.95833333333333304</v>
      </c>
    </row>
    <row r="214" spans="1:50" x14ac:dyDescent="0.25">
      <c r="A214" s="166" t="s">
        <v>211</v>
      </c>
      <c r="B214" s="16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212</v>
      </c>
      <c r="T214" s="174">
        <f t="shared" ref="T214:AX214" si="58">B75</f>
        <v>3.54</v>
      </c>
      <c r="U214" s="174">
        <f t="shared" si="58"/>
        <v>3.54</v>
      </c>
      <c r="V214" s="174">
        <f t="shared" si="58"/>
        <v>3.54</v>
      </c>
      <c r="W214" s="174">
        <f t="shared" si="58"/>
        <v>3.54</v>
      </c>
      <c r="X214" s="174">
        <f t="shared" si="58"/>
        <v>3.54</v>
      </c>
      <c r="Y214" s="174">
        <f t="shared" si="58"/>
        <v>3.54</v>
      </c>
      <c r="Z214" s="174">
        <f t="shared" si="58"/>
        <v>3.54</v>
      </c>
      <c r="AA214" s="174">
        <f t="shared" si="58"/>
        <v>3.54</v>
      </c>
      <c r="AB214" s="174">
        <f t="shared" si="58"/>
        <v>3.54</v>
      </c>
      <c r="AC214" s="174">
        <f t="shared" si="58"/>
        <v>3.54</v>
      </c>
      <c r="AD214" s="174">
        <f t="shared" si="58"/>
        <v>3.54</v>
      </c>
      <c r="AE214" s="174">
        <f t="shared" si="58"/>
        <v>3.54</v>
      </c>
      <c r="AF214" s="174">
        <f t="shared" si="58"/>
        <v>3.54</v>
      </c>
      <c r="AG214" s="174">
        <f t="shared" si="58"/>
        <v>3.54</v>
      </c>
      <c r="AH214" s="174">
        <f t="shared" si="58"/>
        <v>3.54</v>
      </c>
      <c r="AI214" s="174">
        <f t="shared" si="58"/>
        <v>3.54</v>
      </c>
      <c r="AJ214" s="174">
        <f t="shared" si="58"/>
        <v>3.54</v>
      </c>
      <c r="AK214" s="174">
        <f t="shared" si="58"/>
        <v>3.54</v>
      </c>
      <c r="AL214" s="174">
        <f t="shared" si="58"/>
        <v>3.54</v>
      </c>
      <c r="AM214" s="174">
        <f t="shared" si="58"/>
        <v>3.54</v>
      </c>
      <c r="AN214" s="174">
        <f t="shared" si="58"/>
        <v>3.54</v>
      </c>
      <c r="AO214" s="174">
        <f t="shared" si="58"/>
        <v>3.54</v>
      </c>
      <c r="AP214" s="174">
        <f t="shared" si="58"/>
        <v>3.54</v>
      </c>
      <c r="AQ214" s="174">
        <f t="shared" si="58"/>
        <v>3.54</v>
      </c>
      <c r="AR214" s="174">
        <f t="shared" si="58"/>
        <v>3.54</v>
      </c>
      <c r="AS214" s="174">
        <f t="shared" si="58"/>
        <v>3.54</v>
      </c>
      <c r="AT214" s="174">
        <f t="shared" si="58"/>
        <v>3.54</v>
      </c>
      <c r="AU214" s="174">
        <f t="shared" si="58"/>
        <v>3.54</v>
      </c>
      <c r="AV214" s="174">
        <f t="shared" si="58"/>
        <v>3.54</v>
      </c>
      <c r="AW214" s="174">
        <f t="shared" si="58"/>
        <v>3.54</v>
      </c>
      <c r="AX214" s="174">
        <f t="shared" si="58"/>
        <v>3.54</v>
      </c>
    </row>
    <row r="215" spans="1:50" x14ac:dyDescent="0.25">
      <c r="A215" s="166" t="s">
        <v>213</v>
      </c>
      <c r="B215" s="16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66" t="s">
        <v>214</v>
      </c>
      <c r="B216" s="16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66" t="s">
        <v>215</v>
      </c>
      <c r="B217" s="16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66" t="s">
        <v>216</v>
      </c>
      <c r="B218" s="175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66" t="s">
        <v>217</v>
      </c>
      <c r="B219" s="16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76" t="s">
        <v>202</v>
      </c>
      <c r="B235" s="177">
        <f t="shared" ref="B235:AE235" si="59">C199</f>
        <v>0.64</v>
      </c>
      <c r="C235" s="177">
        <f t="shared" si="59"/>
        <v>0.64</v>
      </c>
      <c r="D235" s="177">
        <f t="shared" si="59"/>
        <v>0.64</v>
      </c>
      <c r="E235" s="177">
        <f t="shared" si="59"/>
        <v>0.64</v>
      </c>
      <c r="F235" s="177">
        <f t="shared" si="59"/>
        <v>0.64</v>
      </c>
      <c r="G235" s="177">
        <f t="shared" si="59"/>
        <v>0.64</v>
      </c>
      <c r="H235" s="177">
        <f t="shared" si="59"/>
        <v>0.64</v>
      </c>
      <c r="I235" s="177">
        <f t="shared" si="59"/>
        <v>0.64</v>
      </c>
      <c r="J235" s="177">
        <f t="shared" si="59"/>
        <v>0.64</v>
      </c>
      <c r="K235" s="177">
        <f t="shared" si="59"/>
        <v>0.64</v>
      </c>
      <c r="L235" s="177">
        <f t="shared" si="59"/>
        <v>0.64</v>
      </c>
      <c r="M235" s="177">
        <f t="shared" si="59"/>
        <v>0.64</v>
      </c>
      <c r="N235" s="177">
        <f t="shared" si="59"/>
        <v>0.64</v>
      </c>
      <c r="O235" s="177">
        <f t="shared" si="59"/>
        <v>0.64</v>
      </c>
      <c r="P235" s="177">
        <f t="shared" si="59"/>
        <v>0.64</v>
      </c>
      <c r="Q235" s="177">
        <f t="shared" si="59"/>
        <v>0.64</v>
      </c>
      <c r="R235" s="177">
        <f t="shared" si="59"/>
        <v>0.64</v>
      </c>
      <c r="S235" s="177">
        <f t="shared" si="59"/>
        <v>0.64</v>
      </c>
      <c r="T235" s="177">
        <f t="shared" si="59"/>
        <v>0.64</v>
      </c>
      <c r="U235" s="177">
        <f t="shared" si="59"/>
        <v>0.64</v>
      </c>
      <c r="V235" s="177">
        <f t="shared" si="59"/>
        <v>0.64</v>
      </c>
      <c r="W235" s="177">
        <f t="shared" si="59"/>
        <v>0.64</v>
      </c>
      <c r="X235" s="177">
        <f t="shared" si="59"/>
        <v>0.64</v>
      </c>
      <c r="Y235" s="177">
        <f t="shared" si="59"/>
        <v>0.64</v>
      </c>
      <c r="Z235" s="177">
        <f t="shared" si="59"/>
        <v>0.64</v>
      </c>
      <c r="AA235" s="177">
        <f t="shared" si="59"/>
        <v>0.64</v>
      </c>
      <c r="AB235" s="177">
        <f t="shared" si="59"/>
        <v>0.64</v>
      </c>
      <c r="AC235" s="177">
        <f t="shared" si="59"/>
        <v>0.64</v>
      </c>
      <c r="AD235" s="177">
        <f t="shared" si="59"/>
        <v>0.64</v>
      </c>
      <c r="AE235" s="177">
        <f t="shared" si="59"/>
        <v>0.64</v>
      </c>
      <c r="AF235" s="177">
        <f>B199</f>
        <v>0.64</v>
      </c>
      <c r="AG235" s="47"/>
      <c r="AH235" s="47"/>
      <c r="AJ235"/>
    </row>
    <row r="236" spans="1:36" x14ac:dyDescent="0.25">
      <c r="A236" s="120" t="str">
        <f>A203</f>
        <v>KGA</v>
      </c>
      <c r="B236" s="120" t="str">
        <f>IF(B203&lt;100,"",B203-520)</f>
        <v/>
      </c>
      <c r="C236" s="120" t="str">
        <f t="shared" ref="C236:AF236" si="60">IF(C203&lt;100,"",C203-520)</f>
        <v/>
      </c>
      <c r="D236" s="120" t="str">
        <f t="shared" si="60"/>
        <v/>
      </c>
      <c r="E236" s="120" t="str">
        <f t="shared" si="60"/>
        <v/>
      </c>
      <c r="F236" s="120" t="str">
        <f t="shared" si="60"/>
        <v/>
      </c>
      <c r="G236" s="120" t="str">
        <f t="shared" si="60"/>
        <v/>
      </c>
      <c r="H236" s="120" t="str">
        <f t="shared" si="60"/>
        <v/>
      </c>
      <c r="I236" s="120" t="str">
        <f t="shared" si="60"/>
        <v/>
      </c>
      <c r="J236" s="120" t="str">
        <f t="shared" si="60"/>
        <v/>
      </c>
      <c r="K236" s="120" t="str">
        <f t="shared" si="60"/>
        <v/>
      </c>
      <c r="L236" s="120" t="str">
        <f t="shared" si="60"/>
        <v/>
      </c>
      <c r="M236" s="120" t="str">
        <f t="shared" si="60"/>
        <v/>
      </c>
      <c r="N236" s="120" t="str">
        <f t="shared" si="60"/>
        <v/>
      </c>
      <c r="O236" s="120" t="str">
        <f t="shared" si="60"/>
        <v/>
      </c>
      <c r="P236" s="120" t="str">
        <f t="shared" si="60"/>
        <v/>
      </c>
      <c r="Q236" s="120" t="str">
        <f t="shared" si="60"/>
        <v/>
      </c>
      <c r="R236" s="120" t="str">
        <f t="shared" si="60"/>
        <v/>
      </c>
      <c r="S236" s="120" t="str">
        <f t="shared" si="60"/>
        <v/>
      </c>
      <c r="T236" s="120" t="str">
        <f t="shared" si="60"/>
        <v/>
      </c>
      <c r="U236" s="120" t="str">
        <f t="shared" si="60"/>
        <v/>
      </c>
      <c r="V236" s="120" t="str">
        <f t="shared" si="60"/>
        <v/>
      </c>
      <c r="W236" s="120" t="str">
        <f t="shared" si="60"/>
        <v/>
      </c>
      <c r="X236" s="120" t="str">
        <f t="shared" si="60"/>
        <v/>
      </c>
      <c r="Y236" s="120" t="str">
        <f t="shared" si="60"/>
        <v/>
      </c>
      <c r="Z236" s="120" t="str">
        <f t="shared" si="60"/>
        <v/>
      </c>
      <c r="AA236" s="120" t="str">
        <f t="shared" si="60"/>
        <v/>
      </c>
      <c r="AB236" s="120" t="str">
        <f t="shared" si="60"/>
        <v/>
      </c>
      <c r="AC236" s="120" t="str">
        <f t="shared" si="60"/>
        <v/>
      </c>
      <c r="AD236" s="120" t="str">
        <f t="shared" si="60"/>
        <v/>
      </c>
      <c r="AE236" s="120" t="str">
        <f t="shared" si="60"/>
        <v/>
      </c>
      <c r="AF236" s="120" t="str">
        <f t="shared" si="60"/>
        <v/>
      </c>
      <c r="AG236" s="47"/>
      <c r="AH236" s="47"/>
      <c r="AJ236"/>
    </row>
    <row r="237" spans="1:36" x14ac:dyDescent="0.25">
      <c r="A237" s="120" t="str">
        <f>A204</f>
        <v>MMRS</v>
      </c>
      <c r="B237" s="120" t="str">
        <f t="shared" ref="B237:AF237" si="61">IF(B204&lt;100,"",B204-620)</f>
        <v/>
      </c>
      <c r="C237" s="120" t="str">
        <f t="shared" si="61"/>
        <v/>
      </c>
      <c r="D237" s="120" t="str">
        <f t="shared" si="61"/>
        <v/>
      </c>
      <c r="E237" s="120" t="str">
        <f t="shared" si="61"/>
        <v/>
      </c>
      <c r="F237" s="120" t="str">
        <f t="shared" si="61"/>
        <v/>
      </c>
      <c r="G237" s="120" t="str">
        <f t="shared" si="61"/>
        <v/>
      </c>
      <c r="H237" s="120" t="str">
        <f t="shared" si="61"/>
        <v/>
      </c>
      <c r="I237" s="120" t="str">
        <f t="shared" si="61"/>
        <v/>
      </c>
      <c r="J237" s="120" t="str">
        <f t="shared" si="61"/>
        <v/>
      </c>
      <c r="K237" s="120" t="str">
        <f t="shared" si="61"/>
        <v/>
      </c>
      <c r="L237" s="120" t="str">
        <f t="shared" si="61"/>
        <v/>
      </c>
      <c r="M237" s="120" t="str">
        <f t="shared" si="61"/>
        <v/>
      </c>
      <c r="N237" s="120" t="str">
        <f t="shared" si="61"/>
        <v/>
      </c>
      <c r="O237" s="120" t="str">
        <f t="shared" si="61"/>
        <v/>
      </c>
      <c r="P237" s="120" t="str">
        <f t="shared" si="61"/>
        <v/>
      </c>
      <c r="Q237" s="120" t="str">
        <f t="shared" si="61"/>
        <v/>
      </c>
      <c r="R237" s="120" t="str">
        <f t="shared" si="61"/>
        <v/>
      </c>
      <c r="S237" s="120" t="str">
        <f t="shared" si="61"/>
        <v/>
      </c>
      <c r="T237" s="120" t="str">
        <f t="shared" si="61"/>
        <v/>
      </c>
      <c r="U237" s="120" t="str">
        <f t="shared" si="61"/>
        <v/>
      </c>
      <c r="V237" s="120" t="str">
        <f t="shared" si="61"/>
        <v/>
      </c>
      <c r="W237" s="120" t="str">
        <f t="shared" si="61"/>
        <v/>
      </c>
      <c r="X237" s="120" t="str">
        <f t="shared" si="61"/>
        <v/>
      </c>
      <c r="Y237" s="120" t="str">
        <f t="shared" si="61"/>
        <v/>
      </c>
      <c r="Z237" s="120" t="str">
        <f t="shared" si="61"/>
        <v/>
      </c>
      <c r="AA237" s="120" t="str">
        <f t="shared" si="61"/>
        <v/>
      </c>
      <c r="AB237" s="120" t="str">
        <f t="shared" si="61"/>
        <v/>
      </c>
      <c r="AC237" s="120" t="str">
        <f t="shared" si="61"/>
        <v/>
      </c>
      <c r="AD237" s="120" t="str">
        <f t="shared" si="61"/>
        <v/>
      </c>
      <c r="AE237" s="120" t="str">
        <f t="shared" si="61"/>
        <v/>
      </c>
      <c r="AF237" s="120" t="str">
        <f t="shared" si="61"/>
        <v/>
      </c>
      <c r="AG237" s="47"/>
      <c r="AH237" s="47"/>
      <c r="AJ237"/>
    </row>
    <row r="238" spans="1:36" x14ac:dyDescent="0.25">
      <c r="A238" s="120" t="str">
        <f>A205</f>
        <v>MRS</v>
      </c>
      <c r="B238" s="120" t="str">
        <f t="shared" ref="B238:AF238" si="62">IF(B205&lt;100,"",B205-330)</f>
        <v/>
      </c>
      <c r="C238" s="120" t="str">
        <f t="shared" si="62"/>
        <v/>
      </c>
      <c r="D238" s="120" t="str">
        <f t="shared" si="62"/>
        <v/>
      </c>
      <c r="E238" s="120" t="str">
        <f t="shared" si="62"/>
        <v/>
      </c>
      <c r="F238" s="120" t="str">
        <f t="shared" si="62"/>
        <v/>
      </c>
      <c r="G238" s="120" t="str">
        <f t="shared" si="62"/>
        <v/>
      </c>
      <c r="H238" s="120" t="str">
        <f t="shared" si="62"/>
        <v/>
      </c>
      <c r="I238" s="120" t="str">
        <f t="shared" si="62"/>
        <v/>
      </c>
      <c r="J238" s="120" t="str">
        <f t="shared" si="62"/>
        <v/>
      </c>
      <c r="K238" s="120" t="str">
        <f t="shared" si="62"/>
        <v/>
      </c>
      <c r="L238" s="120" t="str">
        <f t="shared" si="62"/>
        <v/>
      </c>
      <c r="M238" s="120" t="str">
        <f t="shared" si="62"/>
        <v/>
      </c>
      <c r="N238" s="120" t="str">
        <f t="shared" si="62"/>
        <v/>
      </c>
      <c r="O238" s="120" t="str">
        <f t="shared" si="62"/>
        <v/>
      </c>
      <c r="P238" s="120" t="str">
        <f t="shared" si="62"/>
        <v/>
      </c>
      <c r="Q238" s="120" t="str">
        <f t="shared" si="62"/>
        <v/>
      </c>
      <c r="R238" s="120" t="str">
        <f t="shared" si="62"/>
        <v/>
      </c>
      <c r="S238" s="120" t="str">
        <f t="shared" si="62"/>
        <v/>
      </c>
      <c r="T238" s="120" t="str">
        <f t="shared" si="62"/>
        <v/>
      </c>
      <c r="U238" s="120" t="str">
        <f t="shared" si="62"/>
        <v/>
      </c>
      <c r="V238" s="120" t="str">
        <f t="shared" si="62"/>
        <v/>
      </c>
      <c r="W238" s="120" t="str">
        <f t="shared" si="62"/>
        <v/>
      </c>
      <c r="X238" s="120" t="str">
        <f t="shared" si="62"/>
        <v/>
      </c>
      <c r="Y238" s="120" t="str">
        <f t="shared" si="62"/>
        <v/>
      </c>
      <c r="Z238" s="120" t="str">
        <f t="shared" si="62"/>
        <v/>
      </c>
      <c r="AA238" s="120" t="str">
        <f t="shared" si="62"/>
        <v/>
      </c>
      <c r="AB238" s="120" t="str">
        <f t="shared" si="62"/>
        <v/>
      </c>
      <c r="AC238" s="120" t="str">
        <f t="shared" si="62"/>
        <v/>
      </c>
      <c r="AD238" s="120" t="str">
        <f t="shared" si="62"/>
        <v/>
      </c>
      <c r="AE238" s="120" t="str">
        <f t="shared" si="62"/>
        <v/>
      </c>
      <c r="AF238" s="120" t="str">
        <f t="shared" si="62"/>
        <v/>
      </c>
      <c r="AG238" s="47"/>
      <c r="AH238" s="47"/>
      <c r="AJ238"/>
    </row>
    <row r="239" spans="1:36" x14ac:dyDescent="0.25">
      <c r="A239" s="120" t="str">
        <f>A206</f>
        <v>KL 1</v>
      </c>
      <c r="B239" s="120" t="str">
        <f>IF(B206&lt;100,"",B206-1500)</f>
        <v/>
      </c>
      <c r="C239" s="120" t="str">
        <f t="shared" ref="C239:AF239" si="63">IF(C206&lt;100,"",C206-1500)</f>
        <v/>
      </c>
      <c r="D239" s="120" t="str">
        <f t="shared" si="63"/>
        <v/>
      </c>
      <c r="E239" s="120" t="str">
        <f t="shared" si="63"/>
        <v/>
      </c>
      <c r="F239" s="120" t="str">
        <f t="shared" si="63"/>
        <v/>
      </c>
      <c r="G239" s="120" t="str">
        <f t="shared" si="63"/>
        <v/>
      </c>
      <c r="H239" s="120" t="str">
        <f t="shared" si="63"/>
        <v/>
      </c>
      <c r="I239" s="120" t="str">
        <f t="shared" si="63"/>
        <v/>
      </c>
      <c r="J239" s="120" t="str">
        <f t="shared" si="63"/>
        <v/>
      </c>
      <c r="K239" s="120" t="str">
        <f t="shared" si="63"/>
        <v/>
      </c>
      <c r="L239" s="120" t="str">
        <f t="shared" si="63"/>
        <v/>
      </c>
      <c r="M239" s="120" t="str">
        <f t="shared" si="63"/>
        <v/>
      </c>
      <c r="N239" s="120" t="str">
        <f t="shared" si="63"/>
        <v/>
      </c>
      <c r="O239" s="120" t="str">
        <f t="shared" si="63"/>
        <v/>
      </c>
      <c r="P239" s="120" t="str">
        <f t="shared" si="63"/>
        <v/>
      </c>
      <c r="Q239" s="120" t="str">
        <f t="shared" si="63"/>
        <v/>
      </c>
      <c r="R239" s="120" t="str">
        <f t="shared" si="63"/>
        <v/>
      </c>
      <c r="S239" s="120" t="str">
        <f t="shared" si="63"/>
        <v/>
      </c>
      <c r="T239" s="120" t="str">
        <f t="shared" si="63"/>
        <v/>
      </c>
      <c r="U239" s="120" t="str">
        <f t="shared" si="63"/>
        <v/>
      </c>
      <c r="V239" s="120" t="str">
        <f t="shared" si="63"/>
        <v/>
      </c>
      <c r="W239" s="120" t="str">
        <f t="shared" si="63"/>
        <v/>
      </c>
      <c r="X239" s="120" t="str">
        <f t="shared" si="63"/>
        <v/>
      </c>
      <c r="Y239" s="120" t="str">
        <f t="shared" si="63"/>
        <v/>
      </c>
      <c r="Z239" s="120" t="str">
        <f t="shared" si="63"/>
        <v/>
      </c>
      <c r="AA239" s="120" t="str">
        <f t="shared" si="63"/>
        <v/>
      </c>
      <c r="AB239" s="120" t="str">
        <f t="shared" si="63"/>
        <v/>
      </c>
      <c r="AC239" s="120" t="str">
        <f t="shared" si="63"/>
        <v/>
      </c>
      <c r="AD239" s="120" t="str">
        <f t="shared" si="63"/>
        <v/>
      </c>
      <c r="AE239" s="120" t="str">
        <f t="shared" si="63"/>
        <v/>
      </c>
      <c r="AF239" s="120" t="str">
        <f t="shared" si="63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M37:R37 C57:L59 N62:N67 C63:D67 C60:O60 P39:R39 M39:O42 C61:N61 O61:O67 P40:Q42 R42 N45:R48 P60:R67 M12:R14 M16:R17 R40:T41 M19:R32 M11:Z11 M58:W59 Z12:Z14 M18:Y18 S19:Y30 U40:Y42 X85:AA91 Z27:AA27 AA11:AE14 Z16:AE26 Z28:AE31 Z40:AE43 AB81:AF81 B81:R81 C56:AF56 B82:AF83 D194:AF200 B194:B200 C68:AF72 AB84:AF91 B84:B91 M53:AF55 B73:AF80 B9:AF10 B192:AF192 AF57:AF67 B53:B72 D36:AF36 B36 AG73 AB94:AF100 B94:B100 U213:AF213">
    <cfRule type="expression" dxfId="267" priority="251">
      <formula>B$9&gt;=20/24</formula>
    </cfRule>
    <cfRule type="expression" dxfId="266" priority="252">
      <formula>AND(B$9&gt;=14/24,B$9&lt;20/24)</formula>
    </cfRule>
    <cfRule type="expression" dxfId="265" priority="253">
      <formula>AND(B$9&gt;=8/24,B$9&lt;14/24)</formula>
    </cfRule>
    <cfRule type="expression" dxfId="264" priority="254">
      <formula>B$9&lt;8/24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M57:R57">
    <cfRule type="expression" dxfId="263" priority="246">
      <formula>M$9&gt;=20/24</formula>
    </cfRule>
    <cfRule type="expression" dxfId="262" priority="247">
      <formula>AND(M$9&gt;=14/24,M$9&lt;20/24)</formula>
    </cfRule>
    <cfRule type="expression" dxfId="261" priority="248">
      <formula>AND(M$9&gt;=8/24,M$9&lt;14/24)</formula>
    </cfRule>
    <cfRule type="expression" dxfId="260" priority="249">
      <formula>M$9&lt;8/24</formula>
    </cfRule>
  </conditionalFormatting>
  <conditionalFormatting sqref="M43:R43">
    <cfRule type="expression" dxfId="259" priority="242">
      <formula>M$9&gt;=20/24</formula>
    </cfRule>
    <cfRule type="expression" dxfId="258" priority="243">
      <formula>AND(M$9&gt;=14/24,M$9&lt;20/24)</formula>
    </cfRule>
    <cfRule type="expression" dxfId="257" priority="244">
      <formula>AND(M$9&gt;=8/24,M$9&lt;14/24)</formula>
    </cfRule>
    <cfRule type="expression" dxfId="256" priority="245">
      <formula>M$9&lt;8/24</formula>
    </cfRule>
  </conditionalFormatting>
  <conditionalFormatting sqref="Z32:AE32">
    <cfRule type="expression" dxfId="255" priority="238">
      <formula>Z$9&gt;=20/24</formula>
    </cfRule>
    <cfRule type="expression" dxfId="254" priority="239">
      <formula>AND(Z$9&gt;=14/24,Z$9&lt;20/24)</formula>
    </cfRule>
    <cfRule type="expression" dxfId="253" priority="240">
      <formula>AND(Z$9&gt;=8/24,Z$9&lt;14/24)</formula>
    </cfRule>
    <cfRule type="expression" dxfId="252" priority="241">
      <formula>Z$9&lt;8/24</formula>
    </cfRule>
  </conditionalFormatting>
  <conditionalFormatting sqref="S39:AE39">
    <cfRule type="expression" dxfId="251" priority="234">
      <formula>S$9&gt;=20/24</formula>
    </cfRule>
    <cfRule type="expression" dxfId="250" priority="235">
      <formula>AND(S$9&gt;=14/24,S$9&lt;20/24)</formula>
    </cfRule>
    <cfRule type="expression" dxfId="249" priority="236">
      <formula>AND(S$9&gt;=8/24,S$9&lt;14/24)</formula>
    </cfRule>
    <cfRule type="expression" dxfId="248" priority="237">
      <formula>S$9&lt;8/24</formula>
    </cfRule>
  </conditionalFormatting>
  <conditionalFormatting sqref="S57:AE57">
    <cfRule type="expression" dxfId="247" priority="230">
      <formula>S$9&gt;=20/24</formula>
    </cfRule>
    <cfRule type="expression" dxfId="246" priority="231">
      <formula>AND(S$9&gt;=14/24,S$9&lt;20/24)</formula>
    </cfRule>
    <cfRule type="expression" dxfId="245" priority="232">
      <formula>AND(S$9&gt;=8/24,S$9&lt;14/24)</formula>
    </cfRule>
    <cfRule type="expression" dxfId="244" priority="233">
      <formula>S$9&lt;8/24</formula>
    </cfRule>
  </conditionalFormatting>
  <conditionalFormatting sqref="S81:AA81">
    <cfRule type="expression" dxfId="243" priority="226">
      <formula>S$9&gt;=20/24</formula>
    </cfRule>
    <cfRule type="expression" dxfId="242" priority="227">
      <formula>AND(S$9&gt;=14/24,S$9&lt;20/24)</formula>
    </cfRule>
    <cfRule type="expression" dxfId="241" priority="228">
      <formula>AND(S$9&gt;=8/24,S$9&lt;14/24)</formula>
    </cfRule>
    <cfRule type="expression" dxfId="240" priority="229">
      <formula>S$9&lt;8/24</formula>
    </cfRule>
  </conditionalFormatting>
  <conditionalFormatting sqref="U84:AA84">
    <cfRule type="expression" dxfId="239" priority="222">
      <formula>U$9&gt;=20/24</formula>
    </cfRule>
    <cfRule type="expression" dxfId="238" priority="223">
      <formula>AND(U$9&gt;=14/24,U$9&lt;20/24)</formula>
    </cfRule>
    <cfRule type="expression" dxfId="237" priority="224">
      <formula>AND(U$9&gt;=8/24,U$9&lt;14/24)</formula>
    </cfRule>
    <cfRule type="expression" dxfId="236" priority="225">
      <formula>U$9&lt;8/24</formula>
    </cfRule>
  </conditionalFormatting>
  <conditionalFormatting sqref="M35:R35">
    <cfRule type="expression" dxfId="235" priority="218">
      <formula>M$9&gt;=20/24</formula>
    </cfRule>
    <cfRule type="expression" dxfId="234" priority="219">
      <formula>AND(M$9&gt;=14/24,M$9&lt;20/24)</formula>
    </cfRule>
    <cfRule type="expression" dxfId="233" priority="220">
      <formula>AND(M$9&gt;=8/24,M$9&lt;14/24)</formula>
    </cfRule>
    <cfRule type="expression" dxfId="232" priority="221">
      <formula>M$9&lt;8/24</formula>
    </cfRule>
  </conditionalFormatting>
  <conditionalFormatting sqref="M49:T49">
    <cfRule type="expression" dxfId="231" priority="214">
      <formula>M$9&gt;=20/24</formula>
    </cfRule>
    <cfRule type="expression" dxfId="230" priority="215">
      <formula>AND(M$9&gt;=14/24,M$9&lt;20/24)</formula>
    </cfRule>
    <cfRule type="expression" dxfId="229" priority="216">
      <formula>AND(M$9&gt;=8/24,M$9&lt;14/24)</formula>
    </cfRule>
    <cfRule type="expression" dxfId="228" priority="217">
      <formula>M$9&lt;8/24</formula>
    </cfRule>
  </conditionalFormatting>
  <conditionalFormatting sqref="M50:R50">
    <cfRule type="expression" dxfId="227" priority="210">
      <formula>M$9&gt;=20/24</formula>
    </cfRule>
    <cfRule type="expression" dxfId="226" priority="211">
      <formula>AND(M$9&gt;=14/24,M$9&lt;20/24)</formula>
    </cfRule>
    <cfRule type="expression" dxfId="225" priority="212">
      <formula>AND(M$9&gt;=8/24,M$9&lt;14/24)</formula>
    </cfRule>
    <cfRule type="expression" dxfId="224" priority="213">
      <formula>M$9&lt;8/24</formula>
    </cfRule>
  </conditionalFormatting>
  <conditionalFormatting sqref="M45:R48">
    <cfRule type="expression" dxfId="223" priority="206">
      <formula>M$9&gt;=20/24</formula>
    </cfRule>
    <cfRule type="expression" dxfId="222" priority="207">
      <formula>AND(M$9&gt;=14/24,M$9&lt;20/24)</formula>
    </cfRule>
    <cfRule type="expression" dxfId="221" priority="208">
      <formula>AND(M$9&gt;=8/24,M$9&lt;14/24)</formula>
    </cfRule>
    <cfRule type="expression" dxfId="220" priority="209">
      <formula>M$9&lt;8/24</formula>
    </cfRule>
  </conditionalFormatting>
  <conditionalFormatting sqref="S37:AE37">
    <cfRule type="expression" dxfId="219" priority="202">
      <formula>S$9&gt;=20/24</formula>
    </cfRule>
    <cfRule type="expression" dxfId="218" priority="203">
      <formula>AND(S$9&gt;=14/24,S$9&lt;20/24)</formula>
    </cfRule>
    <cfRule type="expression" dxfId="217" priority="204">
      <formula>AND(S$9&gt;=8/24,S$9&lt;14/24)</formula>
    </cfRule>
    <cfRule type="expression" dxfId="216" priority="205">
      <formula>S$9&lt;8/24</formula>
    </cfRule>
  </conditionalFormatting>
  <conditionalFormatting sqref="S31:Y32 S35:AE35">
    <cfRule type="expression" dxfId="215" priority="198">
      <formula>S$9&gt;=20/24</formula>
    </cfRule>
    <cfRule type="expression" dxfId="214" priority="199">
      <formula>AND(S$9&gt;=14/24,S$9&lt;20/24)</formula>
    </cfRule>
    <cfRule type="expression" dxfId="213" priority="200">
      <formula>AND(S$9&gt;=8/24,S$9&lt;14/24)</formula>
    </cfRule>
    <cfRule type="expression" dxfId="212" priority="201">
      <formula>S$9&lt;8/24</formula>
    </cfRule>
  </conditionalFormatting>
  <conditionalFormatting sqref="S42:T43 U43:Y43 S45:AE48">
    <cfRule type="expression" dxfId="211" priority="194">
      <formula>S$9&gt;=20/24</formula>
    </cfRule>
    <cfRule type="expression" dxfId="210" priority="195">
      <formula>AND(S$9&gt;=14/24,S$9&lt;20/24)</formula>
    </cfRule>
    <cfRule type="expression" dxfId="209" priority="196">
      <formula>AND(S$9&gt;=8/24,S$9&lt;14/24)</formula>
    </cfRule>
    <cfRule type="expression" dxfId="208" priority="197">
      <formula>S$9&lt;8/24</formula>
    </cfRule>
  </conditionalFormatting>
  <conditionalFormatting sqref="S49:AE49">
    <cfRule type="expression" dxfId="207" priority="190">
      <formula>S$9&gt;=20/24</formula>
    </cfRule>
    <cfRule type="expression" dxfId="206" priority="191">
      <formula>AND(S$9&gt;=14/24,S$9&lt;20/24)</formula>
    </cfRule>
    <cfRule type="expression" dxfId="205" priority="192">
      <formula>AND(S$9&gt;=8/24,S$9&lt;14/24)</formula>
    </cfRule>
    <cfRule type="expression" dxfId="204" priority="193">
      <formula>S$9&lt;8/24</formula>
    </cfRule>
  </conditionalFormatting>
  <conditionalFormatting sqref="S50:AE50">
    <cfRule type="expression" dxfId="203" priority="186">
      <formula>S$9&gt;=20/24</formula>
    </cfRule>
    <cfRule type="expression" dxfId="202" priority="187">
      <formula>AND(S$9&gt;=14/24,S$9&lt;20/24)</formula>
    </cfRule>
    <cfRule type="expression" dxfId="201" priority="188">
      <formula>AND(S$9&gt;=8/24,S$9&lt;14/24)</formula>
    </cfRule>
    <cfRule type="expression" dxfId="200" priority="189">
      <formula>S$9&lt;8/24</formula>
    </cfRule>
  </conditionalFormatting>
  <conditionalFormatting sqref="S60:T67 X60:AE67">
    <cfRule type="expression" dxfId="199" priority="182">
      <formula>S$9&gt;=20/24</formula>
    </cfRule>
    <cfRule type="expression" dxfId="198" priority="183">
      <formula>AND(S$9&gt;=14/24,S$9&lt;20/24)</formula>
    </cfRule>
    <cfRule type="expression" dxfId="197" priority="184">
      <formula>AND(S$9&gt;=8/24,S$9&lt;14/24)</formula>
    </cfRule>
    <cfRule type="expression" dxfId="196" priority="185">
      <formula>S$9&lt;8/24</formula>
    </cfRule>
  </conditionalFormatting>
  <conditionalFormatting sqref="C62:I62 I63:I67 J62:L67">
    <cfRule type="expression" dxfId="195" priority="178">
      <formula>C$9&gt;=20/24</formula>
    </cfRule>
    <cfRule type="expression" dxfId="194" priority="179">
      <formula>AND(C$9&gt;=14/24,C$9&lt;20/24)</formula>
    </cfRule>
    <cfRule type="expression" dxfId="193" priority="180">
      <formula>AND(C$9&gt;=8/24,C$9&lt;14/24)</formula>
    </cfRule>
    <cfRule type="expression" dxfId="192" priority="181">
      <formula>C$9&lt;8/24</formula>
    </cfRule>
  </conditionalFormatting>
  <conditionalFormatting sqref="U94:AA97">
    <cfRule type="expression" dxfId="191" priority="174">
      <formula>U$9&gt;=20/24</formula>
    </cfRule>
    <cfRule type="expression" dxfId="190" priority="175">
      <formula>AND(U$9&gt;=14/24,U$9&lt;20/24)</formula>
    </cfRule>
    <cfRule type="expression" dxfId="189" priority="176">
      <formula>AND(U$9&gt;=8/24,U$9&lt;14/24)</formula>
    </cfRule>
    <cfRule type="expression" dxfId="188" priority="177">
      <formula>U$9&lt;8/24</formula>
    </cfRule>
  </conditionalFormatting>
  <conditionalFormatting sqref="AG51 C12:R14 C16:R17 Z16:Z17 C18:Z32 C11:AF11 AA16:AF32 B34:AF56 Z12:AF15 B11:B32">
    <cfRule type="expression" dxfId="187" priority="173">
      <formula>B11&gt;$AG11</formula>
    </cfRule>
  </conditionalFormatting>
  <conditionalFormatting sqref="A101:A157 A84:A97 A11:A14 A16:A32 A45:A72 A80:A82 A74:A78 A35:A43 A170:A200">
    <cfRule type="expression" dxfId="186" priority="172">
      <formula>$AH11=0</formula>
    </cfRule>
  </conditionalFormatting>
  <conditionalFormatting sqref="U98:AA98">
    <cfRule type="expression" dxfId="185" priority="168">
      <formula>U$9&gt;=20/24</formula>
    </cfRule>
    <cfRule type="expression" dxfId="184" priority="169">
      <formula>AND(U$9&gt;=14/24,U$9&lt;20/24)</formula>
    </cfRule>
    <cfRule type="expression" dxfId="183" priority="170">
      <formula>AND(U$9&gt;=8/24,U$9&lt;14/24)</formula>
    </cfRule>
    <cfRule type="expression" dxfId="182" priority="171">
      <formula>U$9&lt;8/24</formula>
    </cfRule>
  </conditionalFormatting>
  <conditionalFormatting sqref="A98">
    <cfRule type="expression" dxfId="181" priority="167">
      <formula>$AH98=0</formula>
    </cfRule>
  </conditionalFormatting>
  <conditionalFormatting sqref="C36">
    <cfRule type="expression" dxfId="180" priority="163">
      <formula>C$9&gt;=20/24</formula>
    </cfRule>
    <cfRule type="expression" dxfId="179" priority="164">
      <formula>AND(C$9&gt;=14/24,C$9&lt;20/24)</formula>
    </cfRule>
    <cfRule type="expression" dxfId="178" priority="165">
      <formula>AND(C$9&gt;=8/24,C$9&lt;14/24)</formula>
    </cfRule>
    <cfRule type="expression" dxfId="177" priority="166">
      <formula>C$9&lt;8/24</formula>
    </cfRule>
  </conditionalFormatting>
  <conditionalFormatting sqref="E63:H67">
    <cfRule type="expression" dxfId="176" priority="159">
      <formula>E$9&gt;=20/24</formula>
    </cfRule>
    <cfRule type="expression" dxfId="175" priority="160">
      <formula>AND(E$9&gt;=14/24,E$9&lt;20/24)</formula>
    </cfRule>
    <cfRule type="expression" dxfId="174" priority="161">
      <formula>AND(E$9&gt;=8/24,E$9&lt;14/24)</formula>
    </cfRule>
    <cfRule type="expression" dxfId="173" priority="162">
      <formula>E$9&lt;8/24</formula>
    </cfRule>
  </conditionalFormatting>
  <conditionalFormatting sqref="M62:M67">
    <cfRule type="expression" dxfId="172" priority="155">
      <formula>M$9&gt;=20/24</formula>
    </cfRule>
    <cfRule type="expression" dxfId="171" priority="156">
      <formula>AND(M$9&gt;=14/24,M$9&lt;20/24)</formula>
    </cfRule>
    <cfRule type="expression" dxfId="170" priority="157">
      <formula>AND(M$9&gt;=8/24,M$9&lt;14/24)</formula>
    </cfRule>
    <cfRule type="expression" dxfId="169" priority="158">
      <formula>M$9&lt;8/24</formula>
    </cfRule>
  </conditionalFormatting>
  <conditionalFormatting sqref="AL32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Z34:AE34">
    <cfRule type="expression" dxfId="168" priority="150">
      <formula>Z$9&gt;=20/24</formula>
    </cfRule>
    <cfRule type="expression" dxfId="167" priority="151">
      <formula>AND(Z$9&gt;=14/24,Z$9&lt;20/24)</formula>
    </cfRule>
    <cfRule type="expression" dxfId="166" priority="152">
      <formula>AND(Z$9&gt;=8/24,Z$9&lt;14/24)</formula>
    </cfRule>
    <cfRule type="expression" dxfId="165" priority="153">
      <formula>Z$9&lt;8/24</formula>
    </cfRule>
  </conditionalFormatting>
  <conditionalFormatting sqref="M34:R34">
    <cfRule type="expression" dxfId="164" priority="146">
      <formula>M$9&gt;=20/24</formula>
    </cfRule>
    <cfRule type="expression" dxfId="163" priority="147">
      <formula>AND(M$9&gt;=14/24,M$9&lt;20/24)</formula>
    </cfRule>
    <cfRule type="expression" dxfId="162" priority="148">
      <formula>AND(M$9&gt;=8/24,M$9&lt;14/24)</formula>
    </cfRule>
    <cfRule type="expression" dxfId="161" priority="149">
      <formula>M$9&lt;8/24</formula>
    </cfRule>
  </conditionalFormatting>
  <conditionalFormatting sqref="S34:Y34">
    <cfRule type="expression" dxfId="160" priority="142">
      <formula>S$9&gt;=20/24</formula>
    </cfRule>
    <cfRule type="expression" dxfId="159" priority="143">
      <formula>AND(S$9&gt;=14/24,S$9&lt;20/24)</formula>
    </cfRule>
    <cfRule type="expression" dxfId="158" priority="144">
      <formula>AND(S$9&gt;=8/24,S$9&lt;14/24)</formula>
    </cfRule>
    <cfRule type="expression" dxfId="157" priority="145">
      <formula>S$9&lt;8/24</formula>
    </cfRule>
  </conditionalFormatting>
  <conditionalFormatting sqref="A34">
    <cfRule type="expression" dxfId="156" priority="141">
      <formula>$AH34=0</formula>
    </cfRule>
  </conditionalFormatting>
  <conditionalFormatting sqref="A83">
    <cfRule type="expression" dxfId="155" priority="140">
      <formula>$AH83=0</formula>
    </cfRule>
  </conditionalFormatting>
  <conditionalFormatting sqref="Z15:AE15">
    <cfRule type="expression" dxfId="154" priority="136">
      <formula>Z$9&gt;=20/24</formula>
    </cfRule>
    <cfRule type="expression" dxfId="153" priority="137">
      <formula>AND(Z$9&gt;=14/24,Z$9&lt;20/24)</formula>
    </cfRule>
    <cfRule type="expression" dxfId="152" priority="138">
      <formula>AND(Z$9&gt;=8/24,Z$9&lt;14/24)</formula>
    </cfRule>
    <cfRule type="expression" dxfId="151" priority="139">
      <formula>Z$9&lt;8/24</formula>
    </cfRule>
  </conditionalFormatting>
  <conditionalFormatting sqref="M15:R15">
    <cfRule type="expression" dxfId="150" priority="132">
      <formula>M$9&gt;=20/24</formula>
    </cfRule>
    <cfRule type="expression" dxfId="149" priority="133">
      <formula>AND(M$9&gt;=14/24,M$9&lt;20/24)</formula>
    </cfRule>
    <cfRule type="expression" dxfId="148" priority="134">
      <formula>AND(M$9&gt;=8/24,M$9&lt;14/24)</formula>
    </cfRule>
    <cfRule type="expression" dxfId="147" priority="135">
      <formula>M$9&lt;8/24</formula>
    </cfRule>
  </conditionalFormatting>
  <conditionalFormatting sqref="C15:R15">
    <cfRule type="expression" dxfId="146" priority="131">
      <formula>C15&gt;$AG15</formula>
    </cfRule>
  </conditionalFormatting>
  <conditionalFormatting sqref="A15">
    <cfRule type="expression" dxfId="145" priority="130">
      <formula>$AH15=0</formula>
    </cfRule>
  </conditionalFormatting>
  <conditionalFormatting sqref="A164:A169">
    <cfRule type="expression" dxfId="144" priority="129">
      <formula>$AH164=0</formula>
    </cfRule>
  </conditionalFormatting>
  <conditionalFormatting sqref="A158:A163">
    <cfRule type="expression" dxfId="143" priority="128">
      <formula>$AH158=0</formula>
    </cfRule>
  </conditionalFormatting>
  <conditionalFormatting sqref="Z44:AE44">
    <cfRule type="expression" dxfId="142" priority="124">
      <formula>Z$9&gt;=20/24</formula>
    </cfRule>
    <cfRule type="expression" dxfId="141" priority="125">
      <formula>AND(Z$9&gt;=14/24,Z$9&lt;20/24)</formula>
    </cfRule>
    <cfRule type="expression" dxfId="140" priority="126">
      <formula>AND(Z$9&gt;=8/24,Z$9&lt;14/24)</formula>
    </cfRule>
    <cfRule type="expression" dxfId="139" priority="127">
      <formula>Z$9&lt;8/24</formula>
    </cfRule>
  </conditionalFormatting>
  <conditionalFormatting sqref="M44:R44">
    <cfRule type="expression" dxfId="138" priority="120">
      <formula>M$9&gt;=20/24</formula>
    </cfRule>
    <cfRule type="expression" dxfId="137" priority="121">
      <formula>AND(M$9&gt;=14/24,M$9&lt;20/24)</formula>
    </cfRule>
    <cfRule type="expression" dxfId="136" priority="122">
      <formula>AND(M$9&gt;=8/24,M$9&lt;14/24)</formula>
    </cfRule>
    <cfRule type="expression" dxfId="135" priority="123">
      <formula>M$9&lt;8/24</formula>
    </cfRule>
  </conditionalFormatting>
  <conditionalFormatting sqref="S44:Y44">
    <cfRule type="expression" dxfId="134" priority="116">
      <formula>S$9&gt;=20/24</formula>
    </cfRule>
    <cfRule type="expression" dxfId="133" priority="117">
      <formula>AND(S$9&gt;=14/24,S$9&lt;20/24)</formula>
    </cfRule>
    <cfRule type="expression" dxfId="132" priority="118">
      <formula>AND(S$9&gt;=8/24,S$9&lt;14/24)</formula>
    </cfRule>
    <cfRule type="expression" dxfId="131" priority="119">
      <formula>S$9&lt;8/24</formula>
    </cfRule>
  </conditionalFormatting>
  <conditionalFormatting sqref="A44">
    <cfRule type="expression" dxfId="130" priority="115">
      <formula>$AH44=0</formula>
    </cfRule>
  </conditionalFormatting>
  <conditionalFormatting sqref="A79">
    <cfRule type="expression" dxfId="129" priority="114">
      <formula>$AH79=0</formula>
    </cfRule>
  </conditionalFormatting>
  <conditionalFormatting sqref="A73">
    <cfRule type="expression" dxfId="128" priority="113">
      <formula>$AH73=0</formula>
    </cfRule>
  </conditionalFormatting>
  <conditionalFormatting sqref="AL34:AL35 AL7:AL31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U60:W67">
    <cfRule type="expression" dxfId="127" priority="109">
      <formula>U$9&gt;=20/24</formula>
    </cfRule>
    <cfRule type="expression" dxfId="126" priority="110">
      <formula>AND(U$9&gt;=14/24,U$9&lt;20/24)</formula>
    </cfRule>
    <cfRule type="expression" dxfId="125" priority="111">
      <formula>AND(U$9&gt;=8/24,U$9&lt;14/24)</formula>
    </cfRule>
    <cfRule type="expression" dxfId="124" priority="112">
      <formula>U$9&lt;8/24</formula>
    </cfRule>
  </conditionalFormatting>
  <conditionalFormatting sqref="U85:W91">
    <cfRule type="expression" dxfId="123" priority="105">
      <formula>U$9&gt;=20/24</formula>
    </cfRule>
    <cfRule type="expression" dxfId="122" priority="106">
      <formula>AND(U$9&gt;=14/24,U$9&lt;20/24)</formula>
    </cfRule>
    <cfRule type="expression" dxfId="121" priority="107">
      <formula>AND(U$9&gt;=8/24,U$9&lt;14/24)</formula>
    </cfRule>
    <cfRule type="expression" dxfId="120" priority="108">
      <formula>U$9&lt;8/24</formula>
    </cfRule>
  </conditionalFormatting>
  <conditionalFormatting sqref="C84:R91 S85:T91">
    <cfRule type="expression" dxfId="119" priority="101">
      <formula>C$9&gt;=20/24</formula>
    </cfRule>
    <cfRule type="expression" dxfId="118" priority="102">
      <formula>AND(C$9&gt;=14/24,C$9&lt;20/24)</formula>
    </cfRule>
    <cfRule type="expression" dxfId="117" priority="103">
      <formula>AND(C$9&gt;=8/24,C$9&lt;14/24)</formula>
    </cfRule>
    <cfRule type="expression" dxfId="116" priority="104">
      <formula>C$9&lt;8/24</formula>
    </cfRule>
  </conditionalFormatting>
  <conditionalFormatting sqref="S84:T84">
    <cfRule type="expression" dxfId="115" priority="97">
      <formula>S$9&gt;=20/24</formula>
    </cfRule>
    <cfRule type="expression" dxfId="114" priority="98">
      <formula>AND(S$9&gt;=14/24,S$9&lt;20/24)</formula>
    </cfRule>
    <cfRule type="expression" dxfId="113" priority="99">
      <formula>AND(S$9&gt;=8/24,S$9&lt;14/24)</formula>
    </cfRule>
    <cfRule type="expression" dxfId="112" priority="100">
      <formula>S$9&lt;8/24</formula>
    </cfRule>
  </conditionalFormatting>
  <conditionalFormatting sqref="C95:M97 C94:F94">
    <cfRule type="expression" dxfId="111" priority="93">
      <formula>C$9&gt;=20/24</formula>
    </cfRule>
    <cfRule type="expression" dxfId="110" priority="94">
      <formula>AND(C$9&gt;=14/24,C$9&lt;20/24)</formula>
    </cfRule>
    <cfRule type="expression" dxfId="109" priority="95">
      <formula>AND(C$9&gt;=8/24,C$9&lt;14/24)</formula>
    </cfRule>
    <cfRule type="expression" dxfId="108" priority="96">
      <formula>C$9&lt;8/24</formula>
    </cfRule>
  </conditionalFormatting>
  <conditionalFormatting sqref="N95:R97 O94:R94">
    <cfRule type="expression" dxfId="107" priority="89">
      <formula>N$9&gt;=20/24</formula>
    </cfRule>
    <cfRule type="expression" dxfId="106" priority="90">
      <formula>AND(N$9&gt;=14/24,N$9&lt;20/24)</formula>
    </cfRule>
    <cfRule type="expression" dxfId="105" priority="91">
      <formula>AND(N$9&gt;=8/24,N$9&lt;14/24)</formula>
    </cfRule>
    <cfRule type="expression" dxfId="104" priority="92">
      <formula>N$9&lt;8/24</formula>
    </cfRule>
  </conditionalFormatting>
  <conditionalFormatting sqref="S94:T97">
    <cfRule type="expression" dxfId="103" priority="85">
      <formula>S$9&gt;=20/24</formula>
    </cfRule>
    <cfRule type="expression" dxfId="102" priority="86">
      <formula>AND(S$9&gt;=14/24,S$9&lt;20/24)</formula>
    </cfRule>
    <cfRule type="expression" dxfId="101" priority="87">
      <formula>AND(S$9&gt;=8/24,S$9&lt;14/24)</formula>
    </cfRule>
    <cfRule type="expression" dxfId="100" priority="88">
      <formula>S$9&lt;8/24</formula>
    </cfRule>
  </conditionalFormatting>
  <conditionalFormatting sqref="C98:M98">
    <cfRule type="expression" dxfId="99" priority="81">
      <formula>C$9&gt;=20/24</formula>
    </cfRule>
    <cfRule type="expression" dxfId="98" priority="82">
      <formula>AND(C$9&gt;=14/24,C$9&lt;20/24)</formula>
    </cfRule>
    <cfRule type="expression" dxfId="97" priority="83">
      <formula>AND(C$9&gt;=8/24,C$9&lt;14/24)</formula>
    </cfRule>
    <cfRule type="expression" dxfId="96" priority="84">
      <formula>C$9&lt;8/24</formula>
    </cfRule>
  </conditionalFormatting>
  <conditionalFormatting sqref="N98:R98">
    <cfRule type="expression" dxfId="95" priority="77">
      <formula>N$9&gt;=20/24</formula>
    </cfRule>
    <cfRule type="expression" dxfId="94" priority="78">
      <formula>AND(N$9&gt;=14/24,N$9&lt;20/24)</formula>
    </cfRule>
    <cfRule type="expression" dxfId="93" priority="79">
      <formula>AND(N$9&gt;=8/24,N$9&lt;14/24)</formula>
    </cfRule>
    <cfRule type="expression" dxfId="92" priority="80">
      <formula>N$9&lt;8/24</formula>
    </cfRule>
  </conditionalFormatting>
  <conditionalFormatting sqref="S98:T98">
    <cfRule type="expression" dxfId="91" priority="73">
      <formula>S$9&gt;=20/24</formula>
    </cfRule>
    <cfRule type="expression" dxfId="90" priority="74">
      <formula>AND(S$9&gt;=14/24,S$9&lt;20/24)</formula>
    </cfRule>
    <cfRule type="expression" dxfId="89" priority="75">
      <formula>AND(S$9&gt;=8/24,S$9&lt;14/24)</formula>
    </cfRule>
    <cfRule type="expression" dxfId="88" priority="76">
      <formula>S$9&lt;8/24</formula>
    </cfRule>
  </conditionalFormatting>
  <conditionalFormatting sqref="M94:N94">
    <cfRule type="expression" dxfId="87" priority="69">
      <formula>M$9&gt;=20/24</formula>
    </cfRule>
    <cfRule type="expression" dxfId="86" priority="70">
      <formula>AND(M$9&gt;=14/24,M$9&lt;20/24)</formula>
    </cfRule>
    <cfRule type="expression" dxfId="85" priority="71">
      <formula>AND(M$9&gt;=8/24,M$9&lt;14/24)</formula>
    </cfRule>
    <cfRule type="expression" dxfId="84" priority="72">
      <formula>M$9&lt;8/24</formula>
    </cfRule>
  </conditionalFormatting>
  <conditionalFormatting sqref="G94:L94">
    <cfRule type="expression" dxfId="83" priority="65">
      <formula>G$9&gt;=20/24</formula>
    </cfRule>
    <cfRule type="expression" dxfId="82" priority="66">
      <formula>AND(G$9&gt;=14/24,G$9&lt;20/24)</formula>
    </cfRule>
    <cfRule type="expression" dxfId="81" priority="67">
      <formula>AND(G$9&gt;=8/24,G$9&lt;14/24)</formula>
    </cfRule>
    <cfRule type="expression" dxfId="80" priority="68">
      <formula>G$9&lt;8/24</formula>
    </cfRule>
  </conditionalFormatting>
  <conditionalFormatting sqref="U94:W94">
    <cfRule type="expression" dxfId="79" priority="61">
      <formula>U$9&gt;=20/24</formula>
    </cfRule>
    <cfRule type="expression" dxfId="78" priority="62">
      <formula>AND(U$9&gt;=14/24,U$9&lt;20/24)</formula>
    </cfRule>
    <cfRule type="expression" dxfId="77" priority="63">
      <formula>AND(U$9&gt;=8/24,U$9&lt;14/24)</formula>
    </cfRule>
    <cfRule type="expression" dxfId="76" priority="64">
      <formula>U$9&lt;8/24</formula>
    </cfRule>
  </conditionalFormatting>
  <conditionalFormatting sqref="N94:T94">
    <cfRule type="expression" dxfId="75" priority="57">
      <formula>N$9&gt;=20/24</formula>
    </cfRule>
    <cfRule type="expression" dxfId="74" priority="58">
      <formula>AND(N$9&gt;=14/24,N$9&lt;20/24)</formula>
    </cfRule>
    <cfRule type="expression" dxfId="73" priority="59">
      <formula>AND(N$9&gt;=8/24,N$9&lt;14/24)</formula>
    </cfRule>
    <cfRule type="expression" dxfId="72" priority="60">
      <formula>N$9&lt;8/24</formula>
    </cfRule>
  </conditionalFormatting>
  <conditionalFormatting sqref="U99:AA100">
    <cfRule type="expression" dxfId="71" priority="53">
      <formula>U$9&gt;=20/24</formula>
    </cfRule>
    <cfRule type="expression" dxfId="70" priority="54">
      <formula>AND(U$9&gt;=14/24,U$9&lt;20/24)</formula>
    </cfRule>
    <cfRule type="expression" dxfId="69" priority="55">
      <formula>AND(U$9&gt;=8/24,U$9&lt;14/24)</formula>
    </cfRule>
    <cfRule type="expression" dxfId="68" priority="56">
      <formula>U$9&lt;8/24</formula>
    </cfRule>
  </conditionalFormatting>
  <conditionalFormatting sqref="C99:M100">
    <cfRule type="expression" dxfId="67" priority="49">
      <formula>C$9&gt;=20/24</formula>
    </cfRule>
    <cfRule type="expression" dxfId="66" priority="50">
      <formula>AND(C$9&gt;=14/24,C$9&lt;20/24)</formula>
    </cfRule>
    <cfRule type="expression" dxfId="65" priority="51">
      <formula>AND(C$9&gt;=8/24,C$9&lt;14/24)</formula>
    </cfRule>
    <cfRule type="expression" dxfId="64" priority="52">
      <formula>C$9&lt;8/24</formula>
    </cfRule>
  </conditionalFormatting>
  <conditionalFormatting sqref="N99:R100">
    <cfRule type="expression" dxfId="63" priority="45">
      <formula>N$9&gt;=20/24</formula>
    </cfRule>
    <cfRule type="expression" dxfId="62" priority="46">
      <formula>AND(N$9&gt;=14/24,N$9&lt;20/24)</formula>
    </cfRule>
    <cfRule type="expression" dxfId="61" priority="47">
      <formula>AND(N$9&gt;=8/24,N$9&lt;14/24)</formula>
    </cfRule>
    <cfRule type="expression" dxfId="60" priority="48">
      <formula>N$9&lt;8/24</formula>
    </cfRule>
  </conditionalFormatting>
  <conditionalFormatting sqref="S99:T100">
    <cfRule type="expression" dxfId="59" priority="41">
      <formula>S$9&gt;=20/24</formula>
    </cfRule>
    <cfRule type="expression" dxfId="58" priority="42">
      <formula>AND(S$9&gt;=14/24,S$9&lt;20/24)</formula>
    </cfRule>
    <cfRule type="expression" dxfId="57" priority="43">
      <formula>AND(S$9&gt;=8/24,S$9&lt;14/24)</formula>
    </cfRule>
    <cfRule type="expression" dxfId="56" priority="44">
      <formula>S$9&lt;8/24</formula>
    </cfRule>
  </conditionalFormatting>
  <conditionalFormatting sqref="S12:Y16">
    <cfRule type="expression" dxfId="55" priority="37">
      <formula>S$9&gt;=20/24</formula>
    </cfRule>
    <cfRule type="expression" dxfId="54" priority="38">
      <formula>AND(S$9&gt;=14/24,S$9&lt;20/24)</formula>
    </cfRule>
    <cfRule type="expression" dxfId="53" priority="39">
      <formula>AND(S$9&gt;=8/24,S$9&lt;14/24)</formula>
    </cfRule>
    <cfRule type="expression" dxfId="52" priority="40">
      <formula>S$9&lt;8/24</formula>
    </cfRule>
  </conditionalFormatting>
  <conditionalFormatting sqref="S17:Y17">
    <cfRule type="expression" dxfId="51" priority="33">
      <formula>S$9&gt;=20/24</formula>
    </cfRule>
    <cfRule type="expression" dxfId="50" priority="34">
      <formula>AND(S$9&gt;=14/24,S$9&lt;20/24)</formula>
    </cfRule>
    <cfRule type="expression" dxfId="49" priority="35">
      <formula>AND(S$9&gt;=8/24,S$9&lt;14/24)</formula>
    </cfRule>
    <cfRule type="expression" dxfId="48" priority="36">
      <formula>S$9&lt;8/24</formula>
    </cfRule>
  </conditionalFormatting>
  <conditionalFormatting sqref="S12:Y13">
    <cfRule type="expression" dxfId="47" priority="29">
      <formula>S$9&gt;=20/24</formula>
    </cfRule>
    <cfRule type="expression" dxfId="46" priority="30">
      <formula>AND(S$9&gt;=14/24,S$9&lt;20/24)</formula>
    </cfRule>
    <cfRule type="expression" dxfId="45" priority="31">
      <formula>AND(S$9&gt;=8/24,S$9&lt;14/24)</formula>
    </cfRule>
    <cfRule type="expression" dxfId="44" priority="32">
      <formula>S$9&lt;8/24</formula>
    </cfRule>
  </conditionalFormatting>
  <conditionalFormatting sqref="AB58:AE59">
    <cfRule type="expression" dxfId="43" priority="25">
      <formula>AB$9&gt;=20/24</formula>
    </cfRule>
    <cfRule type="expression" dxfId="42" priority="26">
      <formula>AND(AB$9&gt;=14/24,AB$9&lt;20/24)</formula>
    </cfRule>
    <cfRule type="expression" dxfId="41" priority="27">
      <formula>AND(AB$9&gt;=8/24,AB$9&lt;14/24)</formula>
    </cfRule>
    <cfRule type="expression" dxfId="40" priority="28">
      <formula>AB$9&lt;8/24</formula>
    </cfRule>
  </conditionalFormatting>
  <conditionalFormatting sqref="AL33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" priority="258">
      <formula>C$9&gt;=20/24</formula>
    </cfRule>
    <cfRule type="expression" dxfId="38" priority="259">
      <formula>AND(C$9&gt;=14/24,C$9&lt;20/24)</formula>
    </cfRule>
    <cfRule type="expression" dxfId="37" priority="260">
      <formula>AND(C$9&gt;=8/24,C$9&lt;14/24)</formula>
    </cfRule>
    <cfRule type="expression" dxfId="36" priority="261">
      <formula>C$9&lt;8/24</formula>
    </cfRule>
  </conditionalFormatting>
  <conditionalFormatting sqref="A201">
    <cfRule type="expression" dxfId="35" priority="262">
      <formula>$AH201=0</formula>
    </cfRule>
  </conditionalFormatting>
  <conditionalFormatting sqref="AG213">
    <cfRule type="expression" dxfId="34" priority="263">
      <formula>B$9&gt;=20/24</formula>
    </cfRule>
    <cfRule type="expression" dxfId="33" priority="264">
      <formula>AND(B$9&gt;=14/24,B$9&lt;20/24)</formula>
    </cfRule>
    <cfRule type="expression" dxfId="32" priority="265">
      <formula>AND(B$9&gt;=8/24,B$9&lt;14/24)</formula>
    </cfRule>
    <cfRule type="expression" dxfId="31" priority="266">
      <formula>B$9&lt;8/24</formula>
    </cfRule>
  </conditionalFormatting>
  <conditionalFormatting sqref="S8">
    <cfRule type="expression" dxfId="30" priority="19">
      <formula>U$9&gt;=20/24</formula>
    </cfRule>
    <cfRule type="expression" dxfId="29" priority="20">
      <formula>AND(U$9&gt;=14/24,U$9&lt;20/24)</formula>
    </cfRule>
    <cfRule type="expression" dxfId="28" priority="21">
      <formula>AND(U$9&gt;=8/24,U$9&lt;14/24)</formula>
    </cfRule>
    <cfRule type="expression" dxfId="27" priority="22">
      <formula>U$9&lt;8/24</formula>
    </cfRule>
  </conditionalFormatting>
  <conditionalFormatting sqref="AB8">
    <cfRule type="expression" dxfId="26" priority="15">
      <formula>AD$9&gt;=20/24</formula>
    </cfRule>
    <cfRule type="expression" dxfId="25" priority="16">
      <formula>AND(AD$9&gt;=14/24,AD$9&lt;20/24)</formula>
    </cfRule>
    <cfRule type="expression" dxfId="24" priority="17">
      <formula>AND(AD$9&gt;=8/24,AD$9&lt;14/24)</formula>
    </cfRule>
    <cfRule type="expression" dxfId="23" priority="18">
      <formula>AD$9&lt;8/24</formula>
    </cfRule>
  </conditionalFormatting>
  <conditionalFormatting sqref="AH213:AX213">
    <cfRule type="expression" dxfId="22" priority="267">
      <formula>AG$9&gt;=20/24</formula>
    </cfRule>
    <cfRule type="expression" dxfId="21" priority="268">
      <formula>AND(AG$9&gt;=14/24,AG$9&lt;20/24)</formula>
    </cfRule>
    <cfRule type="expression" dxfId="20" priority="269">
      <formula>AND(AG$9&gt;=8/24,AG$9&lt;14/24)</formula>
    </cfRule>
    <cfRule type="expression" dxfId="19" priority="270">
      <formula>AG$9&lt;8/24</formula>
    </cfRule>
  </conditionalFormatting>
  <conditionalFormatting sqref="T213">
    <cfRule type="expression" dxfId="18" priority="271">
      <formula>AX$9&gt;=20/24</formula>
    </cfRule>
    <cfRule type="expression" dxfId="17" priority="272">
      <formula>AND(AX$9&gt;=14/24,AX$9&lt;20/24)</formula>
    </cfRule>
    <cfRule type="expression" dxfId="16" priority="273">
      <formula>AND(AX$9&gt;=8/24,AX$9&lt;14/24)</formula>
    </cfRule>
    <cfRule type="expression" dxfId="15" priority="274">
      <formula>AX$9&lt;8/24</formula>
    </cfRule>
  </conditionalFormatting>
  <conditionalFormatting sqref="A99:A100">
    <cfRule type="expression" dxfId="14" priority="14">
      <formula>$AH99=0</formula>
    </cfRule>
  </conditionalFormatting>
  <conditionalFormatting sqref="M33:R33">
    <cfRule type="expression" dxfId="13" priority="10">
      <formula>M$9&gt;=20/24</formula>
    </cfRule>
    <cfRule type="expression" dxfId="12" priority="11">
      <formula>AND(M$9&gt;=14/24,M$9&lt;20/24)</formula>
    </cfRule>
    <cfRule type="expression" dxfId="11" priority="12">
      <formula>AND(M$9&gt;=8/24,M$9&lt;14/24)</formula>
    </cfRule>
    <cfRule type="expression" dxfId="10" priority="13">
      <formula>M$9&lt;8/24</formula>
    </cfRule>
  </conditionalFormatting>
  <conditionalFormatting sqref="Z33:AE33">
    <cfRule type="expression" dxfId="9" priority="6">
      <formula>Z$9&gt;=20/24</formula>
    </cfRule>
    <cfRule type="expression" dxfId="8" priority="7">
      <formula>AND(Z$9&gt;=14/24,Z$9&lt;20/24)</formula>
    </cfRule>
    <cfRule type="expression" dxfId="7" priority="8">
      <formula>AND(Z$9&gt;=8/24,Z$9&lt;14/24)</formula>
    </cfRule>
    <cfRule type="expression" dxfId="6" priority="9">
      <formula>Z$9&lt;8/24</formula>
    </cfRule>
  </conditionalFormatting>
  <conditionalFormatting sqref="S33:Y33">
    <cfRule type="expression" dxfId="5" priority="2">
      <formula>S$9&gt;=20/24</formula>
    </cfRule>
    <cfRule type="expression" dxfId="4" priority="3">
      <formula>AND(S$9&gt;=14/24,S$9&lt;20/24)</formula>
    </cfRule>
    <cfRule type="expression" dxfId="3" priority="4">
      <formula>AND(S$9&gt;=8/24,S$9&lt;14/24)</formula>
    </cfRule>
    <cfRule type="expression" dxfId="2" priority="5">
      <formula>S$9&lt;8/24</formula>
    </cfRule>
  </conditionalFormatting>
  <conditionalFormatting sqref="B33:AF33">
    <cfRule type="expression" dxfId="1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5DE03942-C201-4994-B10E-2E681C8529D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new_sample (3)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2022-03-17T07:21:39Z</dcterms:modified>
</cp:coreProperties>
</file>